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4.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5.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9.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3.xml" ContentType="application/vnd.openxmlformats-officedocument.drawing+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4.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8.xml" ContentType="application/vnd.openxmlformats-officedocument.drawing+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harts/chart27.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N:\QUALITE\SMQ EN 9100\Certificats étalonnage\Certificats d'étalonnage 2024\"/>
    </mc:Choice>
  </mc:AlternateContent>
  <xr:revisionPtr revIDLastSave="0" documentId="13_ncr:1_{ECE7FEA5-9664-45B7-9AF3-E0148CC4F465}" xr6:coauthVersionLast="47" xr6:coauthVersionMax="47" xr10:uidLastSave="{00000000-0000-0000-0000-000000000000}"/>
  <bookViews>
    <workbookView xWindow="-28920" yWindow="-120" windowWidth="29040" windowHeight="15840" tabRatio="771" firstSheet="2" activeTab="2" xr2:uid="{00000000-000D-0000-FFFF-FFFF00000000}"/>
  </bookViews>
  <sheets>
    <sheet name="Group-1" sheetId="17" state="hidden" r:id="rId1"/>
    <sheet name="Entete" sheetId="18" state="hidden" r:id="rId2"/>
    <sheet name="Choose_TUS" sheetId="1" r:id="rId3"/>
    <sheet name="Mesures_Four" sheetId="45" state="hidden" r:id="rId4"/>
    <sheet name="transfert 80" sheetId="46" state="hidden" r:id="rId5"/>
    <sheet name="transfert 200" sheetId="50" state="hidden" r:id="rId6"/>
    <sheet name="transfert 385" sheetId="47" state="hidden" r:id="rId7"/>
    <sheet name="transfert 535" sheetId="48" state="hidden" r:id="rId8"/>
    <sheet name="Four 80" sheetId="49" state="hidden" r:id="rId9"/>
    <sheet name="Four 200" sheetId="51" state="hidden" r:id="rId10"/>
    <sheet name="Four 385" sheetId="52" state="hidden" r:id="rId11"/>
    <sheet name="Four 535" sheetId="53" state="hidden" r:id="rId12"/>
    <sheet name="80°C" sheetId="41" state="hidden" r:id="rId13"/>
    <sheet name="200°C" sheetId="42" state="hidden" r:id="rId14"/>
    <sheet name="385°C" sheetId="40" state="hidden" r:id="rId15"/>
    <sheet name="535°C" sheetId="43" state="hidden" r:id="rId16"/>
    <sheet name="Four_PV" sheetId="44" state="hidden"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4"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definedNames>
    <definedName name="Consignes" localSheetId="22">Mesures_Congel!$B$18</definedName>
    <definedName name="Consignes" localSheetId="17">Mesures_Ressuage_BCH!$B$18</definedName>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Entete!$A$121:$L$130</definedName>
    <definedName name="Entêtes_Transfert">Entete!$A$104:$L$117</definedName>
    <definedName name="IMP" localSheetId="22">Mesures_Congel!$D$5</definedName>
    <definedName name="IMP" localSheetId="39">Mesures_Dover!$D$5</definedName>
    <definedName name="IMP" localSheetId="3">Mesures_Four!$B$4</definedName>
    <definedName name="IMP" localSheetId="31">Mesures_Omia!$D$5</definedName>
    <definedName name="IMP" localSheetId="17">Mesures_Ressuage_BCH!$D$5</definedName>
    <definedName name="IMP" localSheetId="27">Mesures_Sechoir!$D$5</definedName>
    <definedName name="MT1_30" localSheetId="13">'200°C'!$M$7</definedName>
    <definedName name="MT1_30" localSheetId="14">'385°C'!$M$7</definedName>
    <definedName name="MT1_30" localSheetId="15">'535°C'!$M$7</definedName>
    <definedName name="MT1_30" localSheetId="12">'80°C'!$M$7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2_30" localSheetId="13">'200°C'!$M$8</definedName>
    <definedName name="MT2_30" localSheetId="14">'385°C'!$M$8</definedName>
    <definedName name="MT2_30" localSheetId="15">'535°C'!$M$8</definedName>
    <definedName name="MT2_30" localSheetId="12">'80°C'!$M$8</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Omia_1!$A$12</definedName>
    <definedName name="MT2_30" localSheetId="36">Omia_2!$A$12</definedName>
    <definedName name="MT2_30" localSheetId="37">Omia_3!$A$12</definedName>
    <definedName name="MT2_30" localSheetId="19">Ressuage_BCH!$A$12</definedName>
    <definedName name="MT2_30" localSheetId="29">Sechoir!$A$12</definedName>
    <definedName name="NomDoc">Mesures_Four!$B$4</definedName>
    <definedName name="test_propagation" localSheetId="13">'200°C'!$N$7</definedName>
    <definedName name="test_propagation" localSheetId="14">'385°C'!$N$7</definedName>
    <definedName name="test_propagation" localSheetId="15">'535°C'!$N$7</definedName>
    <definedName name="test_propagation" localSheetId="12">'80°C'!$N$7</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37">Omia_3!$B$11</definedName>
    <definedName name="test_propagation" localSheetId="19">Ressuage_BCH!$B$11</definedName>
    <definedName name="test_propagation" localSheetId="29">Sechoir!$B$11</definedName>
    <definedName name="Tolérances_TUS" localSheetId="22">Mesures_Congel!$B$21</definedName>
    <definedName name="Tolérances_TUS" localSheetId="17">Mesures_Ressuage_BCH!$B$21</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 i="43" l="1" a="1"/>
  <c r="O3" i="43" s="1"/>
  <c r="R3" i="41" a="1"/>
  <c r="R3" i="41" s="1"/>
  <c r="B4" i="45"/>
  <c r="D5" i="35"/>
  <c r="D5" i="3"/>
  <c r="D5" i="4"/>
  <c r="D5" i="2"/>
  <c r="D5" i="29"/>
  <c r="E56" i="38"/>
  <c r="G194" i="28" a="1"/>
  <c r="G194" i="28" s="1"/>
  <c r="G293" i="28" a="1"/>
  <c r="G293" i="28" s="1"/>
  <c r="G403" i="28" a="1"/>
  <c r="G403" i="28" s="1"/>
  <c r="G500" i="28"/>
  <c r="F500" i="28"/>
  <c r="E500" i="28"/>
  <c r="C447" i="28"/>
  <c r="B432" i="28" a="1"/>
  <c r="B432" i="28" s="1"/>
  <c r="B425" i="28"/>
  <c r="C411" i="28"/>
  <c r="C410" i="28"/>
  <c r="H403" i="28" a="1"/>
  <c r="H403" i="28" s="1"/>
  <c r="B402" i="28"/>
  <c r="C395" i="28"/>
  <c r="C342" i="28"/>
  <c r="B323" i="28" a="1"/>
  <c r="B323" i="28" s="1"/>
  <c r="B316" i="28"/>
  <c r="C301" i="28"/>
  <c r="C300" i="28"/>
  <c r="H293" i="28" a="1"/>
  <c r="H293" i="28" s="1"/>
  <c r="B292" i="28"/>
  <c r="B291" i="28"/>
  <c r="B284" i="28"/>
  <c r="C246" i="28"/>
  <c r="B225" i="28" a="1"/>
  <c r="B225" i="28" s="1"/>
  <c r="B218" i="28"/>
  <c r="C202" i="28"/>
  <c r="C201" i="28"/>
  <c r="H194" i="28" a="1"/>
  <c r="H194" i="28" s="1"/>
  <c r="B192" i="28" a="1"/>
  <c r="B192" i="28" s="1"/>
  <c r="A192" i="28" a="1"/>
  <c r="A192" i="28" s="1"/>
  <c r="C188" i="28"/>
  <c r="A164" i="28" a="1"/>
  <c r="A164" i="28" s="1"/>
  <c r="G118" i="28"/>
  <c r="G117" i="28"/>
  <c r="G116" i="28"/>
  <c r="E96" i="28" a="1"/>
  <c r="E96" i="28" s="1"/>
  <c r="C79" i="28"/>
  <c r="C73" i="28"/>
  <c r="D19" i="28"/>
  <c r="G18" i="28"/>
  <c r="D18" i="28"/>
  <c r="G16" i="28"/>
  <c r="D16" i="28"/>
  <c r="G15" i="28"/>
  <c r="D15" i="28"/>
  <c r="G13" i="28"/>
  <c r="D13" i="28"/>
  <c r="G12" i="28"/>
  <c r="D12" i="28"/>
  <c r="E10" i="28"/>
  <c r="O18" i="11"/>
  <c r="K18" i="11"/>
  <c r="J18" i="11"/>
  <c r="I18" i="11"/>
  <c r="H18" i="11"/>
  <c r="G18" i="11"/>
  <c r="F18" i="11"/>
  <c r="E18" i="11"/>
  <c r="D18" i="11"/>
  <c r="C18" i="11"/>
  <c r="O17" i="11"/>
  <c r="L17" i="11"/>
  <c r="K17" i="11"/>
  <c r="J17" i="11"/>
  <c r="I17" i="11"/>
  <c r="H17" i="11"/>
  <c r="G17" i="11"/>
  <c r="F17" i="11"/>
  <c r="E17" i="11"/>
  <c r="D17" i="11"/>
  <c r="C17" i="11"/>
  <c r="O16" i="11"/>
  <c r="G498" i="28" s="1"/>
  <c r="L16" i="11"/>
  <c r="K16" i="11"/>
  <c r="J16" i="11"/>
  <c r="I16" i="11"/>
  <c r="H16" i="11"/>
  <c r="G16" i="11"/>
  <c r="F16" i="11"/>
  <c r="E16" i="11"/>
  <c r="D16" i="11"/>
  <c r="C16" i="11"/>
  <c r="C14" i="11" a="1"/>
  <c r="C14" i="11" s="1"/>
  <c r="B11" i="11" a="1"/>
  <c r="B11" i="11" s="1"/>
  <c r="B10" i="11" a="1"/>
  <c r="B10" i="11" s="1"/>
  <c r="A1" i="11"/>
  <c r="O18" i="10"/>
  <c r="K18" i="10"/>
  <c r="J18" i="10"/>
  <c r="I18" i="10"/>
  <c r="H18" i="10"/>
  <c r="G18" i="10"/>
  <c r="F18" i="10"/>
  <c r="E18" i="10"/>
  <c r="D18" i="10"/>
  <c r="C18" i="10"/>
  <c r="O17" i="10"/>
  <c r="L17" i="10"/>
  <c r="K17" i="10"/>
  <c r="J17" i="10"/>
  <c r="I17" i="10"/>
  <c r="H17" i="10"/>
  <c r="G17" i="10"/>
  <c r="F17" i="10"/>
  <c r="E17" i="10"/>
  <c r="D17" i="10"/>
  <c r="C17" i="10"/>
  <c r="O16" i="10"/>
  <c r="F498" i="28" s="1"/>
  <c r="L16" i="10"/>
  <c r="K16" i="10"/>
  <c r="J16" i="10"/>
  <c r="I16" i="10"/>
  <c r="H16" i="10"/>
  <c r="G16" i="10"/>
  <c r="F16" i="10"/>
  <c r="E16" i="10"/>
  <c r="D16" i="10"/>
  <c r="C16" i="10"/>
  <c r="C14" i="10" a="1"/>
  <c r="J6" i="10" s="1"/>
  <c r="B11" i="10" a="1"/>
  <c r="B11" i="10" s="1"/>
  <c r="B10" i="10" a="1"/>
  <c r="B10" i="10" s="1"/>
  <c r="A1" i="10"/>
  <c r="K22" i="9"/>
  <c r="J22" i="9"/>
  <c r="I22" i="9"/>
  <c r="H22" i="9"/>
  <c r="G22" i="9"/>
  <c r="F22" i="9"/>
  <c r="E22" i="9"/>
  <c r="D22" i="9"/>
  <c r="C22" i="9"/>
  <c r="O18" i="9"/>
  <c r="K18" i="9"/>
  <c r="J228" i="28" s="1"/>
  <c r="J18" i="9"/>
  <c r="I228" i="28" s="1"/>
  <c r="I18" i="9"/>
  <c r="H228" i="28" s="1"/>
  <c r="H18" i="9"/>
  <c r="G228" i="28" s="1"/>
  <c r="G18" i="9"/>
  <c r="F228" i="28" s="1"/>
  <c r="F18" i="9"/>
  <c r="E228" i="28" s="1"/>
  <c r="E18" i="9"/>
  <c r="D228" i="28" s="1"/>
  <c r="D18" i="9"/>
  <c r="C228" i="28" s="1"/>
  <c r="C18" i="9"/>
  <c r="B228" i="28" s="1"/>
  <c r="O17" i="9"/>
  <c r="K17" i="9"/>
  <c r="J227" i="28" s="1"/>
  <c r="J17" i="9"/>
  <c r="I227" i="28" s="1"/>
  <c r="I17" i="9"/>
  <c r="H227" i="28" s="1"/>
  <c r="H17" i="9"/>
  <c r="G227" i="28" s="1"/>
  <c r="G17" i="9"/>
  <c r="F227" i="28" s="1"/>
  <c r="F17" i="9"/>
  <c r="E227" i="28" s="1"/>
  <c r="E17" i="9"/>
  <c r="D227" i="28" s="1"/>
  <c r="D17" i="9"/>
  <c r="C227" i="28" s="1"/>
  <c r="C17" i="9"/>
  <c r="O16" i="9"/>
  <c r="E497" i="28" s="1"/>
  <c r="K16" i="9"/>
  <c r="J226" i="28" s="1"/>
  <c r="J16" i="9"/>
  <c r="I226" i="28" s="1"/>
  <c r="I16" i="9"/>
  <c r="H226" i="28" s="1"/>
  <c r="H16" i="9"/>
  <c r="G16" i="9"/>
  <c r="F226" i="28" s="1"/>
  <c r="F16" i="9"/>
  <c r="E226" i="28" s="1"/>
  <c r="E16" i="9"/>
  <c r="D226" i="28" s="1"/>
  <c r="D16" i="9"/>
  <c r="C226" i="28" s="1"/>
  <c r="C16" i="9"/>
  <c r="C14" i="9" a="1"/>
  <c r="F6" i="9" s="1"/>
  <c r="B11" i="9" a="1"/>
  <c r="B11" i="9" s="1"/>
  <c r="B10" i="9" a="1"/>
  <c r="B10" i="9" s="1"/>
  <c r="A1" i="9"/>
  <c r="A49" i="3"/>
  <c r="C104" i="28" s="1"/>
  <c r="A48" i="3"/>
  <c r="C103" i="28" s="1"/>
  <c r="A47" i="3"/>
  <c r="C102" i="28" s="1"/>
  <c r="A46" i="3"/>
  <c r="C101" i="28" s="1"/>
  <c r="A45" i="3"/>
  <c r="C100" i="28" s="1"/>
  <c r="A44" i="3"/>
  <c r="C99" i="28" s="1"/>
  <c r="A43" i="3"/>
  <c r="C98" i="28" s="1"/>
  <c r="A42" i="3"/>
  <c r="C97" i="28" s="1"/>
  <c r="A41" i="3"/>
  <c r="C96" i="28" s="1"/>
  <c r="I23" i="3"/>
  <c r="H23" i="3"/>
  <c r="G23" i="3"/>
  <c r="F23" i="3"/>
  <c r="E23" i="3"/>
  <c r="D23" i="3"/>
  <c r="G508" i="24"/>
  <c r="F508" i="24"/>
  <c r="E508" i="24"/>
  <c r="G506" i="24"/>
  <c r="F506" i="24"/>
  <c r="E506" i="24"/>
  <c r="G505" i="24"/>
  <c r="F505" i="24"/>
  <c r="E505" i="24"/>
  <c r="C455" i="24"/>
  <c r="B440" i="24" a="1"/>
  <c r="B440" i="24" s="1"/>
  <c r="B433" i="24"/>
  <c r="C419" i="24"/>
  <c r="C418" i="24"/>
  <c r="H411" i="24" a="1"/>
  <c r="H411" i="24" s="1"/>
  <c r="G411" i="24" a="1"/>
  <c r="G411" i="24" s="1"/>
  <c r="B410" i="24"/>
  <c r="B409" i="24"/>
  <c r="B402" i="24"/>
  <c r="C350" i="24"/>
  <c r="B331" i="24" a="1"/>
  <c r="B331" i="24" s="1"/>
  <c r="B324" i="24"/>
  <c r="C309" i="24"/>
  <c r="C308" i="24"/>
  <c r="H301" i="24" a="1"/>
  <c r="H301" i="24" s="1"/>
  <c r="G301" i="24" a="1"/>
  <c r="G301" i="24" s="1"/>
  <c r="B300" i="24"/>
  <c r="B299" i="24"/>
  <c r="B291" i="24"/>
  <c r="C254" i="24"/>
  <c r="B233" i="24" a="1"/>
  <c r="B233" i="24" s="1"/>
  <c r="B226" i="24"/>
  <c r="C210" i="24"/>
  <c r="C209" i="24"/>
  <c r="H202" i="24" a="1"/>
  <c r="H202" i="24" s="1"/>
  <c r="G202" i="24" a="1"/>
  <c r="G202" i="24" s="1"/>
  <c r="B201" i="24"/>
  <c r="B200" i="24"/>
  <c r="C196"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S18" i="8"/>
  <c r="S17" i="8"/>
  <c r="S16" i="8"/>
  <c r="P17" i="8" s="1"/>
  <c r="C14" i="8" a="1"/>
  <c r="J6" i="8" s="1"/>
  <c r="B11" i="8" a="1"/>
  <c r="B11" i="8" s="1"/>
  <c r="C10" i="8" a="1"/>
  <c r="C10" i="8" s="1"/>
  <c r="B10" i="8"/>
  <c r="A1" i="8"/>
  <c r="S18" i="7"/>
  <c r="S17" i="7"/>
  <c r="S16" i="7"/>
  <c r="P17" i="7" s="1"/>
  <c r="C14" i="7" a="1"/>
  <c r="I6" i="7" s="1"/>
  <c r="C11" i="7" a="1"/>
  <c r="C11" i="7" s="1"/>
  <c r="B11" i="7" a="1"/>
  <c r="B11" i="7" s="1"/>
  <c r="C10" i="7" a="1"/>
  <c r="C10" i="7" s="1"/>
  <c r="B10" i="7"/>
  <c r="A1" i="7"/>
  <c r="S18" i="6"/>
  <c r="S17" i="6"/>
  <c r="S16" i="6"/>
  <c r="P17" i="6" s="1"/>
  <c r="C14" i="6" a="1"/>
  <c r="C14" i="6" s="1"/>
  <c r="C11" i="6" a="1"/>
  <c r="C11" i="6" s="1"/>
  <c r="B11" i="6" a="1"/>
  <c r="B11" i="6" s="1"/>
  <c r="C10" i="6" a="1"/>
  <c r="C10" i="6" s="1"/>
  <c r="B10" i="6"/>
  <c r="A1" i="6"/>
  <c r="A57" i="4"/>
  <c r="C108" i="24" s="1"/>
  <c r="A56" i="4"/>
  <c r="C107" i="24" s="1"/>
  <c r="A55" i="4"/>
  <c r="C106" i="24" s="1"/>
  <c r="A54" i="4"/>
  <c r="C105" i="24" s="1"/>
  <c r="A53" i="4"/>
  <c r="C104" i="24" s="1"/>
  <c r="A52" i="4"/>
  <c r="C103" i="24" s="1"/>
  <c r="A51" i="4"/>
  <c r="C102" i="24" s="1"/>
  <c r="A50" i="4"/>
  <c r="C101" i="24" s="1"/>
  <c r="A49" i="4"/>
  <c r="C100" i="24" s="1"/>
  <c r="A48" i="4"/>
  <c r="C99" i="24" s="1"/>
  <c r="A47" i="4"/>
  <c r="C98" i="24" s="1"/>
  <c r="A46" i="4"/>
  <c r="C97" i="24" s="1"/>
  <c r="A45" i="4"/>
  <c r="C96" i="24" s="1"/>
  <c r="I23" i="4"/>
  <c r="H23" i="4"/>
  <c r="G23" i="4"/>
  <c r="F23" i="4"/>
  <c r="E23" i="4"/>
  <c r="D23" i="4"/>
  <c r="E306" i="32"/>
  <c r="E304" i="32"/>
  <c r="E303" i="32"/>
  <c r="C254" i="32"/>
  <c r="C234" i="32" a="1"/>
  <c r="C234" i="32" s="1"/>
  <c r="B226" i="32"/>
  <c r="H202" i="32" a="1"/>
  <c r="H202" i="32" s="1"/>
  <c r="G202" i="32" a="1"/>
  <c r="G202" i="32" s="1"/>
  <c r="A200" i="32" a="1"/>
  <c r="A200" i="32" s="1"/>
  <c r="C196" i="32"/>
  <c r="A167" i="32" a="1"/>
  <c r="A167" i="32" s="1"/>
  <c r="G122" i="32"/>
  <c r="G121" i="32"/>
  <c r="G120" i="32"/>
  <c r="D19" i="32"/>
  <c r="G18" i="32"/>
  <c r="D18" i="32"/>
  <c r="G16" i="32"/>
  <c r="D16" i="32"/>
  <c r="G15" i="32"/>
  <c r="D15" i="32"/>
  <c r="G13" i="32"/>
  <c r="D13" i="32"/>
  <c r="G12" i="32"/>
  <c r="D12" i="32"/>
  <c r="E10" i="32"/>
  <c r="O17" i="31"/>
  <c r="O16" i="31"/>
  <c r="O15" i="31"/>
  <c r="L17" i="31" s="1"/>
  <c r="C14" i="31" a="1"/>
  <c r="C14" i="31" s="1"/>
  <c r="C11" i="31" a="1"/>
  <c r="C11" i="31" s="1"/>
  <c r="B11" i="31" a="1"/>
  <c r="B11" i="31" s="1"/>
  <c r="B10" i="31" a="1"/>
  <c r="B10" i="31" s="1"/>
  <c r="A1" i="31"/>
  <c r="B51" i="29"/>
  <c r="B50" i="29"/>
  <c r="B49" i="29"/>
  <c r="B48" i="29"/>
  <c r="B47" i="29"/>
  <c r="B46" i="29"/>
  <c r="B45" i="29"/>
  <c r="B44" i="29"/>
  <c r="B43" i="29"/>
  <c r="K36" i="19"/>
  <c r="K37" i="19" s="1"/>
  <c r="F34" i="19"/>
  <c r="B34" i="19"/>
  <c r="F31" i="19"/>
  <c r="B31" i="19"/>
  <c r="F28" i="19"/>
  <c r="A24" i="19"/>
  <c r="G22" i="19"/>
  <c r="C22" i="19"/>
  <c r="G21" i="19"/>
  <c r="C21" i="19"/>
  <c r="G20" i="19"/>
  <c r="C20" i="19"/>
  <c r="B15" i="19"/>
  <c r="I11" i="19" s="1"/>
  <c r="B14" i="19"/>
  <c r="H10" i="19" s="1"/>
  <c r="B13" i="19"/>
  <c r="G10" i="19" s="1"/>
  <c r="E307" i="20"/>
  <c r="E306" i="20"/>
  <c r="E305" i="20"/>
  <c r="E304" i="20"/>
  <c r="E303" i="20"/>
  <c r="F297" i="20"/>
  <c r="C254" i="20"/>
  <c r="C234" i="20" a="1"/>
  <c r="F244" i="20" s="1"/>
  <c r="B226" i="20"/>
  <c r="C214" i="20"/>
  <c r="E213" i="20"/>
  <c r="F213" i="20" s="1"/>
  <c r="C213" i="20"/>
  <c r="E212" i="20"/>
  <c r="D212" i="20" s="1"/>
  <c r="C212" i="20"/>
  <c r="E211" i="20"/>
  <c r="F211" i="20" s="1"/>
  <c r="C211" i="20"/>
  <c r="A203" i="20"/>
  <c r="H202" i="20" a="1"/>
  <c r="H202" i="20" s="1"/>
  <c r="G202" i="20" a="1"/>
  <c r="G202" i="20" s="1"/>
  <c r="B202" i="20" a="1"/>
  <c r="B202" i="20" s="1"/>
  <c r="A200" i="20" a="1"/>
  <c r="C210" i="20" s="1"/>
  <c r="C196" i="20"/>
  <c r="A167" i="20" a="1"/>
  <c r="A167" i="20" s="1"/>
  <c r="G122" i="20"/>
  <c r="G121" i="20"/>
  <c r="G120" i="20"/>
  <c r="D96" i="20" a="1"/>
  <c r="D96" i="20" s="1"/>
  <c r="D19" i="20"/>
  <c r="G18" i="20"/>
  <c r="D18" i="20"/>
  <c r="G16" i="20"/>
  <c r="D16" i="20"/>
  <c r="G15" i="20"/>
  <c r="D15" i="20"/>
  <c r="G13" i="20"/>
  <c r="D13" i="20"/>
  <c r="G12" i="20"/>
  <c r="D12" i="20"/>
  <c r="E10" i="20"/>
  <c r="R17" i="54"/>
  <c r="R16" i="54"/>
  <c r="R15" i="54"/>
  <c r="O15" i="54" s="1"/>
  <c r="C11" i="54" a="1"/>
  <c r="C11" i="54" s="1"/>
  <c r="B11" i="54" a="1"/>
  <c r="B11" i="54" s="1"/>
  <c r="A28" i="19" s="1"/>
  <c r="A31" i="19" s="1"/>
  <c r="B10" i="54" a="1"/>
  <c r="C14" i="54" s="1" a="1"/>
  <c r="A1" i="54"/>
  <c r="A54" i="2"/>
  <c r="A53" i="2"/>
  <c r="A52" i="2"/>
  <c r="A51" i="2"/>
  <c r="A50" i="2"/>
  <c r="A49" i="2"/>
  <c r="A48" i="2"/>
  <c r="A47" i="2"/>
  <c r="A46" i="2"/>
  <c r="A45" i="2"/>
  <c r="A44" i="2"/>
  <c r="A43" i="2"/>
  <c r="F28" i="39"/>
  <c r="C28" i="39"/>
  <c r="B28" i="39"/>
  <c r="B23" i="39"/>
  <c r="A23" i="39"/>
  <c r="H19" i="39"/>
  <c r="C19" i="39"/>
  <c r="H14" i="39"/>
  <c r="C14" i="39"/>
  <c r="B14" i="39"/>
  <c r="H13" i="39"/>
  <c r="C13" i="39"/>
  <c r="E306" i="38"/>
  <c r="E304" i="38"/>
  <c r="E303" i="38"/>
  <c r="C254" i="38"/>
  <c r="C234" i="38" a="1"/>
  <c r="C234" i="38" s="1"/>
  <c r="B226" i="38"/>
  <c r="C210" i="38"/>
  <c r="C209" i="38"/>
  <c r="H202" i="38" a="1"/>
  <c r="H202" i="38" s="1"/>
  <c r="G202" i="38" a="1"/>
  <c r="G202" i="38" s="1"/>
  <c r="A202" i="38"/>
  <c r="B201" i="38" a="1"/>
  <c r="B201" i="38" s="1"/>
  <c r="A199" i="38" a="1"/>
  <c r="A199" i="38" s="1"/>
  <c r="C196" i="38"/>
  <c r="A167" i="38" a="1"/>
  <c r="A167" i="38" s="1"/>
  <c r="G122" i="38"/>
  <c r="G121" i="38"/>
  <c r="G120" i="38"/>
  <c r="G119" i="38"/>
  <c r="D96" i="38" a="1"/>
  <c r="D96" i="38" s="1"/>
  <c r="D19" i="38"/>
  <c r="G18" i="38"/>
  <c r="D18" i="38"/>
  <c r="G16" i="38"/>
  <c r="D16" i="38"/>
  <c r="G15" i="38"/>
  <c r="D15" i="38"/>
  <c r="G13" i="38"/>
  <c r="D13" i="38"/>
  <c r="G12" i="38"/>
  <c r="D12" i="38"/>
  <c r="E10" i="38"/>
  <c r="P17" i="37"/>
  <c r="P16" i="37"/>
  <c r="P15" i="37"/>
  <c r="M16" i="37" s="1"/>
  <c r="B11" i="37" a="1"/>
  <c r="B11" i="37" s="1"/>
  <c r="A28" i="39" s="1"/>
  <c r="B10" i="37" a="1"/>
  <c r="C14" i="37" s="1" a="1"/>
  <c r="A1" i="37"/>
  <c r="A52" i="35"/>
  <c r="A51" i="35"/>
  <c r="A50" i="35"/>
  <c r="A49" i="35"/>
  <c r="A48" i="35"/>
  <c r="A47" i="35"/>
  <c r="A46" i="35"/>
  <c r="A45" i="35"/>
  <c r="A44" i="35"/>
  <c r="A43" i="35"/>
  <c r="H614" i="44"/>
  <c r="H612" i="44"/>
  <c r="B602" i="44"/>
  <c r="G587" i="44"/>
  <c r="F587" i="44"/>
  <c r="E587" i="44"/>
  <c r="D587" i="44"/>
  <c r="G585" i="44"/>
  <c r="F585" i="44"/>
  <c r="E585" i="44"/>
  <c r="D585" i="44"/>
  <c r="G584" i="44"/>
  <c r="F584" i="44"/>
  <c r="E584" i="44"/>
  <c r="D584" i="44"/>
  <c r="F575" i="44"/>
  <c r="B575" i="44"/>
  <c r="E566" i="44"/>
  <c r="C560" i="44"/>
  <c r="C559" i="44"/>
  <c r="D501" i="44"/>
  <c r="D500" i="44"/>
  <c r="C488" i="44"/>
  <c r="B488" i="44"/>
  <c r="F487" i="44"/>
  <c r="F486" i="44"/>
  <c r="F485" i="44"/>
  <c r="C485" i="44"/>
  <c r="B485" i="44"/>
  <c r="B482" i="44"/>
  <c r="F474" i="44"/>
  <c r="B474" i="44"/>
  <c r="E465" i="44"/>
  <c r="C459" i="44"/>
  <c r="C458" i="44"/>
  <c r="D399" i="44"/>
  <c r="D398" i="44"/>
  <c r="C386" i="44"/>
  <c r="B386" i="44"/>
  <c r="F385" i="44"/>
  <c r="F384" i="44"/>
  <c r="F383" i="44"/>
  <c r="C383" i="44"/>
  <c r="B383" i="44"/>
  <c r="B380" i="44"/>
  <c r="F372" i="44"/>
  <c r="B372" i="44"/>
  <c r="E363" i="44"/>
  <c r="C357" i="44"/>
  <c r="C356" i="44"/>
  <c r="D297" i="44"/>
  <c r="D296" i="44"/>
  <c r="C284" i="44"/>
  <c r="B284" i="44"/>
  <c r="F283" i="44"/>
  <c r="F282" i="44"/>
  <c r="F281" i="44"/>
  <c r="C281" i="44"/>
  <c r="B281" i="44"/>
  <c r="B278" i="44"/>
  <c r="F270" i="44"/>
  <c r="B270" i="44"/>
  <c r="E261" i="44"/>
  <c r="C255" i="44"/>
  <c r="C254" i="44"/>
  <c r="D197" i="44"/>
  <c r="D196" i="44"/>
  <c r="C184" i="44"/>
  <c r="B184" i="44"/>
  <c r="F183" i="44"/>
  <c r="F182" i="44"/>
  <c r="F181" i="44"/>
  <c r="C181" i="44"/>
  <c r="B181" i="44"/>
  <c r="B178"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2" i="44"/>
  <c r="D112" i="44"/>
  <c r="E111" i="44"/>
  <c r="E110" i="44"/>
  <c r="D110" i="44"/>
  <c r="E109" i="44"/>
  <c r="D109" i="44"/>
  <c r="G108" i="44"/>
  <c r="E108" i="44"/>
  <c r="D108" i="44"/>
  <c r="E107" i="44"/>
  <c r="D107" i="44"/>
  <c r="G106" i="44"/>
  <c r="E106" i="44"/>
  <c r="G105" i="44"/>
  <c r="G104" i="44"/>
  <c r="C90" i="44"/>
  <c r="C84" i="44"/>
  <c r="E75" i="44"/>
  <c r="D75" i="44"/>
  <c r="E74" i="44"/>
  <c r="D74" i="44"/>
  <c r="E73" i="44"/>
  <c r="D73" i="44"/>
  <c r="D18" i="44"/>
  <c r="D17" i="44"/>
  <c r="G15" i="44"/>
  <c r="D14" i="44"/>
  <c r="D13" i="44"/>
  <c r="G12" i="44"/>
  <c r="D12" i="44"/>
  <c r="D11" i="44"/>
  <c r="E8" i="44"/>
  <c r="AC71" i="43"/>
  <c r="F494" i="44" s="1"/>
  <c r="AB71" i="43"/>
  <c r="F493" i="44" s="1"/>
  <c r="AA71" i="43"/>
  <c r="F495" i="44" s="1"/>
  <c r="AC70" i="43"/>
  <c r="E494" i="44" s="1"/>
  <c r="AB70" i="43"/>
  <c r="E493" i="44" s="1"/>
  <c r="AA70" i="43"/>
  <c r="AC69" i="43"/>
  <c r="D494" i="44" s="1"/>
  <c r="AB69" i="43"/>
  <c r="D493" i="44" s="1"/>
  <c r="AA69" i="43"/>
  <c r="D495" i="44" s="1"/>
  <c r="AC68" i="43"/>
  <c r="AB68" i="43"/>
  <c r="AA68" i="43"/>
  <c r="V19" i="43"/>
  <c r="U19" i="43"/>
  <c r="T19" i="43"/>
  <c r="S19" i="43"/>
  <c r="R19" i="43"/>
  <c r="Q19" i="43"/>
  <c r="P19" i="43"/>
  <c r="O19" i="43"/>
  <c r="N19" i="43"/>
  <c r="N18" i="43" a="1"/>
  <c r="N18" i="43" s="1"/>
  <c r="Z6" i="43" a="1"/>
  <c r="AA67" i="43" s="1" a="1"/>
  <c r="AA67" i="43" s="1"/>
  <c r="W6" i="43" a="1"/>
  <c r="W6" i="43" s="1"/>
  <c r="N6" i="43" a="1"/>
  <c r="N6" i="43" s="1"/>
  <c r="N3" i="43" s="1" a="1"/>
  <c r="N3" i="43" s="1"/>
  <c r="A6" i="43" a="1"/>
  <c r="A6" i="43" s="1"/>
  <c r="A1" i="43"/>
  <c r="AC68" i="40"/>
  <c r="F392" i="44" s="1"/>
  <c r="AB68" i="40"/>
  <c r="F391" i="44" s="1"/>
  <c r="AA68" i="40"/>
  <c r="F393" i="44" s="1"/>
  <c r="AC67" i="40"/>
  <c r="E392" i="44" s="1"/>
  <c r="AB67" i="40"/>
  <c r="E391" i="44" s="1"/>
  <c r="AA67" i="40"/>
  <c r="AC66" i="40"/>
  <c r="D392" i="44" s="1"/>
  <c r="AB66" i="40"/>
  <c r="D391" i="44" s="1"/>
  <c r="AA66" i="40"/>
  <c r="D393" i="44" s="1"/>
  <c r="AC65" i="40"/>
  <c r="AB65" i="40"/>
  <c r="AA65" i="40"/>
  <c r="V19" i="40"/>
  <c r="U19" i="40"/>
  <c r="T19" i="40"/>
  <c r="S19" i="40"/>
  <c r="R19" i="40"/>
  <c r="Q19" i="40"/>
  <c r="P19" i="40"/>
  <c r="O19" i="40"/>
  <c r="N19" i="40"/>
  <c r="N18" i="40" a="1"/>
  <c r="N18" i="40" s="1"/>
  <c r="Z6" i="40" a="1"/>
  <c r="AA64" i="40" s="1" a="1"/>
  <c r="AA64" i="40" s="1"/>
  <c r="W6" i="40" a="1"/>
  <c r="W6" i="40" s="1"/>
  <c r="N6" i="40" a="1"/>
  <c r="N6" i="40" s="1"/>
  <c r="N3" i="40" s="1" a="1"/>
  <c r="N3" i="40" s="1"/>
  <c r="A6" i="40" a="1"/>
  <c r="A6" i="40" s="1"/>
  <c r="A1" i="40"/>
  <c r="AC105" i="42"/>
  <c r="F290" i="44" s="1"/>
  <c r="AB105" i="42"/>
  <c r="F289" i="44" s="1"/>
  <c r="AA105" i="42"/>
  <c r="F291" i="44" s="1"/>
  <c r="AC104" i="42"/>
  <c r="E290" i="44" s="1"/>
  <c r="AB104" i="42"/>
  <c r="E289" i="44" s="1"/>
  <c r="AA104" i="42"/>
  <c r="E291" i="44" s="1"/>
  <c r="AC103" i="42"/>
  <c r="AB103" i="42"/>
  <c r="D289" i="44" s="1"/>
  <c r="AA103" i="42"/>
  <c r="D291" i="44" s="1"/>
  <c r="AC102" i="42"/>
  <c r="AB102" i="42"/>
  <c r="AA102" i="42"/>
  <c r="V19" i="42"/>
  <c r="U19" i="42"/>
  <c r="T19" i="42"/>
  <c r="S19" i="42"/>
  <c r="R19" i="42"/>
  <c r="Q19" i="42"/>
  <c r="P19" i="42"/>
  <c r="O19" i="42"/>
  <c r="N19" i="42"/>
  <c r="N18" i="42" a="1"/>
  <c r="N18" i="42" s="1"/>
  <c r="Z6" i="42" a="1"/>
  <c r="Z6" i="42" s="1"/>
  <c r="W6" i="42" a="1"/>
  <c r="W6" i="42" s="1"/>
  <c r="N6" i="42" a="1"/>
  <c r="N6" i="42" s="1"/>
  <c r="N3" i="42" s="1" a="1"/>
  <c r="N3" i="42" s="1"/>
  <c r="A6" i="42" a="1"/>
  <c r="A6" i="42" s="1"/>
  <c r="A1" i="42"/>
  <c r="AC185" i="41"/>
  <c r="F190" i="44" s="1"/>
  <c r="AB185" i="41"/>
  <c r="F189" i="44" s="1"/>
  <c r="AA185" i="41"/>
  <c r="F191" i="44" s="1"/>
  <c r="AC184" i="41"/>
  <c r="E190" i="44" s="1"/>
  <c r="AB184" i="41"/>
  <c r="E189" i="44" s="1"/>
  <c r="AA184" i="41"/>
  <c r="E191" i="44" s="1"/>
  <c r="AC183" i="41"/>
  <c r="AB183" i="41"/>
  <c r="D189" i="44" s="1"/>
  <c r="AA183" i="41"/>
  <c r="D191" i="44" s="1"/>
  <c r="AC182" i="41"/>
  <c r="AB182" i="41"/>
  <c r="AA182" i="41"/>
  <c r="V18" i="41"/>
  <c r="U18" i="41"/>
  <c r="T18" i="41"/>
  <c r="S18" i="41"/>
  <c r="R18" i="41"/>
  <c r="Q18" i="41"/>
  <c r="P18" i="41"/>
  <c r="O18" i="41"/>
  <c r="N18" i="41"/>
  <c r="N17" i="41" a="1"/>
  <c r="N17" i="41" s="1"/>
  <c r="Z6" i="41" a="1"/>
  <c r="AA181" i="41" s="1" a="1"/>
  <c r="AA181" i="41" s="1"/>
  <c r="W6" i="41" a="1"/>
  <c r="W6" i="41" s="1"/>
  <c r="N6" i="41" a="1"/>
  <c r="N6" i="41" s="1"/>
  <c r="N3" i="41" s="1" a="1"/>
  <c r="N3" i="41" s="1"/>
  <c r="A6" i="41" a="1"/>
  <c r="A6" i="41" s="1"/>
  <c r="A1" i="41"/>
  <c r="G39" i="45"/>
  <c r="F39" i="45"/>
  <c r="E39" i="45"/>
  <c r="D39" i="45"/>
  <c r="G38" i="45"/>
  <c r="G27" i="45"/>
  <c r="F27" i="45"/>
  <c r="E27" i="45"/>
  <c r="D27" i="45"/>
  <c r="A120" i="18"/>
  <c r="A103" i="18"/>
  <c r="D31" i="19"/>
  <c r="D34" i="19"/>
  <c r="P3" i="43" l="1" a="1"/>
  <c r="P3" i="43" s="1"/>
  <c r="Q3" i="43" a="1"/>
  <c r="Q3" i="43" s="1"/>
  <c r="R3" i="43" a="1"/>
  <c r="R3" i="43" s="1"/>
  <c r="S3" i="43" a="1"/>
  <c r="S3" i="43" s="1"/>
  <c r="T3" i="43" a="1"/>
  <c r="T3" i="43" s="1"/>
  <c r="U3" i="43" a="1"/>
  <c r="U3" i="43" s="1"/>
  <c r="V3" i="43" a="1"/>
  <c r="V3" i="43" s="1"/>
  <c r="P3" i="40" a="1"/>
  <c r="P3" i="40" s="1"/>
  <c r="Q3" i="40" a="1"/>
  <c r="Q3" i="40" s="1"/>
  <c r="R3" i="40" a="1"/>
  <c r="R3" i="40" s="1"/>
  <c r="S3" i="40" a="1"/>
  <c r="S3" i="40" s="1"/>
  <c r="T3" i="40" a="1"/>
  <c r="T3" i="40" s="1"/>
  <c r="U3" i="40" a="1"/>
  <c r="U3" i="40" s="1"/>
  <c r="V3" i="40" a="1"/>
  <c r="V3" i="40" s="1"/>
  <c r="O3" i="40" a="1"/>
  <c r="O3" i="40" s="1"/>
  <c r="S3" i="42" a="1"/>
  <c r="S3" i="42" s="1"/>
  <c r="T3" i="42" a="1"/>
  <c r="T3" i="42" s="1"/>
  <c r="Q3" i="42" a="1"/>
  <c r="Q3" i="42" s="1"/>
  <c r="U3" i="42" a="1"/>
  <c r="U3" i="42" s="1"/>
  <c r="V3" i="42" a="1"/>
  <c r="V3" i="42" s="1"/>
  <c r="R3" i="42" a="1"/>
  <c r="R3" i="42" s="1"/>
  <c r="O3" i="42" a="1"/>
  <c r="O3" i="42" s="1"/>
  <c r="P3" i="42" a="1"/>
  <c r="P3" i="42" s="1"/>
  <c r="S3" i="41" a="1"/>
  <c r="S3" i="41" s="1"/>
  <c r="T3" i="41" a="1"/>
  <c r="T3" i="41" s="1"/>
  <c r="U3" i="41" a="1"/>
  <c r="U3" i="41" s="1"/>
  <c r="V3" i="41" a="1"/>
  <c r="V3" i="41" s="1"/>
  <c r="O3" i="41" a="1"/>
  <c r="O3" i="41" s="1"/>
  <c r="P3" i="41" a="1"/>
  <c r="P3" i="41" s="1"/>
  <c r="Q3" i="41" a="1"/>
  <c r="Q3" i="41" s="1"/>
  <c r="R2" i="40"/>
  <c r="R14" i="40" s="1"/>
  <c r="F418" i="44" s="1"/>
  <c r="Q2" i="43"/>
  <c r="Q12" i="43" s="1"/>
  <c r="D519" i="44" s="1"/>
  <c r="R2" i="43"/>
  <c r="S2" i="43"/>
  <c r="T2" i="43"/>
  <c r="T12" i="43" s="1"/>
  <c r="D522" i="44" s="1"/>
  <c r="U2" i="43"/>
  <c r="U14" i="43" s="1"/>
  <c r="F523" i="44" s="1"/>
  <c r="N2" i="43"/>
  <c r="V2" i="43"/>
  <c r="V12" i="43" s="1"/>
  <c r="D524" i="44" s="1"/>
  <c r="O2" i="43"/>
  <c r="P2" i="43"/>
  <c r="S2" i="40"/>
  <c r="S11" i="40" s="1"/>
  <c r="H419" i="44" s="1"/>
  <c r="T2" i="40"/>
  <c r="T11" i="40" s="1"/>
  <c r="H420" i="44" s="1"/>
  <c r="U2" i="40"/>
  <c r="N2" i="40"/>
  <c r="N12" i="40" s="1"/>
  <c r="D414" i="44" s="1"/>
  <c r="V2" i="40"/>
  <c r="O2" i="40"/>
  <c r="O13" i="40" s="1"/>
  <c r="E415" i="44" s="1"/>
  <c r="P2" i="40"/>
  <c r="P13" i="40" s="1"/>
  <c r="E416" i="44" s="1"/>
  <c r="Q2" i="40"/>
  <c r="Q13" i="40" s="1"/>
  <c r="E417" i="44" s="1"/>
  <c r="O14" i="40"/>
  <c r="F415" i="44" s="1"/>
  <c r="T2" i="42"/>
  <c r="T12" i="42" s="1"/>
  <c r="D318" i="44" s="1"/>
  <c r="U2" i="42"/>
  <c r="R13" i="42"/>
  <c r="E316" i="44" s="1"/>
  <c r="N2" i="42"/>
  <c r="N11" i="42" s="1"/>
  <c r="H312" i="44" s="1"/>
  <c r="V2" i="42"/>
  <c r="V11" i="42" s="1"/>
  <c r="H320" i="44" s="1"/>
  <c r="O2" i="42"/>
  <c r="P2" i="42"/>
  <c r="U12" i="42"/>
  <c r="D319" i="44" s="1"/>
  <c r="Q2" i="42"/>
  <c r="R2" i="42"/>
  <c r="R14" i="42" s="1"/>
  <c r="F316" i="44" s="1"/>
  <c r="S2" i="42"/>
  <c r="S12" i="42" s="1"/>
  <c r="D317" i="44" s="1"/>
  <c r="N2" i="41"/>
  <c r="O2" i="41"/>
  <c r="P2" i="41"/>
  <c r="Q2" i="41"/>
  <c r="R2" i="41"/>
  <c r="S2" i="41"/>
  <c r="T2" i="41"/>
  <c r="U2" i="41"/>
  <c r="V2" i="41"/>
  <c r="C518" i="44"/>
  <c r="C216" i="44"/>
  <c r="C315" i="44"/>
  <c r="C417" i="44"/>
  <c r="C519" i="44"/>
  <c r="C316" i="44"/>
  <c r="C520" i="44"/>
  <c r="C218" i="44"/>
  <c r="C317" i="44"/>
  <c r="C419" i="44"/>
  <c r="C521" i="44"/>
  <c r="C217" i="44"/>
  <c r="C219" i="44"/>
  <c r="C318" i="44"/>
  <c r="C420" i="44"/>
  <c r="C522" i="44"/>
  <c r="C418" i="44"/>
  <c r="C220" i="44"/>
  <c r="C319" i="44"/>
  <c r="C421" i="44"/>
  <c r="C523" i="44"/>
  <c r="C213" i="44"/>
  <c r="C221" i="44"/>
  <c r="C312" i="44"/>
  <c r="C320" i="44"/>
  <c r="C414" i="44"/>
  <c r="C422" i="44"/>
  <c r="C516" i="44"/>
  <c r="C524" i="44"/>
  <c r="C214" i="44"/>
  <c r="C313" i="44"/>
  <c r="C415" i="44"/>
  <c r="C517" i="44"/>
  <c r="C215" i="44"/>
  <c r="C314" i="44"/>
  <c r="C416" i="44"/>
  <c r="N14" i="43"/>
  <c r="F516" i="44" s="1"/>
  <c r="T14" i="43"/>
  <c r="F522" i="44" s="1"/>
  <c r="U11" i="42"/>
  <c r="H319" i="44" s="1"/>
  <c r="S11" i="43"/>
  <c r="H521" i="44" s="1"/>
  <c r="R12" i="43"/>
  <c r="D520" i="44" s="1"/>
  <c r="N11" i="43"/>
  <c r="H516" i="44" s="1"/>
  <c r="N12" i="43"/>
  <c r="D516" i="44" s="1"/>
  <c r="N13" i="43"/>
  <c r="E516" i="44" s="1"/>
  <c r="U13" i="42"/>
  <c r="E319" i="44" s="1"/>
  <c r="W19" i="43"/>
  <c r="W19" i="40"/>
  <c r="W19" i="42"/>
  <c r="W18" i="41"/>
  <c r="I202" i="38"/>
  <c r="E5" i="31"/>
  <c r="G34" i="19"/>
  <c r="G28" i="19"/>
  <c r="Z6" i="43"/>
  <c r="Z6" i="40"/>
  <c r="AA101" i="42" a="1"/>
  <c r="AA101" i="42" s="1"/>
  <c r="Z6" i="41"/>
  <c r="L6" i="37"/>
  <c r="D6" i="37"/>
  <c r="F5" i="37"/>
  <c r="K6" i="37"/>
  <c r="E5" i="37"/>
  <c r="C14" i="37"/>
  <c r="H236" i="38" s="1" a="1"/>
  <c r="H236" i="38" s="1"/>
  <c r="J6" i="37"/>
  <c r="L5" i="37"/>
  <c r="D5" i="37"/>
  <c r="I6" i="37"/>
  <c r="K5" i="37"/>
  <c r="H6" i="37"/>
  <c r="J5" i="37"/>
  <c r="G6" i="37"/>
  <c r="I5" i="37"/>
  <c r="F6" i="37"/>
  <c r="H5" i="37"/>
  <c r="E6" i="37"/>
  <c r="G5" i="37"/>
  <c r="B10" i="37"/>
  <c r="M17" i="37"/>
  <c r="M15" i="37"/>
  <c r="G28" i="39"/>
  <c r="C96" i="38" a="1"/>
  <c r="C96" i="38" s="1"/>
  <c r="H5" i="8"/>
  <c r="D5" i="6"/>
  <c r="L5" i="6"/>
  <c r="N5" i="6"/>
  <c r="E6" i="31"/>
  <c r="B10" i="54"/>
  <c r="D213" i="20"/>
  <c r="D211" i="20"/>
  <c r="C209" i="20"/>
  <c r="D5" i="8"/>
  <c r="J5" i="8"/>
  <c r="J15" i="8" s="1"/>
  <c r="E6" i="8"/>
  <c r="I411" i="24"/>
  <c r="H6" i="8"/>
  <c r="K6" i="8"/>
  <c r="F5" i="8"/>
  <c r="G6" i="8"/>
  <c r="I5" i="8"/>
  <c r="I6" i="8"/>
  <c r="L5" i="8"/>
  <c r="L6" i="8"/>
  <c r="M5" i="8"/>
  <c r="M6" i="8"/>
  <c r="N5" i="8"/>
  <c r="P16" i="8"/>
  <c r="E5" i="8"/>
  <c r="D6" i="8"/>
  <c r="O6" i="8"/>
  <c r="K5" i="8"/>
  <c r="F6" i="8"/>
  <c r="N6" i="8"/>
  <c r="C14" i="8"/>
  <c r="G5" i="8"/>
  <c r="O5" i="8"/>
  <c r="P15" i="8"/>
  <c r="I301" i="24"/>
  <c r="I5" i="7"/>
  <c r="I16" i="7" s="1"/>
  <c r="D6" i="7"/>
  <c r="L6" i="7"/>
  <c r="G5" i="7"/>
  <c r="O5" i="7"/>
  <c r="J6" i="7"/>
  <c r="H5" i="7"/>
  <c r="K6" i="7"/>
  <c r="J5" i="7"/>
  <c r="E6" i="7"/>
  <c r="M6" i="7"/>
  <c r="C14" i="7"/>
  <c r="K5" i="7"/>
  <c r="F6" i="7"/>
  <c r="N6" i="7"/>
  <c r="D5" i="7"/>
  <c r="L5" i="7"/>
  <c r="G6" i="7"/>
  <c r="O6" i="7"/>
  <c r="E5" i="7"/>
  <c r="M5" i="7"/>
  <c r="H6" i="7"/>
  <c r="F5" i="7"/>
  <c r="N5" i="7"/>
  <c r="I202" i="24"/>
  <c r="J6" i="6"/>
  <c r="K6" i="6"/>
  <c r="I5" i="6"/>
  <c r="F6" i="6"/>
  <c r="G5" i="6"/>
  <c r="D6" i="6"/>
  <c r="M6" i="6"/>
  <c r="H5" i="6"/>
  <c r="E6" i="6"/>
  <c r="O6" i="6"/>
  <c r="J5" i="6"/>
  <c r="G6" i="6"/>
  <c r="K5" i="6"/>
  <c r="I6" i="6"/>
  <c r="F5" i="6"/>
  <c r="O5" i="6"/>
  <c r="L6" i="6"/>
  <c r="C6" i="6"/>
  <c r="C5" i="6"/>
  <c r="N6" i="6"/>
  <c r="E5" i="6"/>
  <c r="M5" i="6"/>
  <c r="H6" i="6"/>
  <c r="P16" i="6"/>
  <c r="P16" i="7"/>
  <c r="K5" i="31"/>
  <c r="D6" i="31"/>
  <c r="G5" i="31"/>
  <c r="H6" i="31"/>
  <c r="F5" i="31"/>
  <c r="J6" i="31"/>
  <c r="I5" i="31"/>
  <c r="F6" i="31"/>
  <c r="C6" i="31"/>
  <c r="C5" i="31"/>
  <c r="H5" i="31"/>
  <c r="G6" i="31"/>
  <c r="J5" i="31"/>
  <c r="I6" i="31"/>
  <c r="D5" i="31"/>
  <c r="K6" i="31"/>
  <c r="D98" i="32" a="1"/>
  <c r="D98" i="32" s="1"/>
  <c r="H239" i="32" a="1"/>
  <c r="H239" i="32" s="1"/>
  <c r="L15" i="31"/>
  <c r="G6" i="54"/>
  <c r="K5" i="54"/>
  <c r="N6" i="54"/>
  <c r="F6" i="54"/>
  <c r="J5" i="54"/>
  <c r="C14" i="54"/>
  <c r="M6" i="54"/>
  <c r="E6" i="54"/>
  <c r="I5" i="54"/>
  <c r="L6" i="54"/>
  <c r="D6" i="54"/>
  <c r="H5" i="54"/>
  <c r="J6" i="54"/>
  <c r="N5" i="54"/>
  <c r="F5" i="54"/>
  <c r="K6" i="54"/>
  <c r="G5" i="54"/>
  <c r="I6" i="54"/>
  <c r="M5" i="54"/>
  <c r="E5" i="54"/>
  <c r="H6" i="54"/>
  <c r="L5" i="54"/>
  <c r="D5" i="54"/>
  <c r="F212" i="20"/>
  <c r="I202" i="20"/>
  <c r="I202" i="32"/>
  <c r="A34" i="19"/>
  <c r="G31" i="19"/>
  <c r="G13" i="19"/>
  <c r="C15" i="19" a="1"/>
  <c r="C15" i="19" s="1"/>
  <c r="I15" i="19"/>
  <c r="E34" i="19" s="1"/>
  <c r="I10" i="19"/>
  <c r="C28" i="19"/>
  <c r="C13" i="19" a="1"/>
  <c r="C13" i="19" s="1"/>
  <c r="C96" i="20" a="1"/>
  <c r="C96" i="20" s="1"/>
  <c r="G234" i="20"/>
  <c r="G242" i="20"/>
  <c r="G236" i="20"/>
  <c r="G238" i="20"/>
  <c r="G240" i="20"/>
  <c r="G244" i="20"/>
  <c r="H234" i="20"/>
  <c r="H236" i="20"/>
  <c r="H238" i="20"/>
  <c r="H240" i="20"/>
  <c r="H242" i="20"/>
  <c r="H244" i="20"/>
  <c r="G11" i="19"/>
  <c r="C14" i="19" a="1"/>
  <c r="C14" i="19" s="1"/>
  <c r="I234" i="20"/>
  <c r="I236" i="20"/>
  <c r="I238" i="20"/>
  <c r="I240" i="20"/>
  <c r="I242" i="20"/>
  <c r="I244" i="20"/>
  <c r="H11" i="19"/>
  <c r="C34" i="19"/>
  <c r="F235" i="20"/>
  <c r="F237" i="20"/>
  <c r="F239" i="20"/>
  <c r="F241" i="20"/>
  <c r="F243" i="20"/>
  <c r="F245" i="20"/>
  <c r="H14" i="19"/>
  <c r="G235" i="20"/>
  <c r="G237" i="20"/>
  <c r="G239" i="20"/>
  <c r="G241" i="20"/>
  <c r="G243" i="20"/>
  <c r="G245" i="20"/>
  <c r="C31" i="19"/>
  <c r="H235" i="20"/>
  <c r="H237" i="20"/>
  <c r="H239" i="20"/>
  <c r="H241" i="20"/>
  <c r="H243" i="20"/>
  <c r="H245" i="20"/>
  <c r="C234" i="20"/>
  <c r="I235" i="20"/>
  <c r="I237" i="20"/>
  <c r="I239" i="20"/>
  <c r="I241" i="20"/>
  <c r="I243" i="20"/>
  <c r="I245" i="20"/>
  <c r="F234" i="20"/>
  <c r="F236" i="20"/>
  <c r="F238" i="20"/>
  <c r="F240" i="20"/>
  <c r="F242" i="20"/>
  <c r="O17" i="54"/>
  <c r="A200" i="20"/>
  <c r="O16" i="54"/>
  <c r="J6" i="9"/>
  <c r="C415" i="28"/>
  <c r="I5" i="10"/>
  <c r="D6" i="10"/>
  <c r="F6" i="10"/>
  <c r="G6" i="10"/>
  <c r="C21" i="10"/>
  <c r="F503" i="28" s="1"/>
  <c r="D5" i="10"/>
  <c r="H5" i="9"/>
  <c r="E205" i="28"/>
  <c r="F205" i="28" s="1"/>
  <c r="K5" i="9"/>
  <c r="F5" i="11"/>
  <c r="H5" i="11"/>
  <c r="E6" i="11"/>
  <c r="G6" i="11"/>
  <c r="J5" i="10"/>
  <c r="J22" i="10" s="1"/>
  <c r="E5" i="10"/>
  <c r="H6" i="10"/>
  <c r="G5" i="10"/>
  <c r="I6" i="10"/>
  <c r="H5" i="10"/>
  <c r="K6" i="10"/>
  <c r="I293" i="28"/>
  <c r="G6" i="9"/>
  <c r="I194" i="28"/>
  <c r="C6" i="11"/>
  <c r="C5" i="11"/>
  <c r="J5" i="11"/>
  <c r="I6" i="11"/>
  <c r="E412" i="28" a="1"/>
  <c r="E412" i="28" s="1"/>
  <c r="D412" i="28" s="1"/>
  <c r="K5" i="11"/>
  <c r="J6" i="11"/>
  <c r="D5" i="11"/>
  <c r="K6" i="11"/>
  <c r="E5" i="11"/>
  <c r="D6" i="11"/>
  <c r="G5" i="11"/>
  <c r="F6" i="11"/>
  <c r="I5" i="11"/>
  <c r="H6" i="11"/>
  <c r="I403" i="28"/>
  <c r="F5" i="10"/>
  <c r="E6" i="10"/>
  <c r="C14" i="10"/>
  <c r="K5" i="10"/>
  <c r="I5" i="9"/>
  <c r="H6" i="9"/>
  <c r="C14" i="9"/>
  <c r="J5" i="9"/>
  <c r="I6" i="9"/>
  <c r="D5" i="9"/>
  <c r="K6" i="9"/>
  <c r="E5" i="9"/>
  <c r="D6" i="9"/>
  <c r="F5" i="9"/>
  <c r="E6" i="9"/>
  <c r="G5" i="9"/>
  <c r="L17" i="9"/>
  <c r="E501" i="28" s="1"/>
  <c r="F502" i="28"/>
  <c r="G501" i="28"/>
  <c r="F497" i="28"/>
  <c r="F501" i="28"/>
  <c r="L16" i="9"/>
  <c r="E502" i="28" s="1"/>
  <c r="E498" i="28"/>
  <c r="G497" i="28"/>
  <c r="H19" i="9"/>
  <c r="G229" i="28" s="1"/>
  <c r="K19" i="10"/>
  <c r="F19" i="11"/>
  <c r="I19" i="10"/>
  <c r="D19" i="11"/>
  <c r="C209" i="32"/>
  <c r="D19" i="10"/>
  <c r="G19" i="11"/>
  <c r="C210" i="32"/>
  <c r="G19" i="10"/>
  <c r="J19" i="11"/>
  <c r="H19" i="11"/>
  <c r="J19" i="10"/>
  <c r="C414" i="28"/>
  <c r="E204" i="28" a="1"/>
  <c r="E204" i="28" s="1"/>
  <c r="F204" i="28" s="1"/>
  <c r="G235" i="32" a="1"/>
  <c r="G235" i="32" s="1"/>
  <c r="F19" i="10"/>
  <c r="I19" i="11"/>
  <c r="H19" i="10"/>
  <c r="G504" i="28"/>
  <c r="K19" i="11"/>
  <c r="G226" i="28"/>
  <c r="D190" i="44"/>
  <c r="E393" i="44"/>
  <c r="F236" i="32" a="1"/>
  <c r="F236" i="32" s="1"/>
  <c r="H234" i="32" a="1"/>
  <c r="H234" i="32" s="1"/>
  <c r="E19" i="11"/>
  <c r="D290" i="44"/>
  <c r="E19" i="10"/>
  <c r="B232" i="28" a="1"/>
  <c r="B232" i="28" s="1"/>
  <c r="E495" i="44"/>
  <c r="I19" i="9"/>
  <c r="H229" i="28" s="1"/>
  <c r="C203" i="28"/>
  <c r="E304" i="28"/>
  <c r="G502" i="28"/>
  <c r="J19" i="9"/>
  <c r="I229" i="28" s="1"/>
  <c r="C303" i="28"/>
  <c r="E414" i="28" a="1"/>
  <c r="E414" i="28" s="1"/>
  <c r="C19" i="9"/>
  <c r="B229" i="28" s="1"/>
  <c r="K19" i="9"/>
  <c r="J229" i="28" s="1"/>
  <c r="C19" i="10"/>
  <c r="C19" i="11"/>
  <c r="E203" i="28" a="1"/>
  <c r="E203" i="28" s="1"/>
  <c r="C205" i="28"/>
  <c r="B226" i="28"/>
  <c r="C305" i="28"/>
  <c r="C413" i="28"/>
  <c r="L16" i="31"/>
  <c r="D19" i="9"/>
  <c r="C229" i="28" s="1"/>
  <c r="C20" i="9"/>
  <c r="C20" i="10"/>
  <c r="C20" i="11"/>
  <c r="B227" i="28"/>
  <c r="E303" i="28" a="1"/>
  <c r="E303" i="28" s="1"/>
  <c r="E19" i="9"/>
  <c r="D229" i="28" s="1"/>
  <c r="C21" i="9"/>
  <c r="C21" i="11"/>
  <c r="C302" i="28"/>
  <c r="E413" i="28" a="1"/>
  <c r="E413" i="28" s="1"/>
  <c r="E504" i="28"/>
  <c r="F19" i="9"/>
  <c r="E229" i="28" s="1"/>
  <c r="C204" i="28"/>
  <c r="C412" i="28"/>
  <c r="F504" i="28"/>
  <c r="G19" i="9"/>
  <c r="F229" i="28" s="1"/>
  <c r="E302" i="28" a="1"/>
  <c r="E302" i="28" s="1"/>
  <c r="C304" i="28"/>
  <c r="D28" i="19"/>
  <c r="P12" i="40" l="1"/>
  <c r="N13" i="40"/>
  <c r="E414" i="44" s="1"/>
  <c r="T12" i="40"/>
  <c r="D420" i="44" s="1"/>
  <c r="U13" i="40"/>
  <c r="E421" i="44" s="1"/>
  <c r="N14" i="42"/>
  <c r="F312" i="44" s="1"/>
  <c r="N13" i="42"/>
  <c r="E312" i="44" s="1"/>
  <c r="P13" i="42"/>
  <c r="E314" i="44" s="1"/>
  <c r="V14" i="42"/>
  <c r="F320" i="44" s="1"/>
  <c r="N12" i="42"/>
  <c r="O14" i="42"/>
  <c r="F313" i="44" s="1"/>
  <c r="T13" i="42"/>
  <c r="E318" i="44" s="1"/>
  <c r="G318" i="44" s="1"/>
  <c r="T11" i="42"/>
  <c r="H318" i="44" s="1"/>
  <c r="R12" i="42"/>
  <c r="D316" i="44" s="1"/>
  <c r="G316" i="44" s="1"/>
  <c r="R11" i="42"/>
  <c r="H316" i="44" s="1"/>
  <c r="T14" i="42"/>
  <c r="F318" i="44" s="1"/>
  <c r="U11" i="43"/>
  <c r="H523" i="44" s="1"/>
  <c r="T11" i="43"/>
  <c r="H522" i="44" s="1"/>
  <c r="O11" i="43"/>
  <c r="H517" i="44" s="1"/>
  <c r="V11" i="43"/>
  <c r="H524" i="44" s="1"/>
  <c r="S14" i="43"/>
  <c r="F521" i="44" s="1"/>
  <c r="T13" i="43"/>
  <c r="E522" i="44" s="1"/>
  <c r="G522" i="44" s="1"/>
  <c r="V14" i="43"/>
  <c r="F524" i="44" s="1"/>
  <c r="P14" i="43"/>
  <c r="F518" i="44" s="1"/>
  <c r="R11" i="43"/>
  <c r="H520" i="44" s="1"/>
  <c r="U11" i="40"/>
  <c r="H421" i="44" s="1"/>
  <c r="R12" i="40"/>
  <c r="D418" i="44" s="1"/>
  <c r="P11" i="40"/>
  <c r="H416" i="44" s="1"/>
  <c r="Q14" i="40"/>
  <c r="F417" i="44" s="1"/>
  <c r="T13" i="40"/>
  <c r="E420" i="44" s="1"/>
  <c r="P14" i="40"/>
  <c r="F416" i="44" s="1"/>
  <c r="S11" i="42"/>
  <c r="H317" i="44" s="1"/>
  <c r="V12" i="42"/>
  <c r="U14" i="42"/>
  <c r="F319" i="44" s="1"/>
  <c r="V13" i="42"/>
  <c r="E320" i="44" s="1"/>
  <c r="P11" i="42"/>
  <c r="H314" i="44" s="1"/>
  <c r="Q12" i="42"/>
  <c r="D315" i="44" s="1"/>
  <c r="S13" i="43"/>
  <c r="E521" i="44" s="1"/>
  <c r="Q11" i="43"/>
  <c r="H519" i="44" s="1"/>
  <c r="U13" i="43"/>
  <c r="E523" i="44" s="1"/>
  <c r="Q14" i="43"/>
  <c r="F519" i="44" s="1"/>
  <c r="S12" i="43"/>
  <c r="D521" i="44" s="1"/>
  <c r="Q11" i="40"/>
  <c r="H417" i="44" s="1"/>
  <c r="S13" i="40"/>
  <c r="E419" i="44" s="1"/>
  <c r="R13" i="40"/>
  <c r="E418" i="44" s="1"/>
  <c r="U14" i="40"/>
  <c r="F421" i="44" s="1"/>
  <c r="N11" i="40"/>
  <c r="H414" i="44" s="1"/>
  <c r="N14" i="40"/>
  <c r="F414" i="44" s="1"/>
  <c r="S12" i="40"/>
  <c r="D419" i="44" s="1"/>
  <c r="O12" i="40"/>
  <c r="D415" i="44" s="1"/>
  <c r="G415" i="44" s="1"/>
  <c r="Q12" i="40"/>
  <c r="D417" i="44" s="1"/>
  <c r="G417" i="44" s="1"/>
  <c r="T14" i="40"/>
  <c r="F420" i="44" s="1"/>
  <c r="R11" i="40"/>
  <c r="H418" i="44" s="1"/>
  <c r="S14" i="40"/>
  <c r="F419" i="44" s="1"/>
  <c r="V12" i="40"/>
  <c r="D422" i="44" s="1"/>
  <c r="P12" i="42"/>
  <c r="D314" i="44" s="1"/>
  <c r="G314" i="44" s="1"/>
  <c r="Q14" i="42"/>
  <c r="F315" i="44" s="1"/>
  <c r="Q13" i="42"/>
  <c r="E315" i="44" s="1"/>
  <c r="Q11" i="42"/>
  <c r="H315" i="44" s="1"/>
  <c r="P14" i="42"/>
  <c r="F314" i="44" s="1"/>
  <c r="S13" i="42"/>
  <c r="E317" i="44" s="1"/>
  <c r="G317" i="44" s="1"/>
  <c r="N7" i="43" a="1"/>
  <c r="N7" i="43" s="1"/>
  <c r="V13" i="43"/>
  <c r="E524" i="44" s="1"/>
  <c r="G524" i="44" s="1"/>
  <c r="U12" i="43"/>
  <c r="D523" i="44" s="1"/>
  <c r="R13" i="43"/>
  <c r="E520" i="44" s="1"/>
  <c r="G520" i="44" s="1"/>
  <c r="O13" i="43"/>
  <c r="E517" i="44" s="1"/>
  <c r="R14" i="43"/>
  <c r="F520" i="44" s="1"/>
  <c r="P13" i="43"/>
  <c r="E518" i="44" s="1"/>
  <c r="P12" i="43"/>
  <c r="D518" i="44" s="1"/>
  <c r="O12" i="43"/>
  <c r="D517" i="44" s="1"/>
  <c r="O14" i="43"/>
  <c r="F517" i="44" s="1"/>
  <c r="P11" i="43"/>
  <c r="H518" i="44" s="1"/>
  <c r="Q13" i="43"/>
  <c r="E519" i="44" s="1"/>
  <c r="G519" i="44" s="1"/>
  <c r="O11" i="40"/>
  <c r="H415" i="44" s="1"/>
  <c r="N7" i="40" a="1"/>
  <c r="N7" i="40" s="1"/>
  <c r="V13" i="40"/>
  <c r="E422" i="44" s="1"/>
  <c r="U12" i="40"/>
  <c r="D421" i="44" s="1"/>
  <c r="G421" i="44" s="1"/>
  <c r="V14" i="40"/>
  <c r="F422" i="44" s="1"/>
  <c r="V11" i="40"/>
  <c r="H422" i="44" s="1"/>
  <c r="O11" i="42"/>
  <c r="H313" i="44" s="1"/>
  <c r="N7" i="42" a="1"/>
  <c r="N7" i="42" s="1"/>
  <c r="O12" i="42"/>
  <c r="D313" i="44" s="1"/>
  <c r="S14" i="42"/>
  <c r="F317" i="44" s="1"/>
  <c r="O13" i="42"/>
  <c r="E313" i="44" s="1"/>
  <c r="G22" i="8"/>
  <c r="P15" i="40"/>
  <c r="N15" i="43"/>
  <c r="G516" i="44"/>
  <c r="W12" i="43"/>
  <c r="F572" i="44" s="1"/>
  <c r="G414" i="44"/>
  <c r="N17" i="43"/>
  <c r="W17" i="43" s="1"/>
  <c r="D505" i="44" s="1"/>
  <c r="W13" i="43"/>
  <c r="N22" i="43" s="1"/>
  <c r="E563" i="44" s="1"/>
  <c r="G590" i="44" s="1"/>
  <c r="N15" i="40"/>
  <c r="N16" i="43"/>
  <c r="E565" i="44" s="1"/>
  <c r="G592" i="44" s="1"/>
  <c r="W13" i="40"/>
  <c r="D402" i="44" s="1"/>
  <c r="E402" i="44" s="1"/>
  <c r="W12" i="40"/>
  <c r="D401" i="44" s="1"/>
  <c r="E401" i="44" s="1"/>
  <c r="D312" i="44"/>
  <c r="N16" i="40"/>
  <c r="W16" i="40" s="1"/>
  <c r="D416" i="44"/>
  <c r="G416" i="44" s="1"/>
  <c r="G319" i="44"/>
  <c r="U15" i="42"/>
  <c r="N17" i="42"/>
  <c r="W17" i="42" s="1"/>
  <c r="D301" i="44" s="1"/>
  <c r="N16" i="42"/>
  <c r="E362" i="44" s="1"/>
  <c r="E592" i="44" s="1"/>
  <c r="W12" i="42"/>
  <c r="D299" i="44" s="1"/>
  <c r="E299" i="44" s="1"/>
  <c r="H16" i="37"/>
  <c r="G22" i="37"/>
  <c r="K17" i="37"/>
  <c r="H22" i="37"/>
  <c r="E22" i="37"/>
  <c r="D15" i="37" a="1"/>
  <c r="D15" i="37" s="1"/>
  <c r="J17" i="37"/>
  <c r="J16" i="37"/>
  <c r="I17" i="37"/>
  <c r="D16" i="37"/>
  <c r="K18" i="37"/>
  <c r="H242" i="38" s="1" a="1"/>
  <c r="H242" i="38" s="1"/>
  <c r="K15" i="37" a="1"/>
  <c r="K15" i="37" s="1"/>
  <c r="I16" i="37"/>
  <c r="G240" i="38" s="1" a="1"/>
  <c r="G240" i="38" s="1"/>
  <c r="E18" i="37"/>
  <c r="G15" i="37" a="1"/>
  <c r="G15" i="37" s="1"/>
  <c r="D15" i="6"/>
  <c r="H22" i="8"/>
  <c r="E17" i="31"/>
  <c r="G18" i="54"/>
  <c r="F240" i="38" a="1"/>
  <c r="F240" i="38" s="1"/>
  <c r="J15" i="37" a="1"/>
  <c r="J15" i="37" s="1"/>
  <c r="F18" i="37"/>
  <c r="H237" i="38" s="1" a="1"/>
  <c r="H237" i="38" s="1"/>
  <c r="J22" i="37"/>
  <c r="D17" i="37"/>
  <c r="G234" i="38" a="1"/>
  <c r="G234" i="38" s="1"/>
  <c r="K16" i="37"/>
  <c r="G242" i="38" s="1" a="1"/>
  <c r="G242" i="38" s="1"/>
  <c r="K22" i="37"/>
  <c r="J18" i="37"/>
  <c r="D18" i="37"/>
  <c r="G16" i="37"/>
  <c r="G238" i="38" s="1" a="1"/>
  <c r="G238" i="38" s="1"/>
  <c r="L18" i="37"/>
  <c r="D28" i="39" s="1" a="1"/>
  <c r="D28" i="39" s="1"/>
  <c r="E28" i="39" s="1"/>
  <c r="H28" i="39" s="1"/>
  <c r="I28" i="39" s="1"/>
  <c r="E15" i="37" a="1"/>
  <c r="E15" i="37" s="1"/>
  <c r="I22" i="37"/>
  <c r="I18" i="37"/>
  <c r="H15" i="37" a="1"/>
  <c r="H15" i="37" s="1"/>
  <c r="H18" i="37"/>
  <c r="H17" i="37"/>
  <c r="F239" i="38" s="1" a="1"/>
  <c r="F239" i="38" s="1"/>
  <c r="L17" i="37"/>
  <c r="D22" i="37"/>
  <c r="H234" i="38" a="1"/>
  <c r="H234" i="38" s="1"/>
  <c r="F235" i="38" a="1"/>
  <c r="F235" i="38" s="1"/>
  <c r="L16" i="37"/>
  <c r="G17" i="37"/>
  <c r="F238" i="38" s="1" a="1"/>
  <c r="F238" i="38" s="1"/>
  <c r="H240" i="38" a="1"/>
  <c r="H240" i="38" s="1"/>
  <c r="L15" i="37" a="1"/>
  <c r="L15" i="37" s="1"/>
  <c r="L22" i="37"/>
  <c r="G237" i="38" a="1"/>
  <c r="G237" i="38" s="1"/>
  <c r="G241" i="38" a="1"/>
  <c r="G241" i="38" s="1"/>
  <c r="E17" i="37"/>
  <c r="F236" i="38" s="1" a="1"/>
  <c r="F236" i="38" s="1"/>
  <c r="G18" i="37"/>
  <c r="H238" i="38" s="1" a="1"/>
  <c r="H238" i="38" s="1"/>
  <c r="G239" i="38" a="1"/>
  <c r="G239" i="38" s="1"/>
  <c r="F15" i="37" a="1"/>
  <c r="F15" i="37" s="1"/>
  <c r="G235" i="38" a="1"/>
  <c r="G235" i="38" s="1"/>
  <c r="F242" i="38" a="1"/>
  <c r="F242" i="38" s="1"/>
  <c r="H241" i="38" a="1"/>
  <c r="H241" i="38" s="1"/>
  <c r="F22" i="37"/>
  <c r="F16" i="37"/>
  <c r="H235" i="38" a="1"/>
  <c r="H235" i="38" s="1"/>
  <c r="F17" i="37"/>
  <c r="F237" i="38" s="1" a="1"/>
  <c r="F237" i="38" s="1"/>
  <c r="H239" i="38" a="1"/>
  <c r="H239" i="38" s="1"/>
  <c r="I15" i="37" a="1"/>
  <c r="I15" i="37" s="1"/>
  <c r="F243" i="38" a="1"/>
  <c r="F243" i="38" s="1"/>
  <c r="C6" i="37"/>
  <c r="C5" i="37"/>
  <c r="E16" i="37"/>
  <c r="G236" i="38" s="1" a="1"/>
  <c r="G236" i="38" s="1"/>
  <c r="F241" i="38" a="1"/>
  <c r="F241" i="38" s="1"/>
  <c r="G243" i="38" a="1"/>
  <c r="G243" i="38" s="1"/>
  <c r="H243" i="38" a="1"/>
  <c r="H243" i="38" s="1"/>
  <c r="H15" i="8"/>
  <c r="N22" i="6"/>
  <c r="L16" i="6"/>
  <c r="K234" i="24" s="1"/>
  <c r="M16" i="8"/>
  <c r="D18" i="8"/>
  <c r="H16" i="8"/>
  <c r="H17" i="8"/>
  <c r="H18" i="8"/>
  <c r="L22" i="6"/>
  <c r="J17" i="8"/>
  <c r="L18" i="8"/>
  <c r="L18" i="6"/>
  <c r="K236" i="24" s="1"/>
  <c r="O15" i="8"/>
  <c r="E15" i="8"/>
  <c r="G18" i="8"/>
  <c r="D15" i="8"/>
  <c r="I18" i="8"/>
  <c r="G16" i="8"/>
  <c r="J16" i="8"/>
  <c r="G15" i="8"/>
  <c r="N22" i="8"/>
  <c r="M22" i="8"/>
  <c r="D22" i="8"/>
  <c r="D16" i="8"/>
  <c r="I17" i="8"/>
  <c r="L17" i="6"/>
  <c r="K235" i="24" s="1"/>
  <c r="L15" i="6"/>
  <c r="J17" i="6"/>
  <c r="I235" i="24" s="1"/>
  <c r="I17" i="7"/>
  <c r="I19" i="7" s="1"/>
  <c r="O18" i="8"/>
  <c r="D17" i="8"/>
  <c r="L22" i="8"/>
  <c r="E22" i="8"/>
  <c r="F15" i="8"/>
  <c r="E17" i="8"/>
  <c r="E22" i="31"/>
  <c r="E16" i="31"/>
  <c r="G236" i="32" s="1" a="1"/>
  <c r="G236" i="32" s="1"/>
  <c r="E15" i="31"/>
  <c r="E18" i="31"/>
  <c r="H236" i="32" s="1" a="1"/>
  <c r="H236" i="32" s="1"/>
  <c r="K18" i="31"/>
  <c r="H242" i="32" s="1" a="1"/>
  <c r="H242" i="32" s="1"/>
  <c r="C16" i="31"/>
  <c r="G234" i="32" s="1" a="1"/>
  <c r="G234" i="32" s="1"/>
  <c r="D16" i="31"/>
  <c r="J18" i="31"/>
  <c r="H241" i="32" s="1" a="1"/>
  <c r="H241" i="32" s="1"/>
  <c r="K22" i="31"/>
  <c r="J16" i="31"/>
  <c r="G241" i="32" s="1" a="1"/>
  <c r="G241" i="32" s="1"/>
  <c r="K17" i="31"/>
  <c r="F242" i="32" s="1" a="1"/>
  <c r="F242" i="32" s="1"/>
  <c r="F16" i="31"/>
  <c r="G237" i="32" s="1" a="1"/>
  <c r="G237" i="32" s="1"/>
  <c r="G22" i="31"/>
  <c r="K15" i="31"/>
  <c r="H17" i="54"/>
  <c r="D15" i="54" a="1"/>
  <c r="D15" i="54" s="1"/>
  <c r="L16" i="54"/>
  <c r="I16" i="54"/>
  <c r="L15" i="54" a="1"/>
  <c r="L15" i="54" s="1"/>
  <c r="J22" i="54"/>
  <c r="M15" i="54" a="1"/>
  <c r="M15" i="54" s="1"/>
  <c r="E18" i="54"/>
  <c r="F15" i="54" a="1"/>
  <c r="F15" i="54" s="1"/>
  <c r="N16" i="54"/>
  <c r="M18" i="54"/>
  <c r="F16" i="54"/>
  <c r="F18" i="54"/>
  <c r="M22" i="54"/>
  <c r="D16" i="54"/>
  <c r="L22" i="54"/>
  <c r="H22" i="54"/>
  <c r="D17" i="54"/>
  <c r="H18" i="54"/>
  <c r="L18" i="54"/>
  <c r="J18" i="54"/>
  <c r="H16" i="54"/>
  <c r="K17" i="54"/>
  <c r="I18" i="54"/>
  <c r="M16" i="54"/>
  <c r="F22" i="54"/>
  <c r="F17" i="54"/>
  <c r="J15" i="54" a="1"/>
  <c r="J15" i="54" s="1"/>
  <c r="L17" i="54"/>
  <c r="J16" i="54"/>
  <c r="G15" i="54" a="1"/>
  <c r="G15" i="54" s="1"/>
  <c r="J17" i="54"/>
  <c r="I17" i="54"/>
  <c r="N15" i="54" a="1"/>
  <c r="N15" i="54" s="1"/>
  <c r="G16" i="54"/>
  <c r="H15" i="54" a="1"/>
  <c r="H15" i="54" s="1"/>
  <c r="N22" i="54"/>
  <c r="K18" i="54"/>
  <c r="E16" i="54"/>
  <c r="I15" i="8"/>
  <c r="I16" i="8"/>
  <c r="J22" i="8"/>
  <c r="K16" i="8"/>
  <c r="L16" i="8"/>
  <c r="J18" i="8"/>
  <c r="I22" i="8"/>
  <c r="O17" i="8"/>
  <c r="E16" i="8"/>
  <c r="F16" i="8"/>
  <c r="M15" i="8"/>
  <c r="L15" i="8"/>
  <c r="M17" i="8"/>
  <c r="M18" i="8"/>
  <c r="K18" i="8"/>
  <c r="L17" i="8"/>
  <c r="N15" i="8"/>
  <c r="K22" i="8"/>
  <c r="K17" i="8"/>
  <c r="F18" i="8"/>
  <c r="O22" i="8"/>
  <c r="F17" i="8"/>
  <c r="F22" i="8"/>
  <c r="E18" i="8"/>
  <c r="G17" i="8"/>
  <c r="K15" i="8"/>
  <c r="O16" i="8"/>
  <c r="N16" i="8"/>
  <c r="N17" i="8"/>
  <c r="N18" i="8"/>
  <c r="C6" i="8"/>
  <c r="C5" i="8"/>
  <c r="E15" i="7"/>
  <c r="H17" i="7"/>
  <c r="F22" i="6"/>
  <c r="L17" i="7"/>
  <c r="C18" i="6"/>
  <c r="B236" i="24" s="1"/>
  <c r="G18" i="7"/>
  <c r="N22" i="7"/>
  <c r="D16" i="7"/>
  <c r="F16" i="7"/>
  <c r="K17" i="6"/>
  <c r="J235" i="24" s="1"/>
  <c r="H17" i="6"/>
  <c r="G235" i="24" s="1"/>
  <c r="I18" i="7"/>
  <c r="E22" i="7"/>
  <c r="L15" i="7"/>
  <c r="I15" i="7"/>
  <c r="D22" i="7"/>
  <c r="O17" i="6"/>
  <c r="N235" i="24" s="1"/>
  <c r="L16" i="7"/>
  <c r="J16" i="6"/>
  <c r="M22" i="6"/>
  <c r="D15" i="7"/>
  <c r="E16" i="6"/>
  <c r="D234" i="24" s="1"/>
  <c r="I16" i="6"/>
  <c r="H234" i="24" s="1"/>
  <c r="O22" i="6"/>
  <c r="D17" i="7"/>
  <c r="D17" i="6"/>
  <c r="C235" i="24" s="1"/>
  <c r="L22" i="7"/>
  <c r="M15" i="7"/>
  <c r="N15" i="7"/>
  <c r="F16" i="6"/>
  <c r="E234" i="24" s="1"/>
  <c r="K18" i="6"/>
  <c r="J236" i="24" s="1"/>
  <c r="I18" i="6"/>
  <c r="H236" i="24" s="1"/>
  <c r="J15" i="6"/>
  <c r="D18" i="7"/>
  <c r="N16" i="7"/>
  <c r="H18" i="7"/>
  <c r="F15" i="7"/>
  <c r="H22" i="6"/>
  <c r="D22" i="6"/>
  <c r="K15" i="6"/>
  <c r="G15" i="6"/>
  <c r="H16" i="6"/>
  <c r="G234" i="24" s="1"/>
  <c r="H15" i="7"/>
  <c r="H22" i="7"/>
  <c r="G16" i="7"/>
  <c r="G17" i="7"/>
  <c r="G17" i="6"/>
  <c r="F235" i="24" s="1"/>
  <c r="K22" i="7"/>
  <c r="D16" i="6"/>
  <c r="C234" i="24" s="1"/>
  <c r="D18" i="6"/>
  <c r="C236" i="24" s="1"/>
  <c r="G15" i="7"/>
  <c r="E22" i="6"/>
  <c r="F18" i="7"/>
  <c r="J18" i="6"/>
  <c r="I236" i="24" s="1"/>
  <c r="J22" i="6"/>
  <c r="F17" i="7"/>
  <c r="J17" i="7"/>
  <c r="E17" i="6"/>
  <c r="D235" i="24" s="1"/>
  <c r="G22" i="7"/>
  <c r="F22" i="7"/>
  <c r="I15" i="6"/>
  <c r="E18" i="6"/>
  <c r="D236" i="24" s="1"/>
  <c r="H16" i="7"/>
  <c r="E15" i="6"/>
  <c r="K16" i="6"/>
  <c r="J234" i="24" s="1"/>
  <c r="K17" i="7"/>
  <c r="L18" i="7"/>
  <c r="E16" i="7"/>
  <c r="E17" i="7"/>
  <c r="J15" i="7"/>
  <c r="I22" i="7"/>
  <c r="J16" i="7"/>
  <c r="K18" i="7"/>
  <c r="J18" i="7"/>
  <c r="N18" i="7"/>
  <c r="O16" i="7"/>
  <c r="M16" i="7"/>
  <c r="M17" i="7"/>
  <c r="J22" i="7"/>
  <c r="K16" i="7"/>
  <c r="N17" i="7"/>
  <c r="K15" i="7"/>
  <c r="E18" i="7"/>
  <c r="O15" i="7"/>
  <c r="M22" i="7"/>
  <c r="M18" i="7"/>
  <c r="O22" i="7"/>
  <c r="O17" i="7"/>
  <c r="O18" i="7"/>
  <c r="C5" i="7"/>
  <c r="C6" i="7"/>
  <c r="M15" i="6"/>
  <c r="I22" i="6"/>
  <c r="M18" i="6"/>
  <c r="L236" i="24" s="1"/>
  <c r="F15" i="6"/>
  <c r="C22" i="6"/>
  <c r="F18" i="6"/>
  <c r="E236" i="24" s="1"/>
  <c r="C17" i="6"/>
  <c r="E213" i="24" s="1" a="1"/>
  <c r="E213" i="24" s="1"/>
  <c r="F213" i="24" s="1"/>
  <c r="O15" i="6"/>
  <c r="F17" i="6"/>
  <c r="E235" i="24" s="1"/>
  <c r="M17" i="6"/>
  <c r="L235" i="24" s="1"/>
  <c r="O18" i="6"/>
  <c r="N236" i="24" s="1"/>
  <c r="H15" i="6"/>
  <c r="K22" i="6"/>
  <c r="H18" i="6"/>
  <c r="G236" i="24" s="1"/>
  <c r="M16" i="6"/>
  <c r="L234" i="24" s="1"/>
  <c r="C16" i="6"/>
  <c r="C211" i="24" s="1"/>
  <c r="I17" i="6"/>
  <c r="H235" i="24" s="1"/>
  <c r="O16" i="6"/>
  <c r="N234" i="24" s="1"/>
  <c r="C15" i="6"/>
  <c r="G16" i="6"/>
  <c r="F234" i="24" s="1"/>
  <c r="G18" i="6"/>
  <c r="F236" i="24" s="1"/>
  <c r="G22" i="6"/>
  <c r="N17" i="6"/>
  <c r="M235" i="24" s="1"/>
  <c r="N18" i="6"/>
  <c r="M236" i="24" s="1"/>
  <c r="N15" i="6"/>
  <c r="N16" i="6"/>
  <c r="M234" i="24" s="1"/>
  <c r="D17" i="31"/>
  <c r="F235" i="32" s="1" a="1"/>
  <c r="F235" i="32" s="1"/>
  <c r="F18" i="31"/>
  <c r="H237" i="32" s="1" a="1"/>
  <c r="H237" i="32" s="1"/>
  <c r="C22" i="31"/>
  <c r="J17" i="31"/>
  <c r="F241" i="32" s="1" a="1"/>
  <c r="F241" i="32" s="1"/>
  <c r="J22" i="31"/>
  <c r="F15" i="31"/>
  <c r="D18" i="31"/>
  <c r="H235" i="32" s="1" a="1"/>
  <c r="H235" i="32" s="1"/>
  <c r="K16" i="31"/>
  <c r="G242" i="32" s="1" a="1"/>
  <c r="G242" i="32" s="1"/>
  <c r="F17" i="31"/>
  <c r="F237" i="32" s="1" a="1"/>
  <c r="F237" i="32" s="1"/>
  <c r="J15" i="31"/>
  <c r="C18" i="31"/>
  <c r="C21" i="31" s="1"/>
  <c r="C214" i="32" s="1"/>
  <c r="C15" i="31"/>
  <c r="H22" i="31"/>
  <c r="F22" i="31"/>
  <c r="I16" i="31"/>
  <c r="G240" i="32" s="1" a="1"/>
  <c r="G240" i="32" s="1"/>
  <c r="H17" i="31"/>
  <c r="F239" i="32" s="1" a="1"/>
  <c r="F239" i="32" s="1"/>
  <c r="H16" i="31"/>
  <c r="G239" i="32" s="1" a="1"/>
  <c r="G239" i="32" s="1"/>
  <c r="H18" i="31"/>
  <c r="G18" i="31"/>
  <c r="H238" i="32" s="1" a="1"/>
  <c r="H238" i="32" s="1"/>
  <c r="D15" i="31"/>
  <c r="I22" i="31"/>
  <c r="I17" i="31"/>
  <c r="F240" i="32" s="1" a="1"/>
  <c r="F240" i="32" s="1"/>
  <c r="D22" i="31"/>
  <c r="G15" i="31"/>
  <c r="I18" i="31"/>
  <c r="H240" i="32" s="1" a="1"/>
  <c r="H240" i="32" s="1"/>
  <c r="G17" i="31"/>
  <c r="F238" i="32" s="1" a="1"/>
  <c r="F238" i="32" s="1"/>
  <c r="G16" i="31"/>
  <c r="G238" i="32" s="1" a="1"/>
  <c r="G238" i="32" s="1"/>
  <c r="I15" i="31"/>
  <c r="C17" i="31"/>
  <c r="F234" i="32" s="1" a="1"/>
  <c r="F234" i="32" s="1"/>
  <c r="H15" i="31"/>
  <c r="K15" i="54" a="1"/>
  <c r="K15" i="54" s="1"/>
  <c r="N18" i="54"/>
  <c r="M17" i="54"/>
  <c r="K16" i="54"/>
  <c r="G17" i="54"/>
  <c r="E17" i="54"/>
  <c r="I15" i="54" a="1"/>
  <c r="I15" i="54" s="1"/>
  <c r="C5" i="54"/>
  <c r="C6" i="54"/>
  <c r="N17" i="54"/>
  <c r="G22" i="54"/>
  <c r="D18" i="54"/>
  <c r="K22" i="54"/>
  <c r="E22" i="54"/>
  <c r="D22" i="54"/>
  <c r="I22" i="54"/>
  <c r="E15" i="54" a="1"/>
  <c r="E15" i="54" s="1"/>
  <c r="E31" i="19"/>
  <c r="H31" i="19" s="1"/>
  <c r="E28" i="19"/>
  <c r="I28" i="19" s="1"/>
  <c r="F22" i="11"/>
  <c r="I22" i="11"/>
  <c r="G22" i="11"/>
  <c r="I22" i="10"/>
  <c r="F22" i="10"/>
  <c r="H22" i="10"/>
  <c r="D22" i="10"/>
  <c r="G22" i="10"/>
  <c r="K22" i="10"/>
  <c r="B329" i="28"/>
  <c r="D22" i="11"/>
  <c r="J22" i="11"/>
  <c r="D205" i="28"/>
  <c r="E22" i="10"/>
  <c r="E22" i="11"/>
  <c r="C22" i="11"/>
  <c r="H22" i="11"/>
  <c r="K22" i="11"/>
  <c r="F412" i="28"/>
  <c r="C11" i="11" a="1"/>
  <c r="I15" i="11" s="1"/>
  <c r="C6" i="10"/>
  <c r="C5" i="10"/>
  <c r="C6" i="9"/>
  <c r="C5" i="9"/>
  <c r="D204" i="28"/>
  <c r="B324" i="28" a="1"/>
  <c r="B324" i="28" s="1"/>
  <c r="B433" i="28" a="1"/>
  <c r="B433" i="28" s="1"/>
  <c r="F414" i="28"/>
  <c r="D414" i="28"/>
  <c r="C206" i="28"/>
  <c r="E503" i="28"/>
  <c r="B231" i="28"/>
  <c r="B437" i="28"/>
  <c r="G499" i="28"/>
  <c r="F203" i="28"/>
  <c r="D203" i="28"/>
  <c r="D302" i="28"/>
  <c r="F302" i="28"/>
  <c r="G503" i="28"/>
  <c r="B438" i="28"/>
  <c r="F499" i="28"/>
  <c r="B328" i="28"/>
  <c r="B230" i="28"/>
  <c r="E499" i="28"/>
  <c r="F413" i="28"/>
  <c r="D413" i="28"/>
  <c r="I34" i="19"/>
  <c r="H34" i="19"/>
  <c r="F303" i="28"/>
  <c r="D303" i="28"/>
  <c r="F304" i="28"/>
  <c r="D304" i="28"/>
  <c r="N15" i="42" l="1"/>
  <c r="G420" i="44"/>
  <c r="W13" i="42"/>
  <c r="N22" i="42" s="1"/>
  <c r="E360" i="44" s="1"/>
  <c r="E590" i="44" s="1"/>
  <c r="G312" i="44"/>
  <c r="T15" i="42"/>
  <c r="R15" i="42"/>
  <c r="W11" i="40"/>
  <c r="D400" i="44" s="1"/>
  <c r="E400" i="44" s="1"/>
  <c r="W11" i="42"/>
  <c r="D298" i="44" s="1"/>
  <c r="E298" i="44" s="1"/>
  <c r="W11" i="43"/>
  <c r="D502" i="44" s="1"/>
  <c r="E502" i="44" s="1"/>
  <c r="T15" i="40"/>
  <c r="T15" i="43"/>
  <c r="V15" i="42"/>
  <c r="G418" i="44"/>
  <c r="D320" i="44"/>
  <c r="G320" i="44" s="1"/>
  <c r="G315" i="44"/>
  <c r="G523" i="44"/>
  <c r="G419" i="44"/>
  <c r="S15" i="40"/>
  <c r="S15" i="43"/>
  <c r="G521" i="44"/>
  <c r="G422" i="44"/>
  <c r="O15" i="40"/>
  <c r="Q15" i="40"/>
  <c r="R15" i="40"/>
  <c r="N17" i="40"/>
  <c r="W17" i="40" s="1"/>
  <c r="D403" i="44" s="1"/>
  <c r="S15" i="42"/>
  <c r="P15" i="42"/>
  <c r="Q15" i="42"/>
  <c r="Q15" i="43"/>
  <c r="R15" i="43"/>
  <c r="O15" i="43"/>
  <c r="G518" i="44"/>
  <c r="U15" i="43"/>
  <c r="V15" i="43"/>
  <c r="U15" i="40"/>
  <c r="G517" i="44"/>
  <c r="P15" i="43"/>
  <c r="V15" i="40"/>
  <c r="G313" i="44"/>
  <c r="O15" i="42"/>
  <c r="N21" i="43"/>
  <c r="E564" i="44" s="1"/>
  <c r="F570" i="44" s="1"/>
  <c r="F573" i="44" s="1"/>
  <c r="D503" i="44"/>
  <c r="E503" i="44" s="1"/>
  <c r="W16" i="43"/>
  <c r="F369" i="44"/>
  <c r="W16" i="42"/>
  <c r="E464" i="44"/>
  <c r="F592" i="44" s="1"/>
  <c r="N21" i="42"/>
  <c r="E361" i="44" s="1"/>
  <c r="F367" i="44" s="1"/>
  <c r="E470" i="44"/>
  <c r="E570" i="44"/>
  <c r="E573" i="44" s="1"/>
  <c r="D599" i="44" s="1"/>
  <c r="N22" i="40"/>
  <c r="E462" i="44" s="1"/>
  <c r="F590" i="44" s="1"/>
  <c r="D504" i="44"/>
  <c r="E504" i="44" s="1"/>
  <c r="F471" i="44"/>
  <c r="N21" i="40"/>
  <c r="E463" i="44" s="1"/>
  <c r="F591" i="44" s="1"/>
  <c r="E571" i="44"/>
  <c r="J19" i="37"/>
  <c r="I241" i="38" s="1" a="1"/>
  <c r="I241" i="38" s="1"/>
  <c r="I19" i="37"/>
  <c r="I240" i="38" s="1" a="1"/>
  <c r="I240" i="38" s="1"/>
  <c r="D19" i="37"/>
  <c r="I235" i="38" s="1" a="1"/>
  <c r="I235" i="38" s="1"/>
  <c r="K19" i="37"/>
  <c r="I242" i="38" s="1" a="1"/>
  <c r="I242" i="38" s="1"/>
  <c r="L19" i="37"/>
  <c r="I243" i="38" s="1" a="1"/>
  <c r="I243" i="38" s="1"/>
  <c r="F19" i="37"/>
  <c r="I237" i="38" s="1" a="1"/>
  <c r="I237" i="38" s="1"/>
  <c r="H19" i="37"/>
  <c r="I239" i="38" s="1" a="1"/>
  <c r="I239" i="38" s="1"/>
  <c r="G19" i="37"/>
  <c r="I238" i="38" s="1" a="1"/>
  <c r="I238" i="38" s="1"/>
  <c r="E19" i="37"/>
  <c r="I236" i="38" s="1" a="1"/>
  <c r="I236" i="38" s="1"/>
  <c r="C16" i="37"/>
  <c r="C22" i="37"/>
  <c r="C15" i="37" a="1"/>
  <c r="C15" i="37" s="1"/>
  <c r="C18" i="37"/>
  <c r="C21" i="37" s="1"/>
  <c r="C214" i="38" s="1"/>
  <c r="C17" i="37"/>
  <c r="M19" i="8"/>
  <c r="H19" i="8"/>
  <c r="D19" i="8"/>
  <c r="J19" i="8"/>
  <c r="G19" i="8"/>
  <c r="E19" i="8"/>
  <c r="I19" i="8"/>
  <c r="L19" i="6"/>
  <c r="K237" i="24" s="1"/>
  <c r="J19" i="6"/>
  <c r="I237" i="24" s="1"/>
  <c r="E19" i="31"/>
  <c r="I236" i="32" s="1" a="1"/>
  <c r="I236" i="32" s="1"/>
  <c r="K19" i="54"/>
  <c r="C211" i="32"/>
  <c r="E211" i="32" s="1" a="1"/>
  <c r="E211" i="32" s="1"/>
  <c r="D211" i="32" s="1"/>
  <c r="C212" i="32"/>
  <c r="E212" i="32" s="1" a="1"/>
  <c r="E212" i="32" s="1"/>
  <c r="F212" i="32" s="1"/>
  <c r="H19" i="54"/>
  <c r="M19" i="54"/>
  <c r="L19" i="54"/>
  <c r="D19" i="54"/>
  <c r="E19" i="54"/>
  <c r="N19" i="54"/>
  <c r="I19" i="54"/>
  <c r="F19" i="54"/>
  <c r="J19" i="54"/>
  <c r="G19" i="54"/>
  <c r="L19" i="8"/>
  <c r="F19" i="8"/>
  <c r="O19" i="8"/>
  <c r="K19" i="8"/>
  <c r="N19" i="8"/>
  <c r="C21" i="6"/>
  <c r="B239" i="24" s="1"/>
  <c r="C11" i="8" a="1"/>
  <c r="C11" i="8" s="1"/>
  <c r="C16" i="8"/>
  <c r="C18" i="8"/>
  <c r="C17" i="8"/>
  <c r="C15" i="8"/>
  <c r="C22" i="8"/>
  <c r="B447" i="24" s="1" a="1"/>
  <c r="B447" i="24" s="1"/>
  <c r="H19" i="7"/>
  <c r="L19" i="7"/>
  <c r="C214" i="24"/>
  <c r="F19" i="7"/>
  <c r="D19" i="7"/>
  <c r="E510" i="24"/>
  <c r="I234" i="24"/>
  <c r="K19" i="6"/>
  <c r="J237" i="24" s="1"/>
  <c r="G19" i="7"/>
  <c r="J19" i="7"/>
  <c r="D19" i="6"/>
  <c r="C237" i="24" s="1"/>
  <c r="M19" i="7"/>
  <c r="N19" i="7"/>
  <c r="H19" i="6"/>
  <c r="G237" i="24" s="1"/>
  <c r="E19" i="6"/>
  <c r="D237" i="24" s="1"/>
  <c r="O19" i="7"/>
  <c r="K19" i="7"/>
  <c r="E19" i="7"/>
  <c r="E212" i="24" a="1"/>
  <c r="E212" i="24" s="1"/>
  <c r="F212" i="24" s="1"/>
  <c r="F19" i="6"/>
  <c r="E237" i="24" s="1"/>
  <c r="C18" i="7"/>
  <c r="C21" i="7" s="1"/>
  <c r="C17" i="7"/>
  <c r="C15" i="7"/>
  <c r="C16" i="7"/>
  <c r="C22" i="7"/>
  <c r="B338" i="24" s="1" a="1"/>
  <c r="B338" i="24" s="1"/>
  <c r="E211" i="24" a="1"/>
  <c r="E211" i="24" s="1"/>
  <c r="F211" i="24" s="1"/>
  <c r="B240" i="24" a="1"/>
  <c r="B240" i="24" s="1"/>
  <c r="C213" i="24"/>
  <c r="D213" i="24"/>
  <c r="E509" i="24"/>
  <c r="C20" i="6"/>
  <c r="B238" i="24" s="1"/>
  <c r="B235" i="24"/>
  <c r="G19" i="6"/>
  <c r="F237" i="24" s="1"/>
  <c r="B234" i="24"/>
  <c r="M19" i="6"/>
  <c r="L237" i="24" s="1"/>
  <c r="O19" i="6"/>
  <c r="N237" i="24" s="1"/>
  <c r="C19" i="6"/>
  <c r="B237" i="24" s="1"/>
  <c r="N19" i="6"/>
  <c r="M237" i="24" s="1"/>
  <c r="C212" i="24"/>
  <c r="I19" i="6"/>
  <c r="H237" i="24" s="1"/>
  <c r="J19" i="31"/>
  <c r="I241" i="32" s="1" a="1"/>
  <c r="I241" i="32" s="1"/>
  <c r="D19" i="31"/>
  <c r="I235" i="32" s="1" a="1"/>
  <c r="I235" i="32" s="1"/>
  <c r="K19" i="31"/>
  <c r="I242" i="32" s="1" a="1"/>
  <c r="I242" i="32" s="1"/>
  <c r="F19" i="31"/>
  <c r="I237" i="32" s="1" a="1"/>
  <c r="I237" i="32" s="1"/>
  <c r="F297" i="32"/>
  <c r="E307" i="32" s="1"/>
  <c r="C20" i="31"/>
  <c r="E305" i="32" s="1"/>
  <c r="I19" i="31"/>
  <c r="I240" i="32" s="1" a="1"/>
  <c r="I240" i="32" s="1"/>
  <c r="G19" i="31"/>
  <c r="I238" i="32" s="1" a="1"/>
  <c r="I238" i="32" s="1"/>
  <c r="H19" i="31"/>
  <c r="I239" i="32" s="1" a="1"/>
  <c r="I239" i="32" s="1"/>
  <c r="C213" i="32"/>
  <c r="E213" i="32" s="1" a="1"/>
  <c r="E213" i="32" s="1"/>
  <c r="F213" i="32" s="1"/>
  <c r="C19" i="31"/>
  <c r="I234" i="32" s="1" a="1"/>
  <c r="I234" i="32" s="1"/>
  <c r="C18" i="54"/>
  <c r="C21" i="54" s="1"/>
  <c r="C22" i="54"/>
  <c r="C15" i="54" a="1"/>
  <c r="C15" i="54" s="1"/>
  <c r="C16" i="54"/>
  <c r="C17" i="54"/>
  <c r="H28" i="19"/>
  <c r="I31" i="19"/>
  <c r="H15" i="11"/>
  <c r="B439" i="28" a="1"/>
  <c r="B439" i="28" s="1"/>
  <c r="C11" i="9" a="1"/>
  <c r="K15" i="11"/>
  <c r="G15" i="11"/>
  <c r="F15" i="11"/>
  <c r="D15" i="11"/>
  <c r="C11" i="11"/>
  <c r="C15" i="11" s="1"/>
  <c r="E15" i="11"/>
  <c r="J15" i="11"/>
  <c r="C11" i="10" a="1"/>
  <c r="C22" i="10"/>
  <c r="B330" i="28" s="1" a="1"/>
  <c r="B330" i="28" s="1"/>
  <c r="E367" i="44" l="1"/>
  <c r="E370" i="44" s="1"/>
  <c r="D597" i="44" s="1"/>
  <c r="E368" i="44"/>
  <c r="D300" i="44"/>
  <c r="E300" i="44" s="1"/>
  <c r="E458" i="44"/>
  <c r="F586" i="44" s="1"/>
  <c r="E356" i="44"/>
  <c r="E357" i="44" s="1"/>
  <c r="E588" i="44" s="1"/>
  <c r="E559" i="44"/>
  <c r="E560" i="44" s="1"/>
  <c r="G588" i="44" s="1"/>
  <c r="E567" i="44"/>
  <c r="G593" i="44" s="1"/>
  <c r="G591" i="44"/>
  <c r="F370" i="44"/>
  <c r="F597" i="44" s="1"/>
  <c r="E591" i="44"/>
  <c r="E469" i="44"/>
  <c r="E472" i="44" s="1"/>
  <c r="D598" i="44" s="1"/>
  <c r="E364" i="44"/>
  <c r="E593" i="44" s="1"/>
  <c r="E466" i="44"/>
  <c r="F469" i="44"/>
  <c r="F472" i="44" s="1"/>
  <c r="F598" i="44" s="1"/>
  <c r="F234" i="38" a="1"/>
  <c r="F234" i="38" s="1"/>
  <c r="C213" i="38"/>
  <c r="E213" i="38" s="1" a="1"/>
  <c r="E213" i="38" s="1"/>
  <c r="E307" i="38"/>
  <c r="C212" i="38"/>
  <c r="E212" i="38" s="1" a="1"/>
  <c r="E212" i="38" s="1"/>
  <c r="C19" i="37"/>
  <c r="I234" i="38" s="1" a="1"/>
  <c r="I234" i="38" s="1"/>
  <c r="F297" i="38"/>
  <c r="E309" i="38" s="1"/>
  <c r="C211" i="38"/>
  <c r="E211" i="38" s="1" a="1"/>
  <c r="E211" i="38" s="1"/>
  <c r="E308" i="38"/>
  <c r="C20" i="37"/>
  <c r="E305" i="38" s="1"/>
  <c r="F211" i="32"/>
  <c r="D212" i="32"/>
  <c r="E511" i="24"/>
  <c r="C422" i="24"/>
  <c r="G509" i="24"/>
  <c r="E422" i="24" a="1"/>
  <c r="E422" i="24" s="1"/>
  <c r="C21" i="8"/>
  <c r="C423" i="24"/>
  <c r="E421" i="24" a="1"/>
  <c r="E421" i="24" s="1"/>
  <c r="C20" i="8"/>
  <c r="G510" i="24"/>
  <c r="C19" i="8"/>
  <c r="B441" i="24" s="1" a="1"/>
  <c r="B441" i="24" s="1"/>
  <c r="E420" i="24" a="1"/>
  <c r="E420" i="24" s="1"/>
  <c r="C420" i="24"/>
  <c r="C421" i="24"/>
  <c r="D211" i="24"/>
  <c r="D212" i="24"/>
  <c r="B337" i="24"/>
  <c r="F511" i="24"/>
  <c r="E311" i="24" a="1"/>
  <c r="E311" i="24" s="1"/>
  <c r="C311" i="24"/>
  <c r="C312" i="24"/>
  <c r="C313" i="24"/>
  <c r="E310" i="24" a="1"/>
  <c r="E310" i="24" s="1"/>
  <c r="C20" i="7"/>
  <c r="C19" i="7"/>
  <c r="B332" i="24" s="1" a="1"/>
  <c r="B332" i="24" s="1"/>
  <c r="C310" i="24"/>
  <c r="F510" i="24"/>
  <c r="F509" i="24"/>
  <c r="E312" i="24" a="1"/>
  <c r="E312" i="24" s="1"/>
  <c r="E507" i="24"/>
  <c r="D213" i="32"/>
  <c r="C20" i="54"/>
  <c r="C19" i="54"/>
  <c r="C11" i="9"/>
  <c r="C15" i="9" s="1"/>
  <c r="F15" i="9"/>
  <c r="H15" i="9"/>
  <c r="J15" i="9"/>
  <c r="K15" i="9"/>
  <c r="I15" i="9"/>
  <c r="D15" i="9"/>
  <c r="E15" i="9"/>
  <c r="G15" i="9"/>
  <c r="D15" i="10"/>
  <c r="G15" i="10"/>
  <c r="C11" i="10"/>
  <c r="C15" i="10" s="1"/>
  <c r="F15" i="10"/>
  <c r="H15" i="10"/>
  <c r="J15" i="10"/>
  <c r="I15" i="10"/>
  <c r="K15" i="10"/>
  <c r="E15" i="10"/>
  <c r="F599" i="44"/>
  <c r="E459" i="44" l="1"/>
  <c r="F588" i="44" s="1"/>
  <c r="E586" i="44"/>
  <c r="G586" i="44"/>
  <c r="E575" i="44"/>
  <c r="F593" i="44"/>
  <c r="E372" i="44"/>
  <c r="D211" i="38"/>
  <c r="F211" i="38"/>
  <c r="D212" i="38"/>
  <c r="F212" i="38"/>
  <c r="F213" i="38"/>
  <c r="D213" i="38"/>
  <c r="G507" i="24"/>
  <c r="B445" i="24"/>
  <c r="F421" i="24"/>
  <c r="D421" i="24"/>
  <c r="B446" i="24"/>
  <c r="G511" i="24"/>
  <c r="F422" i="24"/>
  <c r="D422" i="24"/>
  <c r="F420" i="24"/>
  <c r="D420" i="24"/>
  <c r="F507" i="24"/>
  <c r="B336" i="24"/>
  <c r="D312" i="24"/>
  <c r="F312" i="24"/>
  <c r="D310" i="24"/>
  <c r="F310" i="24"/>
  <c r="F311" i="24"/>
  <c r="D311" i="24"/>
  <c r="N10" i="41"/>
  <c r="H213" i="44" s="1"/>
  <c r="O11" i="41"/>
  <c r="O12" i="41"/>
  <c r="E214" i="44" s="1"/>
  <c r="O13" i="41"/>
  <c r="F214" i="44" s="1"/>
  <c r="O10" i="41"/>
  <c r="H214" i="44" s="1"/>
  <c r="N12" i="41"/>
  <c r="W12" i="41" s="1"/>
  <c r="V11" i="41"/>
  <c r="D221" i="44" s="1"/>
  <c r="U11" i="41"/>
  <c r="D220" i="44" s="1"/>
  <c r="T11" i="41"/>
  <c r="D219" i="44" s="1"/>
  <c r="Q11" i="41"/>
  <c r="D216" i="44" s="1"/>
  <c r="N11" i="41"/>
  <c r="P11" i="41"/>
  <c r="S11" i="41"/>
  <c r="N13" i="41"/>
  <c r="F213" i="44" s="1"/>
  <c r="R11" i="41"/>
  <c r="D217" i="44" s="1"/>
  <c r="S13" i="41"/>
  <c r="F218" i="44" s="1"/>
  <c r="S10" i="41"/>
  <c r="H218" i="44" s="1"/>
  <c r="S12" i="41"/>
  <c r="E218" i="44" s="1"/>
  <c r="T12" i="41"/>
  <c r="E219" i="44" s="1"/>
  <c r="T10" i="41"/>
  <c r="H219" i="44" s="1"/>
  <c r="T13" i="41"/>
  <c r="F219" i="44" s="1"/>
  <c r="Q10" i="41"/>
  <c r="H216" i="44" s="1"/>
  <c r="Q12" i="41"/>
  <c r="Q13" i="41"/>
  <c r="F216" i="44" s="1"/>
  <c r="P12" i="41"/>
  <c r="E215" i="44" s="1"/>
  <c r="P10" i="41"/>
  <c r="H215" i="44" s="1"/>
  <c r="P13" i="41"/>
  <c r="F215" i="44" s="1"/>
  <c r="V12" i="41"/>
  <c r="E221" i="44" s="1"/>
  <c r="V10" i="41"/>
  <c r="H221" i="44" s="1"/>
  <c r="V13" i="41"/>
  <c r="F221" i="44" s="1"/>
  <c r="R13" i="41"/>
  <c r="F217" i="44" s="1"/>
  <c r="R12" i="41"/>
  <c r="R10" i="41"/>
  <c r="H217" i="44" s="1"/>
  <c r="U13" i="41"/>
  <c r="F220" i="44" s="1"/>
  <c r="U12" i="41"/>
  <c r="E220" i="44" s="1"/>
  <c r="N7" i="41" a="1"/>
  <c r="N7" i="41" s="1"/>
  <c r="U10" i="41"/>
  <c r="H220" i="44" s="1"/>
  <c r="E474" i="44" l="1"/>
  <c r="N14" i="41"/>
  <c r="G220" i="44"/>
  <c r="S14" i="41"/>
  <c r="D213" i="44"/>
  <c r="N15" i="41"/>
  <c r="E260" i="44" s="1"/>
  <c r="D592" i="44" s="1"/>
  <c r="O14" i="41"/>
  <c r="W11" i="41"/>
  <c r="F267" i="44" s="1"/>
  <c r="P14" i="41"/>
  <c r="D214" i="44"/>
  <c r="G214" i="44" s="1"/>
  <c r="R14" i="41"/>
  <c r="Q14" i="41"/>
  <c r="V14" i="41"/>
  <c r="D218" i="44"/>
  <c r="G218" i="44" s="1"/>
  <c r="E213" i="44"/>
  <c r="D200" i="44"/>
  <c r="E200" i="44" s="1"/>
  <c r="N21" i="41"/>
  <c r="E258" i="44" s="1"/>
  <c r="E266" i="44"/>
  <c r="G219" i="44"/>
  <c r="G221" i="44"/>
  <c r="U14" i="41"/>
  <c r="E217" i="44"/>
  <c r="G217" i="44" s="1"/>
  <c r="T14" i="41"/>
  <c r="W10" i="41"/>
  <c r="E216" i="44"/>
  <c r="G216" i="44" s="1"/>
  <c r="N16" i="41"/>
  <c r="W16" i="41" s="1"/>
  <c r="D201" i="44" s="1"/>
  <c r="D215" i="44"/>
  <c r="G215" i="44" s="1"/>
  <c r="G213" i="44" l="1"/>
  <c r="D199" i="44"/>
  <c r="E199" i="44" s="1"/>
  <c r="N20" i="41"/>
  <c r="E259" i="44" s="1"/>
  <c r="W15" i="41"/>
  <c r="E254" i="44"/>
  <c r="D198" i="44"/>
  <c r="E198" i="44" s="1"/>
  <c r="E265" i="44"/>
  <c r="E268" i="44" s="1"/>
  <c r="D590" i="44"/>
  <c r="D591" i="44" l="1"/>
  <c r="F265" i="44"/>
  <c r="F268" i="44" s="1"/>
  <c r="E262" i="44"/>
  <c r="D593" i="44" s="1"/>
  <c r="D586" i="44"/>
  <c r="E255" i="44"/>
  <c r="D596" i="44"/>
  <c r="D600" i="44"/>
  <c r="F600" i="44" l="1"/>
  <c r="F596" i="44"/>
  <c r="E270" i="44"/>
  <c r="D588" i="44"/>
  <c r="E602" i="44" s="1"/>
  <c r="B612" i="4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<sst xmlns="http://schemas.openxmlformats.org/spreadsheetml/2006/main" count="2433" uniqueCount="562">
  <si>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</si>
  <si>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</si>
  <si>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</si>
  <si>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</si>
  <si>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</si>
  <si>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</si>
  <si>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</si>
  <si>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</si>
  <si>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</si>
  <si>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</si>
  <si>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</si>
  <si>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</si>
  <si>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</si>
  <si>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</si>
  <si>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</si>
  <si>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</si>
  <si>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</si>
  <si>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</si>
  <si>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</si>
  <si>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</si>
  <si>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</si>
  <si>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</si>
  <si>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</si>
  <si>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</si>
  <si>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</si>
  <si>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</si>
  <si>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</si>
  <si>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</si>
  <si>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</si>
  <si>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</si>
  <si>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</si>
  <si>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</si>
  <si>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</si>
  <si>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</si>
  <si>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</si>
  <si>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</si>
  <si>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</si>
  <si>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</si>
  <si>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</si>
  <si>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</si>
  <si>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</si>
  <si>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</si>
  <si>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</si>
  <si>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</si>
  <si>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</si>
  <si>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</si>
  <si>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</si>
  <si>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</si>
  <si>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</si>
  <si>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</si>
  <si>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</si>
  <si>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</si>
  <si>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</si>
  <si>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</si>
  <si>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</si>
  <si>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</si>
  <si>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</si>
  <si>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</si>
  <si>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</si>
  <si>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</si>
  <si>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</si>
  <si>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</si>
  <si>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</si>
  <si>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</si>
  <si>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</si>
  <si>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</si>
  <si>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</si>
  <si>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</si>
  <si>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</si>
  <si>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</si>
  <si>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</si>
  <si>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</si>
  <si>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</si>
  <si>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</si>
  <si>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</si>
  <si>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</si>
  <si>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</si>
  <si>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</si>
  <si>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</si>
  <si>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</si>
  <si>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</si>
  <si>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</si>
  <si>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</si>
  <si>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</si>
  <si>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</si>
  <si>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</si>
  <si>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</si>
  <si>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</si>
  <si>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</si>
  <si>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</si>
  <si>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</si>
  <si>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</si>
  <si>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</si>
  <si>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</si>
  <si>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</si>
  <si>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</si>
  <si>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</si>
  <si>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</si>
  <si>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</si>
  <si>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</si>
  <si>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</si>
  <si>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</si>
  <si>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</si>
  <si>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</si>
  <si>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</si>
  <si>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</si>
  <si>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</si>
  <si>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</si>
  <si>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</si>
  <si>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</si>
  <si>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</si>
  <si>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</si>
  <si>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</si>
  <si>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</si>
  <si>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</si>
  <si>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</si>
  <si>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</si>
  <si>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</si>
  <si>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</si>
  <si>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</si>
  <si>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</si>
  <si>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</si>
  <si>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</si>
  <si>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</si>
  <si>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</si>
  <si>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</si>
  <si>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</si>
  <si>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</si>
  <si>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</si>
  <si>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</si>
  <si>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</si>
  <si>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</si>
  <si>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</si>
  <si>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</si>
  <si>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</si>
  <si>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</si>
  <si>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</si>
  <si>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</si>
  <si>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</si>
  <si>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</si>
  <si>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</si>
  <si>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</si>
  <si>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</si>
  <si>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</si>
  <si>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</si>
  <si>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</si>
  <si>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</si>
  <si>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</si>
  <si>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</si>
  <si>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</si>
  <si>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</si>
  <si>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</si>
  <si>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</si>
  <si>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</si>
  <si>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</si>
  <si>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</si>
  <si>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</si>
  <si>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</si>
  <si>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</si>
  <si>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</si>
  <si>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</si>
  <si>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</si>
  <si>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</si>
  <si>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</si>
  <si>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</si>
  <si>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</si>
  <si>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</si>
  <si>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</si>
  <si>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</si>
  <si>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</si>
  <si>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</si>
  <si>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</si>
  <si>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</si>
  <si>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</si>
  <si>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</si>
  <si>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</si>
  <si>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</si>
  <si>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</si>
  <si>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</si>
  <si>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</si>
  <si>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</si>
  <si>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</si>
  <si>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</si>
  <si>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</si>
  <si>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</si>
  <si>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</si>
  <si>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</si>
  <si>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</si>
  <si>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</si>
  <si>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</si>
  <si>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</si>
  <si>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</si>
  <si>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</si>
  <si>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</si>
  <si>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</si>
  <si>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</si>
  <si>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</si>
  <si>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</si>
  <si>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</si>
  <si>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</si>
  <si>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</si>
  <si>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</si>
  <si>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</si>
  <si>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</si>
  <si>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</si>
  <si>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</si>
  <si>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</si>
  <si>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t>2 – Relevés corrigés de chaque thermocouple de vérification</t>
  </si>
  <si>
    <t>N°Voie
enregistreur</t>
  </si>
  <si>
    <t>MIN (°C)</t>
  </si>
  <si>
    <t>Max(°C)</t>
  </si>
  <si>
    <t>Moyenne (°C)</t>
  </si>
  <si>
    <t>Amplitude (°C)</t>
  </si>
  <si>
    <t>3 – Courbe</t>
  </si>
  <si>
    <t>9. Conclusions</t>
  </si>
  <si>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</si>
  <si>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</si>
  <si>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</si>
  <si>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</si>
  <si>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</si>
  <si>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</si>
  <si>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</si>
  <si>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</si>
  <si>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</si>
  <si>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</si>
  <si>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</si>
  <si>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</si>
  <si>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</si>
  <si>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</si>
  <si>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</si>
  <si>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</si>
  <si>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</si>
  <si>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</si>
  <si>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</si>
  <si>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</si>
  <si>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</si>
  <si>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</si>
  <si>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</si>
  <si>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</si>
  <si>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</si>
  <si>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</si>
  <si>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</si>
  <si>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</si>
  <si>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</si>
  <si>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</si>
  <si>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</si>
  <si>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</si>
  <si>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</si>
  <si>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</si>
  <si>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</si>
  <si>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</si>
  <si>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</si>
  <si>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</si>
  <si>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</si>
  <si>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</si>
  <si>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</si>
  <si>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</si>
  <si>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</si>
  <si>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</si>
  <si>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</si>
  <si>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</si>
  <si>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</si>
  <si>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</si>
  <si>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</si>
  <si>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</si>
  <si>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</si>
  <si>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</si>
  <si>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</si>
  <si>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</si>
  <si>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</si>
  <si>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</si>
  <si>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</si>
  <si>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</si>
  <si>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</si>
  <si>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</si>
  <si>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</si>
  <si>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</si>
  <si>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</si>
  <si>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 xml:space="preserve">
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à 50 
                                  - 1 zone de chauffe
                                  - Instrumentation type C, soit 1 thermocouple de régulation
                                  - Traitement de pièces </t>
  </si>
  <si>
    <t>Tus de l'étuve Séchoir</t>
  </si>
  <si>
    <t>Consigne 1</t>
  </si>
  <si>
    <t>Consigne 2</t>
  </si>
  <si>
    <t>Consigne 3</t>
  </si>
  <si>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</si>
  <si>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</si>
  <si>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</si>
  <si>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</si>
  <si>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</si>
  <si>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</si>
  <si>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</si>
  <si>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</si>
  <si>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</si>
  <si>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</si>
  <si>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</si>
  <si>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</si>
  <si>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</si>
  <si>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</si>
  <si>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</si>
  <si>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</si>
  <si>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</si>
  <si>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</si>
  <si>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</si>
  <si>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</si>
  <si>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</si>
  <si>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</si>
  <si>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</si>
  <si>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</si>
  <si>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</si>
  <si>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</si>
  <si>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</si>
  <si>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</si>
  <si>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</si>
  <si>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</si>
  <si>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</si>
  <si>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</si>
  <si>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</si>
  <si>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</si>
  <si>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</si>
  <si>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</si>
  <si>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t>La cabine de ressuage dispose de 1 sonde de température résidentes.</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</si>
  <si>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</si>
  <si>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</si>
  <si>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</si>
  <si>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</si>
  <si>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</si>
  <si>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</si>
  <si>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</si>
  <si>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</si>
  <si>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</si>
  <si>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</si>
  <si>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</si>
  <si>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</si>
  <si>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</si>
  <si>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</si>
  <si>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</si>
  <si>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</si>
  <si>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</si>
  <si>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</si>
  <si>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</si>
  <si>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</si>
  <si>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</si>
  <si>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</si>
  <si>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</si>
  <si>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</si>
  <si>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</si>
  <si>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</si>
  <si>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</si>
  <si>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</si>
  <si>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</si>
  <si>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</si>
  <si>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</si>
  <si>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</si>
  <si>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</si>
  <si>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</si>
  <si>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</si>
  <si>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</si>
  <si>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</si>
  <si>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</si>
  <si>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</si>
  <si>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</si>
  <si>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</si>
  <si>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</si>
  <si>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</si>
  <si>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</si>
  <si>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</si>
  <si>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</si>
  <si>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</si>
  <si>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</si>
  <si>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</si>
  <si>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</si>
  <si>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</si>
  <si>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</si>
  <si>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</si>
  <si>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</si>
  <si>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</si>
  <si>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</si>
  <si>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</si>
  <si>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</si>
  <si>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</si>
  <si>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</si>
  <si>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</si>
  <si>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</si>
  <si>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</si>
  <si>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</si>
  <si>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</si>
  <si>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</si>
  <si>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</si>
  <si>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</si>
  <si>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</si>
  <si>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</si>
  <si>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</si>
  <si>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</si>
  <si>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</si>
  <si>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</si>
  <si>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</si>
  <si>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</si>
  <si>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</si>
  <si>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</si>
  <si>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</si>
  <si>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</si>
  <si>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</si>
  <si>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</si>
  <si>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</si>
  <si>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</si>
  <si>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</si>
  <si>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</si>
  <si>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</si>
  <si>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</si>
  <si>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</si>
  <si>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</si>
  <si>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</si>
  <si>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</si>
  <si>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</si>
  <si>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</si>
  <si>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</si>
  <si>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</si>
  <si>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</si>
  <si>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</si>
  <si>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</si>
  <si>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</si>
  <si>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</si>
  <si>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</si>
  <si>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</si>
  <si>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</si>
  <si>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</si>
  <si>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</si>
  <si>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</si>
  <si>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</si>
  <si>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</si>
  <si>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</si>
  <si>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</si>
  <si>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</si>
  <si>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</si>
  <si>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</si>
  <si>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</si>
  <si>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</si>
  <si>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</si>
  <si>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</si>
  <si>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</si>
  <si>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</si>
  <si>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</si>
  <si>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</si>
  <si>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</si>
  <si>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</si>
  <si>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</si>
  <si>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</si>
  <si>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</si>
  <si>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</si>
  <si>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</si>
  <si>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</si>
  <si>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</si>
  <si>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</si>
  <si>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</si>
  <si>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</si>
  <si>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</si>
  <si>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</si>
  <si>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</si>
  <si>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</si>
  <si>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</si>
  <si>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</si>
  <si>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</si>
  <si>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</si>
  <si>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</si>
  <si>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</si>
  <si>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</si>
  <si>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</si>
  <si>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</si>
  <si>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</si>
  <si>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</si>
  <si>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</si>
  <si>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</si>
  <si>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</si>
  <si>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</si>
  <si>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</si>
  <si>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</si>
  <si>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</si>
  <si>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</si>
  <si>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</si>
  <si>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</si>
  <si>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</si>
  <si>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</si>
  <si>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</si>
  <si>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</si>
  <si>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</si>
  <si>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</si>
  <si>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</si>
  <si>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</si>
  <si>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</si>
  <si>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</si>
  <si>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</si>
  <si>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</si>
  <si>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</si>
  <si>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</si>
  <si>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</si>
  <si>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</si>
  <si>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</si>
  <si>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</si>
  <si>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</si>
  <si>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</si>
  <si>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</si>
  <si>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</si>
  <si>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</si>
  <si>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</si>
  <si>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</si>
  <si>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</si>
  <si>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</si>
  <si>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</si>
  <si>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</si>
  <si>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</si>
  <si>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</si>
  <si>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</si>
  <si>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</si>
  <si>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</si>
  <si>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</si>
  <si>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</si>
  <si>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</si>
  <si>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</si>
  <si>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</si>
  <si>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</si>
  <si>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</si>
  <si>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</si>
  <si>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</si>
  <si>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</si>
  <si>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</si>
  <si>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</si>
  <si>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</si>
  <si>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</si>
  <si>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</si>
  <si>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</si>
  <si>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</si>
  <si>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</si>
  <si>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</si>
  <si>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</si>
  <si>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</si>
  <si>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</si>
  <si>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</si>
  <si>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Rapport d’homogénéité (T.U.S.) et SAT
Cabine de ressuage Beauchastel</t>
  </si>
  <si>
    <t>Nom du document :</t>
  </si>
  <si>
    <t xml:space="preserve">TUS </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</si>
  <si>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AMS 2750</t>
  </si>
  <si>
    <t>Identification fabricant : AF002723-A</t>
  </si>
  <si>
    <t>Régulateur de température FUJI</t>
  </si>
  <si>
    <t>Dimensions intérieures de la cabine de ressuage (L*P*H) : 3,78m</t>
  </si>
  <si>
    <t>Volume intérieur : 2,52m</t>
  </si>
  <si>
    <t>Dimensions utiles de la cabine de ressuage (L*P*H) : 2,52</t>
  </si>
  <si>
    <t>Volume utile : 24m3</t>
  </si>
  <si>
    <t>La sonde du régulateur est située à l'entrée de la cabine de ressuage</t>
  </si>
  <si>
    <r>
      <t>La cabine de ressuage BEAUCHASTEL est déclarée</t>
    </r>
    <r>
      <rPr>
        <b/>
        <sz val="18"/>
        <color rgb="FF70AD47"/>
        <rFont val="Calibri"/>
        <family val="2"/>
        <scheme val="minor"/>
      </rPr>
      <t xml:space="preserve">
</t>
    </r>
    <r>
      <rPr>
        <b/>
        <sz val="18"/>
        <color rgb="FF000000"/>
        <rFont val="Calibri"/>
        <family val="2"/>
        <scheme val="minor"/>
      </rPr>
      <t xml:space="preserve"> aux tolérances requises, à savoir :</t>
    </r>
  </si>
  <si>
    <t>Consignes °C</t>
  </si>
  <si>
    <t>Tolérances +/- °C</t>
  </si>
  <si>
    <t>TUS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</si>
  <si>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t>
    </r>
  </si>
  <si>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t>
    </r>
  </si>
  <si>
    <t>Nom de document :</t>
  </si>
  <si>
    <t>Décalage Enregistreur °C</t>
  </si>
  <si>
    <t>Décalage TC °C</t>
  </si>
  <si>
    <t>Tolérance haute °C</t>
  </si>
  <si>
    <t>Tolérance basse °C</t>
  </si>
  <si>
    <t>Rapport d’homogénéité (T.U.S.)
Étuve de polymérisation peinture ENATT</t>
  </si>
  <si>
    <t>Consigne °C</t>
  </si>
  <si>
    <t>Nom du Document :</t>
  </si>
  <si>
    <t xml:space="preserve">IMP 472 ind O du 07-02-2024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</si>
</sst>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5"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18"/>
      <color rgb="FF000000"/>
      <name val="Calibri"/>
      <family val="2"/>
      <scheme val="minor"/>
    </font>
    <font>
      <b/>
      <sz val="18"/>
      <color rgb="FF70AD47"/>
      <name val="Calibri"/>
      <family val="2"/>
      <scheme val="minor"/>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
      <sz val="11"/>
      <color rgb="FF000000"/>
      <name val="Calibri"/>
      <family val="2"/>
    </font>
    <font>
      <sz val="14"/>
      <color rgb="FF000000"/>
      <name val="Calibri"/>
      <family val="2"/>
    </font>
  </fonts>
  <fills count="25">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
      <patternFill patternType="solid">
        <fgColor rgb="FFFFFFFF"/>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4">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0" borderId="31" xfId="0" applyFont="1" applyBorder="1" applyAlignment="1">
      <alignment horizontal="center" vertical="center" wrapText="1"/>
    </xf>
    <xf numFmtId="0" fontId="13" fillId="0" borderId="0" xfId="0" applyFont="1" applyAlignment="1">
      <alignment horizontal="center" vertical="center" wrapText="1"/>
    </xf>
    <xf numFmtId="0" fontId="9" fillId="0" borderId="32"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3" xfId="0" applyNumberFormat="1" applyFont="1" applyBorder="1" applyAlignment="1">
      <alignment horizontal="center" vertical="center"/>
    </xf>
    <xf numFmtId="0" fontId="9" fillId="0" borderId="34" xfId="0" applyFont="1" applyBorder="1" applyAlignment="1">
      <alignment horizontal="center" vertical="center"/>
    </xf>
    <xf numFmtId="2" fontId="9" fillId="0" borderId="34" xfId="0" quotePrefix="1" applyNumberFormat="1" applyFont="1" applyBorder="1" applyAlignment="1">
      <alignment horizontal="center" vertical="center"/>
    </xf>
    <xf numFmtId="165" fontId="9" fillId="0" borderId="35"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15" fillId="0" borderId="34" xfId="1" applyFont="1" applyFill="1" applyBorder="1" applyAlignment="1">
      <alignment horizontal="center" vertical="center"/>
    </xf>
    <xf numFmtId="2" fontId="9" fillId="0" borderId="34" xfId="0" applyNumberFormat="1" applyFont="1" applyBorder="1" applyAlignment="1">
      <alignment horizontal="center" vertical="center"/>
    </xf>
    <xf numFmtId="0" fontId="16" fillId="9" borderId="36"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7" xfId="2" applyFont="1" applyBorder="1" applyAlignment="1">
      <alignment horizontal="right" vertical="center"/>
    </xf>
    <xf numFmtId="14" fontId="16" fillId="9" borderId="38"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5" fillId="0" borderId="0" xfId="0" applyFont="1" applyAlignment="1">
      <alignment horizontal="left" vertical="center" readingOrder="1"/>
    </xf>
    <xf numFmtId="0" fontId="35"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39" fillId="0" borderId="0" xfId="0" applyFont="1" applyAlignment="1">
      <alignment horizontal="left" vertical="center" readingOrder="1"/>
    </xf>
    <xf numFmtId="0" fontId="39" fillId="0" borderId="0" xfId="0" applyFont="1" applyAlignment="1">
      <alignment horizontal="left" vertical="center" wrapText="1" readingOrder="1"/>
    </xf>
    <xf numFmtId="0" fontId="20" fillId="0" borderId="0" xfId="0" applyFont="1" applyAlignment="1">
      <alignment vertical="top" wrapText="1" readingOrder="1"/>
    </xf>
    <xf numFmtId="0" fontId="40" fillId="0" borderId="0" xfId="0" applyFont="1" applyAlignment="1">
      <alignment vertical="top" wrapText="1" readingOrder="1"/>
    </xf>
    <xf numFmtId="14" fontId="20" fillId="0" borderId="0" xfId="0" applyNumberFormat="1" applyFont="1" applyAlignment="1">
      <alignment horizontal="left" vertical="top" wrapText="1" readingOrder="1"/>
    </xf>
    <xf numFmtId="0" fontId="41"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7" fillId="0" borderId="0" xfId="0" applyFont="1" applyAlignment="1">
      <alignment vertical="center"/>
    </xf>
    <xf numFmtId="0" fontId="0" fillId="0" borderId="39" xfId="0" applyBorder="1" applyAlignment="1">
      <alignment horizontal="center"/>
    </xf>
    <xf numFmtId="0" fontId="0" fillId="0" borderId="39"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9" fillId="0" borderId="43" xfId="0" applyFont="1" applyBorder="1" applyAlignment="1">
      <alignment horizontal="center" vertical="center" wrapText="1"/>
    </xf>
    <xf numFmtId="0" fontId="9" fillId="0" borderId="42" xfId="0" applyFont="1" applyBorder="1" applyAlignment="1">
      <alignment horizontal="center" vertical="center"/>
    </xf>
    <xf numFmtId="49" fontId="9" fillId="0" borderId="34" xfId="0" applyNumberFormat="1" applyFont="1" applyBorder="1" applyAlignment="1">
      <alignment horizontal="center" vertical="center"/>
    </xf>
    <xf numFmtId="1" fontId="9" fillId="0" borderId="34" xfId="0" applyNumberFormat="1" applyFont="1" applyBorder="1" applyAlignment="1">
      <alignment horizontal="center" vertical="center"/>
    </xf>
    <xf numFmtId="166" fontId="9" fillId="0" borderId="33"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5" xfId="0" applyNumberFormat="1" applyBorder="1" applyAlignment="1">
      <alignment horizontal="center"/>
    </xf>
    <xf numFmtId="0" fontId="0" fillId="0" borderId="46" xfId="0" applyBorder="1"/>
    <xf numFmtId="2" fontId="0" fillId="0" borderId="47" xfId="0" applyNumberFormat="1" applyBorder="1" applyAlignment="1">
      <alignment horizontal="center"/>
    </xf>
    <xf numFmtId="2" fontId="0" fillId="0" borderId="48" xfId="0" applyNumberFormat="1" applyBorder="1" applyAlignment="1">
      <alignment horizontal="center"/>
    </xf>
    <xf numFmtId="0" fontId="0" fillId="0" borderId="44" xfId="0" applyBorder="1"/>
    <xf numFmtId="0" fontId="37" fillId="0" borderId="1" xfId="0" applyFont="1" applyBorder="1"/>
    <xf numFmtId="2" fontId="6" fillId="14" borderId="1" xfId="1" applyNumberFormat="1" applyFill="1" applyBorder="1" applyAlignment="1">
      <alignment horizontal="center"/>
    </xf>
    <xf numFmtId="0" fontId="6" fillId="14" borderId="1" xfId="1" applyFill="1" applyBorder="1"/>
    <xf numFmtId="2" fontId="44" fillId="0" borderId="0" xfId="0" applyNumberFormat="1" applyFont="1" applyAlignment="1">
      <alignment horizontal="center"/>
    </xf>
    <xf numFmtId="0" fontId="37"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7" fillId="0" borderId="0" xfId="0" applyFont="1" applyAlignment="1">
      <alignment horizontal="center"/>
    </xf>
    <xf numFmtId="0" fontId="45" fillId="0" borderId="1" xfId="0" applyFont="1" applyBorder="1" applyAlignment="1">
      <alignment horizontal="center"/>
    </xf>
    <xf numFmtId="166" fontId="45"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6"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7" fillId="0" borderId="1" xfId="0" applyNumberFormat="1" applyFont="1" applyBorder="1" applyAlignment="1">
      <alignment horizontal="center"/>
    </xf>
    <xf numFmtId="2" fontId="37"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8"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0" fillId="0" borderId="0" xfId="0" applyFont="1" applyAlignment="1">
      <alignment horizontal="left" vertical="center" readingOrder="1"/>
    </xf>
    <xf numFmtId="0" fontId="0" fillId="0" borderId="0" xfId="0" applyAlignment="1">
      <alignment vertical="top"/>
    </xf>
    <xf numFmtId="0" fontId="41" fillId="0" borderId="0" xfId="0" applyFont="1"/>
    <xf numFmtId="0" fontId="49" fillId="0" borderId="0" xfId="0" applyFont="1"/>
    <xf numFmtId="0" fontId="50" fillId="0" borderId="0" xfId="0" applyFont="1"/>
    <xf numFmtId="0" fontId="43" fillId="0" borderId="0" xfId="0" applyFont="1" applyAlignment="1">
      <alignment horizontal="right" vertical="center"/>
    </xf>
    <xf numFmtId="0" fontId="0" fillId="0" borderId="0" xfId="0" applyAlignment="1">
      <alignment horizontal="right" vertical="center"/>
    </xf>
    <xf numFmtId="0" fontId="51" fillId="0" borderId="0" xfId="0" applyFont="1" applyAlignment="1">
      <alignment horizontal="center" vertical="center" readingOrder="1"/>
    </xf>
    <xf numFmtId="0" fontId="23" fillId="15" borderId="0" xfId="0" applyFont="1" applyFill="1" applyAlignment="1">
      <alignment horizontal="left" vertical="center"/>
    </xf>
    <xf numFmtId="0" fontId="43"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3"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7" fillId="0" borderId="0" xfId="0" applyFont="1" applyAlignment="1">
      <alignment horizontal="center" vertical="center"/>
    </xf>
    <xf numFmtId="0" fontId="53" fillId="21" borderId="0" xfId="0" applyFont="1" applyFill="1" applyAlignment="1">
      <alignment horizontal="center" vertical="center"/>
    </xf>
    <xf numFmtId="0" fontId="53" fillId="21" borderId="1" xfId="0" applyFont="1" applyFill="1" applyBorder="1" applyAlignment="1">
      <alignment horizontal="center" vertical="center"/>
    </xf>
    <xf numFmtId="0" fontId="54"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5" fillId="21" borderId="1" xfId="0" applyNumberFormat="1" applyFont="1" applyFill="1" applyBorder="1" applyAlignment="1">
      <alignment horizontal="center"/>
    </xf>
    <xf numFmtId="0" fontId="0" fillId="10" borderId="0" xfId="0" applyFill="1"/>
    <xf numFmtId="0" fontId="56" fillId="21" borderId="1" xfId="0" applyFont="1" applyFill="1" applyBorder="1" applyAlignment="1">
      <alignment horizontal="center" vertical="center"/>
    </xf>
    <xf numFmtId="0" fontId="53" fillId="0" borderId="0" xfId="0" applyFont="1" applyAlignment="1">
      <alignment horizontal="right" vertical="center"/>
    </xf>
    <xf numFmtId="0" fontId="53" fillId="0" borderId="0" xfId="0" applyFont="1" applyAlignment="1">
      <alignment horizontal="center" vertical="center"/>
    </xf>
    <xf numFmtId="0" fontId="55" fillId="21" borderId="0" xfId="0" applyFont="1" applyFill="1" applyAlignment="1">
      <alignment horizontal="center" vertical="center"/>
    </xf>
    <xf numFmtId="0" fontId="53" fillId="12" borderId="0" xfId="0" applyFont="1" applyFill="1" applyAlignment="1">
      <alignment horizontal="center" vertical="center"/>
    </xf>
    <xf numFmtId="0" fontId="58"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4" xfId="0" applyFill="1" applyBorder="1" applyAlignment="1">
      <alignment horizontal="center" vertical="center"/>
    </xf>
    <xf numFmtId="0" fontId="4" fillId="13" borderId="44" xfId="0" applyFont="1" applyFill="1" applyBorder="1" applyAlignment="1">
      <alignment horizontal="center" vertical="center"/>
    </xf>
    <xf numFmtId="0" fontId="0" fillId="0" borderId="44" xfId="0" applyBorder="1" applyAlignment="1">
      <alignment horizontal="center" vertical="center"/>
    </xf>
    <xf numFmtId="0" fontId="4" fillId="0" borderId="44"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59" fillId="22" borderId="0" xfId="0" applyFont="1" applyFill="1"/>
    <xf numFmtId="14" fontId="59" fillId="22" borderId="0" xfId="0" applyNumberFormat="1" applyFont="1" applyFill="1" applyAlignment="1">
      <alignment horizontal="center" vertical="center" wrapText="1"/>
    </xf>
    <xf numFmtId="0" fontId="59" fillId="0" borderId="0" xfId="0" applyFont="1" applyAlignment="1">
      <alignment horizontal="center"/>
    </xf>
    <xf numFmtId="0" fontId="60" fillId="13" borderId="1" xfId="0" quotePrefix="1" applyFont="1" applyFill="1" applyBorder="1" applyAlignment="1">
      <alignment horizontal="center" vertical="center"/>
    </xf>
    <xf numFmtId="0" fontId="61" fillId="3" borderId="8" xfId="0" quotePrefix="1" applyFont="1" applyFill="1" applyBorder="1" applyAlignment="1">
      <alignment horizontal="center" vertical="center"/>
    </xf>
    <xf numFmtId="0" fontId="61"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2" fontId="0" fillId="15" borderId="1" xfId="0" applyNumberForma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1" fillId="0" borderId="0" xfId="0" applyFont="1" applyAlignment="1">
      <alignment horizontal="left" vertical="center"/>
    </xf>
    <xf numFmtId="0" fontId="4" fillId="0" borderId="0" xfId="0" applyFont="1" applyAlignment="1">
      <alignment horizontal="center" vertical="center"/>
    </xf>
    <xf numFmtId="0" fontId="60" fillId="0" borderId="0" xfId="0" applyFont="1" applyAlignment="1">
      <alignment horizontal="center" vertical="center"/>
    </xf>
    <xf numFmtId="0" fontId="4" fillId="0" borderId="0" xfId="0" applyFont="1" applyAlignment="1">
      <alignment horizontal="left" vertical="center"/>
    </xf>
    <xf numFmtId="0" fontId="61" fillId="0" borderId="0" xfId="0" applyFont="1" applyAlignment="1">
      <alignment horizontal="center" vertical="center"/>
    </xf>
    <xf numFmtId="0" fontId="61" fillId="0" borderId="0" xfId="0" applyFont="1" applyAlignment="1">
      <alignment vertical="center" wrapText="1"/>
    </xf>
    <xf numFmtId="0" fontId="61"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1" fillId="0" borderId="0" xfId="0" applyFont="1" applyAlignment="1">
      <alignment vertical="center"/>
    </xf>
    <xf numFmtId="0" fontId="4" fillId="0" borderId="0" xfId="0" applyFont="1" applyAlignment="1">
      <alignment vertical="center"/>
    </xf>
    <xf numFmtId="0" fontId="61" fillId="0" borderId="0" xfId="0" quotePrefix="1" applyFont="1" applyAlignment="1">
      <alignment vertical="center"/>
    </xf>
    <xf numFmtId="0" fontId="0" fillId="0" borderId="27" xfId="0" applyBorder="1"/>
    <xf numFmtId="0" fontId="0" fillId="0" borderId="19" xfId="0" applyBorder="1"/>
    <xf numFmtId="0" fontId="0" fillId="0" borderId="37" xfId="0" applyBorder="1"/>
    <xf numFmtId="0" fontId="0" fillId="0" borderId="51" xfId="0" applyBorder="1"/>
    <xf numFmtId="0" fontId="0" fillId="0" borderId="38" xfId="0" applyBorder="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42"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2" borderId="2" xfId="0" applyFill="1" applyBorder="1" applyAlignment="1">
      <alignment horizontal="center" vertical="center"/>
    </xf>
    <xf numFmtId="22" fontId="8" fillId="0" borderId="0" xfId="0" applyNumberFormat="1" applyFont="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165" fontId="0" fillId="11" borderId="0" xfId="0" applyNumberFormat="1" applyFill="1" applyAlignment="1">
      <alignment horizontal="center"/>
    </xf>
    <xf numFmtId="0" fontId="0" fillId="2" borderId="1" xfId="0" applyFill="1" applyBorder="1" applyAlignment="1">
      <alignment vertical="center"/>
    </xf>
    <xf numFmtId="0" fontId="0" fillId="24" borderId="0" xfId="0" applyFill="1" applyAlignment="1">
      <alignment horizontal="center" vertical="center"/>
    </xf>
    <xf numFmtId="0" fontId="0" fillId="24" borderId="0" xfId="0" applyFill="1"/>
    <xf numFmtId="0" fontId="0" fillId="11" borderId="0" xfId="0" applyFill="1" applyAlignment="1">
      <alignment horizontal="center" vertical="center" textRotation="90"/>
    </xf>
    <xf numFmtId="0" fontId="0" fillId="16" borderId="0" xfId="0" applyFill="1" applyAlignment="1">
      <alignment horizontal="center" vertical="center" textRotation="90"/>
    </xf>
    <xf numFmtId="0" fontId="0" fillId="15" borderId="1" xfId="0" applyFill="1" applyBorder="1" applyAlignment="1" applyProtection="1">
      <alignment horizontal="center" vertical="center"/>
      <protection locked="0"/>
    </xf>
    <xf numFmtId="0" fontId="0" fillId="10" borderId="52" xfId="0" applyFill="1" applyBorder="1" applyAlignment="1">
      <alignment horizont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0" fillId="13" borderId="1" xfId="0" applyFill="1" applyBorder="1" applyAlignment="1">
      <alignment horizontal="center"/>
    </xf>
    <xf numFmtId="20" fontId="0" fillId="15" borderId="49"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59" fillId="22" borderId="0" xfId="0" applyFont="1" applyFill="1" applyAlignment="1">
      <alignment horizontal="center"/>
    </xf>
    <xf numFmtId="0" fontId="0" fillId="13" borderId="1" xfId="0" applyFill="1" applyBorder="1" applyAlignment="1">
      <alignment horizontal="center" vertical="center"/>
    </xf>
    <xf numFmtId="0" fontId="57" fillId="15" borderId="0" xfId="0" applyFont="1" applyFill="1" applyAlignment="1">
      <alignment horizontal="center" vertical="center"/>
    </xf>
    <xf numFmtId="0" fontId="57"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4"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59" fillId="22" borderId="0" xfId="0" applyFont="1" applyFill="1" applyAlignment="1">
      <alignment horizontal="center" vertical="center"/>
    </xf>
    <xf numFmtId="0" fontId="59" fillId="0" borderId="0" xfId="0" applyFont="1" applyAlignment="1">
      <alignment horizont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0" fontId="62" fillId="0" borderId="36" xfId="0" applyFont="1" applyBorder="1" applyAlignment="1">
      <alignment horizontal="center" vertical="center"/>
    </xf>
    <xf numFmtId="0" fontId="62" fillId="0" borderId="50" xfId="0" applyFont="1" applyBorder="1" applyAlignment="1">
      <alignment horizontal="center" vertical="center"/>
    </xf>
    <xf numFmtId="0" fontId="62" fillId="0" borderId="25" xfId="0" applyFont="1" applyBorder="1" applyAlignment="1">
      <alignment horizontal="center" vertical="center"/>
    </xf>
    <xf numFmtId="0" fontId="62" fillId="0" borderId="27" xfId="0" applyFont="1" applyBorder="1" applyAlignment="1">
      <alignment horizontal="center" vertical="center"/>
    </xf>
    <xf numFmtId="0" fontId="62" fillId="0" borderId="0" xfId="0" applyFont="1" applyAlignment="1">
      <alignment horizontal="center" vertical="center"/>
    </xf>
    <xf numFmtId="0" fontId="62" fillId="0" borderId="19" xfId="0" applyFont="1" applyBorder="1" applyAlignment="1">
      <alignment horizontal="center" vertical="center"/>
    </xf>
    <xf numFmtId="0" fontId="62" fillId="0" borderId="37" xfId="0" applyFont="1" applyBorder="1" applyAlignment="1">
      <alignment horizontal="center" vertical="center"/>
    </xf>
    <xf numFmtId="0" fontId="62" fillId="0" borderId="51" xfId="0" applyFont="1" applyBorder="1" applyAlignment="1">
      <alignment horizontal="center" vertical="center"/>
    </xf>
    <xf numFmtId="0" fontId="62" fillId="0" borderId="38" xfId="0" applyFont="1" applyBorder="1" applyAlignment="1">
      <alignment horizontal="center" vertical="center"/>
    </xf>
    <xf numFmtId="22" fontId="47" fillId="0" borderId="27" xfId="0" applyNumberFormat="1" applyFont="1" applyBorder="1" applyAlignment="1">
      <alignment horizontal="center"/>
    </xf>
    <xf numFmtId="22" fontId="47"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22" fontId="0" fillId="0" borderId="0" xfId="0" applyNumberFormat="1" applyAlignment="1">
      <alignment horizontal="center"/>
    </xf>
    <xf numFmtId="22" fontId="48" fillId="0" borderId="27" xfId="0" applyNumberFormat="1" applyFont="1" applyBorder="1" applyAlignment="1">
      <alignment horizontal="center"/>
    </xf>
    <xf numFmtId="22" fontId="48" fillId="0" borderId="0" xfId="0" applyNumberFormat="1" applyFont="1" applyAlignment="1">
      <alignment horizontal="center"/>
    </xf>
    <xf numFmtId="0" fontId="0" fillId="0" borderId="0" xfId="0" applyAlignment="1">
      <alignment horizontal="left"/>
    </xf>
    <xf numFmtId="0" fontId="0" fillId="0" borderId="0" xfId="0" applyAlignment="1">
      <alignment horizontal="left" wrapText="1"/>
    </xf>
    <xf numFmtId="0" fontId="53" fillId="0" borderId="0" xfId="0" applyFont="1" applyAlignment="1">
      <alignment horizontal="center" vertical="center" wrapText="1"/>
    </xf>
    <xf numFmtId="14" fontId="0" fillId="10" borderId="1" xfId="0" applyNumberFormat="1" applyFill="1" applyBorder="1" applyAlignment="1">
      <alignment horizontal="center" vertical="center"/>
    </xf>
    <xf numFmtId="0" fontId="53" fillId="20" borderId="2" xfId="0" applyFont="1" applyFill="1" applyBorder="1" applyAlignment="1">
      <alignment horizontal="center"/>
    </xf>
    <xf numFmtId="0" fontId="53" fillId="20" borderId="14" xfId="0" applyFont="1" applyFill="1" applyBorder="1" applyAlignment="1">
      <alignment horizontal="center"/>
    </xf>
    <xf numFmtId="0" fontId="53" fillId="20" borderId="3" xfId="0" applyFont="1" applyFill="1" applyBorder="1" applyAlignment="1">
      <alignment horizontal="center"/>
    </xf>
    <xf numFmtId="0" fontId="53" fillId="21" borderId="1" xfId="0" applyFont="1" applyFill="1" applyBorder="1" applyAlignment="1">
      <alignment horizontal="center"/>
    </xf>
    <xf numFmtId="0" fontId="53" fillId="21" borderId="2" xfId="0" applyFont="1" applyFill="1" applyBorder="1" applyAlignment="1">
      <alignment horizontal="center"/>
    </xf>
    <xf numFmtId="0" fontId="53" fillId="21" borderId="3" xfId="0" applyFont="1" applyFill="1" applyBorder="1" applyAlignment="1">
      <alignment horizontal="center"/>
    </xf>
    <xf numFmtId="0" fontId="55" fillId="12" borderId="0" xfId="0" applyFont="1" applyFill="1" applyAlignment="1">
      <alignment horizontal="center" vertical="center"/>
    </xf>
    <xf numFmtId="0" fontId="53" fillId="0" borderId="0" xfId="0" applyFont="1" applyAlignment="1">
      <alignment horizontal="center" vertical="center"/>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7" fillId="0" borderId="16" xfId="0" applyFont="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0" fontId="37" fillId="20" borderId="1" xfId="0" applyFont="1" applyFill="1" applyBorder="1" applyAlignment="1">
      <alignment horizontal="center" wrapText="1"/>
    </xf>
    <xf numFmtId="0" fontId="37" fillId="0" borderId="0" xfId="0" applyFont="1" applyAlignment="1">
      <alignment horizontal="right" vertical="center"/>
    </xf>
    <xf numFmtId="0" fontId="37" fillId="0" borderId="0" xfId="0" applyFont="1" applyAlignment="1">
      <alignment horizontal="left" vertical="center"/>
    </xf>
    <xf numFmtId="0" fontId="0" fillId="20" borderId="1" xfId="0" applyFill="1" applyBorder="1" applyAlignment="1">
      <alignment horizontal="center"/>
    </xf>
    <xf numFmtId="1" fontId="37" fillId="12" borderId="1" xfId="0" applyNumberFormat="1" applyFont="1" applyFill="1" applyBorder="1" applyAlignment="1">
      <alignment horizontal="center" vertical="center"/>
    </xf>
    <xf numFmtId="0" fontId="37" fillId="20" borderId="1" xfId="0" applyFont="1" applyFill="1" applyBorder="1" applyAlignment="1">
      <alignment horizontal="center"/>
    </xf>
    <xf numFmtId="0" fontId="37" fillId="21" borderId="1" xfId="0" applyFont="1" applyFill="1" applyBorder="1" applyAlignment="1">
      <alignment horizontal="center" vertic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2" fontId="37" fillId="12" borderId="1" xfId="0" applyNumberFormat="1" applyFont="1" applyFill="1" applyBorder="1" applyAlignment="1">
      <alignment horizontal="center" vertical="center"/>
    </xf>
    <xf numFmtId="0" fontId="37" fillId="12" borderId="1" xfId="0" applyFont="1" applyFill="1" applyBorder="1" applyAlignment="1">
      <alignment horizontal="center" vertical="center"/>
    </xf>
    <xf numFmtId="0" fontId="0" fillId="19" borderId="1" xfId="0" applyFill="1" applyBorder="1" applyAlignment="1">
      <alignment horizontal="center"/>
    </xf>
    <xf numFmtId="0" fontId="0" fillId="12" borderId="1" xfId="0" applyFill="1" applyBorder="1" applyAlignment="1">
      <alignment horizontal="center" vertical="center"/>
    </xf>
    <xf numFmtId="0" fontId="37" fillId="20" borderId="1" xfId="0" applyFont="1" applyFill="1" applyBorder="1" applyAlignment="1">
      <alignment horizontal="center" vertical="center"/>
    </xf>
    <xf numFmtId="2" fontId="37" fillId="21" borderId="1" xfId="0" applyNumberFormat="1" applyFont="1" applyFill="1" applyBorder="1" applyAlignment="1">
      <alignment horizontal="center" vertical="center"/>
    </xf>
    <xf numFmtId="0" fontId="0" fillId="19" borderId="1" xfId="0" applyFill="1" applyBorder="1" applyAlignment="1">
      <alignment horizontal="center" vertical="center"/>
    </xf>
    <xf numFmtId="0" fontId="0" fillId="19" borderId="14"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7" fillId="20" borderId="1" xfId="0" applyFont="1" applyFill="1" applyBorder="1" applyAlignment="1">
      <alignment horizontal="center" vertical="center" wrapText="1"/>
    </xf>
    <xf numFmtId="0" fontId="0" fillId="0" borderId="10" xfId="0" applyBorder="1" applyAlignment="1">
      <alignment horizontal="center"/>
    </xf>
    <xf numFmtId="2" fontId="0" fillId="0" borderId="10" xfId="0" applyNumberFormat="1" applyBorder="1" applyAlignment="1">
      <alignment horizontal="center"/>
    </xf>
    <xf numFmtId="0" fontId="37" fillId="0" borderId="16" xfId="0" applyFont="1" applyBorder="1" applyAlignment="1">
      <alignment horizontal="right" vertical="center"/>
    </xf>
    <xf numFmtId="0" fontId="37" fillId="0" borderId="15" xfId="0" applyFont="1" applyBorder="1" applyAlignment="1">
      <alignment horizontal="left"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20" fillId="0" borderId="0" xfId="0" applyFont="1" applyAlignment="1">
      <alignment horizontal="left" vertical="top" wrapText="1" readingOrder="1"/>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40"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0" fontId="0" fillId="2" borderId="1" xfId="0" applyFill="1" applyBorder="1" applyAlignment="1">
      <alignment horizontal="center" vertical="center"/>
    </xf>
    <xf numFmtId="0" fontId="5" fillId="0" borderId="0" xfId="0" applyFont="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7" borderId="1" xfId="0" applyFill="1" applyBorder="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24" fillId="0" borderId="0" xfId="0" applyFont="1" applyAlignment="1">
      <alignment horizontal="center"/>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35" fillId="0" borderId="0" xfId="0" applyFont="1" applyAlignment="1">
      <alignment horizontal="center" vertical="center" wrapText="1" readingOrder="1"/>
    </xf>
    <xf numFmtId="0" fontId="9" fillId="0" borderId="40" xfId="0" applyFont="1" applyBorder="1" applyAlignment="1">
      <alignment horizontal="center" vertical="center"/>
    </xf>
    <xf numFmtId="0" fontId="9" fillId="0" borderId="31"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9" fillId="0" borderId="0" xfId="0" applyFont="1" applyAlignment="1">
      <alignment horizontal="center" vertical="center"/>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13" fillId="0" borderId="28" xfId="0" applyFont="1" applyBorder="1" applyAlignment="1">
      <alignment horizontal="center" vertical="center" wrapText="1"/>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14" fontId="0" fillId="0" borderId="10" xfId="0" applyNumberFormat="1" applyBorder="1" applyAlignment="1">
      <alignment horizontal="center"/>
    </xf>
    <xf numFmtId="0" fontId="17" fillId="0" borderId="0" xfId="0" applyFont="1" applyAlignment="1">
      <alignment horizontal="center" vertical="center" wrapText="1"/>
    </xf>
    <xf numFmtId="0" fontId="17" fillId="0" borderId="0" xfId="0" applyFont="1" applyAlignment="1">
      <alignment horizontal="center" vertical="center"/>
    </xf>
    <xf numFmtId="0" fontId="18" fillId="0" borderId="0" xfId="0" applyFont="1" applyAlignment="1">
      <alignment horizontal="left" vertical="center" readingOrder="1"/>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2" fontId="0" fillId="12" borderId="14" xfId="0" applyNumberFormat="1" applyFill="1" applyBorder="1" applyAlignment="1">
      <alignment horizontal="center" vertical="center"/>
    </xf>
  </cellXfs>
  <cellStyles count="3">
    <cellStyle name="Neutre" xfId="2" builtinId="28"/>
    <cellStyle name="Normal" xfId="0" builtinId="0"/>
    <cellStyle name="Satisfaisant" xfId="1" builtinId="26"/>
  </cellStyles>
  <dxfs count="19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font>
        <b/>
        <i val="0"/>
        <strike val="0"/>
      </font>
      <fill>
        <patternFill>
          <bgColor rgb="FFFF0000"/>
        </patternFill>
      </fill>
    </dxf>
    <dxf>
      <fill>
        <patternFill>
          <bgColor rgb="FFFF0000"/>
        </patternFill>
      </fill>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
      <numFmt numFmtId="2" formatCode="0.00"/>
    </dxf>
    <dxf>
      <numFmt numFmtId="2" formatCode="0.00"/>
    </dxf>
    <dxf>
      <numFmt numFmtId="2" formatCode="0.00"/>
    </dxf>
    <dxf>
      <numFmt numFmtId="2" formatCode="0.00"/>
    </dxf>
    <dxf>
      <numFmt numFmtId="27" formatCode="dd/mm/yyyy\ hh:mm"/>
    </dxf>
    <dxf>
      <numFmt numFmtId="27" formatCode="dd/mm/yyyy\ hh:mm"/>
    </dxf>
    <dxf>
      <numFmt numFmtId="27" formatCode="dd/mm/yyyy\ hh:mm"/>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89"/>
      <tableStyleElement type="headerRow" dxfId="188"/>
      <tableStyleElement type="firstRowStripe" dxfId="187"/>
      <tableStyleElement type="secondRowStripe" dxfId="186"/>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cat>
            <c:numRef>
              <c:f>'transfert 80'!$A$2:$E$2</c:f>
              <c:numCache>
                <c:formatCode>General</c:formatCode>
                <c:ptCount val="5"/>
              </c:numCache>
            </c:numRef>
          </c:cat>
          <c:val>
            <c:numRef>
              <c:f>'transfert 80'!$F$2</c:f>
              <c:numCache>
                <c:formatCode>General</c:formatCode>
                <c:ptCount val="1"/>
              </c:numCache>
            </c:numRef>
          </c:val>
          <c:smooth val="0"/>
          <c:extLst xmlns:c15="http://schemas.microsoft.com/office/drawing/2012/chart">
            <c:ext xmlns:c16="http://schemas.microsoft.com/office/drawing/2014/chart" uri="{C3380CC4-5D6E-409C-BE32-E72D297353CC}">
              <c16:uniqueId val="{00000000-55EA-4FD2-9285-08332D6C7150}"/>
            </c:ext>
          </c:extLst>
        </c:ser>
        <c:ser>
          <c:idx val="1"/>
          <c:order val="1"/>
          <c:tx>
            <c:strRef>
              <c:f>'transfert 80'!$G$1</c:f>
              <c:strCache>
                <c:ptCount val="1"/>
                <c:pt idx="0">
                  <c:v>Connecteur 6</c:v>
                </c:pt>
              </c:strCache>
            </c:strRef>
          </c:tx>
          <c:marker>
            <c:symbol val="none"/>
          </c:marker>
          <c:cat>
            <c:numRef>
              <c:f>'transfert 80'!$A$2:$E$2</c:f>
              <c:numCache>
                <c:formatCode>General</c:formatCode>
                <c:ptCount val="5"/>
              </c:numCache>
            </c:numRef>
          </c:cat>
          <c:val>
            <c:numRef>
              <c:f>'transfert 80'!$G$2</c:f>
              <c:numCache>
                <c:formatCode>General</c:formatCode>
                <c:ptCount val="1"/>
              </c:numCache>
            </c:numRef>
          </c:val>
          <c:smooth val="0"/>
          <c:extLst>
            <c:ext xmlns:c16="http://schemas.microsoft.com/office/drawing/2014/chart" uri="{C3380CC4-5D6E-409C-BE32-E72D297353CC}">
              <c16:uniqueId val="{00000001-55EA-4FD2-9285-08332D6C7150}"/>
            </c:ext>
          </c:extLst>
        </c:ser>
        <c:ser>
          <c:idx val="2"/>
          <c:order val="2"/>
          <c:tx>
            <c:strRef>
              <c:f>'transfert 80'!$H$1</c:f>
              <c:strCache>
                <c:ptCount val="1"/>
                <c:pt idx="0">
                  <c:v>Connecteur 7</c:v>
                </c:pt>
              </c:strCache>
            </c:strRef>
          </c:tx>
          <c:marker>
            <c:symbol val="none"/>
          </c:marker>
          <c:cat>
            <c:numRef>
              <c:f>'transfert 80'!$A$2:$E$2</c:f>
              <c:numCache>
                <c:formatCode>General</c:formatCode>
                <c:ptCount val="5"/>
              </c:numCache>
            </c:numRef>
          </c:cat>
          <c:val>
            <c:numRef>
              <c:f>'transfert 80'!$H$2</c:f>
              <c:numCache>
                <c:formatCode>General</c:formatCode>
                <c:ptCount val="1"/>
              </c:numCache>
            </c:numRef>
          </c:val>
          <c:smooth val="0"/>
          <c:extLst>
            <c:ext xmlns:c16="http://schemas.microsoft.com/office/drawing/2014/chart" uri="{C3380CC4-5D6E-409C-BE32-E72D297353CC}">
              <c16:uniqueId val="{00000002-55EA-4FD2-9285-08332D6C7150}"/>
            </c:ext>
          </c:extLst>
        </c:ser>
        <c:ser>
          <c:idx val="3"/>
          <c:order val="3"/>
          <c:tx>
            <c:strRef>
              <c:f>'transfert 80'!$I$1</c:f>
              <c:strCache>
                <c:ptCount val="1"/>
                <c:pt idx="0">
                  <c:v>Connecteur 8</c:v>
                </c:pt>
              </c:strCache>
            </c:strRef>
          </c:tx>
          <c:marker>
            <c:symbol val="none"/>
          </c:marker>
          <c:cat>
            <c:numRef>
              <c:f>'transfert 80'!$A$2:$E$2</c:f>
              <c:numCache>
                <c:formatCode>General</c:formatCode>
                <c:ptCount val="5"/>
              </c:numCache>
            </c:numRef>
          </c:cat>
          <c:val>
            <c:numRef>
              <c:f>'transfert 80'!$I$2</c:f>
              <c:numCache>
                <c:formatCode>General</c:formatCode>
                <c:ptCount val="1"/>
              </c:numCache>
            </c:numRef>
          </c:val>
          <c:smooth val="0"/>
          <c:extLst>
            <c:ext xmlns:c16="http://schemas.microsoft.com/office/drawing/2014/chart" uri="{C3380CC4-5D6E-409C-BE32-E72D297353CC}">
              <c16:uniqueId val="{00000003-55EA-4FD2-9285-08332D6C7150}"/>
            </c:ext>
          </c:extLst>
        </c:ser>
        <c:ser>
          <c:idx val="4"/>
          <c:order val="4"/>
          <c:tx>
            <c:strRef>
              <c:f>'transfert 80'!$J$1</c:f>
              <c:strCache>
                <c:ptCount val="1"/>
                <c:pt idx="0">
                  <c:v>Connecteur 9</c:v>
                </c:pt>
              </c:strCache>
            </c:strRef>
          </c:tx>
          <c:marker>
            <c:symbol val="none"/>
          </c:marker>
          <c:cat>
            <c:numRef>
              <c:f>'transfert 80'!$A$2:$E$2</c:f>
              <c:numCache>
                <c:formatCode>General</c:formatCode>
                <c:ptCount val="5"/>
              </c:numCache>
            </c:numRef>
          </c:cat>
          <c:val>
            <c:numRef>
              <c:f>'transfert 80'!$J$2</c:f>
              <c:numCache>
                <c:formatCode>General</c:formatCode>
                <c:ptCount val="1"/>
              </c:numCache>
            </c:numRef>
          </c:val>
          <c:smooth val="0"/>
          <c:extLst>
            <c:ext xmlns:c16="http://schemas.microsoft.com/office/drawing/2014/chart" uri="{C3380CC4-5D6E-409C-BE32-E72D297353CC}">
              <c16:uniqueId val="{00000004-55EA-4FD2-9285-08332D6C7150}"/>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CCA3-4759-82DE-DEAFC15BCEFF}"/>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CCA3-4759-82DE-DEAFC15BCEFF}"/>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CCA3-4759-82DE-DEAFC15BCEFF}"/>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CCA3-4759-82DE-DEAFC15BCEFF}"/>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CCA3-4759-82DE-DEAFC15BCEFF}"/>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CCA3-4759-82DE-DEAFC15BCEFF}"/>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CCA3-4759-82DE-DEAFC15BCEFF}"/>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CCA3-4759-82DE-DEAFC15BCEFF}"/>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CCA3-4759-82DE-DEAFC15BCEF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AB9B-47FF-B9BB-BD36595189BF}"/>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AB9B-47FF-B9BB-BD36595189BF}"/>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AB9B-47FF-B9BB-BD36595189BF}"/>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AB9B-47FF-B9BB-BD36595189BF}"/>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AB9B-47FF-B9BB-BD36595189BF}"/>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AB9B-47FF-B9BB-BD36595189BF}"/>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AB9B-47FF-B9BB-BD36595189BF}"/>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AB9B-47FF-B9BB-BD36595189BF}"/>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AB9B-47FF-B9BB-BD36595189BF}"/>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BCBA-41E8-910D-6E18D349E194}"/>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BCBA-41E8-910D-6E18D349E194}"/>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BCBA-41E8-910D-6E18D349E194}"/>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BCBA-41E8-910D-6E18D349E194}"/>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BCBA-41E8-910D-6E18D349E194}"/>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BCBA-41E8-910D-6E18D349E194}"/>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BCBA-41E8-910D-6E18D349E194}"/>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BCBA-41E8-910D-6E18D349E194}"/>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BCBA-41E8-910D-6E18D349E194}"/>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val>
            <c:numRef>
              <c:f>'transfert 80'!$F$2</c:f>
              <c:numCache>
                <c:formatCode>General</c:formatCode>
                <c:ptCount val="1"/>
              </c:numCache>
            </c:numRef>
          </c:val>
          <c:smooth val="0"/>
          <c:extLst xmlns:c15="http://schemas.microsoft.com/office/drawing/2012/char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val>
            <c:numRef>
              <c:f>'transfert 80'!$G$2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val>
            <c:numRef>
              <c:f>'transfert 80'!$H$2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val>
            <c:numRef>
              <c:f>'transfert 80'!$I$2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val>
            <c:numRef>
              <c:f>'transfert 80'!$J$2</c:f>
              <c:numCache>
                <c:formatCode>General</c:formatCode>
                <c:ptCount val="1"/>
              </c:numCache>
            </c:numRef>
          </c:val>
          <c:smooth val="0"/>
          <c:extLst>
            <c:ext xmlns:c15="http://schemas.microsoft.com/office/drawing/2012/chart" uri="{02D57815-91ED-43cb-92C2-25804820EDAC}">
              <c15:filteredCategoryTitle>
                <c15:cat>
                  <c:numRef>
                    <c:extLst>
                      <c:ext uri="{02D57815-91ED-43cb-92C2-25804820EDAC}">
                        <c15:formulaRef>
                          <c15:sqref>'transfert 80'!#REF!</c15:sqref>
                        </c15:formulaRef>
                      </c:ext>
                    </c:extLst>
                    <c:numCache>
                      <c:formatCode>General</c:formatCode>
                      <c:ptCount val="5"/>
                    </c:numCache>
                  </c:numRef>
                </c15:cat>
              </c15:filteredCategoryTitle>
            </c:ex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numRef>
              <c:f>'transfert 200'!$A$2</c:f>
              <c:numCache>
                <c:formatCode>@</c:formatCode>
                <c:ptCount val="1"/>
              </c:numCache>
            </c:numRef>
          </c:cat>
          <c:val>
            <c:numRef>
              <c:f>'transfert 200'!$B$2</c:f>
              <c:numCache>
                <c:formatCode>General</c:formatCode>
                <c:ptCount val="1"/>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numRef>
              <c:f>'transfert 200'!$A$2</c:f>
              <c:numCache>
                <c:formatCode>@</c:formatCode>
                <c:ptCount val="1"/>
              </c:numCache>
            </c:numRef>
          </c:cat>
          <c:val>
            <c:numRef>
              <c:f>'transfert 200'!$C$2</c:f>
              <c:numCache>
                <c:formatCode>General</c:formatCode>
                <c:ptCount val="1"/>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numRef>
              <c:f>'transfert 200'!$A$2</c:f>
              <c:numCache>
                <c:formatCode>@</c:formatCode>
                <c:ptCount val="1"/>
              </c:numCache>
            </c:numRef>
          </c:cat>
          <c:val>
            <c:numRef>
              <c:f>'transfert 200'!$D$2</c:f>
              <c:numCache>
                <c:formatCode>General</c:formatCode>
                <c:ptCount val="1"/>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numRef>
              <c:f>'transfert 200'!$A$2</c:f>
              <c:numCache>
                <c:formatCode>@</c:formatCode>
                <c:ptCount val="1"/>
              </c:numCache>
            </c:numRef>
          </c:cat>
          <c:val>
            <c:numRef>
              <c:f>'transfert 200'!$E$2</c:f>
              <c:numCache>
                <c:formatCode>General</c:formatCode>
                <c:ptCount val="1"/>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numRef>
              <c:f>'transfert 200'!$A$2</c:f>
              <c:numCache>
                <c:formatCode>@</c:formatCode>
                <c:ptCount val="1"/>
              </c:numCache>
            </c:numRef>
          </c:cat>
          <c:val>
            <c:numRef>
              <c:f>'transfert 200'!$F$2</c:f>
              <c:numCache>
                <c:formatCode>General</c:formatCode>
                <c:ptCount val="1"/>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numRef>
              <c:f>'transfert 200'!$A$2</c:f>
              <c:numCache>
                <c:formatCode>@</c:formatCode>
                <c:ptCount val="1"/>
              </c:numCache>
            </c:numRef>
          </c:cat>
          <c:val>
            <c:numRef>
              <c:f>'transfert 200'!$G$2</c:f>
              <c:numCache>
                <c:formatCode>General</c:formatCode>
                <c:ptCount val="1"/>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numRef>
              <c:f>'transfert 200'!$A$2</c:f>
              <c:numCache>
                <c:formatCode>@</c:formatCode>
                <c:ptCount val="1"/>
              </c:numCache>
            </c:numRef>
          </c:cat>
          <c:val>
            <c:numRef>
              <c:f>'transfert 200'!$H$2</c:f>
              <c:numCache>
                <c:formatCode>General</c:formatCode>
                <c:ptCount val="1"/>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numRef>
              <c:f>'transfert 200'!$A$2</c:f>
              <c:numCache>
                <c:formatCode>@</c:formatCode>
                <c:ptCount val="1"/>
              </c:numCache>
            </c:numRef>
          </c:cat>
          <c:val>
            <c:numRef>
              <c:f>'transfert 200'!$I$2</c:f>
              <c:numCache>
                <c:formatCode>General</c:formatCode>
                <c:ptCount val="1"/>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numRef>
              <c:f>'transfert 200'!$A$2</c:f>
              <c:numCache>
                <c:formatCode>@</c:formatCode>
                <c:ptCount val="1"/>
              </c:numCache>
            </c:numRef>
          </c:cat>
          <c:val>
            <c:numRef>
              <c:f>'transfert 200'!$J$2</c:f>
              <c:numCache>
                <c:formatCode>General</c:formatCode>
                <c:ptCount val="1"/>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numRef>
              <c:f>'transfert 385'!$A$2</c:f>
              <c:numCache>
                <c:formatCode>@</c:formatCode>
                <c:ptCount val="1"/>
              </c:numCache>
            </c:numRef>
          </c:cat>
          <c:val>
            <c:numRef>
              <c:f>'transfert 385'!$B$2</c:f>
              <c:numCache>
                <c:formatCode>General</c:formatCode>
                <c:ptCount val="1"/>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numRef>
              <c:f>'transfert 385'!$A$2</c:f>
              <c:numCache>
                <c:formatCode>@</c:formatCode>
                <c:ptCount val="1"/>
              </c:numCache>
            </c:numRef>
          </c:cat>
          <c:val>
            <c:numRef>
              <c:f>'transfert 385'!$C$2</c:f>
              <c:numCache>
                <c:formatCode>General</c:formatCode>
                <c:ptCount val="1"/>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numRef>
              <c:f>'transfert 385'!$A$2</c:f>
              <c:numCache>
                <c:formatCode>@</c:formatCode>
                <c:ptCount val="1"/>
              </c:numCache>
            </c:numRef>
          </c:cat>
          <c:val>
            <c:numRef>
              <c:f>'transfert 385'!$D$2</c:f>
              <c:numCache>
                <c:formatCode>General</c:formatCode>
                <c:ptCount val="1"/>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numRef>
              <c:f>'transfert 385'!$A$2</c:f>
              <c:numCache>
                <c:formatCode>@</c:formatCode>
                <c:ptCount val="1"/>
              </c:numCache>
            </c:numRef>
          </c:cat>
          <c:val>
            <c:numRef>
              <c:f>'transfert 385'!$E$2</c:f>
              <c:numCache>
                <c:formatCode>General</c:formatCode>
                <c:ptCount val="1"/>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numRef>
              <c:f>'transfert 385'!$A$2</c:f>
              <c:numCache>
                <c:formatCode>@</c:formatCode>
                <c:ptCount val="1"/>
              </c:numCache>
            </c:numRef>
          </c:cat>
          <c:val>
            <c:numRef>
              <c:f>'transfert 385'!$F$2</c:f>
              <c:numCache>
                <c:formatCode>General</c:formatCode>
                <c:ptCount val="1"/>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numRef>
              <c:f>'transfert 385'!$A$2</c:f>
              <c:numCache>
                <c:formatCode>@</c:formatCode>
                <c:ptCount val="1"/>
              </c:numCache>
            </c:numRef>
          </c:cat>
          <c:val>
            <c:numRef>
              <c:f>'transfert 385'!$G$2</c:f>
              <c:numCache>
                <c:formatCode>General</c:formatCode>
                <c:ptCount val="1"/>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numRef>
              <c:f>'transfert 385'!$A$2</c:f>
              <c:numCache>
                <c:formatCode>@</c:formatCode>
                <c:ptCount val="1"/>
              </c:numCache>
            </c:numRef>
          </c:cat>
          <c:val>
            <c:numRef>
              <c:f>'transfert 385'!$H$2</c:f>
              <c:numCache>
                <c:formatCode>General</c:formatCode>
                <c:ptCount val="1"/>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numRef>
              <c:f>'transfert 385'!$A$2</c:f>
              <c:numCache>
                <c:formatCode>@</c:formatCode>
                <c:ptCount val="1"/>
              </c:numCache>
            </c:numRef>
          </c:cat>
          <c:val>
            <c:numRef>
              <c:f>'transfert 385'!$I$2</c:f>
              <c:numCache>
                <c:formatCode>General</c:formatCode>
                <c:ptCount val="1"/>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numRef>
              <c:f>'transfert 385'!$A$2</c:f>
              <c:numCache>
                <c:formatCode>@</c:formatCode>
                <c:ptCount val="1"/>
              </c:numCache>
            </c:numRef>
          </c:cat>
          <c:val>
            <c:numRef>
              <c:f>'transfert 385'!$J$2</c:f>
              <c:numCache>
                <c:formatCode>General</c:formatCode>
                <c:ptCount val="1"/>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numRef>
              <c:f>'transfert 535'!$A$2</c:f>
              <c:numCache>
                <c:formatCode>@</c:formatCode>
                <c:ptCount val="1"/>
              </c:numCache>
            </c:numRef>
          </c:cat>
          <c:val>
            <c:numRef>
              <c:f>'transfert 535'!$B$2</c:f>
              <c:numCache>
                <c:formatCode>General</c:formatCode>
                <c:ptCount val="1"/>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numRef>
              <c:f>'transfert 535'!$A$2</c:f>
              <c:numCache>
                <c:formatCode>@</c:formatCode>
                <c:ptCount val="1"/>
              </c:numCache>
            </c:numRef>
          </c:cat>
          <c:val>
            <c:numRef>
              <c:f>'transfert 535'!$C$2</c:f>
              <c:numCache>
                <c:formatCode>General</c:formatCode>
                <c:ptCount val="1"/>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numRef>
              <c:f>'transfert 535'!$A$2</c:f>
              <c:numCache>
                <c:formatCode>@</c:formatCode>
                <c:ptCount val="1"/>
              </c:numCache>
            </c:numRef>
          </c:cat>
          <c:val>
            <c:numRef>
              <c:f>'transfert 535'!$D$2</c:f>
              <c:numCache>
                <c:formatCode>General</c:formatCode>
                <c:ptCount val="1"/>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numRef>
              <c:f>'transfert 535'!$A$2</c:f>
              <c:numCache>
                <c:formatCode>@</c:formatCode>
                <c:ptCount val="1"/>
              </c:numCache>
            </c:numRef>
          </c:cat>
          <c:val>
            <c:numRef>
              <c:f>'transfert 535'!$E$2</c:f>
              <c:numCache>
                <c:formatCode>General</c:formatCode>
                <c:ptCount val="1"/>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numRef>
              <c:f>'transfert 535'!$A$2</c:f>
              <c:numCache>
                <c:formatCode>@</c:formatCode>
                <c:ptCount val="1"/>
              </c:numCache>
            </c:numRef>
          </c:cat>
          <c:val>
            <c:numRef>
              <c:f>'transfert 535'!$F$2</c:f>
              <c:numCache>
                <c:formatCode>General</c:formatCode>
                <c:ptCount val="1"/>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numRef>
              <c:f>'transfert 535'!$A$2</c:f>
              <c:numCache>
                <c:formatCode>@</c:formatCode>
                <c:ptCount val="1"/>
              </c:numCache>
            </c:numRef>
          </c:cat>
          <c:val>
            <c:numRef>
              <c:f>'transfert 535'!$G$2</c:f>
              <c:numCache>
                <c:formatCode>General</c:formatCode>
                <c:ptCount val="1"/>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numRef>
              <c:f>'transfert 535'!$A$2</c:f>
              <c:numCache>
                <c:formatCode>@</c:formatCode>
                <c:ptCount val="1"/>
              </c:numCache>
            </c:numRef>
          </c:cat>
          <c:val>
            <c:numRef>
              <c:f>'transfert 535'!$H$2</c:f>
              <c:numCache>
                <c:formatCode>General</c:formatCode>
                <c:ptCount val="1"/>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numRef>
              <c:f>'transfert 535'!$A$2</c:f>
              <c:numCache>
                <c:formatCode>@</c:formatCode>
                <c:ptCount val="1"/>
              </c:numCache>
            </c:numRef>
          </c:cat>
          <c:val>
            <c:numRef>
              <c:f>'transfert 535'!$I$2</c:f>
              <c:numCache>
                <c:formatCode>General</c:formatCode>
                <c:ptCount val="1"/>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numRef>
              <c:f>'transfert 535'!$A$2</c:f>
              <c:numCache>
                <c:formatCode>@</c:formatCode>
                <c:ptCount val="1"/>
              </c:numCache>
            </c:numRef>
          </c:cat>
          <c:val>
            <c:numRef>
              <c:f>'transfert 535'!$J$2</c:f>
              <c:numCache>
                <c:formatCode>General</c:formatCode>
                <c:ptCount val="1"/>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A20B-4628-99A9-80BB9960667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A20B-4628-99A9-80BB9960667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A20B-4628-99A9-80BB9960667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A20B-4628-99A9-80BB9960667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A20B-4628-99A9-80BB9960667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A20B-4628-99A9-80BB9960667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A20B-4628-99A9-80BB9960667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A20B-4628-99A9-80BB9960667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A20B-4628-99A9-80BB9960667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A20B-4628-99A9-80BB9960667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F2C6-4F6C-A3F1-A2A67F280029}"/>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F2C6-4F6C-A3F1-A2A67F280029}"/>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F2C6-4F6C-A3F1-A2A67F280029}"/>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F2C6-4F6C-A3F1-A2A67F280029}"/>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F2C6-4F6C-A3F1-A2A67F280029}"/>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F2C6-4F6C-A3F1-A2A67F280029}"/>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F2C6-4F6C-A3F1-A2A67F280029}"/>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F2C6-4F6C-A3F1-A2A67F280029}"/>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F2C6-4F6C-A3F1-A2A67F280029}"/>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F2C6-4F6C-A3F1-A2A67F280029}"/>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A9C2-4C3C-9E6D-24060D08A50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A9C2-4C3C-9E6D-24060D08A50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A9C2-4C3C-9E6D-24060D08A50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A9C2-4C3C-9E6D-24060D08A50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A9C2-4C3C-9E6D-24060D08A50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A9C2-4C3C-9E6D-24060D08A50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A9C2-4C3C-9E6D-24060D08A50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A9C2-4C3C-9E6D-24060D08A50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A9C2-4C3C-9E6D-24060D08A50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A9C2-4C3C-9E6D-24060D08A50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A9C2-4C3C-9E6D-24060D08A500}"/>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A9C2-4C3C-9E6D-24060D08A50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Donnee_Congel!$M$1</c:f>
              <c:strCache>
                <c:ptCount val="1"/>
                <c:pt idx="0">
                  <c:v>Connecteur 12</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AAF3-47A3-8C81-33DE4E9C4F26}"/>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AAF3-47A3-8C81-33DE4E9C4F26}"/>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AAF3-47A3-8C81-33DE4E9C4F26}"/>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AAF3-47A3-8C81-33DE4E9C4F26}"/>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AAF3-47A3-8C81-33DE4E9C4F26}"/>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AAF3-47A3-8C81-33DE4E9C4F26}"/>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AAF3-47A3-8C81-33DE4E9C4F26}"/>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AAF3-47A3-8C81-33DE4E9C4F26}"/>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AAF3-47A3-8C81-33DE4E9C4F26}"/>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Donnee_Sechoir!$B$1</c:f>
              <c:strCache>
                <c:ptCount val="1"/>
                <c:pt idx="0">
                  <c:v>Connecteur 1</c:v>
                </c:pt>
              </c:strCache>
            </c:strRef>
          </c:tx>
          <c:spPr>
            <a:ln w="19050" cap="rnd">
              <a:solidFill>
                <a:schemeClr val="accent1"/>
              </a:solidFill>
              <a:round/>
            </a:ln>
            <a:effectLst/>
          </c:spPr>
          <c:marker>
            <c:symbol val="none"/>
          </c:marker>
          <c:xVal>
            <c:numRef>
              <c:f>Donnee_Sechoir!$A$2</c:f>
              <c:numCache>
                <c:formatCode>m/d/yyyy\ h:mm</c:formatCode>
                <c:ptCount val="1"/>
              </c:numCache>
            </c:numRef>
          </c:xVal>
          <c:yVal>
            <c:numRef>
              <c:f>Donnee_Sechoir!$B$2</c:f>
              <c:numCache>
                <c:formatCode>General</c:formatCode>
                <c:ptCount val="1"/>
              </c:numCache>
            </c:numRef>
          </c:yVal>
          <c:smooth val="0"/>
          <c:extLst>
            <c:ext xmlns:c16="http://schemas.microsoft.com/office/drawing/2014/chart" uri="{C3380CC4-5D6E-409C-BE32-E72D297353CC}">
              <c16:uniqueId val="{00000000-209F-4A45-BB3A-9D7CC8FB9801}"/>
            </c:ext>
          </c:extLst>
        </c:ser>
        <c:ser>
          <c:idx val="1"/>
          <c:order val="1"/>
          <c:tx>
            <c:strRef>
              <c:f>Donnee_Sechoir!$C$1</c:f>
              <c:strCache>
                <c:ptCount val="1"/>
                <c:pt idx="0">
                  <c:v>Connecteur 2</c:v>
                </c:pt>
              </c:strCache>
            </c:strRef>
          </c:tx>
          <c:spPr>
            <a:ln w="19050" cap="rnd">
              <a:solidFill>
                <a:schemeClr val="accent2"/>
              </a:solidFill>
              <a:round/>
            </a:ln>
            <a:effectLst/>
          </c:spPr>
          <c:marker>
            <c:symbol val="none"/>
          </c:marker>
          <c:xVal>
            <c:numRef>
              <c:f>Donnee_Sechoir!$A$2</c:f>
              <c:numCache>
                <c:formatCode>m/d/yyyy\ h:mm</c:formatCode>
                <c:ptCount val="1"/>
              </c:numCache>
            </c:numRef>
          </c:xVal>
          <c:yVal>
            <c:numRef>
              <c:f>Donnee_Sechoir!$C$2</c:f>
              <c:numCache>
                <c:formatCode>General</c:formatCode>
                <c:ptCount val="1"/>
              </c:numCache>
            </c:numRef>
          </c:yVal>
          <c:smooth val="0"/>
          <c:extLst>
            <c:ext xmlns:c16="http://schemas.microsoft.com/office/drawing/2014/chart" uri="{C3380CC4-5D6E-409C-BE32-E72D297353CC}">
              <c16:uniqueId val="{00000001-209F-4A45-BB3A-9D7CC8FB9801}"/>
            </c:ext>
          </c:extLst>
        </c:ser>
        <c:ser>
          <c:idx val="2"/>
          <c:order val="2"/>
          <c:tx>
            <c:strRef>
              <c:f>Donnee_Sechoir!$D$1</c:f>
              <c:strCache>
                <c:ptCount val="1"/>
                <c:pt idx="0">
                  <c:v>Connecteur 3</c:v>
                </c:pt>
              </c:strCache>
            </c:strRef>
          </c:tx>
          <c:spPr>
            <a:ln w="19050" cap="rnd">
              <a:solidFill>
                <a:schemeClr val="accent3"/>
              </a:solidFill>
              <a:round/>
            </a:ln>
            <a:effectLst/>
          </c:spPr>
          <c:marker>
            <c:symbol val="none"/>
          </c:marker>
          <c:xVal>
            <c:numRef>
              <c:f>Donnee_Sechoir!$A$2</c:f>
              <c:numCache>
                <c:formatCode>m/d/yyyy\ h:mm</c:formatCode>
                <c:ptCount val="1"/>
              </c:numCache>
            </c:numRef>
          </c:xVal>
          <c:yVal>
            <c:numRef>
              <c:f>Donnee_Sechoir!$D$2</c:f>
              <c:numCache>
                <c:formatCode>General</c:formatCode>
                <c:ptCount val="1"/>
              </c:numCache>
            </c:numRef>
          </c:yVal>
          <c:smooth val="0"/>
          <c:extLst>
            <c:ext xmlns:c16="http://schemas.microsoft.com/office/drawing/2014/chart" uri="{C3380CC4-5D6E-409C-BE32-E72D297353CC}">
              <c16:uniqueId val="{00000002-209F-4A45-BB3A-9D7CC8FB9801}"/>
            </c:ext>
          </c:extLst>
        </c:ser>
        <c:ser>
          <c:idx val="3"/>
          <c:order val="3"/>
          <c:tx>
            <c:strRef>
              <c:f>Donnee_Sechoir!$E$1</c:f>
              <c:strCache>
                <c:ptCount val="1"/>
                <c:pt idx="0">
                  <c:v>Connecteur 4</c:v>
                </c:pt>
              </c:strCache>
            </c:strRef>
          </c:tx>
          <c:spPr>
            <a:ln w="19050" cap="rnd">
              <a:solidFill>
                <a:schemeClr val="accent4"/>
              </a:solidFill>
              <a:round/>
            </a:ln>
            <a:effectLst/>
          </c:spPr>
          <c:marker>
            <c:symbol val="none"/>
          </c:marker>
          <c:xVal>
            <c:numRef>
              <c:f>Donnee_Sechoir!$A$2</c:f>
              <c:numCache>
                <c:formatCode>m/d/yyyy\ h:mm</c:formatCode>
                <c:ptCount val="1"/>
              </c:numCache>
            </c:numRef>
          </c:xVal>
          <c:yVal>
            <c:numRef>
              <c:f>Donnee_Sechoir!$E$2</c:f>
              <c:numCache>
                <c:formatCode>General</c:formatCode>
                <c:ptCount val="1"/>
              </c:numCache>
            </c:numRef>
          </c:yVal>
          <c:smooth val="0"/>
          <c:extLst>
            <c:ext xmlns:c16="http://schemas.microsoft.com/office/drawing/2014/chart" uri="{C3380CC4-5D6E-409C-BE32-E72D297353CC}">
              <c16:uniqueId val="{00000003-209F-4A45-BB3A-9D7CC8FB9801}"/>
            </c:ext>
          </c:extLst>
        </c:ser>
        <c:ser>
          <c:idx val="4"/>
          <c:order val="4"/>
          <c:tx>
            <c:strRef>
              <c:f>Donnee_Sechoir!$F$1</c:f>
              <c:strCache>
                <c:ptCount val="1"/>
                <c:pt idx="0">
                  <c:v>Connecteur 5</c:v>
                </c:pt>
              </c:strCache>
            </c:strRef>
          </c:tx>
          <c:spPr>
            <a:ln w="19050" cap="rnd">
              <a:solidFill>
                <a:schemeClr val="accent5"/>
              </a:solidFill>
              <a:round/>
            </a:ln>
            <a:effectLst/>
          </c:spPr>
          <c:marker>
            <c:symbol val="none"/>
          </c:marker>
          <c:xVal>
            <c:numRef>
              <c:f>Donnee_Sechoir!$A$2</c:f>
              <c:numCache>
                <c:formatCode>m/d/yyyy\ h:mm</c:formatCode>
                <c:ptCount val="1"/>
              </c:numCache>
            </c:numRef>
          </c:xVal>
          <c:yVal>
            <c:numRef>
              <c:f>Donnee_Sechoir!$F$2</c:f>
              <c:numCache>
                <c:formatCode>General</c:formatCode>
                <c:ptCount val="1"/>
              </c:numCache>
            </c:numRef>
          </c:yVal>
          <c:smooth val="0"/>
          <c:extLst>
            <c:ext xmlns:c16="http://schemas.microsoft.com/office/drawing/2014/chart" uri="{C3380CC4-5D6E-409C-BE32-E72D297353CC}">
              <c16:uniqueId val="{00000004-209F-4A45-BB3A-9D7CC8FB9801}"/>
            </c:ext>
          </c:extLst>
        </c:ser>
        <c:ser>
          <c:idx val="5"/>
          <c:order val="5"/>
          <c:tx>
            <c:strRef>
              <c:f>Donnee_Sechoir!$G$1</c:f>
              <c:strCache>
                <c:ptCount val="1"/>
                <c:pt idx="0">
                  <c:v>Connecteur 6</c:v>
                </c:pt>
              </c:strCache>
            </c:strRef>
          </c:tx>
          <c:spPr>
            <a:ln w="19050" cap="rnd">
              <a:solidFill>
                <a:schemeClr val="accent6"/>
              </a:solidFill>
              <a:round/>
            </a:ln>
            <a:effectLst/>
          </c:spPr>
          <c:marker>
            <c:symbol val="none"/>
          </c:marker>
          <c:xVal>
            <c:numRef>
              <c:f>Donnee_Sechoir!$A$2</c:f>
              <c:numCache>
                <c:formatCode>m/d/yyyy\ h:mm</c:formatCode>
                <c:ptCount val="1"/>
              </c:numCache>
            </c:numRef>
          </c:xVal>
          <c:yVal>
            <c:numRef>
              <c:f>Donnee_Sechoir!$G$2</c:f>
              <c:numCache>
                <c:formatCode>0.00</c:formatCode>
                <c:ptCount val="1"/>
              </c:numCache>
            </c:numRef>
          </c:yVal>
          <c:smooth val="0"/>
          <c:extLst>
            <c:ext xmlns:c16="http://schemas.microsoft.com/office/drawing/2014/chart" uri="{C3380CC4-5D6E-409C-BE32-E72D297353CC}">
              <c16:uniqueId val="{00000005-209F-4A45-BB3A-9D7CC8FB9801}"/>
            </c:ext>
          </c:extLst>
        </c:ser>
        <c:ser>
          <c:idx val="6"/>
          <c:order val="6"/>
          <c:tx>
            <c:strRef>
              <c:f>Donnee_Sechoir!$H$1</c:f>
              <c:strCache>
                <c:ptCount val="1"/>
                <c:pt idx="0">
                  <c:v>Connecteur 7</c:v>
                </c:pt>
              </c:strCache>
            </c:strRef>
          </c:tx>
          <c:spPr>
            <a:ln w="19050" cap="rnd">
              <a:solidFill>
                <a:schemeClr val="accent1">
                  <a:lumMod val="60000"/>
                </a:schemeClr>
              </a:solidFill>
              <a:round/>
            </a:ln>
            <a:effectLst/>
          </c:spPr>
          <c:marker>
            <c:symbol val="none"/>
          </c:marker>
          <c:xVal>
            <c:numRef>
              <c:f>Donnee_Sechoir!$A$2</c:f>
              <c:numCache>
                <c:formatCode>m/d/yyyy\ h:mm</c:formatCode>
                <c:ptCount val="1"/>
              </c:numCache>
            </c:numRef>
          </c:xVal>
          <c:yVal>
            <c:numRef>
              <c:f>Donnee_Sechoir!$H$2</c:f>
              <c:numCache>
                <c:formatCode>0.00</c:formatCode>
                <c:ptCount val="1"/>
              </c:numCache>
            </c:numRef>
          </c:yVal>
          <c:smooth val="0"/>
          <c:extLst>
            <c:ext xmlns:c16="http://schemas.microsoft.com/office/drawing/2014/chart" uri="{C3380CC4-5D6E-409C-BE32-E72D297353CC}">
              <c16:uniqueId val="{00000006-209F-4A45-BB3A-9D7CC8FB9801}"/>
            </c:ext>
          </c:extLst>
        </c:ser>
        <c:ser>
          <c:idx val="7"/>
          <c:order val="7"/>
          <c:tx>
            <c:strRef>
              <c:f>Donnee_Sechoir!$I$1</c:f>
              <c:strCache>
                <c:ptCount val="1"/>
                <c:pt idx="0">
                  <c:v>Connecteur 8</c:v>
                </c:pt>
              </c:strCache>
            </c:strRef>
          </c:tx>
          <c:spPr>
            <a:ln w="19050" cap="rnd">
              <a:solidFill>
                <a:schemeClr val="accent2">
                  <a:lumMod val="60000"/>
                </a:schemeClr>
              </a:solidFill>
              <a:round/>
            </a:ln>
            <a:effectLst/>
          </c:spPr>
          <c:marker>
            <c:symbol val="none"/>
          </c:marker>
          <c:xVal>
            <c:numRef>
              <c:f>Donnee_Sechoir!$A$2</c:f>
              <c:numCache>
                <c:formatCode>m/d/yyyy\ h:mm</c:formatCode>
                <c:ptCount val="1"/>
              </c:numCache>
            </c:numRef>
          </c:xVal>
          <c:yVal>
            <c:numRef>
              <c:f>Donnee_Sechoir!$I$2</c:f>
              <c:numCache>
                <c:formatCode>0.00</c:formatCode>
                <c:ptCount val="1"/>
              </c:numCache>
            </c:numRef>
          </c:yVal>
          <c:smooth val="0"/>
          <c:extLst>
            <c:ext xmlns:c16="http://schemas.microsoft.com/office/drawing/2014/chart" uri="{C3380CC4-5D6E-409C-BE32-E72D297353CC}">
              <c16:uniqueId val="{00000007-209F-4A45-BB3A-9D7CC8FB9801}"/>
            </c:ext>
          </c:extLst>
        </c:ser>
        <c:ser>
          <c:idx val="8"/>
          <c:order val="8"/>
          <c:tx>
            <c:strRef>
              <c:f>Donnee_Sechoir!$J$1</c:f>
              <c:strCache>
                <c:ptCount val="1"/>
                <c:pt idx="0">
                  <c:v>Connecteur 9</c:v>
                </c:pt>
              </c:strCache>
            </c:strRef>
          </c:tx>
          <c:spPr>
            <a:ln w="19050" cap="rnd">
              <a:solidFill>
                <a:schemeClr val="accent3">
                  <a:lumMod val="60000"/>
                </a:schemeClr>
              </a:solidFill>
              <a:round/>
            </a:ln>
            <a:effectLst/>
          </c:spPr>
          <c:marker>
            <c:symbol val="none"/>
          </c:marker>
          <c:xVal>
            <c:numRef>
              <c:f>Donnee_Sechoir!$A$2</c:f>
              <c:numCache>
                <c:formatCode>m/d/yyyy\ h:mm</c:formatCode>
                <c:ptCount val="1"/>
              </c:numCache>
            </c:numRef>
          </c:xVal>
          <c:yVal>
            <c:numRef>
              <c:f>Donnee_Sechoir!$J$2</c:f>
              <c:numCache>
                <c:formatCode>0.00</c:formatCode>
                <c:ptCount val="1"/>
              </c:numCache>
            </c:numRef>
          </c:yVal>
          <c:smooth val="0"/>
          <c:extLst>
            <c:ext xmlns:c16="http://schemas.microsoft.com/office/drawing/2014/chart" uri="{C3380CC4-5D6E-409C-BE32-E72D297353CC}">
              <c16:uniqueId val="{00000008-209F-4A45-BB3A-9D7CC8FB9801}"/>
            </c:ext>
          </c:extLst>
        </c:ser>
        <c:dLbls>
          <c:showLegendKey val="0"/>
          <c:showVal val="0"/>
          <c:showCatName val="0"/>
          <c:showSerName val="0"/>
          <c:showPercent val="0"/>
          <c:showBubbleSize val="0"/>
        </c:dLbls>
        <c:axId val="822352112"/>
        <c:axId val="822352832"/>
      </c:scatterChart>
      <c:valAx>
        <c:axId val="822352112"/>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832"/>
        <c:crosses val="autoZero"/>
        <c:crossBetween val="midCat"/>
      </c:valAx>
      <c:valAx>
        <c:axId val="8223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2352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8624-49F2-BE53-80875F9AD1AC}"/>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8624-49F2-BE53-80875F9AD1AC}"/>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8624-49F2-BE53-80875F9AD1AC}"/>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8624-49F2-BE53-80875F9AD1AC}"/>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8624-49F2-BE53-80875F9AD1AC}"/>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8624-49F2-BE53-80875F9AD1AC}"/>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8624-49F2-BE53-80875F9AD1AC}"/>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8624-49F2-BE53-80875F9AD1AC}"/>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8624-49F2-BE53-80875F9AD1AC}"/>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8624-49F2-BE53-80875F9AD1AC}"/>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8624-49F2-BE53-80875F9AD1AC}"/>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8624-49F2-BE53-80875F9AD1AC}"/>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8624-49F2-BE53-80875F9AD1AC}"/>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67A5-4EAC-84F8-49D13DC6AE4D}"/>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67A5-4EAC-84F8-49D13DC6AE4D}"/>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67A5-4EAC-84F8-49D13DC6AE4D}"/>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67A5-4EAC-84F8-49D13DC6AE4D}"/>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67A5-4EAC-84F8-49D13DC6AE4D}"/>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67A5-4EAC-84F8-49D13DC6AE4D}"/>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67A5-4EAC-84F8-49D13DC6AE4D}"/>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67A5-4EAC-84F8-49D13DC6AE4D}"/>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67A5-4EAC-84F8-49D13DC6AE4D}"/>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67A5-4EAC-84F8-49D13DC6AE4D}"/>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67A5-4EAC-84F8-49D13DC6AE4D}"/>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67A5-4EAC-84F8-49D13DC6AE4D}"/>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67A5-4EAC-84F8-49D13DC6AE4D}"/>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7933-4AF3-A5CC-9DBAB03E7A77}"/>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7933-4AF3-A5CC-9DBAB03E7A77}"/>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7933-4AF3-A5CC-9DBAB03E7A77}"/>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7933-4AF3-A5CC-9DBAB03E7A77}"/>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7933-4AF3-A5CC-9DBAB03E7A77}"/>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7933-4AF3-A5CC-9DBAB03E7A77}"/>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7933-4AF3-A5CC-9DBAB03E7A77}"/>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7933-4AF3-A5CC-9DBAB03E7A77}"/>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7933-4AF3-A5CC-9DBAB03E7A77}"/>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7933-4AF3-A5CC-9DBAB03E7A77}"/>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7933-4AF3-A5CC-9DBAB03E7A77}"/>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7933-4AF3-A5CC-9DBAB03E7A77}"/>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7933-4AF3-A5CC-9DBAB03E7A77}"/>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BB8B-40F7-8E71-672414C61E11}"/>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BB8B-40F7-8E71-672414C61E11}"/>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BB8B-40F7-8E71-672414C61E11}"/>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BB8B-40F7-8E71-672414C61E11}"/>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BB8B-40F7-8E71-672414C61E11}"/>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BB8B-40F7-8E71-672414C61E11}"/>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BB8B-40F7-8E71-672414C61E11}"/>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BB8B-40F7-8E71-672414C61E11}"/>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BB8B-40F7-8E71-672414C61E11}"/>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7896-4301-8DA0-8BCB615D5C1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7896-4301-8DA0-8BCB615D5C1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7896-4301-8DA0-8BCB615D5C1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7896-4301-8DA0-8BCB615D5C1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7896-4301-8DA0-8BCB615D5C1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7896-4301-8DA0-8BCB615D5C1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7896-4301-8DA0-8BCB615D5C1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7896-4301-8DA0-8BCB615D5C1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7896-4301-8DA0-8BCB615D5C1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F381-4386-A469-2E36B775EBD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F381-4386-A469-2E36B775EBD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F381-4386-A469-2E36B775EBD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F381-4386-A469-2E36B775EBD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F381-4386-A469-2E36B775EBD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F381-4386-A469-2E36B775EBD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F381-4386-A469-2E36B775EBD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F381-4386-A469-2E36B775EBD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F381-4386-A469-2E36B775EBD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07/relationships/hdphoto" Target="../media/hdphoto1.wdp"/><Relationship Id="rId1" Type="http://schemas.openxmlformats.org/officeDocument/2006/relationships/image" Target="../media/image7.png"/><Relationship Id="rId5" Type="http://schemas.openxmlformats.org/officeDocument/2006/relationships/image" Target="../media/image10.png"/><Relationship Id="rId4" Type="http://schemas.openxmlformats.org/officeDocument/2006/relationships/image" Target="../media/image9.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5.jpg"/><Relationship Id="rId1" Type="http://schemas.openxmlformats.org/officeDocument/2006/relationships/image" Target="../media/image2.jpeg"/><Relationship Id="rId6" Type="http://schemas.openxmlformats.org/officeDocument/2006/relationships/image" Target="../media/image11.pn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image" Target="../media/image5.jpg"/><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1.xml"/><Relationship Id="rId4" Type="http://schemas.openxmlformats.org/officeDocument/2006/relationships/chart" Target="../charts/chart2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7.xml"/><Relationship Id="rId4" Type="http://schemas.openxmlformats.org/officeDocument/2006/relationships/chart" Target="../charts/chart2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14</xdr:col>
          <xdr:colOff>438150</xdr:colOff>
          <xdr:row>11</xdr:row>
          <xdr:rowOff>19050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 </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 </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 </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 </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 </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 </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 </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 </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 </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 </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 </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 </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 </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 </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 </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 </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 </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 </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369794</xdr:colOff>
      <xdr:row>44</xdr:row>
      <xdr:rowOff>44823</xdr:rowOff>
    </xdr:to>
    <xdr:graphicFrame macro="">
      <xdr:nvGraphicFramePr>
        <xdr:cNvPr id="3" name="Graph80">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24</xdr:row>
      <xdr:rowOff>0</xdr:rowOff>
    </xdr:from>
    <xdr:to>
      <xdr:col>24</xdr:col>
      <xdr:colOff>369794</xdr:colOff>
      <xdr:row>43</xdr:row>
      <xdr:rowOff>179293</xdr:rowOff>
    </xdr:to>
    <xdr:graphicFrame macro="">
      <xdr:nvGraphicFramePr>
        <xdr:cNvPr id="3" name="Graph200">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371475</xdr:colOff>
      <xdr:row>44</xdr:row>
      <xdr:rowOff>9525</xdr:rowOff>
    </xdr:to>
    <xdr:graphicFrame macro="">
      <xdr:nvGraphicFramePr>
        <xdr:cNvPr id="3" name="Graph385">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0</xdr:colOff>
      <xdr:row>23</xdr:row>
      <xdr:rowOff>0</xdr:rowOff>
    </xdr:from>
    <xdr:to>
      <xdr:col>24</xdr:col>
      <xdr:colOff>369794</xdr:colOff>
      <xdr:row>44</xdr:row>
      <xdr:rowOff>44824</xdr:rowOff>
    </xdr:to>
    <xdr:graphicFrame macro="">
      <xdr:nvGraphicFramePr>
        <xdr:cNvPr id="3" name="Graph535">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0</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0</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0</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0</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0</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0</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0</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0</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0</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0</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0</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0</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0</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0</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0</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0</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0</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0</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13</xdr:row>
      <xdr:rowOff>38099</xdr:rowOff>
    </xdr:from>
    <xdr:to>
      <xdr:col>12</xdr:col>
      <xdr:colOff>1038225</xdr:colOff>
      <xdr:row>37</xdr:row>
      <xdr:rowOff>133350</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3886199"/>
          <a:ext cx="5762625" cy="4686301"/>
          <a:chOff x="7058025" y="2857499"/>
          <a:chExt cx="5762625" cy="4686301"/>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686301"/>
            <a:chOff x="8605630" y="3404152"/>
            <a:chExt cx="4174435" cy="4556558"/>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556558"/>
              <a:chOff x="8605630" y="3404152"/>
              <a:chExt cx="4174435" cy="4556558"/>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6">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 </a:t>
                    </a:fld>
                    <a:endParaRPr lang="fr-FR" sz="1100"/>
                  </a:p>
                </xdr:txBody>
              </xdr:sp>
              <xdr:sp macro="" textlink="$B$27">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 </a:t>
                    </a:fld>
                    <a:endParaRPr lang="fr-FR" sz="1100"/>
                  </a:p>
                </xdr:txBody>
              </xdr:sp>
              <xdr:sp macro="" textlink="$B$29">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 </a:t>
                    </a:fld>
                    <a:endParaRPr lang="fr-FR" sz="1100"/>
                  </a:p>
                </xdr:txBody>
              </xdr:sp>
              <xdr:sp macro="" textlink="$B$31">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 </a:t>
                    </a:fld>
                    <a:endParaRPr lang="fr-FR" sz="1100"/>
                  </a:p>
                </xdr:txBody>
              </xdr:sp>
              <xdr:sp macro="" textlink="$B$30">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 </a:t>
                    </a:fld>
                    <a:endParaRPr lang="fr-FR" sz="1100"/>
                  </a:p>
                </xdr:txBody>
              </xdr:sp>
              <xdr:sp macro="" textlink="$C$31">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 </a:t>
                    </a:fld>
                    <a:endParaRPr lang="fr-FR" sz="1100"/>
                  </a:p>
                </xdr:txBody>
              </xdr:sp>
              <xdr:sp macro="" textlink="$C$26">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 </a:t>
                    </a:fld>
                    <a:endParaRPr lang="fr-FR" sz="1100"/>
                  </a:p>
                </xdr:txBody>
              </xdr:sp>
              <xdr:sp macro="" textlink="$C$30">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 </a:t>
                    </a:fld>
                    <a:endParaRPr lang="fr-FR" sz="1100"/>
                  </a:p>
                </xdr:txBody>
              </xdr:sp>
              <xdr:sp macro="" textlink="$C$29">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 </a:t>
                    </a:fld>
                    <a:endParaRPr lang="fr-FR" sz="1100"/>
                  </a:p>
                </xdr:txBody>
              </xdr:sp>
              <xdr:sp macro="" textlink="$C$27">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 </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4">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 </a:t>
                      </a:fld>
                      <a:endParaRPr lang="fr-FR" sz="1100"/>
                    </a:p>
                  </xdr:txBody>
                </xdr:sp>
                <xdr:sp macro="" textlink="$C$24">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 </a:t>
                      </a:fld>
                      <a:endParaRPr lang="fr-FR" sz="1100"/>
                    </a:p>
                  </xdr:txBody>
                </xdr:sp>
                <xdr:sp macro="" textlink="$B$25">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 </a:t>
                      </a:fld>
                      <a:endParaRPr lang="fr-FR" sz="1100"/>
                    </a:p>
                  </xdr:txBody>
                </xdr:sp>
                <xdr:sp macro="" textlink="$B$28">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 </a:t>
                      </a:fld>
                      <a:endParaRPr lang="fr-FR" sz="1100"/>
                    </a:p>
                  </xdr:txBody>
                </xdr:sp>
                <xdr:sp macro="" textlink="$B$32">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 </a:t>
                      </a:fld>
                      <a:endParaRPr lang="fr-FR" sz="1100"/>
                    </a:p>
                  </xdr:txBody>
                </xdr:sp>
                <xdr:sp macro="" textlink="$C$28">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 </a:t>
                      </a:fld>
                      <a:endParaRPr lang="fr-FR" sz="1100"/>
                    </a:p>
                  </xdr:txBody>
                </xdr:sp>
                <xdr:sp macro="" textlink="$C$25">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970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22</xdr:row>
      <xdr:rowOff>38100</xdr:rowOff>
    </xdr:from>
    <xdr:to>
      <xdr:col>11</xdr:col>
      <xdr:colOff>486134</xdr:colOff>
      <xdr:row>23</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17</xdr:row>
      <xdr:rowOff>123825</xdr:rowOff>
    </xdr:from>
    <xdr:to>
      <xdr:col>10</xdr:col>
      <xdr:colOff>523875</xdr:colOff>
      <xdr:row>19</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19</xdr:row>
      <xdr:rowOff>104775</xdr:rowOff>
    </xdr:from>
    <xdr:to>
      <xdr:col>10</xdr:col>
      <xdr:colOff>267059</xdr:colOff>
      <xdr:row>20</xdr:row>
      <xdr:rowOff>93163</xdr:rowOff>
    </xdr:to>
    <xdr:sp macro="" textlink="$B$33">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19</xdr:row>
      <xdr:rowOff>104775</xdr:rowOff>
    </xdr:from>
    <xdr:to>
      <xdr:col>10</xdr:col>
      <xdr:colOff>476609</xdr:colOff>
      <xdr:row>20</xdr:row>
      <xdr:rowOff>93163</xdr:rowOff>
    </xdr:to>
    <xdr:sp macro="" textlink="$C$33">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 </a:t>
          </a:fld>
          <a:endParaRPr lang="fr-FR" sz="1100"/>
        </a:p>
      </xdr:txBody>
    </xdr:sp>
    <xdr:clientData/>
  </xdr:twoCellAnchor>
  <mc:AlternateContent xmlns:mc="http://schemas.openxmlformats.org/markup-compatibility/2006">
    <mc:Choice xmlns:a14="http://schemas.microsoft.com/office/drawing/2010/main" Requires="a14">
      <xdr:twoCellAnchor>
        <xdr:from>
          <xdr:col>8</xdr:col>
          <xdr:colOff>466725</xdr:colOff>
          <xdr:row>5</xdr:row>
          <xdr:rowOff>9525</xdr:rowOff>
        </xdr:from>
        <xdr:to>
          <xdr:col>12</xdr:col>
          <xdr:colOff>619125</xdr:colOff>
          <xdr:row>10</xdr:row>
          <xdr:rowOff>114300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1100-0000022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ressuage BCH</a:t>
              </a:r>
            </a:p>
          </xdr:txBody>
        </xdr:sp>
        <xdr:clientData fPrintsWithSheet="0"/>
      </xdr:twoCellAnchor>
    </mc:Choice>
    <mc:Fallback/>
  </mc:AlternateContent>
  <xdr:twoCellAnchor>
    <xdr:from>
      <xdr:col>7</xdr:col>
      <xdr:colOff>133350</xdr:colOff>
      <xdr:row>35</xdr:row>
      <xdr:rowOff>133350</xdr:rowOff>
    </xdr:from>
    <xdr:to>
      <xdr:col>7</xdr:col>
      <xdr:colOff>533400</xdr:colOff>
      <xdr:row>37</xdr:row>
      <xdr:rowOff>95250</xdr:rowOff>
    </xdr:to>
    <xdr:sp macro="" textlink="">
      <xdr:nvSpPr>
        <xdr:cNvPr id="2" name="Étoile : 5 branches 1">
          <a:extLst>
            <a:ext uri="{FF2B5EF4-FFF2-40B4-BE49-F238E27FC236}">
              <a16:creationId xmlns:a16="http://schemas.microsoft.com/office/drawing/2014/main" id="{00000000-0008-0000-1100-000002000000}"/>
            </a:ext>
          </a:extLst>
        </xdr:cNvPr>
        <xdr:cNvSpPr/>
      </xdr:nvSpPr>
      <xdr:spPr>
        <a:xfrm>
          <a:off x="6934200" y="8191500"/>
          <a:ext cx="40005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26</xdr:row>
      <xdr:rowOff>0</xdr:rowOff>
    </xdr:from>
    <xdr:to>
      <xdr:col>12</xdr:col>
      <xdr:colOff>104775</xdr:colOff>
      <xdr:row>46</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800" kern="1200">
              <a:solidFill>
                <a:schemeClr val="tx1"/>
              </a:solidFill>
              <a:effectLst/>
              <a:latin typeface="+mn-lt"/>
              <a:ea typeface="+mn-ea"/>
              <a:cs typeface="+mn-cs"/>
            </a:rPr>
            <a:t>L’enregistreur portable est programmé pour obtenir un enregistrement toutes les minutes des 9 thermocouples de TUS. Les données de l’enregistreur portable ne sont pas corrigées. Les corrections (voie de l’enregistreur + thermocouple) sont appliquées à postériori. </a:t>
          </a:r>
          <a:endParaRPr lang="fr-FR" sz="2000">
            <a:effectLst/>
          </a:endParaRPr>
        </a:p>
        <a:p>
          <a:r>
            <a:rPr lang="fr-FR" sz="1800" kern="1200">
              <a:solidFill>
                <a:schemeClr val="tx1"/>
              </a:solidFill>
              <a:effectLst/>
              <a:latin typeface="+mn-lt"/>
              <a:ea typeface="+mn-ea"/>
              <a:cs typeface="+mn-cs"/>
            </a:rPr>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endParaRPr lang="fr-FR" sz="2000">
            <a:effectLst/>
          </a:endParaRPr>
        </a:p>
        <a:p>
          <a:r>
            <a:rPr lang="fr-FR" sz="1800" kern="1200">
              <a:solidFill>
                <a:schemeClr val="tx1"/>
              </a:solidFill>
              <a:effectLst/>
              <a:latin typeface="+mn-lt"/>
              <a:ea typeface="+mn-ea"/>
              <a:cs typeface="+mn-cs"/>
            </a:rPr>
            <a:t>Les 9 capteurs de contrôle sont positionnés de telle sorte à représenter le volume utile à contrôler.</a:t>
          </a:r>
          <a:endParaRPr lang="fr-FR" sz="2000">
            <a:effectLst/>
          </a:endParaRPr>
        </a:p>
        <a:p>
          <a:r>
            <a:rPr lang="fr-FR" sz="1800" kern="1200">
              <a:solidFill>
                <a:schemeClr val="tx1"/>
              </a:solidFill>
              <a:effectLst/>
              <a:latin typeface="+mn-lt"/>
              <a:ea typeface="+mn-ea"/>
              <a:cs typeface="+mn-cs"/>
            </a:rPr>
            <a:t>Les fichiers informatiques des données créés par les enregistreurs sous format .uhh ne sont pas modifiables.</a:t>
          </a:r>
          <a:endParaRPr lang="fr-FR" sz="2000">
            <a:effectLst/>
          </a:endParaRPr>
        </a:p>
        <a:p>
          <a:br>
            <a:rPr lang="fr-FR" sz="1800" kern="1200">
              <a:solidFill>
                <a:schemeClr val="tx1"/>
              </a:solidFill>
              <a:effectLst/>
              <a:latin typeface="+mn-lt"/>
              <a:ea typeface="+mn-ea"/>
              <a:cs typeface="+mn-cs"/>
            </a:rPr>
          </a:br>
          <a:r>
            <a:rPr lang="fr-FR" sz="1800" kern="1200">
              <a:solidFill>
                <a:schemeClr val="tx1"/>
              </a:solidFill>
              <a:effectLst/>
              <a:latin typeface="+mn-lt"/>
              <a:ea typeface="+mn-ea"/>
              <a:cs typeface="+mn-cs"/>
            </a:rPr>
            <a:t> </a:t>
          </a:r>
          <a:endParaRPr lang="fr-FR" sz="2000">
            <a:effectLst/>
          </a:endParaRP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421822</xdr:colOff>
      <xdr:row>165</xdr:row>
      <xdr:rowOff>163286</xdr:rowOff>
    </xdr:from>
    <xdr:to>
      <xdr:col>7</xdr:col>
      <xdr:colOff>1000126</xdr:colOff>
      <xdr:row>190</xdr:row>
      <xdr:rowOff>54429</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653643"/>
          <a:chOff x="7058025" y="2857499"/>
          <a:chExt cx="5762625" cy="4653643"/>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653643"/>
            <a:chOff x="8605630" y="3404152"/>
            <a:chExt cx="4174435" cy="4524804"/>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524804"/>
              <a:chOff x="8605630" y="3404152"/>
              <a:chExt cx="4174435" cy="4524804"/>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6">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 </a:t>
                    </a:fld>
                    <a:endParaRPr lang="fr-FR" sz="1100"/>
                  </a:p>
                </xdr:txBody>
              </xdr:sp>
              <xdr:sp macro="" textlink="Mesures_Ressuage_BCH!$B$27">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 </a:t>
                    </a:fld>
                    <a:endParaRPr lang="fr-FR" sz="1100"/>
                  </a:p>
                </xdr:txBody>
              </xdr:sp>
              <xdr:sp macro="" textlink="Mesures_Ressuage_BCH!$B$29">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 </a:t>
                    </a:fld>
                    <a:endParaRPr lang="fr-FR" sz="1100"/>
                  </a:p>
                </xdr:txBody>
              </xdr:sp>
              <xdr:sp macro="" textlink="Mesures_Ressuage_BCH!$B$31">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 </a:t>
                    </a:fld>
                    <a:endParaRPr lang="fr-FR" sz="1100"/>
                  </a:p>
                </xdr:txBody>
              </xdr:sp>
              <xdr:sp macro="" textlink="Mesures_Ressuage_BCH!$B$30">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 </a:t>
                    </a:fld>
                    <a:endParaRPr lang="fr-FR" sz="1100"/>
                  </a:p>
                </xdr:txBody>
              </xdr:sp>
              <xdr:sp macro="" textlink="Mesures_Ressuage_BCH!$C$31">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 </a:t>
                    </a:fld>
                    <a:endParaRPr lang="fr-FR" sz="1100"/>
                  </a:p>
                </xdr:txBody>
              </xdr:sp>
              <xdr:sp macro="" textlink="Mesures_Ressuage_BCH!$C$26">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 </a:t>
                    </a:fld>
                    <a:endParaRPr lang="fr-FR" sz="1100"/>
                  </a:p>
                </xdr:txBody>
              </xdr:sp>
              <xdr:sp macro="" textlink="Mesures_Ressuage_BCH!$C$30">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 </a:t>
                    </a:fld>
                    <a:endParaRPr lang="fr-FR" sz="1100"/>
                  </a:p>
                </xdr:txBody>
              </xdr:sp>
              <xdr:sp macro="" textlink="Mesures_Ressuage_BCH!$C$29">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 </a:t>
                    </a:fld>
                    <a:endParaRPr lang="fr-FR" sz="1100"/>
                  </a:p>
                </xdr:txBody>
              </xdr:sp>
              <xdr:sp macro="" textlink="Mesures_Ressuage_BCH!$C$27">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 </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4">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 </a:t>
                      </a:fld>
                      <a:endParaRPr lang="fr-FR" sz="1100"/>
                    </a:p>
                  </xdr:txBody>
                </xdr:sp>
                <xdr:sp macro="" textlink="Mesures_Ressuage_BCH!$C$24">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 </a:t>
                      </a:fld>
                      <a:endParaRPr lang="fr-FR" sz="1100"/>
                    </a:p>
                  </xdr:txBody>
                </xdr:sp>
                <xdr:sp macro="" textlink="Mesures_Ressuage_BCH!$B$25">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 </a:t>
                      </a:fld>
                      <a:endParaRPr lang="fr-FR" sz="1100"/>
                    </a:p>
                  </xdr:txBody>
                </xdr:sp>
                <xdr:sp macro="" textlink="Mesures_Ressuage_BCH!$B$28">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 </a:t>
                      </a:fld>
                      <a:endParaRPr lang="fr-FR" sz="1100"/>
                    </a:p>
                  </xdr:txBody>
                </xdr:sp>
                <xdr:sp macro="" textlink="Mesures_Ressuage_BCH!$B$32">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Ressuage_BCH!$C$32">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 </a:t>
                      </a:fld>
                      <a:endParaRPr lang="fr-FR" sz="1100"/>
                    </a:p>
                  </xdr:txBody>
                </xdr:sp>
                <xdr:sp macro="" textlink="Mesures_Ressuage_BCH!$C$28">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 </a:t>
                      </a:fld>
                      <a:endParaRPr lang="fr-FR" sz="1100"/>
                    </a:p>
                  </xdr:txBody>
                </xdr:sp>
                <xdr:sp macro="" textlink="Mesures_Ressuage_BCH!$C$25">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9384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a:p>
                <a:endParaRPr lang="fr-FR" sz="1100"/>
              </a:p>
              <a:p>
                <a:r>
                  <a:rPr lang="fr-FR" sz="1100"/>
                  <a:t>Sonde de régulation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3">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3">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 </a:t>
          </a:fld>
          <a:endParaRPr lang="fr-FR" sz="1100"/>
        </a:p>
      </xdr:txBody>
    </xdr:sp>
    <xdr:clientData/>
  </xdr:twoCellAnchor>
  <xdr:twoCellAnchor>
    <xdr:from>
      <xdr:col>1</xdr:col>
      <xdr:colOff>0</xdr:colOff>
      <xdr:row>261</xdr:row>
      <xdr:rowOff>0</xdr:rowOff>
    </xdr:from>
    <xdr:to>
      <xdr:col>8</xdr:col>
      <xdr:colOff>217714</xdr:colOff>
      <xdr:row>288</xdr:row>
      <xdr:rowOff>27214</xdr:rowOff>
    </xdr:to>
    <xdr:graphicFrame macro="">
      <xdr:nvGraphicFramePr>
        <xdr:cNvPr id="48" name="Graphique 47">
          <a:extLst>
            <a:ext uri="{FF2B5EF4-FFF2-40B4-BE49-F238E27FC236}">
              <a16:creationId xmlns:a16="http://schemas.microsoft.com/office/drawing/2014/main" id="{00000000-0008-0000-1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176893</xdr:colOff>
      <xdr:row>188</xdr:row>
      <xdr:rowOff>108857</xdr:rowOff>
    </xdr:from>
    <xdr:to>
      <xdr:col>4</xdr:col>
      <xdr:colOff>634093</xdr:colOff>
      <xdr:row>190</xdr:row>
      <xdr:rowOff>70757</xdr:rowOff>
    </xdr:to>
    <xdr:sp macro="" textlink="">
      <xdr:nvSpPr>
        <xdr:cNvPr id="49" name="Étoile : 5 branches 48">
          <a:extLst>
            <a:ext uri="{FF2B5EF4-FFF2-40B4-BE49-F238E27FC236}">
              <a16:creationId xmlns:a16="http://schemas.microsoft.com/office/drawing/2014/main" id="{00000000-0008-0000-1400-000031000000}"/>
            </a:ext>
          </a:extLst>
        </xdr:cNvPr>
        <xdr:cNvSpPr/>
      </xdr:nvSpPr>
      <xdr:spPr>
        <a:xfrm>
          <a:off x="7606393" y="41188821"/>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2174874</xdr:colOff>
      <xdr:row>32</xdr:row>
      <xdr:rowOff>0</xdr:rowOff>
    </xdr:from>
    <xdr:to>
      <xdr:col>7</xdr:col>
      <xdr:colOff>2809874</xdr:colOff>
      <xdr:row>63</xdr:row>
      <xdr:rowOff>15875</xdr:rowOff>
    </xdr:to>
    <xdr:graphicFrame macro="">
      <xdr:nvGraphicFramePr>
        <xdr:cNvPr id="4" name="Graphique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428625</xdr:colOff>
          <xdr:row>6</xdr:row>
          <xdr:rowOff>95250</xdr:rowOff>
        </xdr:from>
        <xdr:to>
          <xdr:col>12</xdr:col>
          <xdr:colOff>904875</xdr:colOff>
          <xdr:row>13</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twoCellAnchor>
    <xdr:from>
      <xdr:col>6</xdr:col>
      <xdr:colOff>49529</xdr:colOff>
      <xdr:row>16</xdr:row>
      <xdr:rowOff>171450</xdr:rowOff>
    </xdr:from>
    <xdr:to>
      <xdr:col>12</xdr:col>
      <xdr:colOff>560</xdr:colOff>
      <xdr:row>35</xdr:row>
      <xdr:rowOff>171450</xdr:rowOff>
    </xdr:to>
    <xdr:grpSp>
      <xdr:nvGrpSpPr>
        <xdr:cNvPr id="6" name="Groupe 5">
          <a:extLst>
            <a:ext uri="{FF2B5EF4-FFF2-40B4-BE49-F238E27FC236}">
              <a16:creationId xmlns:a16="http://schemas.microsoft.com/office/drawing/2014/main" id="{00000000-0008-0000-1600-000006000000}"/>
            </a:ext>
          </a:extLst>
        </xdr:cNvPr>
        <xdr:cNvGrpSpPr/>
      </xdr:nvGrpSpPr>
      <xdr:grpSpPr>
        <a:xfrm>
          <a:off x="6240779" y="4429125"/>
          <a:ext cx="5694606" cy="3638550"/>
          <a:chOff x="6240779" y="4429125"/>
          <a:chExt cx="5694606" cy="3638550"/>
        </a:xfrm>
      </xdr:grpSpPr>
      <xdr:grpSp>
        <xdr:nvGrpSpPr>
          <xdr:cNvPr id="3112" name="Groupe 3111">
            <a:extLst>
              <a:ext uri="{FF2B5EF4-FFF2-40B4-BE49-F238E27FC236}">
                <a16:creationId xmlns:a16="http://schemas.microsoft.com/office/drawing/2014/main" id="{00000000-0008-0000-1600-0000280C0000}"/>
              </a:ext>
            </a:extLst>
          </xdr:cNvPr>
          <xdr:cNvGrpSpPr/>
        </xdr:nvGrpSpPr>
        <xdr:grpSpPr>
          <a:xfrm>
            <a:off x="6240779" y="4429125"/>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4">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4">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9">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8">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5">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4">
          <xdr:nvSpPr>
            <xdr:cNvPr id="3115" name="Ellipse 3114">
              <a:extLst>
                <a:ext uri="{FF2B5EF4-FFF2-40B4-BE49-F238E27FC236}">
                  <a16:creationId xmlns:a16="http://schemas.microsoft.com/office/drawing/2014/main" id="{00000000-0008-0000-1600-00002B0C0000}"/>
                </a:ext>
              </a:extLst>
            </xdr:cNvPr>
            <xdr:cNvSpPr/>
          </xdr:nvSpPr>
          <xdr:spPr>
            <a:xfrm>
              <a:off x="9877038" y="2944798"/>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5">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sp macro="" textlink="">
        <xdr:nvSpPr>
          <xdr:cNvPr id="2" name="ZoneTexte 1">
            <a:extLst>
              <a:ext uri="{FF2B5EF4-FFF2-40B4-BE49-F238E27FC236}">
                <a16:creationId xmlns:a16="http://schemas.microsoft.com/office/drawing/2014/main" id="{00000000-0008-0000-1600-000002000000}"/>
              </a:ext>
            </a:extLst>
          </xdr:cNvPr>
          <xdr:cNvSpPr txBox="1"/>
        </xdr:nvSpPr>
        <xdr:spPr>
          <a:xfrm>
            <a:off x="10477499" y="7400925"/>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pic>
        <xdr:nvPicPr>
          <xdr:cNvPr id="3" name="Imag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3"/>
          <a:stretch>
            <a:fillRect/>
          </a:stretch>
        </xdr:blipFill>
        <xdr:spPr>
          <a:xfrm>
            <a:off x="10477499" y="7400925"/>
            <a:ext cx="266737" cy="228632"/>
          </a:xfrm>
          <a:prstGeom prst="rect">
            <a:avLst/>
          </a:prstGeom>
        </xdr:spPr>
      </xdr:pic>
      <xdr:pic>
        <xdr:nvPicPr>
          <xdr:cNvPr id="4" name="Image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4"/>
          <a:stretch>
            <a:fillRect/>
          </a:stretch>
        </xdr:blipFill>
        <xdr:spPr>
          <a:xfrm>
            <a:off x="10753724" y="7400925"/>
            <a:ext cx="238158" cy="228632"/>
          </a:xfrm>
          <a:prstGeom prst="rect">
            <a:avLst/>
          </a:prstGeom>
        </xdr:spPr>
      </xdr:pic>
      <xdr:pic>
        <xdr:nvPicPr>
          <xdr:cNvPr id="5" name="Imag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5"/>
          <a:stretch>
            <a:fillRect/>
          </a:stretch>
        </xdr:blipFill>
        <xdr:spPr>
          <a:xfrm>
            <a:off x="11001374" y="7410450"/>
            <a:ext cx="266667" cy="228571"/>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419100</xdr:colOff>
      <xdr:row>23</xdr:row>
      <xdr:rowOff>152400</xdr:rowOff>
    </xdr:from>
    <xdr:to>
      <xdr:col>13</xdr:col>
      <xdr:colOff>28575</xdr:colOff>
      <xdr:row>46</xdr:row>
      <xdr:rowOff>66675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535178"/>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Mesures_Congel!$C$24">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416717F-8759-445D-A1D1-5A8B51BC1F3C}" type="TxLink">
                    <a:rPr lang="en-US" sz="1100" b="0" i="0" u="none" strike="noStrike">
                      <a:solidFill>
                        <a:srgbClr val="000000"/>
                      </a:solidFill>
                      <a:latin typeface="Calibri"/>
                      <a:cs typeface="Calibri"/>
                    </a:rPr>
                    <a:pPr algn="ctr"/>
                    <a:t> </a:t>
                  </a:fld>
                  <a:endParaRPr lang="fr-FR" sz="1100"/>
                </a:p>
              </xdr:txBody>
            </xdr:sp>
            <xdr:sp macro="" textlink="Mesures_Congel!$B$24">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CBECE4B-5C39-459A-AEB0-31127E65AB24}" type="TxLink">
                    <a:rPr lang="en-US" sz="1100" b="0" i="0" u="none" strike="noStrike">
                      <a:solidFill>
                        <a:srgbClr val="000000"/>
                      </a:solidFill>
                      <a:latin typeface="Calibri"/>
                      <a:cs typeface="Calibri"/>
                    </a:rPr>
                    <a:pPr algn="ctr"/>
                    <a:t> </a:t>
                  </a:fld>
                  <a:endParaRPr lang="fr-FR" sz="1100"/>
                </a:p>
              </xdr:txBody>
            </xdr:sp>
          </xdr:grpSp>
          <xdr:sp macro="" textlink="Mesures_Congel!$B$29">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D2420E9-BE37-4BB5-97ED-F97405827F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0">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C9C6CFA-1797-41FB-BA43-9CF8A8161E2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1">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0D0419B-D430-41C7-A302-59DC7E54DF3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5">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6CE2DDD-5AA6-4727-9E9D-3349A49A0C1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2">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488EAD0-E18A-4CED-94D1-753898C946B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8">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78AED9A-D97F-4C6B-95FD-282F54CE1BF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6">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77BE5B7-86B5-4C50-A24F-F9E0F98752E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7">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5FA8D34-DCC2-4170-83E0-F95ED566B0DD}"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29">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C25D00A-B3BD-4C62-8C0D-478D0E358A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0">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7B449BA-42BA-424E-AD25-A5245ADF4AE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1">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1059979-C043-454A-8E0E-F19F4FB50ED6}"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2">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860202E-36B0-47AB-9853-14AF4AF9CE9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8">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F1EB85B-695F-4D0C-B0DA-57F6C3C15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6">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DAA5F18B-8852-4B69-9F47-467FB462AB9F}"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7">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479EA8-0BB3-4391-BC89-51FA984BA6B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25">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1BE3D82-FABC-4952-8FEE-EDFED885311D}"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Mesures_Congel!$C$35">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B84802D-66B0-4084-8DDF-35BE469A532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4">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880EBED-C348-4D2F-8F07-FF777CC91A0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C$33">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E857634-7367-4E0F-A6E4-5715C8AE43A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5">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6A01D9A3-A2E5-44A4-9407-C36A3E66DA2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4">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3A08FF0-062A-4DFD-9800-864C9CB86AA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Congel!$B$33">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18BB787-1818-4CFB-B927-C14C40FFB0E2}"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761999</xdr:colOff>
      <xdr:row>182</xdr:row>
      <xdr:rowOff>190499</xdr:rowOff>
    </xdr:from>
    <xdr:to>
      <xdr:col>8</xdr:col>
      <xdr:colOff>395966</xdr:colOff>
      <xdr:row>186</xdr:row>
      <xdr:rowOff>95249</xdr:rowOff>
    </xdr:to>
    <xdr:sp macro="" textlink="">
      <xdr:nvSpPr>
        <xdr:cNvPr id="14" name="ZoneTexte 13">
          <a:extLst>
            <a:ext uri="{FF2B5EF4-FFF2-40B4-BE49-F238E27FC236}">
              <a16:creationId xmlns:a16="http://schemas.microsoft.com/office/drawing/2014/main" id="{00000000-0008-0000-1900-00000E000000}"/>
            </a:ext>
          </a:extLst>
        </xdr:cNvPr>
        <xdr:cNvSpPr txBox="1"/>
      </xdr:nvSpPr>
      <xdr:spPr>
        <a:xfrm>
          <a:off x="13185320" y="40181892"/>
          <a:ext cx="145732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a:p>
          <a:r>
            <a:rPr lang="fr-FR" sz="1100"/>
            <a:t>PT</a:t>
          </a:r>
          <a:r>
            <a:rPr lang="fr-FR" sz="1100" baseline="0"/>
            <a:t> froid, PT chaud, Regulation</a:t>
          </a:r>
          <a:endParaRPr lang="fr-FR" sz="1100"/>
        </a:p>
      </xdr:txBody>
    </xdr:sp>
    <xdr:clientData/>
  </xdr:twoCellAnchor>
  <xdr:twoCellAnchor editAs="oneCell">
    <xdr:from>
      <xdr:col>7</xdr:col>
      <xdr:colOff>1129393</xdr:colOff>
      <xdr:row>182</xdr:row>
      <xdr:rowOff>176893</xdr:rowOff>
    </xdr:from>
    <xdr:to>
      <xdr:col>7</xdr:col>
      <xdr:colOff>1367488</xdr:colOff>
      <xdr:row>184</xdr:row>
      <xdr:rowOff>24464</xdr:rowOff>
    </xdr:to>
    <xdr:pic>
      <xdr:nvPicPr>
        <xdr:cNvPr id="15" name="Imag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6"/>
        <a:stretch>
          <a:fillRect/>
        </a:stretch>
      </xdr:blipFill>
      <xdr:spPr>
        <a:xfrm>
          <a:off x="13552714" y="40168286"/>
          <a:ext cx="238095" cy="228571"/>
        </a:xfrm>
        <a:prstGeom prst="rect">
          <a:avLst/>
        </a:prstGeom>
      </xdr:spPr>
    </xdr:pic>
    <xdr:clientData/>
  </xdr:twoCellAnchor>
  <xdr:twoCellAnchor editAs="oneCell">
    <xdr:from>
      <xdr:col>7</xdr:col>
      <xdr:colOff>1360715</xdr:colOff>
      <xdr:row>183</xdr:row>
      <xdr:rowOff>13607</xdr:rowOff>
    </xdr:from>
    <xdr:to>
      <xdr:col>7</xdr:col>
      <xdr:colOff>1627382</xdr:colOff>
      <xdr:row>184</xdr:row>
      <xdr:rowOff>51678</xdr:rowOff>
    </xdr:to>
    <xdr:pic>
      <xdr:nvPicPr>
        <xdr:cNvPr id="16" name="Image 15">
          <a:extLst>
            <a:ext uri="{FF2B5EF4-FFF2-40B4-BE49-F238E27FC236}">
              <a16:creationId xmlns:a16="http://schemas.microsoft.com/office/drawing/2014/main" id="{00000000-0008-0000-1900-000010000000}"/>
            </a:ext>
          </a:extLst>
        </xdr:cNvPr>
        <xdr:cNvPicPr>
          <a:picLocks noChangeAspect="1"/>
        </xdr:cNvPicPr>
      </xdr:nvPicPr>
      <xdr:blipFill>
        <a:blip xmlns:r="http://schemas.openxmlformats.org/officeDocument/2006/relationships" r:embed="rId7"/>
        <a:stretch>
          <a:fillRect/>
        </a:stretch>
      </xdr:blipFill>
      <xdr:spPr>
        <a:xfrm>
          <a:off x="13784036" y="40195500"/>
          <a:ext cx="266667" cy="228571"/>
        </a:xfrm>
        <a:prstGeom prst="rect">
          <a:avLst/>
        </a:prstGeom>
      </xdr:spPr>
    </xdr:pic>
    <xdr:clientData/>
  </xdr:twoCellAnchor>
  <xdr:twoCellAnchor editAs="oneCell">
    <xdr:from>
      <xdr:col>7</xdr:col>
      <xdr:colOff>791935</xdr:colOff>
      <xdr:row>183</xdr:row>
      <xdr:rowOff>2721</xdr:rowOff>
    </xdr:from>
    <xdr:to>
      <xdr:col>7</xdr:col>
      <xdr:colOff>1058602</xdr:colOff>
      <xdr:row>184</xdr:row>
      <xdr:rowOff>40792</xdr:rowOff>
    </xdr:to>
    <xdr:pic>
      <xdr:nvPicPr>
        <xdr:cNvPr id="17" name="Image 16">
          <a:extLst>
            <a:ext uri="{FF2B5EF4-FFF2-40B4-BE49-F238E27FC236}">
              <a16:creationId xmlns:a16="http://schemas.microsoft.com/office/drawing/2014/main" id="{00000000-0008-0000-1900-000011000000}"/>
            </a:ext>
          </a:extLst>
        </xdr:cNvPr>
        <xdr:cNvPicPr>
          <a:picLocks noChangeAspect="1"/>
        </xdr:cNvPicPr>
      </xdr:nvPicPr>
      <xdr:blipFill>
        <a:blip xmlns:r="http://schemas.openxmlformats.org/officeDocument/2006/relationships" r:embed="rId7"/>
        <a:stretch>
          <a:fillRect/>
        </a:stretch>
      </xdr:blipFill>
      <xdr:spPr>
        <a:xfrm>
          <a:off x="13215256" y="40184614"/>
          <a:ext cx="266667" cy="2285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7</xdr:row>
          <xdr:rowOff>123825</xdr:rowOff>
        </xdr:from>
        <xdr:to>
          <xdr:col>12</xdr:col>
          <xdr:colOff>895350</xdr:colOff>
          <xdr:row>14</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twoCellAnchor>
    <xdr:from>
      <xdr:col>7</xdr:col>
      <xdr:colOff>171450</xdr:colOff>
      <xdr:row>14</xdr:row>
      <xdr:rowOff>104775</xdr:rowOff>
    </xdr:from>
    <xdr:to>
      <xdr:col>12</xdr:col>
      <xdr:colOff>914400</xdr:colOff>
      <xdr:row>37</xdr:row>
      <xdr:rowOff>114301</xdr:rowOff>
    </xdr:to>
    <xdr:grpSp>
      <xdr:nvGrpSpPr>
        <xdr:cNvPr id="37905" name="Groupe 37904">
          <a:extLst>
            <a:ext uri="{FF2B5EF4-FFF2-40B4-BE49-F238E27FC236}">
              <a16:creationId xmlns:a16="http://schemas.microsoft.com/office/drawing/2014/main" id="{00000000-0008-0000-1B00-000011940000}"/>
            </a:ext>
          </a:extLst>
        </xdr:cNvPr>
        <xdr:cNvGrpSpPr/>
      </xdr:nvGrpSpPr>
      <xdr:grpSpPr>
        <a:xfrm>
          <a:off x="7877175" y="3295650"/>
          <a:ext cx="5762625" cy="4410076"/>
          <a:chOff x="6667500" y="3114675"/>
          <a:chExt cx="5762625" cy="4410076"/>
        </a:xfrm>
      </xdr:grpSpPr>
      <xdr:grpSp>
        <xdr:nvGrpSpPr>
          <xdr:cNvPr id="3" name="Groupe 2">
            <a:extLst>
              <a:ext uri="{FF2B5EF4-FFF2-40B4-BE49-F238E27FC236}">
                <a16:creationId xmlns:a16="http://schemas.microsoft.com/office/drawing/2014/main" id="{00000000-0008-0000-1B00-000003000000}"/>
              </a:ext>
            </a:extLst>
          </xdr:cNvPr>
          <xdr:cNvGrpSpPr/>
        </xdr:nvGrpSpPr>
        <xdr:grpSpPr>
          <a:xfrm>
            <a:off x="6667500" y="3114675"/>
            <a:ext cx="5762625" cy="4410076"/>
            <a:chOff x="7058025" y="2857499"/>
            <a:chExt cx="5762625" cy="4410076"/>
          </a:xfrm>
        </xdr:grpSpPr>
        <xdr:grpSp>
          <xdr:nvGrpSpPr>
            <xdr:cNvPr id="5" name="Groupe 4">
              <a:extLst>
                <a:ext uri="{FF2B5EF4-FFF2-40B4-BE49-F238E27FC236}">
                  <a16:creationId xmlns:a16="http://schemas.microsoft.com/office/drawing/2014/main" id="{00000000-0008-0000-1B00-000005000000}"/>
                </a:ext>
              </a:extLst>
            </xdr:cNvPr>
            <xdr:cNvGrpSpPr/>
          </xdr:nvGrpSpPr>
          <xdr:grpSpPr>
            <a:xfrm>
              <a:off x="7058025" y="2857499"/>
              <a:ext cx="4391025" cy="4410076"/>
              <a:chOff x="8605630" y="3404152"/>
              <a:chExt cx="4174435" cy="4287981"/>
            </a:xfrm>
          </xdr:grpSpPr>
          <xdr:sp macro="" textlink="">
            <xdr:nvSpPr>
              <xdr:cNvPr id="8" name="Organigramme : Connecteur 7">
                <a:extLst>
                  <a:ext uri="{FF2B5EF4-FFF2-40B4-BE49-F238E27FC236}">
                    <a16:creationId xmlns:a16="http://schemas.microsoft.com/office/drawing/2014/main" id="{00000000-0008-0000-1B00-000008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9" name="Groupe 8">
                <a:extLst>
                  <a:ext uri="{FF2B5EF4-FFF2-40B4-BE49-F238E27FC236}">
                    <a16:creationId xmlns:a16="http://schemas.microsoft.com/office/drawing/2014/main" id="{00000000-0008-0000-1B00-000009000000}"/>
                  </a:ext>
                </a:extLst>
              </xdr:cNvPr>
              <xdr:cNvGrpSpPr/>
            </xdr:nvGrpSpPr>
            <xdr:grpSpPr>
              <a:xfrm>
                <a:off x="8605630" y="3404152"/>
                <a:ext cx="4174435" cy="4287981"/>
                <a:chOff x="8605630" y="3404152"/>
                <a:chExt cx="4174435" cy="4287981"/>
              </a:xfrm>
            </xdr:grpSpPr>
            <xdr:grpSp>
              <xdr:nvGrpSpPr>
                <xdr:cNvPr id="10" name="Groupe 9">
                  <a:extLst>
                    <a:ext uri="{FF2B5EF4-FFF2-40B4-BE49-F238E27FC236}">
                      <a16:creationId xmlns:a16="http://schemas.microsoft.com/office/drawing/2014/main" id="{00000000-0008-0000-1B00-00000A000000}"/>
                    </a:ext>
                  </a:extLst>
                </xdr:cNvPr>
                <xdr:cNvGrpSpPr/>
              </xdr:nvGrpSpPr>
              <xdr:grpSpPr>
                <a:xfrm>
                  <a:off x="9316277" y="3404152"/>
                  <a:ext cx="3463788" cy="3327953"/>
                  <a:chOff x="9092647" y="3420717"/>
                  <a:chExt cx="3463788" cy="3327953"/>
                </a:xfrm>
              </xdr:grpSpPr>
              <xdr:sp macro="" textlink="">
                <xdr:nvSpPr>
                  <xdr:cNvPr id="14" name="Organigramme : Connecteur 13">
                    <a:extLst>
                      <a:ext uri="{FF2B5EF4-FFF2-40B4-BE49-F238E27FC236}">
                        <a16:creationId xmlns:a16="http://schemas.microsoft.com/office/drawing/2014/main" id="{00000000-0008-0000-1B00-00000E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5" name="Organigramme : Connecteur 14">
                    <a:extLst>
                      <a:ext uri="{FF2B5EF4-FFF2-40B4-BE49-F238E27FC236}">
                        <a16:creationId xmlns:a16="http://schemas.microsoft.com/office/drawing/2014/main" id="{00000000-0008-0000-1B00-00000F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6" name="Organigramme : Connecteur 15">
                    <a:extLst>
                      <a:ext uri="{FF2B5EF4-FFF2-40B4-BE49-F238E27FC236}">
                        <a16:creationId xmlns:a16="http://schemas.microsoft.com/office/drawing/2014/main" id="{00000000-0008-0000-1B00-000010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 name="Organigramme : Connecteur 16">
                    <a:extLst>
                      <a:ext uri="{FF2B5EF4-FFF2-40B4-BE49-F238E27FC236}">
                        <a16:creationId xmlns:a16="http://schemas.microsoft.com/office/drawing/2014/main" id="{00000000-0008-0000-1B00-000011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8" name="Organigramme : Connecteur 17">
                    <a:extLst>
                      <a:ext uri="{FF2B5EF4-FFF2-40B4-BE49-F238E27FC236}">
                        <a16:creationId xmlns:a16="http://schemas.microsoft.com/office/drawing/2014/main" id="{00000000-0008-0000-1B00-000012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9" name="Organigramme : Connecteur 18">
                    <a:extLst>
                      <a:ext uri="{FF2B5EF4-FFF2-40B4-BE49-F238E27FC236}">
                        <a16:creationId xmlns:a16="http://schemas.microsoft.com/office/drawing/2014/main" id="{00000000-0008-0000-1B00-000013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0" name="Groupe 19">
                    <a:extLst>
                      <a:ext uri="{FF2B5EF4-FFF2-40B4-BE49-F238E27FC236}">
                        <a16:creationId xmlns:a16="http://schemas.microsoft.com/office/drawing/2014/main" id="{00000000-0008-0000-1B00-000014000000}"/>
                      </a:ext>
                    </a:extLst>
                  </xdr:cNvPr>
                  <xdr:cNvGrpSpPr/>
                </xdr:nvGrpSpPr>
                <xdr:grpSpPr>
                  <a:xfrm>
                    <a:off x="9092647" y="3592995"/>
                    <a:ext cx="3463788" cy="3155675"/>
                    <a:chOff x="9092647" y="3592995"/>
                    <a:chExt cx="3463788" cy="3155675"/>
                  </a:xfrm>
                </xdr:grpSpPr>
                <xdr:sp macro="" textlink="">
                  <xdr:nvSpPr>
                    <xdr:cNvPr id="21" name="Organigramme : Connecteur 20">
                      <a:extLst>
                        <a:ext uri="{FF2B5EF4-FFF2-40B4-BE49-F238E27FC236}">
                          <a16:creationId xmlns:a16="http://schemas.microsoft.com/office/drawing/2014/main" id="{00000000-0008-0000-1B00-000015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22" name="Organigramme : Connecteur 21">
                      <a:extLst>
                        <a:ext uri="{FF2B5EF4-FFF2-40B4-BE49-F238E27FC236}">
                          <a16:creationId xmlns:a16="http://schemas.microsoft.com/office/drawing/2014/main" id="{00000000-0008-0000-1B00-000016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23" name="Organigramme : Connecteur 22">
                      <a:extLst>
                        <a:ext uri="{FF2B5EF4-FFF2-40B4-BE49-F238E27FC236}">
                          <a16:creationId xmlns:a16="http://schemas.microsoft.com/office/drawing/2014/main" id="{00000000-0008-0000-1B00-000017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24" name="Organigramme : Connecteur 23">
                      <a:extLst>
                        <a:ext uri="{FF2B5EF4-FFF2-40B4-BE49-F238E27FC236}">
                          <a16:creationId xmlns:a16="http://schemas.microsoft.com/office/drawing/2014/main" id="{00000000-0008-0000-1B00-000018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25" name="Organigramme : Connecteur 24">
                      <a:extLst>
                        <a:ext uri="{FF2B5EF4-FFF2-40B4-BE49-F238E27FC236}">
                          <a16:creationId xmlns:a16="http://schemas.microsoft.com/office/drawing/2014/main" id="{00000000-0008-0000-1B00-000019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26" name="Organigramme : Connecteur 25">
                      <a:extLst>
                        <a:ext uri="{FF2B5EF4-FFF2-40B4-BE49-F238E27FC236}">
                          <a16:creationId xmlns:a16="http://schemas.microsoft.com/office/drawing/2014/main" id="{00000000-0008-0000-1B00-00001A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27" name="Organigramme : Connecteur 26">
                      <a:extLst>
                        <a:ext uri="{FF2B5EF4-FFF2-40B4-BE49-F238E27FC236}">
                          <a16:creationId xmlns:a16="http://schemas.microsoft.com/office/drawing/2014/main" id="{00000000-0008-0000-1B00-00001B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28" name="Organigramme : Connecteur 27">
                      <a:extLst>
                        <a:ext uri="{FF2B5EF4-FFF2-40B4-BE49-F238E27FC236}">
                          <a16:creationId xmlns:a16="http://schemas.microsoft.com/office/drawing/2014/main" id="{00000000-0008-0000-1B00-00001C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29" name="Organigramme : Connecteur 28">
                      <a:extLst>
                        <a:ext uri="{FF2B5EF4-FFF2-40B4-BE49-F238E27FC236}">
                          <a16:creationId xmlns:a16="http://schemas.microsoft.com/office/drawing/2014/main" id="{00000000-0008-0000-1B00-00001D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30" name="Organigramme : Connecteur 29">
                      <a:extLst>
                        <a:ext uri="{FF2B5EF4-FFF2-40B4-BE49-F238E27FC236}">
                          <a16:creationId xmlns:a16="http://schemas.microsoft.com/office/drawing/2014/main" id="{00000000-0008-0000-1B00-00001E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31" name="Organigramme : Connecteur 30">
                      <a:extLst>
                        <a:ext uri="{FF2B5EF4-FFF2-40B4-BE49-F238E27FC236}">
                          <a16:creationId xmlns:a16="http://schemas.microsoft.com/office/drawing/2014/main" id="{00000000-0008-0000-1B00-00001F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37888" name="Organigramme : Connecteur 37887">
                      <a:extLst>
                        <a:ext uri="{FF2B5EF4-FFF2-40B4-BE49-F238E27FC236}">
                          <a16:creationId xmlns:a16="http://schemas.microsoft.com/office/drawing/2014/main" id="{00000000-0008-0000-1B00-0000009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37889" name="Groupe 37888">
                      <a:extLst>
                        <a:ext uri="{FF2B5EF4-FFF2-40B4-BE49-F238E27FC236}">
                          <a16:creationId xmlns:a16="http://schemas.microsoft.com/office/drawing/2014/main" id="{00000000-0008-0000-1B00-000001940000}"/>
                        </a:ext>
                      </a:extLst>
                    </xdr:cNvPr>
                    <xdr:cNvGrpSpPr/>
                  </xdr:nvGrpSpPr>
                  <xdr:grpSpPr>
                    <a:xfrm>
                      <a:off x="9230139" y="3592995"/>
                      <a:ext cx="3326296" cy="2792482"/>
                      <a:chOff x="9230139" y="3592995"/>
                      <a:chExt cx="3326296" cy="2792482"/>
                    </a:xfrm>
                  </xdr:grpSpPr>
                  <xdr:grpSp>
                    <xdr:nvGrpSpPr>
                      <xdr:cNvPr id="37890" name="Groupe 37889">
                        <a:extLst>
                          <a:ext uri="{FF2B5EF4-FFF2-40B4-BE49-F238E27FC236}">
                            <a16:creationId xmlns:a16="http://schemas.microsoft.com/office/drawing/2014/main" id="{00000000-0008-0000-1B00-000002940000}"/>
                          </a:ext>
                        </a:extLst>
                      </xdr:cNvPr>
                      <xdr:cNvGrpSpPr/>
                    </xdr:nvGrpSpPr>
                    <xdr:grpSpPr>
                      <a:xfrm>
                        <a:off x="9310480" y="3635237"/>
                        <a:ext cx="2949367" cy="2750240"/>
                        <a:chOff x="9320893" y="3638550"/>
                        <a:chExt cx="2950550" cy="2755446"/>
                      </a:xfrm>
                    </xdr:grpSpPr>
                    <xdr:sp macro="" textlink="">
                      <xdr:nvSpPr>
                        <xdr:cNvPr id="37900" name="Cube 37899">
                          <a:extLst>
                            <a:ext uri="{FF2B5EF4-FFF2-40B4-BE49-F238E27FC236}">
                              <a16:creationId xmlns:a16="http://schemas.microsoft.com/office/drawing/2014/main" id="{00000000-0008-0000-1B00-00000C9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37901" name="Connecteur droit 37900">
                          <a:extLst>
                            <a:ext uri="{FF2B5EF4-FFF2-40B4-BE49-F238E27FC236}">
                              <a16:creationId xmlns:a16="http://schemas.microsoft.com/office/drawing/2014/main" id="{00000000-0008-0000-1B00-00000D9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2" name="Connecteur droit 37901">
                          <a:extLst>
                            <a:ext uri="{FF2B5EF4-FFF2-40B4-BE49-F238E27FC236}">
                              <a16:creationId xmlns:a16="http://schemas.microsoft.com/office/drawing/2014/main" id="{00000000-0008-0000-1B00-00000E9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7903" name="Connecteur droit 37902">
                          <a:extLst>
                            <a:ext uri="{FF2B5EF4-FFF2-40B4-BE49-F238E27FC236}">
                              <a16:creationId xmlns:a16="http://schemas.microsoft.com/office/drawing/2014/main" id="{00000000-0008-0000-1B00-00000F9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37891" name="Organigramme : Connecteur 37890">
                        <a:extLst>
                          <a:ext uri="{FF2B5EF4-FFF2-40B4-BE49-F238E27FC236}">
                            <a16:creationId xmlns:a16="http://schemas.microsoft.com/office/drawing/2014/main" id="{00000000-0008-0000-1B00-0000039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37892" name="Organigramme : Connecteur 37891">
                        <a:extLst>
                          <a:ext uri="{FF2B5EF4-FFF2-40B4-BE49-F238E27FC236}">
                            <a16:creationId xmlns:a16="http://schemas.microsoft.com/office/drawing/2014/main" id="{00000000-0008-0000-1B00-0000049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37893" name="Organigramme : Connecteur 37892">
                        <a:extLst>
                          <a:ext uri="{FF2B5EF4-FFF2-40B4-BE49-F238E27FC236}">
                            <a16:creationId xmlns:a16="http://schemas.microsoft.com/office/drawing/2014/main" id="{00000000-0008-0000-1B00-0000059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37894" name="Organigramme : Connecteur 37893">
                        <a:extLst>
                          <a:ext uri="{FF2B5EF4-FFF2-40B4-BE49-F238E27FC236}">
                            <a16:creationId xmlns:a16="http://schemas.microsoft.com/office/drawing/2014/main" id="{00000000-0008-0000-1B00-0000069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37895" name="Organigramme : Connecteur 37894">
                        <a:extLst>
                          <a:ext uri="{FF2B5EF4-FFF2-40B4-BE49-F238E27FC236}">
                            <a16:creationId xmlns:a16="http://schemas.microsoft.com/office/drawing/2014/main" id="{00000000-0008-0000-1B00-0000079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37897" name="Organigramme : Connecteur 37896">
                        <a:extLst>
                          <a:ext uri="{FF2B5EF4-FFF2-40B4-BE49-F238E27FC236}">
                            <a16:creationId xmlns:a16="http://schemas.microsoft.com/office/drawing/2014/main" id="{00000000-0008-0000-1B00-0000099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37898" name="Organigramme : Connecteur 37897">
                        <a:extLst>
                          <a:ext uri="{FF2B5EF4-FFF2-40B4-BE49-F238E27FC236}">
                            <a16:creationId xmlns:a16="http://schemas.microsoft.com/office/drawing/2014/main" id="{00000000-0008-0000-1B00-00000A9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37899" name="Organigramme : Connecteur 37898">
                        <a:extLst>
                          <a:ext uri="{FF2B5EF4-FFF2-40B4-BE49-F238E27FC236}">
                            <a16:creationId xmlns:a16="http://schemas.microsoft.com/office/drawing/2014/main" id="{00000000-0008-0000-1B00-00000B9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11" name="Organigramme : Connecteur 10">
                  <a:extLst>
                    <a:ext uri="{FF2B5EF4-FFF2-40B4-BE49-F238E27FC236}">
                      <a16:creationId xmlns:a16="http://schemas.microsoft.com/office/drawing/2014/main" id="{00000000-0008-0000-1B00-00000B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12" name="Organigramme : Connecteur 11">
                  <a:extLst>
                    <a:ext uri="{FF2B5EF4-FFF2-40B4-BE49-F238E27FC236}">
                      <a16:creationId xmlns:a16="http://schemas.microsoft.com/office/drawing/2014/main" id="{00000000-0008-0000-1B00-00000C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 name="ZoneTexte 12">
                  <a:extLst>
                    <a:ext uri="{FF2B5EF4-FFF2-40B4-BE49-F238E27FC236}">
                      <a16:creationId xmlns:a16="http://schemas.microsoft.com/office/drawing/2014/main" id="{00000000-0008-0000-1B00-00000D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6" name="Connecteur droit avec flèche 5">
              <a:extLst>
                <a:ext uri="{FF2B5EF4-FFF2-40B4-BE49-F238E27FC236}">
                  <a16:creationId xmlns:a16="http://schemas.microsoft.com/office/drawing/2014/main" id="{00000000-0008-0000-1B00-000006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ZoneTexte 6">
              <a:extLst>
                <a:ext uri="{FF2B5EF4-FFF2-40B4-BE49-F238E27FC236}">
                  <a16:creationId xmlns:a16="http://schemas.microsoft.com/office/drawing/2014/main" id="{00000000-0008-0000-1B00-000007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37904" name="Organigramme : Connecteur 37903">
            <a:extLst>
              <a:ext uri="{FF2B5EF4-FFF2-40B4-BE49-F238E27FC236}">
                <a16:creationId xmlns:a16="http://schemas.microsoft.com/office/drawing/2014/main" id="{00000000-0008-0000-1B00-00001094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24</xdr:row>
      <xdr:rowOff>190499</xdr:rowOff>
    </xdr:from>
    <xdr:to>
      <xdr:col>9</xdr:col>
      <xdr:colOff>438150</xdr:colOff>
      <xdr:row>45</xdr:row>
      <xdr:rowOff>104774</xdr:rowOff>
    </xdr:to>
    <xdr:graphicFrame macro="">
      <xdr:nvGraphicFramePr>
        <xdr:cNvPr id="3" name="Graphique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136176</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0</xdr:col>
      <xdr:colOff>966106</xdr:colOff>
      <xdr:row>259</xdr:row>
      <xdr:rowOff>0</xdr:rowOff>
    </xdr:from>
    <xdr:to>
      <xdr:col>8</xdr:col>
      <xdr:colOff>489856</xdr:colOff>
      <xdr:row>287</xdr:row>
      <xdr:rowOff>13607</xdr:rowOff>
    </xdr:to>
    <xdr:graphicFrame macro="">
      <xdr:nvGraphicFramePr>
        <xdr:cNvPr id="13" name="Graphique 12">
          <a:extLst>
            <a:ext uri="{FF2B5EF4-FFF2-40B4-BE49-F238E27FC236}">
              <a16:creationId xmlns:a16="http://schemas.microsoft.com/office/drawing/2014/main" id="{00000000-0008-0000-1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1143000</xdr:colOff>
      <xdr:row>165</xdr:row>
      <xdr:rowOff>122464</xdr:rowOff>
    </xdr:from>
    <xdr:to>
      <xdr:col>7</xdr:col>
      <xdr:colOff>1721304</xdr:colOff>
      <xdr:row>188</xdr:row>
      <xdr:rowOff>151040</xdr:rowOff>
    </xdr:to>
    <xdr:grpSp>
      <xdr:nvGrpSpPr>
        <xdr:cNvPr id="12" name="Groupe 11">
          <a:extLst>
            <a:ext uri="{FF2B5EF4-FFF2-40B4-BE49-F238E27FC236}">
              <a16:creationId xmlns:a16="http://schemas.microsoft.com/office/drawing/2014/main" id="{00000000-0008-0000-1E00-00000C000000}"/>
            </a:ext>
          </a:extLst>
        </xdr:cNvPr>
        <xdr:cNvGrpSpPr/>
      </xdr:nvGrpSpPr>
      <xdr:grpSpPr>
        <a:xfrm>
          <a:off x="8382000" y="36684857"/>
          <a:ext cx="5762625" cy="4410076"/>
          <a:chOff x="6667500" y="3114675"/>
          <a:chExt cx="5762625" cy="4410076"/>
        </a:xfrm>
      </xdr:grpSpPr>
      <xdr:grpSp>
        <xdr:nvGrpSpPr>
          <xdr:cNvPr id="14" name="Groupe 13">
            <a:extLst>
              <a:ext uri="{FF2B5EF4-FFF2-40B4-BE49-F238E27FC236}">
                <a16:creationId xmlns:a16="http://schemas.microsoft.com/office/drawing/2014/main" id="{00000000-0008-0000-1E00-00000E000000}"/>
              </a:ext>
            </a:extLst>
          </xdr:cNvPr>
          <xdr:cNvGrpSpPr/>
        </xdr:nvGrpSpPr>
        <xdr:grpSpPr>
          <a:xfrm>
            <a:off x="6667500" y="3114675"/>
            <a:ext cx="5762625" cy="4410076"/>
            <a:chOff x="7058025" y="2857499"/>
            <a:chExt cx="5762625" cy="4410076"/>
          </a:xfrm>
        </xdr:grpSpPr>
        <xdr:grpSp>
          <xdr:nvGrpSpPr>
            <xdr:cNvPr id="16" name="Groupe 15">
              <a:extLst>
                <a:ext uri="{FF2B5EF4-FFF2-40B4-BE49-F238E27FC236}">
                  <a16:creationId xmlns:a16="http://schemas.microsoft.com/office/drawing/2014/main" id="{00000000-0008-0000-1E00-000010000000}"/>
                </a:ext>
              </a:extLst>
            </xdr:cNvPr>
            <xdr:cNvGrpSpPr/>
          </xdr:nvGrpSpPr>
          <xdr:grpSpPr>
            <a:xfrm>
              <a:off x="7058025" y="2857499"/>
              <a:ext cx="4391025" cy="4410076"/>
              <a:chOff x="8605630" y="3404152"/>
              <a:chExt cx="4174435" cy="4287981"/>
            </a:xfrm>
          </xdr:grpSpPr>
          <xdr:sp macro="" textlink="">
            <xdr:nvSpPr>
              <xdr:cNvPr id="19" name="Organigramme : Connecteur 18">
                <a:extLst>
                  <a:ext uri="{FF2B5EF4-FFF2-40B4-BE49-F238E27FC236}">
                    <a16:creationId xmlns:a16="http://schemas.microsoft.com/office/drawing/2014/main" id="{00000000-0008-0000-1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1E00-000014000000}"/>
                  </a:ext>
                </a:extLst>
              </xdr:cNvPr>
              <xdr:cNvGrpSpPr/>
            </xdr:nvGrpSpPr>
            <xdr:grpSpPr>
              <a:xfrm>
                <a:off x="8605630" y="3404152"/>
                <a:ext cx="4174435" cy="4287981"/>
                <a:chOff x="8605630" y="3404152"/>
                <a:chExt cx="4174435" cy="4287981"/>
              </a:xfrm>
            </xdr:grpSpPr>
            <xdr:grpSp>
              <xdr:nvGrpSpPr>
                <xdr:cNvPr id="21" name="Groupe 20">
                  <a:extLst>
                    <a:ext uri="{FF2B5EF4-FFF2-40B4-BE49-F238E27FC236}">
                      <a16:creationId xmlns:a16="http://schemas.microsoft.com/office/drawing/2014/main" id="{00000000-0008-0000-1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1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1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1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1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1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1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1E00-00001F000000}"/>
                      </a:ext>
                    </a:extLst>
                  </xdr:cNvPr>
                  <xdr:cNvGrpSpPr/>
                </xdr:nvGrpSpPr>
                <xdr:grpSpPr>
                  <a:xfrm>
                    <a:off x="9092647" y="3592995"/>
                    <a:ext cx="3463788" cy="3155675"/>
                    <a:chOff x="9092647" y="3592995"/>
                    <a:chExt cx="3463788" cy="3155675"/>
                  </a:xfrm>
                </xdr:grpSpPr>
                <xdr:sp macro="" textlink="">
                  <xdr:nvSpPr>
                    <xdr:cNvPr id="32" name="Organigramme : Connecteur 31">
                      <a:extLst>
                        <a:ext uri="{FF2B5EF4-FFF2-40B4-BE49-F238E27FC236}">
                          <a16:creationId xmlns:a16="http://schemas.microsoft.com/office/drawing/2014/main" id="{00000000-0008-0000-1E00-00002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3" name="Organigramme : Connecteur 32">
                      <a:extLst>
                        <a:ext uri="{FF2B5EF4-FFF2-40B4-BE49-F238E27FC236}">
                          <a16:creationId xmlns:a16="http://schemas.microsoft.com/office/drawing/2014/main" id="{00000000-0008-0000-1E00-00002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Sechoir!$B$26">
                  <xdr:nvSpPr>
                    <xdr:cNvPr id="34" name="Organigramme : Connecteur 33">
                      <a:extLst>
                        <a:ext uri="{FF2B5EF4-FFF2-40B4-BE49-F238E27FC236}">
                          <a16:creationId xmlns:a16="http://schemas.microsoft.com/office/drawing/2014/main" id="{00000000-0008-0000-1E00-00002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1EEEAD1-7262-4800-8D66-D8187DC528ED}" type="TxLink">
                        <a:rPr lang="en-US" sz="1100" b="0" i="0" u="none" strike="noStrike">
                          <a:solidFill>
                            <a:srgbClr val="000000"/>
                          </a:solidFill>
                          <a:latin typeface="Calibri"/>
                          <a:cs typeface="Calibri"/>
                        </a:rPr>
                        <a:pPr algn="ctr"/>
                        <a:t> </a:t>
                      </a:fld>
                      <a:endParaRPr lang="fr-FR" sz="1100"/>
                    </a:p>
                  </xdr:txBody>
                </xdr:sp>
                <xdr:sp macro="" textlink="Mesures_Sechoir!$B$27">
                  <xdr:nvSpPr>
                    <xdr:cNvPr id="35" name="Organigramme : Connecteur 34">
                      <a:extLst>
                        <a:ext uri="{FF2B5EF4-FFF2-40B4-BE49-F238E27FC236}">
                          <a16:creationId xmlns:a16="http://schemas.microsoft.com/office/drawing/2014/main" id="{00000000-0008-0000-1E00-00002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3F34E8D-0065-4228-AEA4-B807946C968E}" type="TxLink">
                        <a:rPr lang="en-US" sz="1100" b="0" i="0" u="none" strike="noStrike">
                          <a:solidFill>
                            <a:srgbClr val="000000"/>
                          </a:solidFill>
                          <a:latin typeface="Calibri"/>
                          <a:cs typeface="Calibri"/>
                        </a:rPr>
                        <a:pPr algn="ctr"/>
                        <a:t> </a:t>
                      </a:fld>
                      <a:endParaRPr lang="fr-FR" sz="1100"/>
                    </a:p>
                  </xdr:txBody>
                </xdr:sp>
                <xdr:sp macro="" textlink="Mesures_Sechoir!$B$29">
                  <xdr:nvSpPr>
                    <xdr:cNvPr id="36" name="Organigramme : Connecteur 35">
                      <a:extLst>
                        <a:ext uri="{FF2B5EF4-FFF2-40B4-BE49-F238E27FC236}">
                          <a16:creationId xmlns:a16="http://schemas.microsoft.com/office/drawing/2014/main" id="{00000000-0008-0000-1E00-00002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22908BF-32F7-4A50-8C1E-F3509F0C2157}" type="TxLink">
                        <a:rPr lang="en-US" sz="1100" b="0" i="0" u="none" strike="noStrike">
                          <a:solidFill>
                            <a:srgbClr val="000000"/>
                          </a:solidFill>
                          <a:latin typeface="Calibri"/>
                          <a:cs typeface="Calibri"/>
                        </a:rPr>
                        <a:pPr algn="ctr"/>
                        <a:t> </a:t>
                      </a:fld>
                      <a:endParaRPr lang="fr-FR" sz="1100"/>
                    </a:p>
                  </xdr:txBody>
                </xdr:sp>
                <xdr:sp macro="" textlink="Mesures_Sechoir!$B$31">
                  <xdr:nvSpPr>
                    <xdr:cNvPr id="37" name="Organigramme : Connecteur 36">
                      <a:extLst>
                        <a:ext uri="{FF2B5EF4-FFF2-40B4-BE49-F238E27FC236}">
                          <a16:creationId xmlns:a16="http://schemas.microsoft.com/office/drawing/2014/main" id="{00000000-0008-0000-1E00-00002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B67C079-CDBD-4030-9B2F-CE33E99440ED}" type="TxLink">
                        <a:rPr lang="en-US" sz="1100" b="0" i="0" u="none" strike="noStrike">
                          <a:solidFill>
                            <a:srgbClr val="000000"/>
                          </a:solidFill>
                          <a:latin typeface="Calibri"/>
                          <a:cs typeface="Calibri"/>
                        </a:rPr>
                        <a:pPr algn="ctr"/>
                        <a:t> </a:t>
                      </a:fld>
                      <a:endParaRPr lang="fr-FR" sz="1100"/>
                    </a:p>
                  </xdr:txBody>
                </xdr:sp>
                <xdr:sp macro="" textlink="Mesures_Sechoir!$B$30">
                  <xdr:nvSpPr>
                    <xdr:cNvPr id="38" name="Organigramme : Connecteur 37">
                      <a:extLst>
                        <a:ext uri="{FF2B5EF4-FFF2-40B4-BE49-F238E27FC236}">
                          <a16:creationId xmlns:a16="http://schemas.microsoft.com/office/drawing/2014/main" id="{00000000-0008-0000-1E00-00002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4F17C6E-3672-43E1-8F95-36BECA7D6E57}" type="TxLink">
                        <a:rPr lang="en-US" sz="1100" b="0" i="0" u="none" strike="noStrike">
                          <a:solidFill>
                            <a:srgbClr val="000000"/>
                          </a:solidFill>
                          <a:latin typeface="Calibri"/>
                          <a:cs typeface="Calibri"/>
                        </a:rPr>
                        <a:pPr algn="ctr"/>
                        <a:t> </a:t>
                      </a:fld>
                      <a:endParaRPr lang="fr-FR" sz="1100"/>
                    </a:p>
                  </xdr:txBody>
                </xdr:sp>
                <xdr:sp macro="" textlink="Mesures_Sechoir!$C$31">
                  <xdr:nvSpPr>
                    <xdr:cNvPr id="39" name="Organigramme : Connecteur 38">
                      <a:extLst>
                        <a:ext uri="{FF2B5EF4-FFF2-40B4-BE49-F238E27FC236}">
                          <a16:creationId xmlns:a16="http://schemas.microsoft.com/office/drawing/2014/main" id="{00000000-0008-0000-1E00-00002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30CF4A-E486-46BE-8BCC-D157C85EBB5A}" type="TxLink">
                        <a:rPr lang="en-US" sz="1100" b="0" i="0" u="none" strike="noStrike">
                          <a:solidFill>
                            <a:srgbClr val="000000"/>
                          </a:solidFill>
                          <a:latin typeface="Calibri"/>
                          <a:cs typeface="Calibri"/>
                        </a:rPr>
                        <a:pPr algn="ctr"/>
                        <a:t> </a:t>
                      </a:fld>
                      <a:endParaRPr lang="fr-FR" sz="1100"/>
                    </a:p>
                  </xdr:txBody>
                </xdr:sp>
                <xdr:sp macro="" textlink="Mesures_Sechoir!$C$26">
                  <xdr:nvSpPr>
                    <xdr:cNvPr id="40" name="Organigramme : Connecteur 39">
                      <a:extLst>
                        <a:ext uri="{FF2B5EF4-FFF2-40B4-BE49-F238E27FC236}">
                          <a16:creationId xmlns:a16="http://schemas.microsoft.com/office/drawing/2014/main" id="{00000000-0008-0000-1E00-00002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7A87CA6-FEE8-4D17-99EC-607369340620}" type="TxLink">
                        <a:rPr lang="en-US" sz="1100" b="0" i="0" u="none" strike="noStrike">
                          <a:solidFill>
                            <a:srgbClr val="000000"/>
                          </a:solidFill>
                          <a:latin typeface="Calibri"/>
                          <a:cs typeface="Calibri"/>
                        </a:rPr>
                        <a:pPr algn="ctr"/>
                        <a:t> </a:t>
                      </a:fld>
                      <a:endParaRPr lang="fr-FR" sz="1100"/>
                    </a:p>
                  </xdr:txBody>
                </xdr:sp>
                <xdr:sp macro="" textlink="Mesures_Sechoir!$C$30">
                  <xdr:nvSpPr>
                    <xdr:cNvPr id="41" name="Organigramme : Connecteur 40">
                      <a:extLst>
                        <a:ext uri="{FF2B5EF4-FFF2-40B4-BE49-F238E27FC236}">
                          <a16:creationId xmlns:a16="http://schemas.microsoft.com/office/drawing/2014/main" id="{00000000-0008-0000-1E00-00002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619864-B411-47DF-83F1-2F73C2619DDC}" type="TxLink">
                        <a:rPr lang="en-US" sz="1100" b="0" i="0" u="none" strike="noStrike">
                          <a:solidFill>
                            <a:srgbClr val="000000"/>
                          </a:solidFill>
                          <a:latin typeface="Calibri"/>
                          <a:cs typeface="Calibri"/>
                        </a:rPr>
                        <a:pPr algn="ctr"/>
                        <a:t> </a:t>
                      </a:fld>
                      <a:endParaRPr lang="fr-FR" sz="1100"/>
                    </a:p>
                  </xdr:txBody>
                </xdr:sp>
                <xdr:sp macro="" textlink="Mesures_Sechoir!$C$29">
                  <xdr:nvSpPr>
                    <xdr:cNvPr id="42" name="Organigramme : Connecteur 41">
                      <a:extLst>
                        <a:ext uri="{FF2B5EF4-FFF2-40B4-BE49-F238E27FC236}">
                          <a16:creationId xmlns:a16="http://schemas.microsoft.com/office/drawing/2014/main" id="{00000000-0008-0000-1E00-00002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452FB8D-F04A-4E84-8747-C9DAF53AE315}" type="TxLink">
                        <a:rPr lang="en-US" sz="1100" b="0" i="0" u="none" strike="noStrike">
                          <a:solidFill>
                            <a:srgbClr val="000000"/>
                          </a:solidFill>
                          <a:latin typeface="Calibri"/>
                          <a:cs typeface="Calibri"/>
                        </a:rPr>
                        <a:pPr algn="ctr"/>
                        <a:t> </a:t>
                      </a:fld>
                      <a:endParaRPr lang="fr-FR" sz="1100"/>
                    </a:p>
                  </xdr:txBody>
                </xdr:sp>
                <xdr:sp macro="" textlink="Mesures_Sechoir!$C$27">
                  <xdr:nvSpPr>
                    <xdr:cNvPr id="43" name="Organigramme : Connecteur 42">
                      <a:extLst>
                        <a:ext uri="{FF2B5EF4-FFF2-40B4-BE49-F238E27FC236}">
                          <a16:creationId xmlns:a16="http://schemas.microsoft.com/office/drawing/2014/main" id="{00000000-0008-0000-1E00-00002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1E58B4-D3C4-4A11-A7F6-770AE081BA8E}" type="TxLink">
                        <a:rPr lang="en-US" sz="1100" b="0" i="0" u="none" strike="noStrike">
                          <a:solidFill>
                            <a:srgbClr val="000000"/>
                          </a:solidFill>
                          <a:latin typeface="Calibri"/>
                          <a:cs typeface="Calibri"/>
                        </a:rPr>
                        <a:pPr algn="ctr"/>
                        <a:t> </a:t>
                      </a:fld>
                      <a:endParaRPr lang="fr-FR" sz="1100"/>
                    </a:p>
                  </xdr:txBody>
                </xdr:sp>
                <xdr:grpSp>
                  <xdr:nvGrpSpPr>
                    <xdr:cNvPr id="44" name="Groupe 43">
                      <a:extLst>
                        <a:ext uri="{FF2B5EF4-FFF2-40B4-BE49-F238E27FC236}">
                          <a16:creationId xmlns:a16="http://schemas.microsoft.com/office/drawing/2014/main" id="{00000000-0008-0000-1E00-00002C000000}"/>
                        </a:ext>
                      </a:extLst>
                    </xdr:cNvPr>
                    <xdr:cNvGrpSpPr/>
                  </xdr:nvGrpSpPr>
                  <xdr:grpSpPr>
                    <a:xfrm>
                      <a:off x="9230139" y="3592995"/>
                      <a:ext cx="3326296" cy="2792482"/>
                      <a:chOff x="9230139" y="3592995"/>
                      <a:chExt cx="3326296" cy="2792482"/>
                    </a:xfrm>
                  </xdr:grpSpPr>
                  <xdr:grpSp>
                    <xdr:nvGrpSpPr>
                      <xdr:cNvPr id="45" name="Groupe 44">
                        <a:extLst>
                          <a:ext uri="{FF2B5EF4-FFF2-40B4-BE49-F238E27FC236}">
                            <a16:creationId xmlns:a16="http://schemas.microsoft.com/office/drawing/2014/main" id="{00000000-0008-0000-1E00-00002D000000}"/>
                          </a:ext>
                        </a:extLst>
                      </xdr:cNvPr>
                      <xdr:cNvGrpSpPr/>
                    </xdr:nvGrpSpPr>
                    <xdr:grpSpPr>
                      <a:xfrm>
                        <a:off x="9310480" y="3635237"/>
                        <a:ext cx="2949367" cy="2750240"/>
                        <a:chOff x="9320893" y="3638550"/>
                        <a:chExt cx="2950550" cy="2755446"/>
                      </a:xfrm>
                    </xdr:grpSpPr>
                    <xdr:sp macro="" textlink="">
                      <xdr:nvSpPr>
                        <xdr:cNvPr id="54" name="Cube 53">
                          <a:extLst>
                            <a:ext uri="{FF2B5EF4-FFF2-40B4-BE49-F238E27FC236}">
                              <a16:creationId xmlns:a16="http://schemas.microsoft.com/office/drawing/2014/main" id="{00000000-0008-0000-1E00-000036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55" name="Connecteur droit 54">
                          <a:extLst>
                            <a:ext uri="{FF2B5EF4-FFF2-40B4-BE49-F238E27FC236}">
                              <a16:creationId xmlns:a16="http://schemas.microsoft.com/office/drawing/2014/main" id="{00000000-0008-0000-1E00-000037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6" name="Connecteur droit 55">
                          <a:extLst>
                            <a:ext uri="{FF2B5EF4-FFF2-40B4-BE49-F238E27FC236}">
                              <a16:creationId xmlns:a16="http://schemas.microsoft.com/office/drawing/2014/main" id="{00000000-0008-0000-1E00-000038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7" name="Connecteur droit 56">
                          <a:extLst>
                            <a:ext uri="{FF2B5EF4-FFF2-40B4-BE49-F238E27FC236}">
                              <a16:creationId xmlns:a16="http://schemas.microsoft.com/office/drawing/2014/main" id="{00000000-0008-0000-1E00-000039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Sechoir!$B$24">
                    <xdr:nvSpPr>
                      <xdr:cNvPr id="46" name="Organigramme : Connecteur 45">
                        <a:extLst>
                          <a:ext uri="{FF2B5EF4-FFF2-40B4-BE49-F238E27FC236}">
                            <a16:creationId xmlns:a16="http://schemas.microsoft.com/office/drawing/2014/main" id="{00000000-0008-0000-1E00-00002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81416CB-7DC1-4C5E-A078-1B037A484FF5}" type="TxLink">
                          <a:rPr lang="en-US" sz="1100" b="0" i="0" u="none" strike="noStrike">
                            <a:solidFill>
                              <a:srgbClr val="000000"/>
                            </a:solidFill>
                            <a:latin typeface="Calibri"/>
                            <a:cs typeface="Calibri"/>
                          </a:rPr>
                          <a:pPr algn="ctr"/>
                          <a:t> </a:t>
                        </a:fld>
                        <a:endParaRPr lang="fr-FR" sz="1100"/>
                      </a:p>
                    </xdr:txBody>
                  </xdr:sp>
                  <xdr:sp macro="" textlink="Mesures_Sechoir!$C$24">
                    <xdr:nvSpPr>
                      <xdr:cNvPr id="47" name="Organigramme : Connecteur 46">
                        <a:extLst>
                          <a:ext uri="{FF2B5EF4-FFF2-40B4-BE49-F238E27FC236}">
                            <a16:creationId xmlns:a16="http://schemas.microsoft.com/office/drawing/2014/main" id="{00000000-0008-0000-1E00-00002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9B42545-999E-4961-A10B-4E8A3EED3049}" type="TxLink">
                          <a:rPr lang="en-US" sz="1100" b="0" i="0" u="none" strike="noStrike">
                            <a:solidFill>
                              <a:srgbClr val="000000"/>
                            </a:solidFill>
                            <a:latin typeface="Calibri"/>
                            <a:cs typeface="Calibri"/>
                          </a:rPr>
                          <a:pPr algn="ctr"/>
                          <a:t> </a:t>
                        </a:fld>
                        <a:endParaRPr lang="fr-FR" sz="1100"/>
                      </a:p>
                    </xdr:txBody>
                  </xdr:sp>
                  <xdr:sp macro="" textlink="Mesures_Sechoir!$B$25">
                    <xdr:nvSpPr>
                      <xdr:cNvPr id="48" name="Organigramme : Connecteur 47">
                        <a:extLst>
                          <a:ext uri="{FF2B5EF4-FFF2-40B4-BE49-F238E27FC236}">
                            <a16:creationId xmlns:a16="http://schemas.microsoft.com/office/drawing/2014/main" id="{00000000-0008-0000-1E00-000030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AC32B4D-3D1D-465F-B998-C129D3793C84}" type="TxLink">
                          <a:rPr lang="en-US" sz="1100" b="0" i="0" u="none" strike="noStrike">
                            <a:solidFill>
                              <a:srgbClr val="000000"/>
                            </a:solidFill>
                            <a:latin typeface="Calibri"/>
                            <a:cs typeface="Calibri"/>
                          </a:rPr>
                          <a:pPr algn="ctr"/>
                          <a:t> </a:t>
                        </a:fld>
                        <a:endParaRPr lang="fr-FR" sz="1100"/>
                      </a:p>
                    </xdr:txBody>
                  </xdr:sp>
                  <xdr:sp macro="" textlink="Mesures_Sechoir!$B$28">
                    <xdr:nvSpPr>
                      <xdr:cNvPr id="49" name="Organigramme : Connecteur 48">
                        <a:extLst>
                          <a:ext uri="{FF2B5EF4-FFF2-40B4-BE49-F238E27FC236}">
                            <a16:creationId xmlns:a16="http://schemas.microsoft.com/office/drawing/2014/main" id="{00000000-0008-0000-1E00-000031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13CB0F-A096-4C45-A2CD-88F7E57B4757}" type="TxLink">
                          <a:rPr lang="en-US" sz="1100" b="0" i="0" u="none" strike="noStrike">
                            <a:solidFill>
                              <a:srgbClr val="000000"/>
                            </a:solidFill>
                            <a:latin typeface="Calibri"/>
                            <a:cs typeface="Calibri"/>
                          </a:rPr>
                          <a:pPr algn="ctr"/>
                          <a:t> </a:t>
                        </a:fld>
                        <a:endParaRPr lang="fr-FR" sz="1100"/>
                      </a:p>
                    </xdr:txBody>
                  </xdr:sp>
                  <xdr:sp macro="" textlink="Mesures_Sechoir!$B$32">
                    <xdr:nvSpPr>
                      <xdr:cNvPr id="50" name="Organigramme : Connecteur 49">
                        <a:extLst>
                          <a:ext uri="{FF2B5EF4-FFF2-40B4-BE49-F238E27FC236}">
                            <a16:creationId xmlns:a16="http://schemas.microsoft.com/office/drawing/2014/main" id="{00000000-0008-0000-1E00-000032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082B390-C274-4A4D-B97C-FC885FE98D4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Sechoir!$C$32">
                    <xdr:nvSpPr>
                      <xdr:cNvPr id="51" name="Organigramme : Connecteur 50">
                        <a:extLst>
                          <a:ext uri="{FF2B5EF4-FFF2-40B4-BE49-F238E27FC236}">
                            <a16:creationId xmlns:a16="http://schemas.microsoft.com/office/drawing/2014/main" id="{00000000-0008-0000-1E00-000033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2C54B6-8CEE-4589-83A8-6701704D871C}" type="TxLink">
                          <a:rPr lang="en-US" sz="1100" b="0" i="0" u="none" strike="noStrike">
                            <a:solidFill>
                              <a:srgbClr val="000000"/>
                            </a:solidFill>
                            <a:latin typeface="Calibri"/>
                            <a:cs typeface="Calibri"/>
                          </a:rPr>
                          <a:pPr algn="ctr"/>
                          <a:t> </a:t>
                        </a:fld>
                        <a:endParaRPr lang="fr-FR" sz="1100"/>
                      </a:p>
                    </xdr:txBody>
                  </xdr:sp>
                  <xdr:sp macro="" textlink="Mesures_Sechoir!$C$28">
                    <xdr:nvSpPr>
                      <xdr:cNvPr id="52" name="Organigramme : Connecteur 51">
                        <a:extLst>
                          <a:ext uri="{FF2B5EF4-FFF2-40B4-BE49-F238E27FC236}">
                            <a16:creationId xmlns:a16="http://schemas.microsoft.com/office/drawing/2014/main" id="{00000000-0008-0000-1E00-000034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AAA7E22-9C52-4D3A-902A-BBC67F3EF756}" type="TxLink">
                          <a:rPr lang="en-US" sz="1100" b="0" i="0" u="none" strike="noStrike">
                            <a:solidFill>
                              <a:srgbClr val="000000"/>
                            </a:solidFill>
                            <a:latin typeface="Calibri"/>
                            <a:cs typeface="Calibri"/>
                          </a:rPr>
                          <a:pPr algn="ctr"/>
                          <a:t> </a:t>
                        </a:fld>
                        <a:endParaRPr lang="fr-FR" sz="1100"/>
                      </a:p>
                    </xdr:txBody>
                  </xdr:sp>
                  <xdr:sp macro="" textlink="Mesures_Sechoir!$C$25">
                    <xdr:nvSpPr>
                      <xdr:cNvPr id="53" name="Organigramme : Connecteur 52">
                        <a:extLst>
                          <a:ext uri="{FF2B5EF4-FFF2-40B4-BE49-F238E27FC236}">
                            <a16:creationId xmlns:a16="http://schemas.microsoft.com/office/drawing/2014/main" id="{00000000-0008-0000-1E00-000035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229EC6-22B8-41E2-8311-37C9A23F3A13}" type="TxLink">
                          <a:rPr lang="en-US" sz="1100" b="0" i="0" u="none" strike="noStrike">
                            <a:solidFill>
                              <a:srgbClr val="000000"/>
                            </a:solidFill>
                            <a:latin typeface="Calibri"/>
                            <a:cs typeface="Calibri"/>
                          </a:rPr>
                          <a:pPr algn="ctr"/>
                          <a:t> </a:t>
                        </a:fld>
                        <a:endParaRPr lang="fr-FR" sz="1100"/>
                      </a:p>
                    </xdr:txBody>
                  </xdr:sp>
                </xdr:grpSp>
              </xdr:grpSp>
            </xdr:grpSp>
            <xdr:sp macro="" textlink="$B$25">
              <xdr:nvSpPr>
                <xdr:cNvPr id="22" name="Organigramme : Connecteur 21">
                  <a:extLst>
                    <a:ext uri="{FF2B5EF4-FFF2-40B4-BE49-F238E27FC236}">
                      <a16:creationId xmlns:a16="http://schemas.microsoft.com/office/drawing/2014/main" id="{00000000-0008-0000-1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5">
              <xdr:nvSpPr>
                <xdr:cNvPr id="23" name="Organigramme : Connecteur 22">
                  <a:extLst>
                    <a:ext uri="{FF2B5EF4-FFF2-40B4-BE49-F238E27FC236}">
                      <a16:creationId xmlns:a16="http://schemas.microsoft.com/office/drawing/2014/main" id="{00000000-0008-0000-1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1E00-000018000000}"/>
                    </a:ext>
                  </a:extLst>
                </xdr:cNvPr>
                <xdr:cNvSpPr txBox="1"/>
              </xdr:nvSpPr>
              <xdr:spPr>
                <a:xfrm>
                  <a:off x="8811923" y="7046087"/>
                  <a:ext cx="1590261" cy="6460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17" name="Connecteur droit avec flèche 16">
              <a:extLst>
                <a:ext uri="{FF2B5EF4-FFF2-40B4-BE49-F238E27FC236}">
                  <a16:creationId xmlns:a16="http://schemas.microsoft.com/office/drawing/2014/main" id="{00000000-0008-0000-1E00-000011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ZoneTexte 17">
              <a:extLst>
                <a:ext uri="{FF2B5EF4-FFF2-40B4-BE49-F238E27FC236}">
                  <a16:creationId xmlns:a16="http://schemas.microsoft.com/office/drawing/2014/main" id="{00000000-0008-0000-1E00-000012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sp macro="" textlink="">
        <xdr:nvSpPr>
          <xdr:cNvPr id="15" name="Organigramme : Connecteur 14">
            <a:extLst>
              <a:ext uri="{FF2B5EF4-FFF2-40B4-BE49-F238E27FC236}">
                <a16:creationId xmlns:a16="http://schemas.microsoft.com/office/drawing/2014/main" id="{00000000-0008-0000-1E00-00000F000000}"/>
              </a:ext>
            </a:extLst>
          </xdr:cNvPr>
          <xdr:cNvSpPr/>
        </xdr:nvSpPr>
        <xdr:spPr>
          <a:xfrm>
            <a:off x="9725025" y="4838700"/>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9</xdr:col>
      <xdr:colOff>638175</xdr:colOff>
      <xdr:row>9</xdr:row>
      <xdr:rowOff>104775</xdr:rowOff>
    </xdr:from>
    <xdr:to>
      <xdr:col>17</xdr:col>
      <xdr:colOff>380975</xdr:colOff>
      <xdr:row>36</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343150"/>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4">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5">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6">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4">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3">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1">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2">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30">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9">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6">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7">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8">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5">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4">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5">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6">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7">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8">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9">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30">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1">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2">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3">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4">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5">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6">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4">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5">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6">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7">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8">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30">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9">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2">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1">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3">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4">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5">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6">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6</xdr:row>
          <xdr:rowOff>38100</xdr:rowOff>
        </xdr:from>
        <xdr:to>
          <xdr:col>10</xdr:col>
          <xdr:colOff>781050</xdr:colOff>
          <xdr:row>13</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1000124</xdr:colOff>
      <xdr:row>27</xdr:row>
      <xdr:rowOff>0</xdr:rowOff>
    </xdr:from>
    <xdr:to>
      <xdr:col>16</xdr:col>
      <xdr:colOff>285749</xdr:colOff>
      <xdr:row>47</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647699</xdr:colOff>
      <xdr:row>47</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1000124</xdr:colOff>
      <xdr:row>25</xdr:row>
      <xdr:rowOff>190499</xdr:rowOff>
    </xdr:from>
    <xdr:to>
      <xdr:col>14</xdr:col>
      <xdr:colOff>190500</xdr:colOff>
      <xdr:row>46</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Mesures_Omia!$A$24">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AF5B3E1-8F46-485F-A292-0D0BE1AF2E71}" type="TxLink">
                    <a:rPr lang="en-US" sz="1100" b="0" i="0" u="none" strike="noStrike">
                      <a:solidFill>
                        <a:srgbClr val="000000"/>
                      </a:solidFill>
                      <a:latin typeface="Calibri"/>
                      <a:cs typeface="Calibri"/>
                    </a:rPr>
                    <a:pPr algn="ctr"/>
                    <a:t>1</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Mesures_Omia!$A$25">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A1F198A-F479-46F6-9911-C8C558C808AD}" type="TxLink">
                      <a:rPr lang="en-US" sz="1100" b="0" i="0" u="none" strike="noStrike">
                        <a:solidFill>
                          <a:srgbClr val="000000"/>
                        </a:solidFill>
                        <a:latin typeface="Calibri"/>
                        <a:cs typeface="Calibri"/>
                      </a:rPr>
                      <a:pPr algn="ctr"/>
                      <a:t>2</a:t>
                    </a:fld>
                    <a:endParaRPr lang="fr-FR" sz="1100"/>
                  </a:p>
                </xdr:txBody>
              </xdr:sp>
              <xdr:sp macro="" textlink="Mesures_Omia!$A$36">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F67F713-8260-4C28-A76D-932C44A252A0}" type="TxLink">
                      <a:rPr lang="en-US" sz="1100" b="0" i="0" u="none" strike="noStrike">
                        <a:solidFill>
                          <a:srgbClr val="000000"/>
                        </a:solidFill>
                        <a:latin typeface="Calibri"/>
                        <a:cs typeface="Calibri"/>
                      </a:rPr>
                      <a:pPr algn="ctr"/>
                      <a:t>13</a:t>
                    </a:fld>
                    <a:endParaRPr lang="fr-FR" sz="1100"/>
                  </a:p>
                </xdr:txBody>
              </xdr:sp>
              <xdr:sp macro="" textlink="Mesures_Omia!$A$34">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47BF0F-9138-4499-9049-83860D7BC86F}" type="TxLink">
                      <a:rPr lang="en-US" sz="1100" b="0" i="0" u="none" strike="noStrike">
                        <a:solidFill>
                          <a:srgbClr val="000000"/>
                        </a:solidFill>
                        <a:latin typeface="Calibri"/>
                        <a:cs typeface="Calibri"/>
                      </a:rPr>
                      <a:pPr algn="ctr"/>
                      <a:t>11</a:t>
                    </a:fld>
                    <a:endParaRPr lang="fr-FR" sz="1100"/>
                  </a:p>
                </xdr:txBody>
              </xdr:sp>
              <xdr:sp macro="" textlink="Mesures_Omia!$A$33">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0328E08-C492-46CB-9637-FDFF5F4C0EDE}" type="TxLink">
                      <a:rPr lang="en-US" sz="1100" b="0" i="0" u="none" strike="noStrike">
                        <a:solidFill>
                          <a:srgbClr val="000000"/>
                        </a:solidFill>
                        <a:latin typeface="Calibri"/>
                        <a:cs typeface="Calibri"/>
                      </a:rPr>
                      <a:pPr algn="ctr"/>
                      <a:t>10</a:t>
                    </a:fld>
                    <a:endParaRPr lang="fr-FR" sz="1100"/>
                  </a:p>
                </xdr:txBody>
              </xdr:sp>
              <xdr:sp macro="" textlink="Mesures_Omia!$A$31">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FC061F6-C736-4BCF-B5D0-46A3FAAF4831}" type="TxLink">
                      <a:rPr lang="en-US" sz="1100" b="0" i="0" u="none" strike="noStrike">
                        <a:solidFill>
                          <a:srgbClr val="000000"/>
                        </a:solidFill>
                        <a:latin typeface="Calibri"/>
                        <a:cs typeface="Calibri"/>
                      </a:rPr>
                      <a:pPr algn="ctr"/>
                      <a:t>8</a:t>
                    </a:fld>
                    <a:endParaRPr lang="fr-FR" sz="1100"/>
                  </a:p>
                </xdr:txBody>
              </xdr:sp>
              <xdr:sp macro="" textlink="Mesures_Omia!$A$32">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FDAE42E-42B8-4674-9117-E4A4641ECA7C}" type="TxLink">
                      <a:rPr lang="en-US" sz="1100" b="0" i="0" u="none" strike="noStrike">
                        <a:solidFill>
                          <a:srgbClr val="000000"/>
                        </a:solidFill>
                        <a:latin typeface="Calibri"/>
                        <a:cs typeface="Calibri"/>
                      </a:rPr>
                      <a:pPr algn="ctr"/>
                      <a:t>9</a:t>
                    </a:fld>
                    <a:endParaRPr lang="fr-FR" sz="1100"/>
                  </a:p>
                </xdr:txBody>
              </xdr:sp>
              <xdr:sp macro="" textlink="Mesures_Omia!$A$30">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F8CE48-CE42-4710-9991-F53C5DFF4392}" type="TxLink">
                      <a:rPr lang="en-US" sz="1100" b="0" i="0" u="none" strike="noStrike">
                        <a:solidFill>
                          <a:srgbClr val="000000"/>
                        </a:solidFill>
                        <a:latin typeface="Calibri"/>
                        <a:cs typeface="Calibri"/>
                      </a:rPr>
                      <a:pPr algn="ctr"/>
                      <a:t>7</a:t>
                    </a:fld>
                    <a:endParaRPr lang="fr-FR" sz="1100"/>
                  </a:p>
                </xdr:txBody>
              </xdr:sp>
              <xdr:sp macro="" textlink="Mesures_Omia!$A$29">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F60371D-52E7-4FA0-B28B-3BB071FFDDD0}" type="TxLink">
                      <a:rPr lang="en-US" sz="1100" b="0" i="0" u="none" strike="noStrike">
                        <a:solidFill>
                          <a:srgbClr val="000000"/>
                        </a:solidFill>
                        <a:latin typeface="Calibri"/>
                        <a:cs typeface="Calibri"/>
                      </a:rPr>
                      <a:pPr algn="ctr"/>
                      <a:t>6</a:t>
                    </a:fld>
                    <a:endParaRPr lang="fr-FR" sz="1100"/>
                  </a:p>
                </xdr:txBody>
              </xdr:sp>
              <xdr:sp macro="" textlink="Mesures_Omia!$A$26">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33C214E-7655-4B29-BF10-68C523763D10}" type="TxLink">
                      <a:rPr lang="en-US" sz="1100" b="0" i="0" u="none" strike="noStrike">
                        <a:solidFill>
                          <a:srgbClr val="000000"/>
                        </a:solidFill>
                        <a:latin typeface="Calibri"/>
                        <a:cs typeface="Calibri"/>
                      </a:rPr>
                      <a:pPr algn="ctr"/>
                      <a:t>3</a:t>
                    </a:fld>
                    <a:endParaRPr lang="fr-FR" sz="1100"/>
                  </a:p>
                </xdr:txBody>
              </xdr:sp>
              <xdr:sp macro="" textlink="Mesures_Omia!$A$27">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5F0B4AB-B217-40D1-8F36-32F3763185D5}" type="TxLink">
                      <a:rPr lang="en-US" sz="1100" b="0" i="0" u="none" strike="noStrike">
                        <a:solidFill>
                          <a:srgbClr val="000000"/>
                        </a:solidFill>
                        <a:latin typeface="Calibri"/>
                        <a:cs typeface="Calibri"/>
                      </a:rPr>
                      <a:pPr algn="ctr"/>
                      <a:t>4</a:t>
                    </a:fld>
                    <a:endParaRPr lang="fr-FR" sz="1100"/>
                  </a:p>
                </xdr:txBody>
              </xdr:sp>
              <xdr:sp macro="" textlink="Mesures_Omia!$A$28">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3DAF5AC-0D6D-4E7C-997D-A7D823C03942}"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Mesures_Omia!$A$35">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B8C0B86-8C4C-4103-A546-E79AE04E8EC1}" type="TxLink">
                  <a:rPr lang="en-US" sz="1100" b="0" i="0" u="none" strike="noStrike">
                    <a:solidFill>
                      <a:srgbClr val="000000"/>
                    </a:solidFill>
                    <a:latin typeface="Calibri"/>
                    <a:cs typeface="Calibri"/>
                  </a:rPr>
                  <a:pPr algn="ctr"/>
                  <a:t>12</a:t>
                </a:fld>
                <a:endParaRPr lang="fr-FR" sz="1100"/>
              </a:p>
            </xdr:txBody>
          </xdr:sp>
        </xdr:grpSp>
        <xdr:sp macro="" textlink="Mesures_Omia!B24">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11A216-C463-462E-AF5A-060F6FF03C06}" type="TxLink">
                <a:rPr lang="en-US" sz="1100" b="0" i="0" u="none" strike="noStrike">
                  <a:solidFill>
                    <a:srgbClr val="000000"/>
                  </a:solidFill>
                  <a:latin typeface="Calibri"/>
                  <a:cs typeface="Calibri"/>
                </a:rPr>
                <a:pPr algn="ctr"/>
                <a:t> </a:t>
              </a:fld>
              <a:endParaRPr lang="fr-FR" sz="1100"/>
            </a:p>
          </xdr:txBody>
        </xdr:sp>
        <xdr:sp macro="" textlink="Mesures_Omia!B25">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36E6B4-323B-42D9-A72D-F4005B7C283E}" type="TxLink">
                <a:rPr lang="en-US" sz="1100" b="0" i="0" u="none" strike="noStrike">
                  <a:solidFill>
                    <a:srgbClr val="000000"/>
                  </a:solidFill>
                  <a:latin typeface="Calibri"/>
                  <a:cs typeface="Calibri"/>
                </a:rPr>
                <a:pPr algn="ctr"/>
                <a:t> </a:t>
              </a:fld>
              <a:endParaRPr lang="fr-FR" sz="1100"/>
            </a:p>
          </xdr:txBody>
        </xdr:sp>
        <xdr:sp macro="" textlink="Mesures_Omia!B26">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06A2643-BE0B-42BC-BB8D-4EBA3897EB86}" type="TxLink">
                <a:rPr lang="en-US" sz="1100" b="0" i="0" u="none" strike="noStrike">
                  <a:solidFill>
                    <a:srgbClr val="000000"/>
                  </a:solidFill>
                  <a:latin typeface="Calibri"/>
                  <a:cs typeface="Calibri"/>
                </a:rPr>
                <a:pPr algn="ctr"/>
                <a:t> </a:t>
              </a:fld>
              <a:endParaRPr lang="fr-FR" sz="1100"/>
            </a:p>
          </xdr:txBody>
        </xdr:sp>
        <xdr:sp macro="" textlink="Mesures_Omia!B27">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09D41A-FEDE-44F3-A222-703B7EC91E4B}" type="TxLink">
                <a:rPr lang="en-US" sz="1100" b="0" i="0" u="none" strike="noStrike">
                  <a:solidFill>
                    <a:srgbClr val="000000"/>
                  </a:solidFill>
                  <a:latin typeface="Calibri"/>
                  <a:cs typeface="Calibri"/>
                </a:rPr>
                <a:pPr algn="ctr"/>
                <a:t> </a:t>
              </a:fld>
              <a:endParaRPr lang="fr-FR" sz="1100"/>
            </a:p>
          </xdr:txBody>
        </xdr:sp>
        <xdr:sp macro="" textlink="Mesures_Omia!B28">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3167909-69CD-4770-AFAF-1730A3509E8F}" type="TxLink">
                <a:rPr lang="en-US" sz="1100" b="0" i="0" u="none" strike="noStrike">
                  <a:solidFill>
                    <a:srgbClr val="000000"/>
                  </a:solidFill>
                  <a:latin typeface="Calibri"/>
                  <a:cs typeface="Calibri"/>
                </a:rPr>
                <a:pPr algn="ctr"/>
                <a:t> </a:t>
              </a:fld>
              <a:endParaRPr lang="fr-FR" sz="1100"/>
            </a:p>
          </xdr:txBody>
        </xdr:sp>
        <xdr:sp macro="" textlink="Mesures_Omia!B29">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BD0AD99-0BFD-43E3-9C8C-7F2F5AE6B8DD}" type="TxLink">
                <a:rPr lang="en-US" sz="1100" b="0" i="0" u="none" strike="noStrike">
                  <a:solidFill>
                    <a:srgbClr val="000000"/>
                  </a:solidFill>
                  <a:latin typeface="Calibri"/>
                  <a:cs typeface="Calibri"/>
                </a:rPr>
                <a:pPr algn="ctr"/>
                <a:t> </a:t>
              </a:fld>
              <a:endParaRPr lang="fr-FR" sz="1100"/>
            </a:p>
          </xdr:txBody>
        </xdr:sp>
        <xdr:sp macro="" textlink="Mesures_Omia!B30">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A454ED-5DF3-491D-8B56-D079794F159C}" type="TxLink">
                <a:rPr lang="en-US" sz="1100" b="0" i="0" u="none" strike="noStrike">
                  <a:solidFill>
                    <a:srgbClr val="000000"/>
                  </a:solidFill>
                  <a:latin typeface="Calibri"/>
                  <a:cs typeface="Calibri"/>
                </a:rPr>
                <a:pPr algn="ctr"/>
                <a:t> </a:t>
              </a:fld>
              <a:endParaRPr lang="fr-FR" sz="1100"/>
            </a:p>
          </xdr:txBody>
        </xdr:sp>
        <xdr:sp macro="" textlink="Mesures_Omia!B31">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7EEDB8E-4B3C-4387-A4F0-1478A2097212}" type="TxLink">
                <a:rPr lang="en-US" sz="1100" b="0" i="0" u="none" strike="noStrike">
                  <a:solidFill>
                    <a:srgbClr val="000000"/>
                  </a:solidFill>
                  <a:latin typeface="Calibri"/>
                  <a:cs typeface="Calibri"/>
                </a:rPr>
                <a:pPr algn="ctr"/>
                <a:t> </a:t>
              </a:fld>
              <a:endParaRPr lang="fr-FR" sz="1100"/>
            </a:p>
          </xdr:txBody>
        </xdr:sp>
        <xdr:sp macro="" textlink="Mesures_Omia!B32">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C4A5CD-AA3F-4AD5-BA4B-B91C4E0F17B0}" type="TxLink">
                <a:rPr lang="en-US" sz="1100" b="0" i="0" u="none" strike="noStrike">
                  <a:solidFill>
                    <a:srgbClr val="000000"/>
                  </a:solidFill>
                  <a:latin typeface="Calibri"/>
                  <a:cs typeface="Calibri"/>
                </a:rPr>
                <a:pPr algn="ctr"/>
                <a:t> </a:t>
              </a:fld>
              <a:endParaRPr lang="fr-FR" sz="1100"/>
            </a:p>
          </xdr:txBody>
        </xdr:sp>
        <xdr:sp macro="" textlink="Mesures_Omia!B33">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4549C9C-479C-419F-B9C8-8342EE7C565C}" type="TxLink">
                <a:rPr lang="en-US" sz="1100" b="0" i="0" u="none" strike="noStrike">
                  <a:solidFill>
                    <a:srgbClr val="000000"/>
                  </a:solidFill>
                  <a:latin typeface="Calibri"/>
                  <a:cs typeface="Calibri"/>
                </a:rPr>
                <a:pPr algn="ctr"/>
                <a:t> </a:t>
              </a:fld>
              <a:endParaRPr lang="fr-FR" sz="1100"/>
            </a:p>
          </xdr:txBody>
        </xdr:sp>
        <xdr:sp macro="" textlink="Mesures_Omia!B34">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81F5D42-6069-4B60-82B7-349A919DFD0E}" type="TxLink">
                <a:rPr lang="en-US" sz="1100" b="0" i="0" u="none" strike="noStrike">
                  <a:solidFill>
                    <a:srgbClr val="000000"/>
                  </a:solidFill>
                  <a:latin typeface="Calibri"/>
                  <a:cs typeface="Calibri"/>
                </a:rPr>
                <a:pPr algn="ctr"/>
                <a:t> </a:t>
              </a:fld>
              <a:endParaRPr lang="fr-FR" sz="1100"/>
            </a:p>
          </xdr:txBody>
        </xdr:sp>
        <xdr:sp macro="" textlink="Mesures_Omia!B35">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66DDC16-8BFE-495F-94FB-DE302734B891}" type="TxLink">
                <a:rPr lang="en-US" sz="1100" b="0" i="0" u="none" strike="noStrike">
                  <a:solidFill>
                    <a:srgbClr val="000000"/>
                  </a:solidFill>
                  <a:latin typeface="Calibri"/>
                  <a:cs typeface="Calibri"/>
                </a:rPr>
                <a:pPr algn="ctr"/>
                <a:t> </a:t>
              </a:fld>
              <a:endParaRPr lang="fr-FR" sz="1100"/>
            </a:p>
          </xdr:txBody>
        </xdr:sp>
        <xdr:sp macro="" textlink="Mesures_Omia!B36">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C903F2-683D-4A57-A6C4-71F576153427}" type="TxLink">
                <a:rPr lang="en-US" sz="1100" b="0" i="0" u="none" strike="noStrike">
                  <a:solidFill>
                    <a:srgbClr val="000000"/>
                  </a:solidFill>
                  <a:latin typeface="Calibri"/>
                  <a:cs typeface="Calibri"/>
                </a:rPr>
                <a:pPr algn="ctr"/>
                <a:t> </a:t>
              </a:fld>
              <a:endParaRPr lang="fr-FR" sz="1100"/>
            </a:p>
          </xdr:txBody>
        </xdr:sp>
      </xdr:grpSp>
      <xdr:sp macro="" textlink="Mesures_Omia!C24">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CD721EA-1A55-4925-A7EC-5615E66B8E86}" type="TxLink">
              <a:rPr lang="en-US" sz="1100" b="0" i="0" u="none" strike="noStrike">
                <a:solidFill>
                  <a:srgbClr val="000000"/>
                </a:solidFill>
                <a:latin typeface="Calibri"/>
                <a:cs typeface="Calibri"/>
              </a:rPr>
              <a:pPr algn="ctr"/>
              <a:t> </a:t>
            </a:fld>
            <a:endParaRPr lang="fr-FR" sz="1100"/>
          </a:p>
        </xdr:txBody>
      </xdr:sp>
      <xdr:sp macro="" textlink="Mesures_Omia!C25">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C689C7D-8603-4F92-955F-8F6B669E05C2}" type="TxLink">
              <a:rPr lang="en-US" sz="1100" b="0" i="0" u="none" strike="noStrike">
                <a:solidFill>
                  <a:srgbClr val="000000"/>
                </a:solidFill>
                <a:latin typeface="Calibri"/>
                <a:cs typeface="Calibri"/>
              </a:rPr>
              <a:pPr algn="ctr"/>
              <a:t> </a:t>
            </a:fld>
            <a:endParaRPr lang="fr-FR" sz="1100"/>
          </a:p>
        </xdr:txBody>
      </xdr:sp>
      <xdr:sp macro="" textlink="Mesures_Omia!C26">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515FD01-84A4-41B5-9032-63261827D083}" type="TxLink">
              <a:rPr lang="en-US" sz="1100" b="0" i="0" u="none" strike="noStrike">
                <a:solidFill>
                  <a:srgbClr val="000000"/>
                </a:solidFill>
                <a:latin typeface="Calibri"/>
                <a:cs typeface="Calibri"/>
              </a:rPr>
              <a:pPr algn="ctr"/>
              <a:t> </a:t>
            </a:fld>
            <a:endParaRPr lang="fr-FR" sz="1100"/>
          </a:p>
        </xdr:txBody>
      </xdr:sp>
      <xdr:sp macro="" textlink="Mesures_Omia!C27">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AD39EDB-C17E-4E0D-A275-E5AD1795071D}" type="TxLink">
              <a:rPr lang="en-US" sz="1100" b="0" i="0" u="none" strike="noStrike">
                <a:solidFill>
                  <a:srgbClr val="000000"/>
                </a:solidFill>
                <a:latin typeface="Calibri"/>
                <a:cs typeface="Calibri"/>
              </a:rPr>
              <a:pPr algn="ctr"/>
              <a:t> </a:t>
            </a:fld>
            <a:endParaRPr lang="fr-FR" sz="1100"/>
          </a:p>
        </xdr:txBody>
      </xdr:sp>
      <xdr:sp macro="" textlink="Mesures_Omia!C28">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C25B4184-0A3A-4E05-9254-D70E95AFCB29}" type="TxLink">
              <a:rPr lang="en-US" sz="1100" b="0" i="0" u="none" strike="noStrike">
                <a:solidFill>
                  <a:srgbClr val="000000"/>
                </a:solidFill>
                <a:latin typeface="Calibri"/>
                <a:cs typeface="Calibri"/>
              </a:rPr>
              <a:pPr algn="ctr"/>
              <a:t> </a:t>
            </a:fld>
            <a:endParaRPr lang="fr-FR" sz="1100"/>
          </a:p>
        </xdr:txBody>
      </xdr:sp>
      <xdr:sp macro="" textlink="Mesures_Omia!C30">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70FBF7E4-F8F9-427E-8BD6-63858FD6D258}" type="TxLink">
              <a:rPr lang="en-US" sz="1100" b="0" i="0" u="none" strike="noStrike">
                <a:solidFill>
                  <a:srgbClr val="000000"/>
                </a:solidFill>
                <a:latin typeface="Calibri"/>
                <a:cs typeface="Calibri"/>
              </a:rPr>
              <a:pPr algn="ctr"/>
              <a:t> </a:t>
            </a:fld>
            <a:endParaRPr lang="fr-FR" sz="1100"/>
          </a:p>
        </xdr:txBody>
      </xdr:sp>
      <xdr:sp macro="" textlink="Mesures_Omia!C29">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64B4A34-677C-41D9-8960-140C685BEBFD}" type="TxLink">
              <a:rPr lang="en-US" sz="1100" b="0" i="0" u="none" strike="noStrike">
                <a:solidFill>
                  <a:srgbClr val="000000"/>
                </a:solidFill>
                <a:latin typeface="Calibri"/>
                <a:cs typeface="Calibri"/>
              </a:rPr>
              <a:pPr algn="ctr"/>
              <a:t> </a:t>
            </a:fld>
            <a:endParaRPr lang="fr-FR" sz="1100"/>
          </a:p>
        </xdr:txBody>
      </xdr:sp>
      <xdr:sp macro="" textlink="Mesures_Omia!C32">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210EDC-43C3-4DAB-97AA-3C6DB5557A46}" type="TxLink">
              <a:rPr lang="en-US" sz="1100" b="0" i="0" u="none" strike="noStrike">
                <a:solidFill>
                  <a:srgbClr val="000000"/>
                </a:solidFill>
                <a:latin typeface="Calibri"/>
                <a:cs typeface="Calibri"/>
              </a:rPr>
              <a:pPr algn="ctr"/>
              <a:t> </a:t>
            </a:fld>
            <a:endParaRPr lang="fr-FR" sz="1100"/>
          </a:p>
        </xdr:txBody>
      </xdr:sp>
      <xdr:sp macro="" textlink="Mesures_Omia!C31">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5E0983-F12D-47D7-9168-94034C43358E}" type="TxLink">
              <a:rPr lang="en-US" sz="1100" b="0" i="0" u="none" strike="noStrike">
                <a:solidFill>
                  <a:srgbClr val="000000"/>
                </a:solidFill>
                <a:latin typeface="Calibri"/>
                <a:cs typeface="Calibri"/>
              </a:rPr>
              <a:pPr algn="ctr"/>
              <a:t> </a:t>
            </a:fld>
            <a:endParaRPr lang="fr-FR" sz="1100"/>
          </a:p>
        </xdr:txBody>
      </xdr:sp>
      <xdr:sp macro="" textlink="Mesures_Omia!C33">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16CE54D-A725-4169-84AD-A548EC911732}" type="TxLink">
              <a:rPr lang="en-US" sz="1100" b="0" i="0" u="none" strike="noStrike">
                <a:solidFill>
                  <a:srgbClr val="000000"/>
                </a:solidFill>
                <a:latin typeface="Calibri"/>
                <a:cs typeface="Calibri"/>
              </a:rPr>
              <a:pPr algn="ctr"/>
              <a:t> </a:t>
            </a:fld>
            <a:endParaRPr lang="fr-FR" sz="1100"/>
          </a:p>
        </xdr:txBody>
      </xdr:sp>
      <xdr:sp macro="" textlink="Mesures_Omia!C34">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DB991AB-8609-416F-9A18-8F0380C99304}" type="TxLink">
              <a:rPr lang="en-US" sz="1100" b="0" i="0" u="none" strike="noStrike">
                <a:solidFill>
                  <a:srgbClr val="000000"/>
                </a:solidFill>
                <a:latin typeface="Calibri"/>
                <a:cs typeface="Calibri"/>
              </a:rPr>
              <a:pPr algn="ctr"/>
              <a:t> </a:t>
            </a:fld>
            <a:endParaRPr lang="fr-FR" sz="1100"/>
          </a:p>
        </xdr:txBody>
      </xdr:sp>
      <xdr:sp macro="" textlink="Mesures_Omia!C35">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D9E8580-9060-4043-92F6-08FE2EFC806F}" type="TxLink">
              <a:rPr lang="en-US" sz="1100" b="0" i="0" u="none" strike="noStrike">
                <a:solidFill>
                  <a:srgbClr val="000000"/>
                </a:solidFill>
                <a:latin typeface="Calibri"/>
                <a:cs typeface="Calibri"/>
              </a:rPr>
              <a:pPr algn="ctr"/>
              <a:t> </a:t>
            </a:fld>
            <a:endParaRPr lang="fr-FR" sz="1100"/>
          </a:p>
        </xdr:txBody>
      </xdr:sp>
      <xdr:sp macro="" textlink="Mesures_Omia!C36">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A9774CD-2868-49D1-B272-2A91A078E38C}"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258</xdr:row>
      <xdr:rowOff>0</xdr:rowOff>
    </xdr:from>
    <xdr:to>
      <xdr:col>10</xdr:col>
      <xdr:colOff>650875</xdr:colOff>
      <xdr:row>282</xdr:row>
      <xdr:rowOff>127000</xdr:rowOff>
    </xdr:to>
    <xdr:graphicFrame macro="">
      <xdr:nvGraphicFramePr>
        <xdr:cNvPr id="270" name="Graphique 269">
          <a:extLst>
            <a:ext uri="{FF2B5EF4-FFF2-40B4-BE49-F238E27FC236}">
              <a16:creationId xmlns:a16="http://schemas.microsoft.com/office/drawing/2014/main" id="{00000000-0008-0000-26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10</xdr:col>
      <xdr:colOff>984250</xdr:colOff>
      <xdr:row>391</xdr:row>
      <xdr:rowOff>174625</xdr:rowOff>
    </xdr:to>
    <xdr:graphicFrame macro="">
      <xdr:nvGraphicFramePr>
        <xdr:cNvPr id="271" name="Graphique 270">
          <a:extLst>
            <a:ext uri="{FF2B5EF4-FFF2-40B4-BE49-F238E27FC236}">
              <a16:creationId xmlns:a16="http://schemas.microsoft.com/office/drawing/2014/main" id="{00000000-0008-0000-26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460</xdr:row>
      <xdr:rowOff>0</xdr:rowOff>
    </xdr:from>
    <xdr:to>
      <xdr:col>11</xdr:col>
      <xdr:colOff>936625</xdr:colOff>
      <xdr:row>490</xdr:row>
      <xdr:rowOff>95250</xdr:rowOff>
    </xdr:to>
    <xdr:graphicFrame macro="">
      <xdr:nvGraphicFramePr>
        <xdr:cNvPr id="273" name="Graphique 272">
          <a:extLst>
            <a:ext uri="{FF2B5EF4-FFF2-40B4-BE49-F238E27FC236}">
              <a16:creationId xmlns:a16="http://schemas.microsoft.com/office/drawing/2014/main" id="{00000000-0008-0000-26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7</xdr:row>
          <xdr:rowOff>47625</xdr:rowOff>
        </xdr:from>
        <xdr:to>
          <xdr:col>13</xdr:col>
          <xdr:colOff>400050</xdr:colOff>
          <xdr:row>13</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10</xdr:col>
      <xdr:colOff>57979</xdr:colOff>
      <xdr:row>14</xdr:row>
      <xdr:rowOff>173935</xdr:rowOff>
    </xdr:from>
    <xdr:to>
      <xdr:col>13</xdr:col>
      <xdr:colOff>563218</xdr:colOff>
      <xdr:row>34</xdr:row>
      <xdr:rowOff>16565</xdr:rowOff>
    </xdr:to>
    <xdr:grpSp>
      <xdr:nvGrpSpPr>
        <xdr:cNvPr id="3" name="Groupe 2">
          <a:extLst>
            <a:ext uri="{FF2B5EF4-FFF2-40B4-BE49-F238E27FC236}">
              <a16:creationId xmlns:a16="http://schemas.microsoft.com/office/drawing/2014/main" id="{00000000-0008-0000-2700-000003000000}"/>
            </a:ext>
          </a:extLst>
        </xdr:cNvPr>
        <xdr:cNvGrpSpPr/>
      </xdr:nvGrpSpPr>
      <xdr:grpSpPr>
        <a:xfrm>
          <a:off x="11140109" y="4025348"/>
          <a:ext cx="4812196" cy="3859695"/>
          <a:chOff x="8605630" y="3404152"/>
          <a:chExt cx="4174435" cy="4278316"/>
        </a:xfrm>
      </xdr:grpSpPr>
      <xdr:sp macro="" textlink="">
        <xdr:nvSpPr>
          <xdr:cNvPr id="5" name="Organigramme : Connecteur 4">
            <a:extLst>
              <a:ext uri="{FF2B5EF4-FFF2-40B4-BE49-F238E27FC236}">
                <a16:creationId xmlns:a16="http://schemas.microsoft.com/office/drawing/2014/main" id="{00000000-0008-0000-2700-000005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7" name="Groupe 6">
            <a:extLst>
              <a:ext uri="{FF2B5EF4-FFF2-40B4-BE49-F238E27FC236}">
                <a16:creationId xmlns:a16="http://schemas.microsoft.com/office/drawing/2014/main" id="{00000000-0008-0000-2700-000007000000}"/>
              </a:ext>
            </a:extLst>
          </xdr:cNvPr>
          <xdr:cNvGrpSpPr/>
        </xdr:nvGrpSpPr>
        <xdr:grpSpPr>
          <a:xfrm>
            <a:off x="8605630" y="3404152"/>
            <a:ext cx="4174435" cy="4278316"/>
            <a:chOff x="8605630" y="3404152"/>
            <a:chExt cx="4174435" cy="4278316"/>
          </a:xfrm>
        </xdr:grpSpPr>
        <xdr:grpSp>
          <xdr:nvGrpSpPr>
            <xdr:cNvPr id="8" name="Groupe 7">
              <a:extLst>
                <a:ext uri="{FF2B5EF4-FFF2-40B4-BE49-F238E27FC236}">
                  <a16:creationId xmlns:a16="http://schemas.microsoft.com/office/drawing/2014/main" id="{00000000-0008-0000-2700-000008000000}"/>
                </a:ext>
              </a:extLst>
            </xdr:cNvPr>
            <xdr:cNvGrpSpPr/>
          </xdr:nvGrpSpPr>
          <xdr:grpSpPr>
            <a:xfrm>
              <a:off x="9316277" y="3404152"/>
              <a:ext cx="3463788" cy="3327953"/>
              <a:chOff x="9092647" y="3420717"/>
              <a:chExt cx="3463788" cy="3327953"/>
            </a:xfrm>
          </xdr:grpSpPr>
          <xdr:sp macro="" textlink="">
            <xdr:nvSpPr>
              <xdr:cNvPr id="16" name="Organigramme : Connecteur 15">
                <a:extLst>
                  <a:ext uri="{FF2B5EF4-FFF2-40B4-BE49-F238E27FC236}">
                    <a16:creationId xmlns:a16="http://schemas.microsoft.com/office/drawing/2014/main" id="{00000000-0008-0000-2700-000010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7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7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7409" name="Organigramme : Connecteur 17408">
                <a:extLst>
                  <a:ext uri="{FF2B5EF4-FFF2-40B4-BE49-F238E27FC236}">
                    <a16:creationId xmlns:a16="http://schemas.microsoft.com/office/drawing/2014/main" id="{00000000-0008-0000-2700-00000144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7432" name="Organigramme : Connecteur 17431">
                <a:extLst>
                  <a:ext uri="{FF2B5EF4-FFF2-40B4-BE49-F238E27FC236}">
                    <a16:creationId xmlns:a16="http://schemas.microsoft.com/office/drawing/2014/main" id="{00000000-0008-0000-2700-00001844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7433" name="Organigramme : Connecteur 17432">
                <a:extLst>
                  <a:ext uri="{FF2B5EF4-FFF2-40B4-BE49-F238E27FC236}">
                    <a16:creationId xmlns:a16="http://schemas.microsoft.com/office/drawing/2014/main" id="{00000000-0008-0000-2700-00001944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34" name="Groupe 17433">
                <a:extLst>
                  <a:ext uri="{FF2B5EF4-FFF2-40B4-BE49-F238E27FC236}">
                    <a16:creationId xmlns:a16="http://schemas.microsoft.com/office/drawing/2014/main" id="{00000000-0008-0000-2700-00001A440000}"/>
                  </a:ext>
                </a:extLst>
              </xdr:cNvPr>
              <xdr:cNvGrpSpPr/>
            </xdr:nvGrpSpPr>
            <xdr:grpSpPr>
              <a:xfrm>
                <a:off x="9092647" y="3592995"/>
                <a:ext cx="3463788" cy="3155675"/>
                <a:chOff x="9092647" y="3592995"/>
                <a:chExt cx="3463788" cy="3155675"/>
              </a:xfrm>
            </xdr:grpSpPr>
            <xdr:sp macro="" textlink="">
              <xdr:nvSpPr>
                <xdr:cNvPr id="17435" name="Organigramme : Connecteur 17434">
                  <a:extLst>
                    <a:ext uri="{FF2B5EF4-FFF2-40B4-BE49-F238E27FC236}">
                      <a16:creationId xmlns:a16="http://schemas.microsoft.com/office/drawing/2014/main" id="{00000000-0008-0000-2700-00001B44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7436" name="Organigramme : Connecteur 17435">
                  <a:extLst>
                    <a:ext uri="{FF2B5EF4-FFF2-40B4-BE49-F238E27FC236}">
                      <a16:creationId xmlns:a16="http://schemas.microsoft.com/office/drawing/2014/main" id="{00000000-0008-0000-2700-00001C44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7437" name="Organigramme : Connecteur 17436">
                  <a:extLst>
                    <a:ext uri="{FF2B5EF4-FFF2-40B4-BE49-F238E27FC236}">
                      <a16:creationId xmlns:a16="http://schemas.microsoft.com/office/drawing/2014/main" id="{00000000-0008-0000-2700-00001D44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7438" name="Organigramme : Connecteur 17437">
                  <a:extLst>
                    <a:ext uri="{FF2B5EF4-FFF2-40B4-BE49-F238E27FC236}">
                      <a16:creationId xmlns:a16="http://schemas.microsoft.com/office/drawing/2014/main" id="{00000000-0008-0000-2700-00001E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7439" name="Organigramme : Connecteur 17438">
                  <a:extLst>
                    <a:ext uri="{FF2B5EF4-FFF2-40B4-BE49-F238E27FC236}">
                      <a16:creationId xmlns:a16="http://schemas.microsoft.com/office/drawing/2014/main" id="{00000000-0008-0000-2700-00001F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7440" name="Organigramme : Connecteur 17439">
                  <a:extLst>
                    <a:ext uri="{FF2B5EF4-FFF2-40B4-BE49-F238E27FC236}">
                      <a16:creationId xmlns:a16="http://schemas.microsoft.com/office/drawing/2014/main" id="{00000000-0008-0000-2700-000020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7441" name="Organigramme : Connecteur 17440">
                  <a:extLst>
                    <a:ext uri="{FF2B5EF4-FFF2-40B4-BE49-F238E27FC236}">
                      <a16:creationId xmlns:a16="http://schemas.microsoft.com/office/drawing/2014/main" id="{00000000-0008-0000-2700-000021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7442" name="Organigramme : Connecteur 17441">
                  <a:extLst>
                    <a:ext uri="{FF2B5EF4-FFF2-40B4-BE49-F238E27FC236}">
                      <a16:creationId xmlns:a16="http://schemas.microsoft.com/office/drawing/2014/main" id="{00000000-0008-0000-2700-000022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7443" name="Organigramme : Connecteur 17442">
                  <a:extLst>
                    <a:ext uri="{FF2B5EF4-FFF2-40B4-BE49-F238E27FC236}">
                      <a16:creationId xmlns:a16="http://schemas.microsoft.com/office/drawing/2014/main" id="{00000000-0008-0000-2700-000023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7444" name="Organigramme : Connecteur 17443">
                  <a:extLst>
                    <a:ext uri="{FF2B5EF4-FFF2-40B4-BE49-F238E27FC236}">
                      <a16:creationId xmlns:a16="http://schemas.microsoft.com/office/drawing/2014/main" id="{00000000-0008-0000-2700-000024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7445" name="Groupe 17444">
                  <a:extLst>
                    <a:ext uri="{FF2B5EF4-FFF2-40B4-BE49-F238E27FC236}">
                      <a16:creationId xmlns:a16="http://schemas.microsoft.com/office/drawing/2014/main" id="{00000000-0008-0000-2700-000025440000}"/>
                    </a:ext>
                  </a:extLst>
                </xdr:cNvPr>
                <xdr:cNvGrpSpPr/>
              </xdr:nvGrpSpPr>
              <xdr:grpSpPr>
                <a:xfrm>
                  <a:off x="9230139" y="3592995"/>
                  <a:ext cx="3326296" cy="2792482"/>
                  <a:chOff x="9230139" y="3592995"/>
                  <a:chExt cx="3326296" cy="2792482"/>
                </a:xfrm>
              </xdr:grpSpPr>
              <xdr:grpSp>
                <xdr:nvGrpSpPr>
                  <xdr:cNvPr id="17446" name="Groupe 17445">
                    <a:extLst>
                      <a:ext uri="{FF2B5EF4-FFF2-40B4-BE49-F238E27FC236}">
                        <a16:creationId xmlns:a16="http://schemas.microsoft.com/office/drawing/2014/main" id="{00000000-0008-0000-2700-000026440000}"/>
                      </a:ext>
                    </a:extLst>
                  </xdr:cNvPr>
                  <xdr:cNvGrpSpPr/>
                </xdr:nvGrpSpPr>
                <xdr:grpSpPr>
                  <a:xfrm>
                    <a:off x="9310480" y="3635237"/>
                    <a:ext cx="2949367" cy="2750240"/>
                    <a:chOff x="9320893" y="3638550"/>
                    <a:chExt cx="2950550" cy="2755446"/>
                  </a:xfrm>
                </xdr:grpSpPr>
                <xdr:sp macro="" textlink="">
                  <xdr:nvSpPr>
                    <xdr:cNvPr id="17455" name="Cube 17454">
                      <a:extLst>
                        <a:ext uri="{FF2B5EF4-FFF2-40B4-BE49-F238E27FC236}">
                          <a16:creationId xmlns:a16="http://schemas.microsoft.com/office/drawing/2014/main" id="{00000000-0008-0000-2700-00002F4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7456" name="Connecteur droit 17455">
                      <a:extLst>
                        <a:ext uri="{FF2B5EF4-FFF2-40B4-BE49-F238E27FC236}">
                          <a16:creationId xmlns:a16="http://schemas.microsoft.com/office/drawing/2014/main" id="{00000000-0008-0000-2700-0000304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7" name="Connecteur droit 17456">
                      <a:extLst>
                        <a:ext uri="{FF2B5EF4-FFF2-40B4-BE49-F238E27FC236}">
                          <a16:creationId xmlns:a16="http://schemas.microsoft.com/office/drawing/2014/main" id="{00000000-0008-0000-2700-0000314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7458" name="Connecteur droit 17457">
                      <a:extLst>
                        <a:ext uri="{FF2B5EF4-FFF2-40B4-BE49-F238E27FC236}">
                          <a16:creationId xmlns:a16="http://schemas.microsoft.com/office/drawing/2014/main" id="{00000000-0008-0000-2700-0000324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7447" name="Organigramme : Connecteur 17446">
                    <a:extLst>
                      <a:ext uri="{FF2B5EF4-FFF2-40B4-BE49-F238E27FC236}">
                        <a16:creationId xmlns:a16="http://schemas.microsoft.com/office/drawing/2014/main" id="{00000000-0008-0000-2700-00002744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7448" name="Organigramme : Connecteur 17447">
                    <a:extLst>
                      <a:ext uri="{FF2B5EF4-FFF2-40B4-BE49-F238E27FC236}">
                        <a16:creationId xmlns:a16="http://schemas.microsoft.com/office/drawing/2014/main" id="{00000000-0008-0000-2700-00002844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7449" name="Organigramme : Connecteur 17448">
                    <a:extLst>
                      <a:ext uri="{FF2B5EF4-FFF2-40B4-BE49-F238E27FC236}">
                        <a16:creationId xmlns:a16="http://schemas.microsoft.com/office/drawing/2014/main" id="{00000000-0008-0000-2700-0000294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7450" name="Organigramme : Connecteur 17449">
                    <a:extLst>
                      <a:ext uri="{FF2B5EF4-FFF2-40B4-BE49-F238E27FC236}">
                        <a16:creationId xmlns:a16="http://schemas.microsoft.com/office/drawing/2014/main" id="{00000000-0008-0000-2700-00002A4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7451" name="Organigramme : Connecteur 17450">
                    <a:extLst>
                      <a:ext uri="{FF2B5EF4-FFF2-40B4-BE49-F238E27FC236}">
                        <a16:creationId xmlns:a16="http://schemas.microsoft.com/office/drawing/2014/main" id="{00000000-0008-0000-2700-00002B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7452" name="Organigramme : Connecteur 17451">
                    <a:extLst>
                      <a:ext uri="{FF2B5EF4-FFF2-40B4-BE49-F238E27FC236}">
                        <a16:creationId xmlns:a16="http://schemas.microsoft.com/office/drawing/2014/main" id="{00000000-0008-0000-2700-00002C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7453" name="Organigramme : Connecteur 17452">
                    <a:extLst>
                      <a:ext uri="{FF2B5EF4-FFF2-40B4-BE49-F238E27FC236}">
                        <a16:creationId xmlns:a16="http://schemas.microsoft.com/office/drawing/2014/main" id="{00000000-0008-0000-2700-00002D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7454" name="Organigramme : Connecteur 17453">
                    <a:extLst>
                      <a:ext uri="{FF2B5EF4-FFF2-40B4-BE49-F238E27FC236}">
                        <a16:creationId xmlns:a16="http://schemas.microsoft.com/office/drawing/2014/main" id="{00000000-0008-0000-2700-00002E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9" name="Organigramme : Connecteur 8">
              <a:extLst>
                <a:ext uri="{FF2B5EF4-FFF2-40B4-BE49-F238E27FC236}">
                  <a16:creationId xmlns:a16="http://schemas.microsoft.com/office/drawing/2014/main" id="{00000000-0008-0000-2700-000009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1" name="Organigramme : Connecteur 10">
              <a:extLst>
                <a:ext uri="{FF2B5EF4-FFF2-40B4-BE49-F238E27FC236}">
                  <a16:creationId xmlns:a16="http://schemas.microsoft.com/office/drawing/2014/main" id="{00000000-0008-0000-2700-00000B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2" name="ZoneTexte 11">
              <a:extLst>
                <a:ext uri="{FF2B5EF4-FFF2-40B4-BE49-F238E27FC236}">
                  <a16:creationId xmlns:a16="http://schemas.microsoft.com/office/drawing/2014/main" id="{00000000-0008-0000-2700-00000C000000}"/>
                </a:ext>
              </a:extLst>
            </xdr:cNvPr>
            <xdr:cNvSpPr txBox="1"/>
          </xdr:nvSpPr>
          <xdr:spPr>
            <a:xfrm>
              <a:off x="8820978" y="6990521"/>
              <a:ext cx="1590261" cy="6919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1</xdr:col>
      <xdr:colOff>0</xdr:colOff>
      <xdr:row>250</xdr:row>
      <xdr:rowOff>190499</xdr:rowOff>
    </xdr:from>
    <xdr:to>
      <xdr:col>9</xdr:col>
      <xdr:colOff>285750</xdr:colOff>
      <xdr:row>275</xdr:row>
      <xdr:rowOff>40820</xdr:rowOff>
    </xdr:to>
    <xdr:graphicFrame macro="">
      <xdr:nvGraphicFramePr>
        <xdr:cNvPr id="112" name="Graphique 111">
          <a:extLst>
            <a:ext uri="{FF2B5EF4-FFF2-40B4-BE49-F238E27FC236}">
              <a16:creationId xmlns:a16="http://schemas.microsoft.com/office/drawing/2014/main" id="{00000000-0008-0000-2E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3320142</xdr:colOff>
      <xdr:row>347</xdr:row>
      <xdr:rowOff>0</xdr:rowOff>
    </xdr:from>
    <xdr:to>
      <xdr:col>10</xdr:col>
      <xdr:colOff>449035</xdr:colOff>
      <xdr:row>386</xdr:row>
      <xdr:rowOff>0</xdr:rowOff>
    </xdr:to>
    <xdr:graphicFrame macro="">
      <xdr:nvGraphicFramePr>
        <xdr:cNvPr id="113" name="Graphique 112">
          <a:extLst>
            <a:ext uri="{FF2B5EF4-FFF2-40B4-BE49-F238E27FC236}">
              <a16:creationId xmlns:a16="http://schemas.microsoft.com/office/drawing/2014/main" id="{00000000-0008-0000-2E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452</xdr:row>
      <xdr:rowOff>0</xdr:rowOff>
    </xdr:from>
    <xdr:to>
      <xdr:col>12</xdr:col>
      <xdr:colOff>0</xdr:colOff>
      <xdr:row>483</xdr:row>
      <xdr:rowOff>40822</xdr:rowOff>
    </xdr:to>
    <xdr:graphicFrame macro="">
      <xdr:nvGraphicFramePr>
        <xdr:cNvPr id="114" name="Graphique 113">
          <a:extLst>
            <a:ext uri="{FF2B5EF4-FFF2-40B4-BE49-F238E27FC236}">
              <a16:creationId xmlns:a16="http://schemas.microsoft.com/office/drawing/2014/main" id="{00000000-0008-0000-2E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326571</xdr:colOff>
      <xdr:row>159</xdr:row>
      <xdr:rowOff>27214</xdr:rowOff>
    </xdr:from>
    <xdr:to>
      <xdr:col>10</xdr:col>
      <xdr:colOff>557893</xdr:colOff>
      <xdr:row>183</xdr:row>
      <xdr:rowOff>14198</xdr:rowOff>
    </xdr:to>
    <xdr:grpSp>
      <xdr:nvGrpSpPr>
        <xdr:cNvPr id="115" name="Groupe 114">
          <a:extLst>
            <a:ext uri="{FF2B5EF4-FFF2-40B4-BE49-F238E27FC236}">
              <a16:creationId xmlns:a16="http://schemas.microsoft.com/office/drawing/2014/main" id="{00000000-0008-0000-2E00-000073000000}"/>
            </a:ext>
          </a:extLst>
        </xdr:cNvPr>
        <xdr:cNvGrpSpPr/>
      </xdr:nvGrpSpPr>
      <xdr:grpSpPr>
        <a:xfrm>
          <a:off x="15212785" y="34983964"/>
          <a:ext cx="5252358" cy="4586198"/>
          <a:chOff x="8605630" y="3404152"/>
          <a:chExt cx="4174435" cy="4232412"/>
        </a:xfrm>
      </xdr:grpSpPr>
      <xdr:sp macro="" textlink="">
        <xdr:nvSpPr>
          <xdr:cNvPr id="126" name="Organigramme : Connecteur 125">
            <a:extLst>
              <a:ext uri="{FF2B5EF4-FFF2-40B4-BE49-F238E27FC236}">
                <a16:creationId xmlns:a16="http://schemas.microsoft.com/office/drawing/2014/main" id="{00000000-0008-0000-2E00-00007E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27" name="Groupe 126">
            <a:extLst>
              <a:ext uri="{FF2B5EF4-FFF2-40B4-BE49-F238E27FC236}">
                <a16:creationId xmlns:a16="http://schemas.microsoft.com/office/drawing/2014/main" id="{00000000-0008-0000-2E00-00007F000000}"/>
              </a:ext>
            </a:extLst>
          </xdr:cNvPr>
          <xdr:cNvGrpSpPr/>
        </xdr:nvGrpSpPr>
        <xdr:grpSpPr>
          <a:xfrm>
            <a:off x="8605630" y="3404152"/>
            <a:ext cx="4174435" cy="4232412"/>
            <a:chOff x="8605630" y="3404152"/>
            <a:chExt cx="4174435" cy="4232412"/>
          </a:xfrm>
        </xdr:grpSpPr>
        <xdr:grpSp>
          <xdr:nvGrpSpPr>
            <xdr:cNvPr id="128" name="Groupe 127">
              <a:extLst>
                <a:ext uri="{FF2B5EF4-FFF2-40B4-BE49-F238E27FC236}">
                  <a16:creationId xmlns:a16="http://schemas.microsoft.com/office/drawing/2014/main" id="{00000000-0008-0000-2E00-000080000000}"/>
                </a:ext>
              </a:extLst>
            </xdr:cNvPr>
            <xdr:cNvGrpSpPr/>
          </xdr:nvGrpSpPr>
          <xdr:grpSpPr>
            <a:xfrm>
              <a:off x="9316277" y="3404152"/>
              <a:ext cx="3463788" cy="3327953"/>
              <a:chOff x="9092647" y="3420717"/>
              <a:chExt cx="3463788" cy="3327953"/>
            </a:xfrm>
          </xdr:grpSpPr>
          <xdr:sp macro="" textlink="">
            <xdr:nvSpPr>
              <xdr:cNvPr id="132" name="Organigramme : Connecteur 131">
                <a:extLst>
                  <a:ext uri="{FF2B5EF4-FFF2-40B4-BE49-F238E27FC236}">
                    <a16:creationId xmlns:a16="http://schemas.microsoft.com/office/drawing/2014/main" id="{00000000-0008-0000-2E00-000084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33" name="Organigramme : Connecteur 132">
                <a:extLst>
                  <a:ext uri="{FF2B5EF4-FFF2-40B4-BE49-F238E27FC236}">
                    <a16:creationId xmlns:a16="http://schemas.microsoft.com/office/drawing/2014/main" id="{00000000-0008-0000-2E00-000085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34" name="Organigramme : Connecteur 133">
                <a:extLst>
                  <a:ext uri="{FF2B5EF4-FFF2-40B4-BE49-F238E27FC236}">
                    <a16:creationId xmlns:a16="http://schemas.microsoft.com/office/drawing/2014/main" id="{00000000-0008-0000-2E00-000086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35" name="Organigramme : Connecteur 134">
                <a:extLst>
                  <a:ext uri="{FF2B5EF4-FFF2-40B4-BE49-F238E27FC236}">
                    <a16:creationId xmlns:a16="http://schemas.microsoft.com/office/drawing/2014/main" id="{00000000-0008-0000-2E00-000087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36" name="Organigramme : Connecteur 135">
                <a:extLst>
                  <a:ext uri="{FF2B5EF4-FFF2-40B4-BE49-F238E27FC236}">
                    <a16:creationId xmlns:a16="http://schemas.microsoft.com/office/drawing/2014/main" id="{00000000-0008-0000-2E00-000088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37" name="Organigramme : Connecteur 136">
                <a:extLst>
                  <a:ext uri="{FF2B5EF4-FFF2-40B4-BE49-F238E27FC236}">
                    <a16:creationId xmlns:a16="http://schemas.microsoft.com/office/drawing/2014/main" id="{00000000-0008-0000-2E00-000089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38" name="Groupe 137">
                <a:extLst>
                  <a:ext uri="{FF2B5EF4-FFF2-40B4-BE49-F238E27FC236}">
                    <a16:creationId xmlns:a16="http://schemas.microsoft.com/office/drawing/2014/main" id="{00000000-0008-0000-2E00-00008A000000}"/>
                  </a:ext>
                </a:extLst>
              </xdr:cNvPr>
              <xdr:cNvGrpSpPr/>
            </xdr:nvGrpSpPr>
            <xdr:grpSpPr>
              <a:xfrm>
                <a:off x="9092647" y="3592995"/>
                <a:ext cx="3463788" cy="3155675"/>
                <a:chOff x="9092647" y="3592995"/>
                <a:chExt cx="3463788" cy="3155675"/>
              </a:xfrm>
            </xdr:grpSpPr>
            <xdr:sp macro="" textlink="">
              <xdr:nvSpPr>
                <xdr:cNvPr id="139" name="Organigramme : Connecteur 138">
                  <a:extLst>
                    <a:ext uri="{FF2B5EF4-FFF2-40B4-BE49-F238E27FC236}">
                      <a16:creationId xmlns:a16="http://schemas.microsoft.com/office/drawing/2014/main" id="{00000000-0008-0000-2E00-00008B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40" name="Organigramme : Connecteur 139">
                  <a:extLst>
                    <a:ext uri="{FF2B5EF4-FFF2-40B4-BE49-F238E27FC236}">
                      <a16:creationId xmlns:a16="http://schemas.microsoft.com/office/drawing/2014/main" id="{00000000-0008-0000-2E00-00008C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Dover!$B$26">
              <xdr:nvSpPr>
                <xdr:cNvPr id="141" name="Organigramme : Connecteur 140">
                  <a:extLst>
                    <a:ext uri="{FF2B5EF4-FFF2-40B4-BE49-F238E27FC236}">
                      <a16:creationId xmlns:a16="http://schemas.microsoft.com/office/drawing/2014/main" id="{00000000-0008-0000-2E00-00008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DD93E14-63DF-4241-BBB3-AACD627994D3}" type="TxLink">
                    <a:rPr lang="en-US" sz="1100" b="0" i="0" u="none" strike="noStrike">
                      <a:solidFill>
                        <a:srgbClr val="000000"/>
                      </a:solidFill>
                      <a:latin typeface="Calibri"/>
                      <a:cs typeface="Calibri"/>
                    </a:rPr>
                    <a:pPr algn="ctr"/>
                    <a:t> </a:t>
                  </a:fld>
                  <a:endParaRPr lang="fr-FR" sz="1100"/>
                </a:p>
              </xdr:txBody>
            </xdr:sp>
            <xdr:sp macro="" textlink="Mesures_Dover!$B$29">
              <xdr:nvSpPr>
                <xdr:cNvPr id="142" name="Organigramme : Connecteur 141">
                  <a:extLst>
                    <a:ext uri="{FF2B5EF4-FFF2-40B4-BE49-F238E27FC236}">
                      <a16:creationId xmlns:a16="http://schemas.microsoft.com/office/drawing/2014/main" id="{00000000-0008-0000-2E00-00008E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308EAFAD-29B0-419D-BFAA-FC9D68FC884C}" type="TxLink">
                    <a:rPr lang="en-US" sz="1100" b="0" i="0" u="none" strike="noStrike">
                      <a:solidFill>
                        <a:srgbClr val="000000"/>
                      </a:solidFill>
                      <a:latin typeface="Calibri"/>
                      <a:cs typeface="Calibri"/>
                    </a:rPr>
                    <a:pPr algn="ctr"/>
                    <a:t> </a:t>
                  </a:fld>
                  <a:endParaRPr lang="fr-FR" sz="1100"/>
                </a:p>
              </xdr:txBody>
            </xdr:sp>
            <xdr:sp macro="" textlink="Mesures_Dover!$B$31">
              <xdr:nvSpPr>
                <xdr:cNvPr id="143" name="Organigramme : Connecteur 142">
                  <a:extLst>
                    <a:ext uri="{FF2B5EF4-FFF2-40B4-BE49-F238E27FC236}">
                      <a16:creationId xmlns:a16="http://schemas.microsoft.com/office/drawing/2014/main" id="{00000000-0008-0000-2E00-00008F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C292017-121A-44C9-A83F-16BA446853BB}" type="TxLink">
                    <a:rPr lang="en-US" sz="1100" b="0" i="0" u="none" strike="noStrike">
                      <a:solidFill>
                        <a:srgbClr val="000000"/>
                      </a:solidFill>
                      <a:latin typeface="Calibri"/>
                      <a:cs typeface="Calibri"/>
                    </a:rPr>
                    <a:pPr algn="ctr"/>
                    <a:t> </a:t>
                  </a:fld>
                  <a:endParaRPr lang="fr-FR" sz="1100"/>
                </a:p>
              </xdr:txBody>
            </xdr:sp>
            <xdr:sp macro="" textlink="Mesures_Dover!$B$30">
              <xdr:nvSpPr>
                <xdr:cNvPr id="144" name="Organigramme : Connecteur 143">
                  <a:extLst>
                    <a:ext uri="{FF2B5EF4-FFF2-40B4-BE49-F238E27FC236}">
                      <a16:creationId xmlns:a16="http://schemas.microsoft.com/office/drawing/2014/main" id="{00000000-0008-0000-2E00-000090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59F68AC-F44E-4A77-89D3-2785618C6252}" type="TxLink">
                    <a:rPr lang="en-US" sz="1100" b="0" i="0" u="none" strike="noStrike">
                      <a:solidFill>
                        <a:srgbClr val="000000"/>
                      </a:solidFill>
                      <a:latin typeface="Calibri"/>
                      <a:cs typeface="Calibri"/>
                    </a:rPr>
                    <a:pPr algn="ctr"/>
                    <a:t> </a:t>
                  </a:fld>
                  <a:endParaRPr lang="fr-FR" sz="1100"/>
                </a:p>
              </xdr:txBody>
            </xdr:sp>
            <xdr:sp macro="" textlink="Mesures_Dover!$C$31">
              <xdr:nvSpPr>
                <xdr:cNvPr id="145" name="Organigramme : Connecteur 144">
                  <a:extLst>
                    <a:ext uri="{FF2B5EF4-FFF2-40B4-BE49-F238E27FC236}">
                      <a16:creationId xmlns:a16="http://schemas.microsoft.com/office/drawing/2014/main" id="{00000000-0008-0000-2E00-000091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BC0F6F6-0ADB-4497-A81F-1D5F8F2EA799}" type="TxLink">
                    <a:rPr lang="en-US" sz="1100" b="0" i="0" u="none" strike="noStrike">
                      <a:solidFill>
                        <a:srgbClr val="000000"/>
                      </a:solidFill>
                      <a:latin typeface="Calibri"/>
                      <a:cs typeface="Calibri"/>
                    </a:rPr>
                    <a:pPr algn="ctr"/>
                    <a:t> </a:t>
                  </a:fld>
                  <a:endParaRPr lang="fr-FR" sz="1100"/>
                </a:p>
              </xdr:txBody>
            </xdr:sp>
            <xdr:sp macro="" textlink="Mesures_Dover!$C$26">
              <xdr:nvSpPr>
                <xdr:cNvPr id="146" name="Organigramme : Connecteur 145">
                  <a:extLst>
                    <a:ext uri="{FF2B5EF4-FFF2-40B4-BE49-F238E27FC236}">
                      <a16:creationId xmlns:a16="http://schemas.microsoft.com/office/drawing/2014/main" id="{00000000-0008-0000-2E00-000092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0119BF3-9914-48E1-8CEC-B275B15C1A45}" type="TxLink">
                    <a:rPr lang="en-US" sz="1100" b="0" i="0" u="none" strike="noStrike">
                      <a:solidFill>
                        <a:srgbClr val="000000"/>
                      </a:solidFill>
                      <a:latin typeface="Calibri"/>
                      <a:cs typeface="Calibri"/>
                    </a:rPr>
                    <a:pPr algn="ctr"/>
                    <a:t> </a:t>
                  </a:fld>
                  <a:endParaRPr lang="fr-FR" sz="1100"/>
                </a:p>
              </xdr:txBody>
            </xdr:sp>
            <xdr:sp macro="" textlink="Mesures_Dover!$C$30">
              <xdr:nvSpPr>
                <xdr:cNvPr id="147" name="Organigramme : Connecteur 146">
                  <a:extLst>
                    <a:ext uri="{FF2B5EF4-FFF2-40B4-BE49-F238E27FC236}">
                      <a16:creationId xmlns:a16="http://schemas.microsoft.com/office/drawing/2014/main" id="{00000000-0008-0000-2E00-000093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7C0D18D-B8DC-4B56-A126-EB1D88366C36}" type="TxLink">
                    <a:rPr lang="en-US" sz="1100" b="0" i="0" u="none" strike="noStrike">
                      <a:solidFill>
                        <a:srgbClr val="000000"/>
                      </a:solidFill>
                      <a:latin typeface="Calibri"/>
                      <a:cs typeface="Calibri"/>
                    </a:rPr>
                    <a:pPr algn="ctr"/>
                    <a:t> </a:t>
                  </a:fld>
                  <a:endParaRPr lang="fr-FR" sz="1100"/>
                </a:p>
              </xdr:txBody>
            </xdr:sp>
            <xdr:sp macro="" textlink="Mesures_Dover!$C$29">
              <xdr:nvSpPr>
                <xdr:cNvPr id="148" name="Organigramme : Connecteur 147">
                  <a:extLst>
                    <a:ext uri="{FF2B5EF4-FFF2-40B4-BE49-F238E27FC236}">
                      <a16:creationId xmlns:a16="http://schemas.microsoft.com/office/drawing/2014/main" id="{00000000-0008-0000-2E00-000094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D4186E7-66C5-44C8-BE85-BE32FAE084C1}" type="TxLink">
                    <a:rPr lang="en-US" sz="1100" b="0" i="0" u="none" strike="noStrike">
                      <a:solidFill>
                        <a:srgbClr val="000000"/>
                      </a:solidFill>
                      <a:latin typeface="Calibri"/>
                      <a:cs typeface="Calibri"/>
                    </a:rPr>
                    <a:pPr algn="ctr"/>
                    <a:t> </a:t>
                  </a:fld>
                  <a:endParaRPr lang="fr-FR" sz="1100"/>
                </a:p>
              </xdr:txBody>
            </xdr:sp>
            <xdr:grpSp>
              <xdr:nvGrpSpPr>
                <xdr:cNvPr id="149" name="Groupe 148">
                  <a:extLst>
                    <a:ext uri="{FF2B5EF4-FFF2-40B4-BE49-F238E27FC236}">
                      <a16:creationId xmlns:a16="http://schemas.microsoft.com/office/drawing/2014/main" id="{00000000-0008-0000-2E00-000095000000}"/>
                    </a:ext>
                  </a:extLst>
                </xdr:cNvPr>
                <xdr:cNvGrpSpPr/>
              </xdr:nvGrpSpPr>
              <xdr:grpSpPr>
                <a:xfrm>
                  <a:off x="9230139" y="3592995"/>
                  <a:ext cx="3326296" cy="2792482"/>
                  <a:chOff x="9230139" y="3592995"/>
                  <a:chExt cx="3326296" cy="2792482"/>
                </a:xfrm>
              </xdr:grpSpPr>
              <xdr:grpSp>
                <xdr:nvGrpSpPr>
                  <xdr:cNvPr id="150" name="Groupe 149">
                    <a:extLst>
                      <a:ext uri="{FF2B5EF4-FFF2-40B4-BE49-F238E27FC236}">
                        <a16:creationId xmlns:a16="http://schemas.microsoft.com/office/drawing/2014/main" id="{00000000-0008-0000-2E00-000096000000}"/>
                      </a:ext>
                    </a:extLst>
                  </xdr:cNvPr>
                  <xdr:cNvGrpSpPr/>
                </xdr:nvGrpSpPr>
                <xdr:grpSpPr>
                  <a:xfrm>
                    <a:off x="9310480" y="3635237"/>
                    <a:ext cx="2949367" cy="2750240"/>
                    <a:chOff x="9320893" y="3638550"/>
                    <a:chExt cx="2950550" cy="2755446"/>
                  </a:xfrm>
                </xdr:grpSpPr>
                <xdr:sp macro="" textlink="">
                  <xdr:nvSpPr>
                    <xdr:cNvPr id="159" name="Cube 158">
                      <a:extLst>
                        <a:ext uri="{FF2B5EF4-FFF2-40B4-BE49-F238E27FC236}">
                          <a16:creationId xmlns:a16="http://schemas.microsoft.com/office/drawing/2014/main" id="{00000000-0008-0000-2E00-00009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60" name="Connecteur droit 159">
                      <a:extLst>
                        <a:ext uri="{FF2B5EF4-FFF2-40B4-BE49-F238E27FC236}">
                          <a16:creationId xmlns:a16="http://schemas.microsoft.com/office/drawing/2014/main" id="{00000000-0008-0000-2E00-0000A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1" name="Connecteur droit 160">
                      <a:extLst>
                        <a:ext uri="{FF2B5EF4-FFF2-40B4-BE49-F238E27FC236}">
                          <a16:creationId xmlns:a16="http://schemas.microsoft.com/office/drawing/2014/main" id="{00000000-0008-0000-2E00-0000A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62" name="Connecteur droit 161">
                      <a:extLst>
                        <a:ext uri="{FF2B5EF4-FFF2-40B4-BE49-F238E27FC236}">
                          <a16:creationId xmlns:a16="http://schemas.microsoft.com/office/drawing/2014/main" id="{00000000-0008-0000-2E00-0000A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Dover!$B$24">
                <xdr:nvSpPr>
                  <xdr:cNvPr id="151" name="Organigramme : Connecteur 150">
                    <a:extLst>
                      <a:ext uri="{FF2B5EF4-FFF2-40B4-BE49-F238E27FC236}">
                        <a16:creationId xmlns:a16="http://schemas.microsoft.com/office/drawing/2014/main" id="{00000000-0008-0000-2E00-000097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9C97EF-C8F4-4357-9020-54BC77B991DB}" type="TxLink">
                      <a:rPr lang="en-US" sz="1100" b="0" i="0" u="none" strike="noStrike">
                        <a:solidFill>
                          <a:srgbClr val="000000"/>
                        </a:solidFill>
                        <a:latin typeface="Calibri"/>
                        <a:cs typeface="Calibri"/>
                      </a:rPr>
                      <a:pPr algn="ctr"/>
                      <a:t> </a:t>
                    </a:fld>
                    <a:endParaRPr lang="fr-FR" sz="1100"/>
                  </a:p>
                </xdr:txBody>
              </xdr:sp>
              <xdr:sp macro="" textlink="Mesures_Dover!$C$24">
                <xdr:nvSpPr>
                  <xdr:cNvPr id="152" name="Organigramme : Connecteur 151">
                    <a:extLst>
                      <a:ext uri="{FF2B5EF4-FFF2-40B4-BE49-F238E27FC236}">
                        <a16:creationId xmlns:a16="http://schemas.microsoft.com/office/drawing/2014/main" id="{00000000-0008-0000-2E00-000098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4E65201-D6CD-4330-ADEF-6C46F4DF669A}" type="TxLink">
                      <a:rPr lang="en-US" sz="1100" b="0" i="0" u="none" strike="noStrike">
                        <a:solidFill>
                          <a:srgbClr val="000000"/>
                        </a:solidFill>
                        <a:latin typeface="Calibri"/>
                        <a:cs typeface="Calibri"/>
                      </a:rPr>
                      <a:pPr algn="ctr"/>
                      <a:t> </a:t>
                    </a:fld>
                    <a:endParaRPr lang="fr-FR" sz="1100"/>
                  </a:p>
                </xdr:txBody>
              </xdr:sp>
              <xdr:sp macro="" textlink="Mesures_Dover!$B$25">
                <xdr:nvSpPr>
                  <xdr:cNvPr id="153" name="Organigramme : Connecteur 152">
                    <a:extLst>
                      <a:ext uri="{FF2B5EF4-FFF2-40B4-BE49-F238E27FC236}">
                        <a16:creationId xmlns:a16="http://schemas.microsoft.com/office/drawing/2014/main" id="{00000000-0008-0000-2E00-00009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0342CB-B341-47F7-A869-A38697F38B19}" type="TxLink">
                      <a:rPr lang="en-US" sz="1100" b="0" i="0" u="none" strike="noStrike">
                        <a:solidFill>
                          <a:srgbClr val="000000"/>
                        </a:solidFill>
                        <a:latin typeface="Calibri"/>
                        <a:cs typeface="Calibri"/>
                      </a:rPr>
                      <a:pPr algn="ctr"/>
                      <a:t> </a:t>
                    </a:fld>
                    <a:endParaRPr lang="fr-FR" sz="1100"/>
                  </a:p>
                </xdr:txBody>
              </xdr:sp>
              <xdr:sp macro="" textlink="Mesures_Dover!$B$28">
                <xdr:nvSpPr>
                  <xdr:cNvPr id="154" name="Organigramme : Connecteur 153">
                    <a:extLst>
                      <a:ext uri="{FF2B5EF4-FFF2-40B4-BE49-F238E27FC236}">
                        <a16:creationId xmlns:a16="http://schemas.microsoft.com/office/drawing/2014/main" id="{00000000-0008-0000-2E00-00009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CD477E7-5122-4353-BF5C-FB3DBABF1B76}" type="TxLink">
                      <a:rPr lang="en-US" sz="1100" b="0" i="0" u="none" strike="noStrike">
                        <a:solidFill>
                          <a:srgbClr val="000000"/>
                        </a:solidFill>
                        <a:latin typeface="Calibri"/>
                        <a:cs typeface="Calibri"/>
                      </a:rPr>
                      <a:pPr algn="ctr"/>
                      <a:t> </a:t>
                    </a:fld>
                    <a:endParaRPr lang="fr-FR" sz="1100"/>
                  </a:p>
                </xdr:txBody>
              </xdr:sp>
              <xdr:sp macro="" textlink="Mesures_Dover!$B$32">
                <xdr:nvSpPr>
                  <xdr:cNvPr id="155" name="Organigramme : Connecteur 154">
                    <a:extLst>
                      <a:ext uri="{FF2B5EF4-FFF2-40B4-BE49-F238E27FC236}">
                        <a16:creationId xmlns:a16="http://schemas.microsoft.com/office/drawing/2014/main" id="{00000000-0008-0000-2E00-00009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D0E448E-47CD-4EFE-93D2-A272CA4AD50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Dover!$C$32">
                <xdr:nvSpPr>
                  <xdr:cNvPr id="156" name="Organigramme : Connecteur 155">
                    <a:extLst>
                      <a:ext uri="{FF2B5EF4-FFF2-40B4-BE49-F238E27FC236}">
                        <a16:creationId xmlns:a16="http://schemas.microsoft.com/office/drawing/2014/main" id="{00000000-0008-0000-2E00-00009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BDF0DC-DCD8-4689-8AE1-E0320EA187BE}" type="TxLink">
                      <a:rPr lang="en-US" sz="1100" b="0" i="0" u="none" strike="noStrike">
                        <a:solidFill>
                          <a:srgbClr val="000000"/>
                        </a:solidFill>
                        <a:latin typeface="Calibri"/>
                        <a:cs typeface="Calibri"/>
                      </a:rPr>
                      <a:pPr algn="ctr"/>
                      <a:t> </a:t>
                    </a:fld>
                    <a:endParaRPr lang="fr-FR" sz="1100"/>
                  </a:p>
                </xdr:txBody>
              </xdr:sp>
              <xdr:sp macro="" textlink="Mesures_Dover!$C$28">
                <xdr:nvSpPr>
                  <xdr:cNvPr id="157" name="Organigramme : Connecteur 156">
                    <a:extLst>
                      <a:ext uri="{FF2B5EF4-FFF2-40B4-BE49-F238E27FC236}">
                        <a16:creationId xmlns:a16="http://schemas.microsoft.com/office/drawing/2014/main" id="{00000000-0008-0000-2E00-00009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EFFE3BD-B234-43F2-B012-BDBF0AF40547}" type="TxLink">
                      <a:rPr lang="en-US" sz="1100" b="0" i="0" u="none" strike="noStrike">
                        <a:solidFill>
                          <a:srgbClr val="000000"/>
                        </a:solidFill>
                        <a:latin typeface="Calibri"/>
                        <a:cs typeface="Calibri"/>
                      </a:rPr>
                      <a:pPr algn="ctr"/>
                      <a:t> </a:t>
                    </a:fld>
                    <a:endParaRPr lang="fr-FR" sz="1100"/>
                  </a:p>
                </xdr:txBody>
              </xdr:sp>
              <xdr:sp macro="" textlink="Mesures_Dover!$C$25">
                <xdr:nvSpPr>
                  <xdr:cNvPr id="158" name="Organigramme : Connecteur 157">
                    <a:extLst>
                      <a:ext uri="{FF2B5EF4-FFF2-40B4-BE49-F238E27FC236}">
                        <a16:creationId xmlns:a16="http://schemas.microsoft.com/office/drawing/2014/main" id="{00000000-0008-0000-2E00-00009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B5A95D-B9BF-4D8A-8FD1-12435FEEAE77}" type="TxLink">
                      <a:rPr lang="en-US" sz="1100" b="0" i="0" u="none" strike="noStrike">
                        <a:solidFill>
                          <a:srgbClr val="000000"/>
                        </a:solidFill>
                        <a:latin typeface="Calibri"/>
                        <a:cs typeface="Calibri"/>
                      </a:rPr>
                      <a:pPr algn="ctr"/>
                      <a:t> </a:t>
                    </a:fld>
                    <a:endParaRPr lang="fr-FR" sz="1100"/>
                  </a:p>
                </xdr:txBody>
              </xdr:sp>
            </xdr:grpSp>
          </xdr:grpSp>
        </xdr:grpSp>
        <xdr:sp macro="" textlink="$B$24">
          <xdr:nvSpPr>
            <xdr:cNvPr id="129" name="Organigramme : Connecteur 128">
              <a:extLst>
                <a:ext uri="{FF2B5EF4-FFF2-40B4-BE49-F238E27FC236}">
                  <a16:creationId xmlns:a16="http://schemas.microsoft.com/office/drawing/2014/main" id="{00000000-0008-0000-2E00-000081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4">
          <xdr:nvSpPr>
            <xdr:cNvPr id="130" name="Organigramme : Connecteur 129">
              <a:extLst>
                <a:ext uri="{FF2B5EF4-FFF2-40B4-BE49-F238E27FC236}">
                  <a16:creationId xmlns:a16="http://schemas.microsoft.com/office/drawing/2014/main" id="{00000000-0008-0000-2E00-000082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31" name="ZoneTexte 130">
              <a:extLst>
                <a:ext uri="{FF2B5EF4-FFF2-40B4-BE49-F238E27FC236}">
                  <a16:creationId xmlns:a16="http://schemas.microsoft.com/office/drawing/2014/main" id="{00000000-0008-0000-2E00-000083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2" totalsRowShown="0" headerRowDxfId="185" dataDxfId="184">
  <autoFilter ref="A1:J2" xr:uid="{A3220407-6199-4411-81EC-9706C9B63A31}"/>
  <tableColumns count="10">
    <tableColumn id="1" xr3:uid="{DBE75950-3ABD-4A1D-9011-6F9015F232BF}" name="Date/Heure" dataDxfId="183"/>
    <tableColumn id="2" xr3:uid="{C55189E6-EB7A-4F02-834F-ADD328F5A311}" name="Connecteur 1" dataDxfId="182"/>
    <tableColumn id="3" xr3:uid="{AADD39E2-C5B5-4662-BA30-1FC01B365A33}" name="Connecteur 2" dataDxfId="181"/>
    <tableColumn id="4" xr3:uid="{55D2ECF7-256E-43D6-ABE2-A34C1D38FD8B}" name="Connecteur 3" dataDxfId="180"/>
    <tableColumn id="5" xr3:uid="{4259CE7A-1E59-45E7-9429-5D38325EBE80}" name="Connecteur 4" dataDxfId="179"/>
    <tableColumn id="6" xr3:uid="{E1729946-1428-4D1E-8AFB-F56E6D9C3E06}" name="Connecteur 5" dataDxfId="178"/>
    <tableColumn id="7" xr3:uid="{22EB137D-2F68-4FE1-AE9D-17F3F12E0750}" name="Connecteur 6" dataDxfId="177"/>
    <tableColumn id="8" xr3:uid="{8B9A5FC0-4195-4BD8-8CC1-07D15523E90F}" name="Connecteur 7" dataDxfId="176"/>
    <tableColumn id="9" xr3:uid="{C2A42E8C-7D2F-421B-A94A-A0A14ACDD531}" name="Connecteur 8" dataDxfId="175"/>
    <tableColumn id="10" xr3:uid="{C4B56253-201C-4589-8B0B-C10719F1B09A}" name="Connecteur 9" dataDxfId="174"/>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2" totalsRowShown="0" headerRowDxfId="173" dataDxfId="172">
  <autoFilter ref="A1:J2" xr:uid="{7B58C036-BE9F-45DD-89F6-7FFAE7261A52}"/>
  <tableColumns count="10">
    <tableColumn id="1" xr3:uid="{15795ED4-7E87-4510-AEFE-F0B3FE88273C}" name="Date/Heure" dataDxfId="171"/>
    <tableColumn id="2" xr3:uid="{199D0401-3516-4DD3-A5BC-2448523826D1}" name="Connecteur 1" dataDxfId="170"/>
    <tableColumn id="3" xr3:uid="{FBBA962A-B1D9-48E4-A6C7-37DE165CB72D}" name="Connecteur 2" dataDxfId="169"/>
    <tableColumn id="4" xr3:uid="{36698CE3-1797-42AE-8637-1027FCE68C1A}" name="Connecteur 3" dataDxfId="168"/>
    <tableColumn id="5" xr3:uid="{C49670DB-2F39-4C20-92DB-8BA217F08381}" name="Connecteur 4" dataDxfId="167"/>
    <tableColumn id="6" xr3:uid="{07A77742-2E5F-475E-98E2-7261FBEC422F}" name="Connecteur 5" dataDxfId="166"/>
    <tableColumn id="7" xr3:uid="{53D69599-6677-4031-B112-D8B734960159}" name="Connecteur 6" dataDxfId="165"/>
    <tableColumn id="8" xr3:uid="{E7484F1D-635C-4532-B1E1-898BAFAC3FE6}" name="Connecteur 7" dataDxfId="164"/>
    <tableColumn id="9" xr3:uid="{5C273835-2721-4F07-A784-6B0F3DFDE661}" name="Connecteur 8" dataDxfId="163"/>
    <tableColumn id="10" xr3:uid="{90D15708-A48E-4326-BCC7-C6DA63B4B763}" name="Connecteur 9" dataDxfId="162"/>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2" totalsRowShown="0" headerRowDxfId="161" dataDxfId="160">
  <autoFilter ref="A1:J2" xr:uid="{AC535B93-49D5-4C0E-9722-3F012900CB12}"/>
  <tableColumns count="10">
    <tableColumn id="1" xr3:uid="{5BC26925-2B38-491F-AF44-61CA735710C4}" name="Date/Heure" dataDxfId="159"/>
    <tableColumn id="2" xr3:uid="{FC46513C-6376-44A5-890E-FB5B23A18B84}" name="Connecteur 1" dataDxfId="158"/>
    <tableColumn id="3" xr3:uid="{E9882541-6C92-48CF-BBC7-BB8247ED41B0}" name="Connecteur 2" dataDxfId="157"/>
    <tableColumn id="4" xr3:uid="{99ED9C46-0716-4B4B-BF48-44448B66E193}" name="Connecteur 3" dataDxfId="156"/>
    <tableColumn id="5" xr3:uid="{3785B769-5701-4A9A-A865-341BE198505D}" name="Connecteur 4" dataDxfId="155"/>
    <tableColumn id="6" xr3:uid="{DA59D146-9DB1-467E-B9D1-9E6D55D49F40}" name="Connecteur 5" dataDxfId="154"/>
    <tableColumn id="7" xr3:uid="{556C6545-1358-49CB-8B0F-45F46983EEEB}" name="Connecteur 6" dataDxfId="153"/>
    <tableColumn id="8" xr3:uid="{8C0AC3D9-ECE6-47EF-B270-1F97BBA3EBD9}" name="Connecteur 7" dataDxfId="152"/>
    <tableColumn id="9" xr3:uid="{C03CDE2E-7C8A-456B-AFBE-9A37784F1B3F}" name="Connecteur 8" dataDxfId="151"/>
    <tableColumn id="10" xr3:uid="{967ED64B-66B6-48F2-AA0A-7283094AA8E5}" name="Connecteur 9" dataDxfId="150"/>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2" totalsRowShown="0" headerRowDxfId="149" dataDxfId="148">
  <autoFilter ref="A1:J2" xr:uid="{0B03FD33-37C9-440C-98B6-D9930D8E7785}"/>
  <tableColumns count="10">
    <tableColumn id="1" xr3:uid="{02610730-F102-491A-8AA5-C83364B22E3F}" name="Date/Heure" dataDxfId="147"/>
    <tableColumn id="2" xr3:uid="{CADE2850-EDD1-4629-BFF9-DF3081FF980B}" name="Connecteur 1" dataDxfId="146"/>
    <tableColumn id="3" xr3:uid="{16CBF88E-ABF6-41AB-837C-AFDA5791D07D}" name="Connecteur 2" dataDxfId="145"/>
    <tableColumn id="4" xr3:uid="{9BF1A0F2-E85E-4539-ADB1-1D67D401844E}" name="Connecteur 3" dataDxfId="144"/>
    <tableColumn id="5" xr3:uid="{F7DF1D28-E04A-41CB-88F7-B2422BFAA719}" name="Connecteur 4" dataDxfId="143"/>
    <tableColumn id="6" xr3:uid="{78099FA6-73EA-4E8C-B270-77E5EF5CC531}" name="Connecteur 5" dataDxfId="142"/>
    <tableColumn id="7" xr3:uid="{3AED2108-0C09-4852-87C7-EC58FA856091}" name="Connecteur 6" dataDxfId="141"/>
    <tableColumn id="8" xr3:uid="{1610CFFF-D4E0-4DC6-B113-CC8D6B199E32}" name="Connecteur 7" dataDxfId="140"/>
    <tableColumn id="9" xr3:uid="{10030F88-C7B1-4A86-9248-380310E8ED75}" name="Connecteur 8" dataDxfId="139"/>
    <tableColumn id="10" xr3:uid="{9F3CD16B-A5BD-4789-8B18-A4B913D17EE2}" name="Connecteur 9" dataDxfId="138"/>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2" totalsRowShown="0" headerRowDxfId="137" dataDxfId="136">
  <autoFilter ref="A1:E2" xr:uid="{379CD2E1-AF7A-4C46-8E3C-ADBE233AE740}"/>
  <tableColumns count="5">
    <tableColumn id="1" xr3:uid="{9B884FF2-B992-49DC-9A46-4F8C53769A62}" name="Date/Heure" dataDxfId="135"/>
    <tableColumn id="2" xr3:uid="{1D504192-08F7-43DA-8A11-60D47A8A4CC9}" name="Pt Froid" dataDxfId="134"/>
    <tableColumn id="3" xr3:uid="{A410DC0A-6051-434D-9F5B-C203DF60BE17}" name="Regulation" dataDxfId="133"/>
    <tableColumn id="4" xr3:uid="{791EBD68-8612-4890-9FAD-4AE2064BF1C9}" name="Pt Chaud" dataDxfId="132"/>
    <tableColumn id="5" xr3:uid="{3DEE775C-E739-4CE1-A101-6A1312402D91}" name="Consigne T°" dataDxfId="131"/>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2" totalsRowShown="0" dataDxfId="130">
  <autoFilter ref="A1:E2" xr:uid="{A9EA353C-4D51-4794-8413-02ADDF49E149}"/>
  <tableColumns count="5">
    <tableColumn id="1" xr3:uid="{7379CADE-2609-47E7-A72F-E373C2BC43A0}" name="Date/Heure" dataDxfId="129"/>
    <tableColumn id="2" xr3:uid="{EA0BDD49-5C4C-4E3D-9D1A-E9EEF7880B5C}" name="Pt Froid" dataDxfId="128"/>
    <tableColumn id="3" xr3:uid="{367A1310-12FF-4590-B743-B04BB328514B}" name="Regulation" dataDxfId="127"/>
    <tableColumn id="4" xr3:uid="{8BDBEF48-B23A-48FE-9A71-B50F7728C4D5}" name="Pt Chaud" dataDxfId="126"/>
    <tableColumn id="5" xr3:uid="{55BC97C4-9E8C-4EDB-BD89-69FF260BF102}" name="Consigne T°" dataDxfId="125"/>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2" totalsRowShown="0" dataDxfId="124">
  <autoFilter ref="A1:E2" xr:uid="{D8D3FEF1-285E-4CEE-BFA9-1B473E0DA3BF}"/>
  <tableColumns count="5">
    <tableColumn id="1" xr3:uid="{E74DC693-A4DF-4531-A8AD-64477626BA48}" name="Date/Heure" dataDxfId="123"/>
    <tableColumn id="2" xr3:uid="{40E02439-7B43-4BDE-B79C-986D2B5E73EA}" name="Pt Froid" dataDxfId="122"/>
    <tableColumn id="3" xr3:uid="{1EEF40A1-882D-4642-89B0-A6CFDBBC02C3}" name="Regulation" dataDxfId="121"/>
    <tableColumn id="4" xr3:uid="{E825D205-23AD-42A0-9F41-2939BD7D4F9B}" name="Pt Chaud" dataDxfId="120"/>
    <tableColumn id="5" xr3:uid="{74DF8E94-3A8F-4556-A1EB-1D1F23F58804}" name="Consigne T°" dataDxfId="119"/>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2" totalsRowShown="0" dataDxfId="118">
  <autoFilter ref="A1:E2" xr:uid="{A0FBF2F2-4DCC-4307-AF98-C9FE32FE96DB}"/>
  <tableColumns count="5">
    <tableColumn id="1" xr3:uid="{D6F16877-04D9-4ABB-B134-2DE51D9B78FE}" name="Date/Heure" dataDxfId="117"/>
    <tableColumn id="2" xr3:uid="{D2566580-8B2F-4A0D-82CF-0C969AB1CBFB}" name="Pt Froid" dataDxfId="116"/>
    <tableColumn id="3" xr3:uid="{8CC81B64-B87F-4904-B484-27EE57536636}" name="Regulation" dataDxfId="115"/>
    <tableColumn id="4" xr3:uid="{A1C20226-B6E7-4C33-A8D1-4C78DC057BA4}" name="Pt Chaud" dataDxfId="114"/>
    <tableColumn id="5" xr3:uid="{044D41DC-25B1-4089-9A83-A965718F2C35}" name="Consigne T°" dataDxfId="113"/>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2" totalsRowShown="0">
  <autoFilter ref="A1:K2" xr:uid="{498CA035-7182-4959-95BD-969D4A12EFC9}"/>
  <tableColumns count="11">
    <tableColumn id="1" xr3:uid="{8ED4DD6E-1382-4B8A-88A5-3AC79DB516FD}" name="Date/Heure" dataDxfId="112"/>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111"/>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110"/>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109"/>
    <tableColumn id="8" xr3:uid="{D0E28A32-95DA-4050-AC7F-DF56082C1062}" name="Connecteur 7" dataDxfId="108"/>
    <tableColumn id="9" xr3:uid="{A5310FC2-C94B-4610-B3D3-B72F7C40F80F}" name="Connecteur 8" dataDxfId="107"/>
    <tableColumn id="10" xr3:uid="{5493D449-287B-46FD-90AB-57C33BC1800D}" name="Connecteur 9" dataDxfId="106"/>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105"/>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104"/>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103"/>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102"/>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101"/>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00"/>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6.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24.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45238.586805555555</v>
      </c>
      <c r="C1">
        <v>26.1</v>
      </c>
      <c r="D1">
        <v>27.8</v>
      </c>
      <c r="E1">
        <v>22.82</v>
      </c>
      <c r="F1">
        <v>22.37</v>
      </c>
      <c r="G1">
        <v>26.4</v>
      </c>
      <c r="H1">
        <v>23.4</v>
      </c>
      <c r="I1">
        <v>21.56</v>
      </c>
      <c r="J1">
        <v>21.85</v>
      </c>
      <c r="K1">
        <v>24.86</v>
      </c>
      <c r="L1">
        <v>12.66</v>
      </c>
      <c r="M1">
        <v>-28.42</v>
      </c>
      <c r="N1">
        <v>-28.38</v>
      </c>
      <c r="O1">
        <v>31.28</v>
      </c>
    </row>
    <row r="2" spans="1:15" x14ac:dyDescent="0.25">
      <c r="A2" s="23">
        <v>45238.587500000001</v>
      </c>
      <c r="C2">
        <v>27.3</v>
      </c>
      <c r="D2">
        <v>28.58</v>
      </c>
      <c r="E2">
        <v>22.7</v>
      </c>
      <c r="F2">
        <v>22.53</v>
      </c>
      <c r="G2">
        <v>26.35</v>
      </c>
      <c r="H2">
        <v>24.4</v>
      </c>
      <c r="I2">
        <v>22.05</v>
      </c>
      <c r="J2">
        <v>22.88</v>
      </c>
      <c r="K2">
        <v>25.61</v>
      </c>
      <c r="L2">
        <v>13.86</v>
      </c>
      <c r="M2">
        <v>-29.16</v>
      </c>
      <c r="N2">
        <v>-29.07</v>
      </c>
      <c r="O2">
        <v>31.38</v>
      </c>
    </row>
    <row r="3" spans="1:15" x14ac:dyDescent="0.25">
      <c r="A3" s="23">
        <v>45238.588194444441</v>
      </c>
      <c r="C3">
        <v>26.03</v>
      </c>
      <c r="D3">
        <v>27.64</v>
      </c>
      <c r="E3">
        <v>22.91</v>
      </c>
      <c r="F3">
        <v>22.16</v>
      </c>
      <c r="G3">
        <v>26.47</v>
      </c>
      <c r="H3">
        <v>23.41</v>
      </c>
      <c r="I3">
        <v>22.35</v>
      </c>
      <c r="J3">
        <v>22.24</v>
      </c>
      <c r="K3">
        <v>26.19</v>
      </c>
      <c r="L3">
        <v>16.79</v>
      </c>
      <c r="M3">
        <v>-29.85</v>
      </c>
      <c r="N3">
        <v>-29.86</v>
      </c>
      <c r="O3">
        <v>33.090000000000003</v>
      </c>
    </row>
    <row r="4" spans="1:15" x14ac:dyDescent="0.25">
      <c r="A4" s="23">
        <v>45238.588888888888</v>
      </c>
      <c r="C4">
        <v>26.28</v>
      </c>
      <c r="D4">
        <v>27.22</v>
      </c>
      <c r="E4">
        <v>22.24</v>
      </c>
      <c r="F4">
        <v>21.99</v>
      </c>
      <c r="G4">
        <v>27.02</v>
      </c>
      <c r="H4">
        <v>42.81</v>
      </c>
      <c r="I4">
        <v>22.61</v>
      </c>
      <c r="J4">
        <v>21.84</v>
      </c>
      <c r="K4">
        <v>25.98</v>
      </c>
      <c r="L4">
        <v>20.010000000000002</v>
      </c>
      <c r="M4">
        <v>-30.3</v>
      </c>
      <c r="N4">
        <v>-29.63</v>
      </c>
      <c r="O4">
        <v>33.42</v>
      </c>
    </row>
    <row r="5" spans="1:15" x14ac:dyDescent="0.25">
      <c r="A5" s="23">
        <v>45238.589583333334</v>
      </c>
      <c r="C5">
        <v>35.9</v>
      </c>
      <c r="D5">
        <v>46.1</v>
      </c>
      <c r="E5">
        <v>23.69</v>
      </c>
      <c r="F5">
        <v>22.06</v>
      </c>
      <c r="G5">
        <v>26.25</v>
      </c>
      <c r="H5">
        <v>25.12</v>
      </c>
      <c r="I5">
        <v>21.3</v>
      </c>
      <c r="J5">
        <v>21.53</v>
      </c>
      <c r="K5">
        <v>26.03</v>
      </c>
      <c r="L5">
        <v>23.13</v>
      </c>
      <c r="M5">
        <v>-29.93</v>
      </c>
      <c r="N5">
        <v>-29.29</v>
      </c>
      <c r="O5">
        <v>47.65</v>
      </c>
    </row>
    <row r="6" spans="1:15" x14ac:dyDescent="0.25">
      <c r="A6" s="23">
        <v>45238.590277777781</v>
      </c>
      <c r="C6">
        <v>29.14</v>
      </c>
      <c r="D6">
        <v>30.24</v>
      </c>
      <c r="E6">
        <v>22.52</v>
      </c>
      <c r="F6">
        <v>30.14</v>
      </c>
      <c r="G6">
        <v>26.82</v>
      </c>
      <c r="H6">
        <v>25.05</v>
      </c>
      <c r="I6">
        <v>30.48</v>
      </c>
      <c r="J6">
        <v>59.68</v>
      </c>
      <c r="K6">
        <v>25.75</v>
      </c>
      <c r="L6">
        <v>25.94</v>
      </c>
      <c r="M6">
        <v>-29.74</v>
      </c>
      <c r="N6">
        <v>-29.01</v>
      </c>
      <c r="O6">
        <v>59.71</v>
      </c>
    </row>
    <row r="7" spans="1:15" x14ac:dyDescent="0.25">
      <c r="A7" s="23">
        <v>45238.59097222222</v>
      </c>
      <c r="C7">
        <v>37.549999999999997</v>
      </c>
      <c r="D7">
        <v>43.08</v>
      </c>
      <c r="E7">
        <v>35.74</v>
      </c>
      <c r="F7">
        <v>40.03</v>
      </c>
      <c r="G7">
        <v>39.659999999999997</v>
      </c>
      <c r="H7">
        <v>35.22</v>
      </c>
      <c r="I7">
        <v>36.94</v>
      </c>
      <c r="J7">
        <v>34.9</v>
      </c>
      <c r="K7">
        <v>41.27</v>
      </c>
      <c r="L7">
        <v>29.11</v>
      </c>
      <c r="M7">
        <v>-29.43</v>
      </c>
      <c r="N7">
        <v>-28.62</v>
      </c>
      <c r="O7">
        <v>59.84</v>
      </c>
    </row>
    <row r="8" spans="1:15" x14ac:dyDescent="0.25">
      <c r="A8" s="23">
        <v>45238.591666666667</v>
      </c>
      <c r="C8">
        <v>44.41</v>
      </c>
      <c r="D8">
        <v>49.51</v>
      </c>
      <c r="E8">
        <v>42.91</v>
      </c>
      <c r="F8">
        <v>46.92</v>
      </c>
      <c r="G8">
        <v>46.76</v>
      </c>
      <c r="H8">
        <v>42.74</v>
      </c>
      <c r="I8">
        <v>43.94</v>
      </c>
      <c r="J8">
        <v>40.72</v>
      </c>
      <c r="K8">
        <v>47.33</v>
      </c>
      <c r="L8">
        <v>31.62</v>
      </c>
      <c r="M8">
        <v>-29.02</v>
      </c>
      <c r="N8">
        <v>-28.28</v>
      </c>
      <c r="O8">
        <v>60.07</v>
      </c>
    </row>
    <row r="9" spans="1:15" x14ac:dyDescent="0.25">
      <c r="A9" s="23">
        <v>45238.592361111114</v>
      </c>
      <c r="C9">
        <v>46.07</v>
      </c>
      <c r="D9">
        <v>49.9</v>
      </c>
      <c r="E9">
        <v>44.47</v>
      </c>
      <c r="F9">
        <v>47.65</v>
      </c>
      <c r="G9">
        <v>47.25</v>
      </c>
      <c r="H9">
        <v>43.77</v>
      </c>
      <c r="I9">
        <v>45.24</v>
      </c>
      <c r="J9">
        <v>42.66</v>
      </c>
      <c r="K9">
        <v>48.56</v>
      </c>
      <c r="L9">
        <v>33.85</v>
      </c>
      <c r="M9">
        <v>-29.49</v>
      </c>
      <c r="N9">
        <v>-28.99</v>
      </c>
      <c r="O9">
        <v>59.35</v>
      </c>
    </row>
    <row r="10" spans="1:15" x14ac:dyDescent="0.25">
      <c r="A10" s="23">
        <v>45238.593055555553</v>
      </c>
      <c r="C10">
        <v>47.69</v>
      </c>
      <c r="D10">
        <v>51.29</v>
      </c>
      <c r="E10">
        <v>46.48</v>
      </c>
      <c r="F10">
        <v>49.48</v>
      </c>
      <c r="G10">
        <v>49.46</v>
      </c>
      <c r="H10">
        <v>45.75</v>
      </c>
      <c r="I10">
        <v>47.25</v>
      </c>
      <c r="J10">
        <v>44.69</v>
      </c>
      <c r="K10">
        <v>50.18</v>
      </c>
      <c r="L10">
        <v>36.229999999999997</v>
      </c>
      <c r="M10">
        <v>-29.93</v>
      </c>
      <c r="N10">
        <v>-29.39</v>
      </c>
      <c r="O10">
        <v>59.33</v>
      </c>
    </row>
    <row r="11" spans="1:15" x14ac:dyDescent="0.25">
      <c r="A11" s="23">
        <v>45238.59375</v>
      </c>
      <c r="C11">
        <v>48.2</v>
      </c>
      <c r="D11">
        <v>51.03</v>
      </c>
      <c r="E11">
        <v>47.16</v>
      </c>
      <c r="F11">
        <v>49.63</v>
      </c>
      <c r="G11">
        <v>49.52</v>
      </c>
      <c r="H11">
        <v>46.21</v>
      </c>
      <c r="I11">
        <v>47.56</v>
      </c>
      <c r="J11">
        <v>45.6</v>
      </c>
      <c r="K11">
        <v>50.28</v>
      </c>
      <c r="L11">
        <v>38.54</v>
      </c>
      <c r="M11">
        <v>-30.4</v>
      </c>
      <c r="N11">
        <v>-29.89</v>
      </c>
      <c r="O11">
        <v>59.14</v>
      </c>
    </row>
    <row r="12" spans="1:15" x14ac:dyDescent="0.25">
      <c r="A12" s="23">
        <v>45238.594444444447</v>
      </c>
      <c r="C12">
        <v>48.52</v>
      </c>
      <c r="D12">
        <v>50.92</v>
      </c>
      <c r="E12">
        <v>47.6</v>
      </c>
      <c r="F12">
        <v>49.76</v>
      </c>
      <c r="G12">
        <v>49.6</v>
      </c>
      <c r="H12">
        <v>46.71</v>
      </c>
      <c r="I12">
        <v>48.14</v>
      </c>
      <c r="J12">
        <v>46.37</v>
      </c>
      <c r="K12">
        <v>50.35</v>
      </c>
      <c r="L12">
        <v>39.94</v>
      </c>
      <c r="M12">
        <v>-29.94</v>
      </c>
      <c r="N12">
        <v>-29.37</v>
      </c>
      <c r="O12">
        <v>59.25</v>
      </c>
    </row>
    <row r="13" spans="1:15" x14ac:dyDescent="0.25">
      <c r="A13" s="23">
        <v>45238.595138888886</v>
      </c>
      <c r="C13">
        <v>48.54</v>
      </c>
      <c r="D13">
        <v>50.57</v>
      </c>
      <c r="E13">
        <v>47.75</v>
      </c>
      <c r="F13">
        <v>49.51</v>
      </c>
      <c r="G13">
        <v>49.29</v>
      </c>
      <c r="H13">
        <v>46.59</v>
      </c>
      <c r="I13">
        <v>48.18</v>
      </c>
      <c r="J13">
        <v>46.42</v>
      </c>
      <c r="K13">
        <v>49.99</v>
      </c>
      <c r="L13">
        <v>42.05</v>
      </c>
      <c r="M13">
        <v>-29.43</v>
      </c>
      <c r="N13">
        <v>-28.71</v>
      </c>
      <c r="O13">
        <v>59.11</v>
      </c>
    </row>
    <row r="14" spans="1:15" x14ac:dyDescent="0.25">
      <c r="A14" s="23">
        <v>45238.595833333333</v>
      </c>
      <c r="C14">
        <v>48.62</v>
      </c>
      <c r="D14">
        <v>50.32</v>
      </c>
      <c r="E14">
        <v>47.93</v>
      </c>
      <c r="F14">
        <v>49.36</v>
      </c>
      <c r="G14">
        <v>49.37</v>
      </c>
      <c r="H14">
        <v>46.66</v>
      </c>
      <c r="I14">
        <v>47.97</v>
      </c>
      <c r="J14">
        <v>46.5</v>
      </c>
      <c r="K14">
        <v>49.84</v>
      </c>
      <c r="L14">
        <v>43.96</v>
      </c>
      <c r="M14">
        <v>-28.96</v>
      </c>
      <c r="N14">
        <v>-28.35</v>
      </c>
      <c r="O14">
        <v>59.03</v>
      </c>
    </row>
    <row r="15" spans="1:15" x14ac:dyDescent="0.25">
      <c r="A15" s="23">
        <v>45238.59652777778</v>
      </c>
      <c r="C15">
        <v>48.65</v>
      </c>
      <c r="D15">
        <v>50.02</v>
      </c>
      <c r="E15">
        <v>47.9</v>
      </c>
      <c r="F15">
        <v>49.26</v>
      </c>
      <c r="G15">
        <v>49.2</v>
      </c>
      <c r="H15">
        <v>46.92</v>
      </c>
      <c r="I15">
        <v>48.12</v>
      </c>
      <c r="J15">
        <v>47.06</v>
      </c>
      <c r="K15">
        <v>49.77</v>
      </c>
      <c r="L15">
        <v>45.36</v>
      </c>
      <c r="M15">
        <v>-29.28</v>
      </c>
      <c r="N15">
        <v>-28.58</v>
      </c>
      <c r="O15">
        <v>59.31</v>
      </c>
    </row>
    <row r="16" spans="1:15" x14ac:dyDescent="0.25">
      <c r="A16" s="23">
        <v>45238.597222222219</v>
      </c>
      <c r="C16">
        <v>48.42</v>
      </c>
      <c r="D16">
        <v>49.54</v>
      </c>
      <c r="E16">
        <v>47.7</v>
      </c>
      <c r="F16">
        <v>48.86</v>
      </c>
      <c r="G16">
        <v>48.75</v>
      </c>
      <c r="H16">
        <v>46.67</v>
      </c>
      <c r="I16">
        <v>47.8</v>
      </c>
      <c r="J16">
        <v>46.9</v>
      </c>
      <c r="K16">
        <v>49.34</v>
      </c>
      <c r="L16">
        <v>46.45</v>
      </c>
      <c r="M16">
        <v>-29.51</v>
      </c>
      <c r="N16">
        <v>-28.77</v>
      </c>
      <c r="O16">
        <v>59.33</v>
      </c>
    </row>
    <row r="17" spans="1:15" x14ac:dyDescent="0.25">
      <c r="A17" s="23">
        <v>45238.597916666666</v>
      </c>
      <c r="C17">
        <v>48.46</v>
      </c>
      <c r="D17">
        <v>49.53</v>
      </c>
      <c r="E17">
        <v>47.78</v>
      </c>
      <c r="F17">
        <v>48.92</v>
      </c>
      <c r="G17">
        <v>48.97</v>
      </c>
      <c r="H17">
        <v>46.89</v>
      </c>
      <c r="I17">
        <v>48.02</v>
      </c>
      <c r="J17">
        <v>47.18</v>
      </c>
      <c r="K17">
        <v>49.28</v>
      </c>
      <c r="L17">
        <v>48.39</v>
      </c>
      <c r="M17">
        <v>-29.85</v>
      </c>
      <c r="N17">
        <v>-29.07</v>
      </c>
      <c r="O17">
        <v>59.21</v>
      </c>
    </row>
    <row r="18" spans="1:15" x14ac:dyDescent="0.25">
      <c r="A18" s="23">
        <v>45238.598611111112</v>
      </c>
      <c r="C18">
        <v>48.31</v>
      </c>
      <c r="D18">
        <v>49.33</v>
      </c>
      <c r="E18">
        <v>47.68</v>
      </c>
      <c r="F18">
        <v>48.66</v>
      </c>
      <c r="G18">
        <v>48.78</v>
      </c>
      <c r="H18">
        <v>46.76</v>
      </c>
      <c r="I18">
        <v>47.94</v>
      </c>
      <c r="J18">
        <v>47.23</v>
      </c>
      <c r="K18">
        <v>49.13</v>
      </c>
      <c r="L18">
        <v>50.3</v>
      </c>
      <c r="M18">
        <v>-29.89</v>
      </c>
      <c r="N18">
        <v>-29.05</v>
      </c>
      <c r="O18">
        <v>59.13</v>
      </c>
    </row>
    <row r="19" spans="1:15" x14ac:dyDescent="0.25">
      <c r="A19" s="23">
        <v>45238.599305555559</v>
      </c>
      <c r="C19">
        <v>48.26</v>
      </c>
      <c r="D19">
        <v>49.12</v>
      </c>
      <c r="E19">
        <v>47.72</v>
      </c>
      <c r="F19">
        <v>48.53</v>
      </c>
      <c r="G19">
        <v>48.58</v>
      </c>
      <c r="H19">
        <v>46.66</v>
      </c>
      <c r="I19">
        <v>47.92</v>
      </c>
      <c r="J19">
        <v>47.2</v>
      </c>
      <c r="K19">
        <v>49.01</v>
      </c>
      <c r="L19">
        <v>51.31</v>
      </c>
      <c r="M19">
        <v>-29.8</v>
      </c>
      <c r="N19">
        <v>-28.86</v>
      </c>
      <c r="O19">
        <v>59.39</v>
      </c>
    </row>
    <row r="20" spans="1:15" x14ac:dyDescent="0.25">
      <c r="A20" s="23">
        <v>45238.6</v>
      </c>
      <c r="C20">
        <v>48.17</v>
      </c>
      <c r="D20">
        <v>48.96</v>
      </c>
      <c r="E20">
        <v>47.67</v>
      </c>
      <c r="F20">
        <v>48.47</v>
      </c>
      <c r="G20">
        <v>48.52</v>
      </c>
      <c r="H20">
        <v>46.98</v>
      </c>
      <c r="I20">
        <v>47.77</v>
      </c>
      <c r="J20">
        <v>47.2</v>
      </c>
      <c r="K20">
        <v>48.82</v>
      </c>
      <c r="L20">
        <v>52.45</v>
      </c>
      <c r="M20">
        <v>-29.49</v>
      </c>
      <c r="N20">
        <v>-28.51</v>
      </c>
      <c r="O20">
        <v>59.43</v>
      </c>
    </row>
    <row r="21" spans="1:15" x14ac:dyDescent="0.25">
      <c r="A21" s="23">
        <v>45238.600694444445</v>
      </c>
      <c r="C21">
        <v>48.08</v>
      </c>
      <c r="D21">
        <v>48.91</v>
      </c>
      <c r="E21">
        <v>47.65</v>
      </c>
      <c r="F21">
        <v>48.41</v>
      </c>
      <c r="G21">
        <v>48.43</v>
      </c>
      <c r="H21">
        <v>46.77</v>
      </c>
      <c r="I21">
        <v>47.78</v>
      </c>
      <c r="J21">
        <v>47.23</v>
      </c>
      <c r="K21">
        <v>48.76</v>
      </c>
      <c r="L21">
        <v>53.85</v>
      </c>
      <c r="M21">
        <v>-29.15</v>
      </c>
      <c r="N21">
        <v>-28.16</v>
      </c>
      <c r="O21">
        <v>59.59</v>
      </c>
    </row>
    <row r="22" spans="1:15" x14ac:dyDescent="0.25">
      <c r="A22" s="23">
        <v>45238.601388888892</v>
      </c>
      <c r="C22">
        <v>48.14</v>
      </c>
      <c r="D22">
        <v>48.82</v>
      </c>
      <c r="E22">
        <v>47.64</v>
      </c>
      <c r="F22">
        <v>48.26</v>
      </c>
      <c r="G22">
        <v>48.44</v>
      </c>
      <c r="H22">
        <v>46.86</v>
      </c>
      <c r="I22">
        <v>47.65</v>
      </c>
      <c r="J22">
        <v>47.24</v>
      </c>
      <c r="K22">
        <v>48.57</v>
      </c>
      <c r="L22">
        <v>54.03</v>
      </c>
      <c r="M22">
        <v>-27.1</v>
      </c>
      <c r="N22">
        <v>-26.63</v>
      </c>
      <c r="O22">
        <v>59.82</v>
      </c>
    </row>
    <row r="23" spans="1:15" x14ac:dyDescent="0.25">
      <c r="A23" s="23">
        <v>45238.602083333331</v>
      </c>
      <c r="C23">
        <v>47.95</v>
      </c>
      <c r="D23">
        <v>48.72</v>
      </c>
      <c r="E23">
        <v>47.58</v>
      </c>
      <c r="F23">
        <v>48.2</v>
      </c>
      <c r="G23">
        <v>48.34</v>
      </c>
      <c r="H23">
        <v>46.92</v>
      </c>
      <c r="I23">
        <v>47.58</v>
      </c>
      <c r="J23">
        <v>47.18</v>
      </c>
      <c r="K23">
        <v>48.6</v>
      </c>
      <c r="L23">
        <v>53.22</v>
      </c>
      <c r="M23">
        <v>-27.36</v>
      </c>
      <c r="N23">
        <v>-27.05</v>
      </c>
      <c r="O23">
        <v>60.04</v>
      </c>
    </row>
    <row r="24" spans="1:15" x14ac:dyDescent="0.25">
      <c r="A24" s="23">
        <v>45238.602777777778</v>
      </c>
      <c r="C24">
        <v>47.93</v>
      </c>
      <c r="D24">
        <v>48.59</v>
      </c>
      <c r="E24">
        <v>47.54</v>
      </c>
      <c r="F24">
        <v>48.11</v>
      </c>
      <c r="G24">
        <v>48.32</v>
      </c>
      <c r="H24">
        <v>46.85</v>
      </c>
      <c r="I24">
        <v>47.52</v>
      </c>
      <c r="J24">
        <v>47.25</v>
      </c>
      <c r="K24">
        <v>48.44</v>
      </c>
      <c r="L24">
        <v>53.34</v>
      </c>
      <c r="M24">
        <v>-28.34</v>
      </c>
      <c r="N24">
        <v>-28.25</v>
      </c>
      <c r="O24">
        <v>60.33</v>
      </c>
    </row>
    <row r="25" spans="1:15" x14ac:dyDescent="0.25">
      <c r="A25" s="23">
        <v>45238.603472222225</v>
      </c>
      <c r="C25">
        <v>47.99</v>
      </c>
      <c r="D25">
        <v>48.61</v>
      </c>
      <c r="E25">
        <v>47.51</v>
      </c>
      <c r="F25">
        <v>48.14</v>
      </c>
      <c r="G25">
        <v>48.23</v>
      </c>
      <c r="H25">
        <v>46.83</v>
      </c>
      <c r="I25">
        <v>47.59</v>
      </c>
      <c r="J25">
        <v>47.11</v>
      </c>
      <c r="K25">
        <v>48.44</v>
      </c>
      <c r="L25">
        <v>54.74</v>
      </c>
      <c r="M25">
        <v>-29.1</v>
      </c>
      <c r="N25">
        <v>-28.94</v>
      </c>
      <c r="O25">
        <v>60.43</v>
      </c>
    </row>
    <row r="26" spans="1:15" x14ac:dyDescent="0.25">
      <c r="A26" s="23">
        <v>45238.604166666664</v>
      </c>
      <c r="C26">
        <v>47.87</v>
      </c>
      <c r="D26">
        <v>48.55</v>
      </c>
      <c r="E26">
        <v>47.48</v>
      </c>
      <c r="F26">
        <v>48.08</v>
      </c>
      <c r="G26">
        <v>48.21</v>
      </c>
      <c r="H26">
        <v>46.8</v>
      </c>
      <c r="I26">
        <v>47.62</v>
      </c>
      <c r="J26">
        <v>47.28</v>
      </c>
      <c r="K26">
        <v>48.4</v>
      </c>
      <c r="L26">
        <v>55.36</v>
      </c>
      <c r="M26">
        <v>-29.82</v>
      </c>
      <c r="N26">
        <v>-29.76</v>
      </c>
      <c r="O26">
        <v>60.66</v>
      </c>
    </row>
    <row r="27" spans="1:15" x14ac:dyDescent="0.25">
      <c r="A27" s="23">
        <v>45238.604861111111</v>
      </c>
      <c r="C27">
        <v>47.84</v>
      </c>
      <c r="D27">
        <v>48.49</v>
      </c>
      <c r="E27">
        <v>47.42</v>
      </c>
      <c r="F27">
        <v>48.01</v>
      </c>
      <c r="G27">
        <v>48.08</v>
      </c>
      <c r="H27">
        <v>46.77</v>
      </c>
      <c r="I27">
        <v>47.57</v>
      </c>
      <c r="J27">
        <v>47.13</v>
      </c>
      <c r="K27">
        <v>48.31</v>
      </c>
      <c r="L27">
        <v>54.46</v>
      </c>
      <c r="M27">
        <v>-30.19</v>
      </c>
      <c r="N27">
        <v>-29.63</v>
      </c>
      <c r="O27">
        <v>61.07</v>
      </c>
    </row>
    <row r="28" spans="1:15" x14ac:dyDescent="0.25">
      <c r="A28" s="23">
        <v>45238.605555555558</v>
      </c>
      <c r="C28">
        <v>47.93</v>
      </c>
      <c r="D28">
        <v>48.59</v>
      </c>
      <c r="E28">
        <v>47.54</v>
      </c>
      <c r="F28">
        <v>48.09</v>
      </c>
      <c r="G28">
        <v>48.25</v>
      </c>
      <c r="H28">
        <v>46.92</v>
      </c>
      <c r="I28">
        <v>47.59</v>
      </c>
      <c r="J28">
        <v>47.21</v>
      </c>
      <c r="K28">
        <v>48.44</v>
      </c>
      <c r="L28">
        <v>54.59</v>
      </c>
      <c r="M28">
        <v>-30.2</v>
      </c>
      <c r="N28">
        <v>-29.57</v>
      </c>
      <c r="O28">
        <v>61.21</v>
      </c>
    </row>
    <row r="29" spans="1:15" x14ac:dyDescent="0.25">
      <c r="A29" s="23">
        <v>45238.606249999997</v>
      </c>
      <c r="C29">
        <v>47.83</v>
      </c>
      <c r="D29">
        <v>48.4</v>
      </c>
      <c r="E29">
        <v>47.45</v>
      </c>
      <c r="F29">
        <v>48.02</v>
      </c>
      <c r="G29">
        <v>48.15</v>
      </c>
      <c r="H29">
        <v>46.92</v>
      </c>
      <c r="I29">
        <v>47.61</v>
      </c>
      <c r="J29">
        <v>47.23</v>
      </c>
      <c r="K29">
        <v>48.25</v>
      </c>
      <c r="L29">
        <v>55.68</v>
      </c>
      <c r="M29">
        <v>-30.1</v>
      </c>
      <c r="N29">
        <v>-29.62</v>
      </c>
      <c r="O29">
        <v>61.48</v>
      </c>
    </row>
    <row r="30" spans="1:15" x14ac:dyDescent="0.25">
      <c r="A30" s="23">
        <v>45238.606944444444</v>
      </c>
      <c r="C30">
        <v>47.85</v>
      </c>
      <c r="D30">
        <v>48.39</v>
      </c>
      <c r="E30">
        <v>47.42</v>
      </c>
      <c r="F30">
        <v>47.95</v>
      </c>
      <c r="G30">
        <v>48.21</v>
      </c>
      <c r="H30">
        <v>46.85</v>
      </c>
      <c r="I30">
        <v>47.55</v>
      </c>
      <c r="J30">
        <v>47.2</v>
      </c>
      <c r="K30">
        <v>48.27</v>
      </c>
      <c r="L30">
        <v>56.09</v>
      </c>
      <c r="M30">
        <v>-30.02</v>
      </c>
      <c r="N30">
        <v>-29.35</v>
      </c>
      <c r="O30">
        <v>61.76</v>
      </c>
    </row>
    <row r="31" spans="1:15" x14ac:dyDescent="0.25">
      <c r="A31" s="23">
        <v>45238.607638888891</v>
      </c>
      <c r="C31">
        <v>47.91</v>
      </c>
      <c r="D31">
        <v>48.52</v>
      </c>
      <c r="E31">
        <v>47.52</v>
      </c>
      <c r="F31">
        <v>48.07</v>
      </c>
      <c r="G31">
        <v>48.16</v>
      </c>
      <c r="H31">
        <v>46.93</v>
      </c>
      <c r="I31">
        <v>47.59</v>
      </c>
      <c r="J31">
        <v>47.18</v>
      </c>
      <c r="K31">
        <v>48.38</v>
      </c>
      <c r="L31">
        <v>55.3</v>
      </c>
      <c r="M31">
        <v>-29.76</v>
      </c>
      <c r="N31">
        <v>-29.09</v>
      </c>
      <c r="O31">
        <v>62.05</v>
      </c>
    </row>
    <row r="32" spans="1:15" x14ac:dyDescent="0.25">
      <c r="A32" s="23">
        <v>45238.60833333333</v>
      </c>
      <c r="C32">
        <v>47.84</v>
      </c>
      <c r="D32">
        <v>48.44</v>
      </c>
      <c r="E32">
        <v>47.54</v>
      </c>
      <c r="F32">
        <v>48.04</v>
      </c>
      <c r="G32">
        <v>48.26</v>
      </c>
      <c r="H32">
        <v>46.84</v>
      </c>
      <c r="I32">
        <v>47.55</v>
      </c>
      <c r="J32">
        <v>47.25</v>
      </c>
      <c r="K32">
        <v>48.32</v>
      </c>
      <c r="L32">
        <v>55.28</v>
      </c>
      <c r="M32">
        <v>-29.56</v>
      </c>
      <c r="N32">
        <v>-28.88</v>
      </c>
      <c r="O32">
        <v>62.13</v>
      </c>
    </row>
    <row r="33" spans="1:15" x14ac:dyDescent="0.25">
      <c r="A33" s="23">
        <v>45238.609027777777</v>
      </c>
      <c r="C33">
        <v>47.9</v>
      </c>
      <c r="D33">
        <v>48.48</v>
      </c>
      <c r="E33">
        <v>47.51</v>
      </c>
      <c r="F33">
        <v>48.1</v>
      </c>
      <c r="G33">
        <v>48.22</v>
      </c>
      <c r="H33">
        <v>46.96</v>
      </c>
      <c r="I33">
        <v>47.58</v>
      </c>
      <c r="J33">
        <v>47.26</v>
      </c>
      <c r="K33">
        <v>48.35</v>
      </c>
      <c r="L33">
        <v>56.11</v>
      </c>
      <c r="M33">
        <v>-29.32</v>
      </c>
      <c r="N33">
        <v>-28.58</v>
      </c>
      <c r="O33">
        <v>62.38</v>
      </c>
    </row>
    <row r="34" spans="1:15" x14ac:dyDescent="0.25">
      <c r="A34" s="23">
        <v>45238.609722222223</v>
      </c>
      <c r="C34">
        <v>47.89</v>
      </c>
      <c r="D34">
        <v>48.36</v>
      </c>
      <c r="E34">
        <v>47.43</v>
      </c>
      <c r="F34">
        <v>47.94</v>
      </c>
      <c r="G34">
        <v>48.08</v>
      </c>
      <c r="H34">
        <v>47</v>
      </c>
      <c r="I34">
        <v>47.59</v>
      </c>
      <c r="J34">
        <v>47.29</v>
      </c>
      <c r="K34">
        <v>48.22</v>
      </c>
      <c r="L34">
        <v>56.82</v>
      </c>
      <c r="M34">
        <v>-29.06</v>
      </c>
      <c r="N34">
        <v>-28.32</v>
      </c>
      <c r="O34">
        <v>62.49</v>
      </c>
    </row>
    <row r="35" spans="1:15" x14ac:dyDescent="0.25">
      <c r="A35" s="23">
        <v>45238.61041666667</v>
      </c>
      <c r="C35">
        <v>47.88</v>
      </c>
      <c r="D35">
        <v>48.46</v>
      </c>
      <c r="E35">
        <v>47.54</v>
      </c>
      <c r="F35">
        <v>48.05</v>
      </c>
      <c r="G35">
        <v>48.19</v>
      </c>
      <c r="H35">
        <v>47.11</v>
      </c>
      <c r="I35">
        <v>47.64</v>
      </c>
      <c r="J35">
        <v>47.27</v>
      </c>
      <c r="K35">
        <v>48.32</v>
      </c>
      <c r="L35">
        <v>55.72</v>
      </c>
      <c r="M35">
        <v>-28.78</v>
      </c>
      <c r="N35">
        <v>-28.1</v>
      </c>
      <c r="O35">
        <v>62.84</v>
      </c>
    </row>
    <row r="36" spans="1:15" x14ac:dyDescent="0.25">
      <c r="A36" s="23">
        <v>45238.611111111109</v>
      </c>
      <c r="C36">
        <v>47.87</v>
      </c>
      <c r="D36">
        <v>48.38</v>
      </c>
      <c r="E36">
        <v>47.47</v>
      </c>
      <c r="F36">
        <v>47.96</v>
      </c>
      <c r="G36">
        <v>48.17</v>
      </c>
      <c r="H36">
        <v>47.1</v>
      </c>
      <c r="I36">
        <v>47.64</v>
      </c>
      <c r="J36">
        <v>47.27</v>
      </c>
      <c r="K36">
        <v>48.25</v>
      </c>
      <c r="L36">
        <v>55.27</v>
      </c>
      <c r="M36">
        <v>-29.54</v>
      </c>
      <c r="N36">
        <v>-29</v>
      </c>
      <c r="O36">
        <v>70.75</v>
      </c>
    </row>
    <row r="37" spans="1:15" x14ac:dyDescent="0.25">
      <c r="A37" s="23">
        <v>45238.611805555556</v>
      </c>
      <c r="C37">
        <v>47.91</v>
      </c>
      <c r="D37">
        <v>48.37</v>
      </c>
      <c r="E37">
        <v>47.48</v>
      </c>
      <c r="F37">
        <v>48.03</v>
      </c>
      <c r="G37">
        <v>48.13</v>
      </c>
      <c r="H37">
        <v>47.05</v>
      </c>
      <c r="I37">
        <v>47.63</v>
      </c>
      <c r="J37">
        <v>47.26</v>
      </c>
      <c r="K37">
        <v>48.23</v>
      </c>
      <c r="L37">
        <v>56.48</v>
      </c>
      <c r="M37">
        <v>-30.2</v>
      </c>
      <c r="N37">
        <v>-29.68</v>
      </c>
      <c r="O37">
        <v>87.5</v>
      </c>
    </row>
    <row r="38" spans="1:15" x14ac:dyDescent="0.25">
      <c r="A38" s="23">
        <v>45238.612500000003</v>
      </c>
      <c r="C38">
        <v>48.01</v>
      </c>
      <c r="D38">
        <v>48.71</v>
      </c>
      <c r="E38">
        <v>47.71</v>
      </c>
      <c r="F38">
        <v>48.24</v>
      </c>
      <c r="G38">
        <v>48.41</v>
      </c>
      <c r="H38">
        <v>47.18</v>
      </c>
      <c r="I38">
        <v>47.85</v>
      </c>
      <c r="J38">
        <v>47.43</v>
      </c>
      <c r="K38">
        <v>48.49</v>
      </c>
      <c r="L38">
        <v>56.97</v>
      </c>
      <c r="M38">
        <v>-30.11</v>
      </c>
      <c r="N38">
        <v>-29.64</v>
      </c>
      <c r="O38">
        <v>98.37</v>
      </c>
    </row>
    <row r="39" spans="1:15" x14ac:dyDescent="0.25">
      <c r="A39" s="23">
        <v>45238.613194444442</v>
      </c>
      <c r="C39">
        <v>47.88</v>
      </c>
      <c r="D39">
        <v>48.34</v>
      </c>
      <c r="E39">
        <v>47.49</v>
      </c>
      <c r="F39">
        <v>48.01</v>
      </c>
      <c r="G39">
        <v>48.14</v>
      </c>
      <c r="H39">
        <v>47.07</v>
      </c>
      <c r="I39">
        <v>47.65</v>
      </c>
      <c r="J39">
        <v>47.38</v>
      </c>
      <c r="K39">
        <v>48.25</v>
      </c>
      <c r="L39">
        <v>55.85</v>
      </c>
      <c r="M39">
        <v>-29.7</v>
      </c>
      <c r="N39">
        <v>-28.96</v>
      </c>
      <c r="O39">
        <v>107.3</v>
      </c>
    </row>
    <row r="40" spans="1:15" x14ac:dyDescent="0.25">
      <c r="A40" s="23">
        <v>45238.613888888889</v>
      </c>
      <c r="C40">
        <v>47.89</v>
      </c>
      <c r="D40">
        <v>48.37</v>
      </c>
      <c r="E40">
        <v>47.54</v>
      </c>
      <c r="F40">
        <v>48.05</v>
      </c>
      <c r="G40">
        <v>48.11</v>
      </c>
      <c r="H40">
        <v>47.19</v>
      </c>
      <c r="I40">
        <v>47.63</v>
      </c>
      <c r="J40">
        <v>47.38</v>
      </c>
      <c r="K40">
        <v>48.26</v>
      </c>
      <c r="L40">
        <v>55.92</v>
      </c>
      <c r="M40">
        <v>-29.18</v>
      </c>
      <c r="N40">
        <v>-28.61</v>
      </c>
      <c r="O40">
        <v>115.29</v>
      </c>
    </row>
    <row r="41" spans="1:15" x14ac:dyDescent="0.25">
      <c r="A41" s="23">
        <v>45238.614583333336</v>
      </c>
      <c r="C41">
        <v>47.81</v>
      </c>
      <c r="D41">
        <v>48.4</v>
      </c>
      <c r="E41">
        <v>47.52</v>
      </c>
      <c r="F41">
        <v>48.04</v>
      </c>
      <c r="G41">
        <v>48.19</v>
      </c>
      <c r="H41">
        <v>47.12</v>
      </c>
      <c r="I41">
        <v>47.67</v>
      </c>
      <c r="J41">
        <v>47.36</v>
      </c>
      <c r="K41">
        <v>48.29</v>
      </c>
      <c r="L41">
        <v>57.09</v>
      </c>
      <c r="M41">
        <v>-28.86</v>
      </c>
      <c r="N41">
        <v>-28.36</v>
      </c>
      <c r="O41">
        <v>121.7</v>
      </c>
    </row>
    <row r="42" spans="1:15" x14ac:dyDescent="0.25">
      <c r="A42" s="23">
        <v>45238.615277777775</v>
      </c>
      <c r="C42">
        <v>47.84</v>
      </c>
      <c r="D42">
        <v>48.31</v>
      </c>
      <c r="E42">
        <v>47.47</v>
      </c>
      <c r="F42">
        <v>47.98</v>
      </c>
      <c r="G42">
        <v>48.12</v>
      </c>
      <c r="H42">
        <v>47.11</v>
      </c>
      <c r="I42">
        <v>47.63</v>
      </c>
      <c r="J42">
        <v>47.31</v>
      </c>
      <c r="K42">
        <v>48.22</v>
      </c>
      <c r="L42">
        <v>57.18</v>
      </c>
      <c r="M42">
        <v>-29.35</v>
      </c>
      <c r="N42">
        <v>-28.63</v>
      </c>
      <c r="O42">
        <v>126.15</v>
      </c>
    </row>
    <row r="43" spans="1:15" x14ac:dyDescent="0.25">
      <c r="A43" s="23">
        <v>45238.615972222222</v>
      </c>
      <c r="C43">
        <v>47.91</v>
      </c>
      <c r="D43">
        <v>48.42</v>
      </c>
      <c r="E43">
        <v>47.54</v>
      </c>
      <c r="F43">
        <v>48.04</v>
      </c>
      <c r="G43">
        <v>48.18</v>
      </c>
      <c r="H43">
        <v>47.12</v>
      </c>
      <c r="I43">
        <v>47.67</v>
      </c>
      <c r="J43">
        <v>47.4</v>
      </c>
      <c r="K43">
        <v>48.26</v>
      </c>
      <c r="L43">
        <v>56.34</v>
      </c>
      <c r="M43">
        <v>-29.77</v>
      </c>
      <c r="N43">
        <v>-28.91</v>
      </c>
      <c r="O43">
        <v>130.35</v>
      </c>
    </row>
    <row r="44" spans="1:15" x14ac:dyDescent="0.25">
      <c r="A44" s="23">
        <v>45238.616666666669</v>
      </c>
      <c r="C44">
        <v>47.9</v>
      </c>
      <c r="D44">
        <v>48.4</v>
      </c>
      <c r="E44">
        <v>47.54</v>
      </c>
      <c r="F44">
        <v>48.03</v>
      </c>
      <c r="G44">
        <v>48.16</v>
      </c>
      <c r="H44">
        <v>47.01</v>
      </c>
      <c r="I44">
        <v>47.61</v>
      </c>
      <c r="J44">
        <v>47.34</v>
      </c>
      <c r="K44">
        <v>48.23</v>
      </c>
      <c r="L44">
        <v>56.24</v>
      </c>
      <c r="M44">
        <v>-29.8</v>
      </c>
      <c r="N44">
        <v>-29.21</v>
      </c>
      <c r="O44">
        <v>138.65</v>
      </c>
    </row>
    <row r="45" spans="1:15" x14ac:dyDescent="0.25">
      <c r="A45" s="23">
        <v>45238.617361111108</v>
      </c>
      <c r="C45">
        <v>47.74</v>
      </c>
      <c r="D45">
        <v>48.29</v>
      </c>
      <c r="E45">
        <v>47.46</v>
      </c>
      <c r="F45">
        <v>47.99</v>
      </c>
      <c r="G45">
        <v>48.11</v>
      </c>
      <c r="H45">
        <v>47.08</v>
      </c>
      <c r="I45">
        <v>47.61</v>
      </c>
      <c r="J45">
        <v>47.3</v>
      </c>
      <c r="K45">
        <v>48.2</v>
      </c>
      <c r="L45">
        <v>57.08</v>
      </c>
      <c r="M45">
        <v>-29.89</v>
      </c>
      <c r="N45">
        <v>-29.03</v>
      </c>
      <c r="O45">
        <v>139.97999999999999</v>
      </c>
    </row>
    <row r="46" spans="1:15" x14ac:dyDescent="0.25">
      <c r="A46" s="23">
        <v>45238.618055555555</v>
      </c>
      <c r="C46">
        <v>47.94</v>
      </c>
      <c r="D46">
        <v>48.46</v>
      </c>
      <c r="E46">
        <v>47.57</v>
      </c>
      <c r="F46">
        <v>48.08</v>
      </c>
      <c r="G46">
        <v>48.26</v>
      </c>
      <c r="H46">
        <v>47.16</v>
      </c>
      <c r="I46">
        <v>47.69</v>
      </c>
      <c r="J46">
        <v>47.36</v>
      </c>
      <c r="K46">
        <v>48.32</v>
      </c>
      <c r="L46">
        <v>57.42</v>
      </c>
      <c r="M46">
        <v>-29.7</v>
      </c>
      <c r="N46">
        <v>-28.82</v>
      </c>
      <c r="O46">
        <v>144.81</v>
      </c>
    </row>
    <row r="47" spans="1:15" x14ac:dyDescent="0.25">
      <c r="A47" s="23">
        <v>45238.618750000001</v>
      </c>
      <c r="C47">
        <v>47.91</v>
      </c>
      <c r="D47">
        <v>48.36</v>
      </c>
      <c r="E47">
        <v>47.56</v>
      </c>
      <c r="F47">
        <v>47.99</v>
      </c>
      <c r="G47">
        <v>48.18</v>
      </c>
      <c r="H47">
        <v>47.3</v>
      </c>
      <c r="I47">
        <v>47.65</v>
      </c>
      <c r="J47">
        <v>47.34</v>
      </c>
      <c r="K47">
        <v>48.26</v>
      </c>
      <c r="L47">
        <v>56.47</v>
      </c>
      <c r="M47">
        <v>-29.34</v>
      </c>
      <c r="N47">
        <v>-28.53</v>
      </c>
      <c r="O47">
        <v>149.97999999999999</v>
      </c>
    </row>
    <row r="48" spans="1:15" x14ac:dyDescent="0.25">
      <c r="A48" s="23">
        <v>45238.619444444441</v>
      </c>
      <c r="C48">
        <v>47.89</v>
      </c>
      <c r="D48">
        <v>48.44</v>
      </c>
      <c r="E48">
        <v>47.56</v>
      </c>
      <c r="F48">
        <v>48.03</v>
      </c>
      <c r="G48">
        <v>48.16</v>
      </c>
      <c r="H48">
        <v>47.34</v>
      </c>
      <c r="I48">
        <v>47.65</v>
      </c>
      <c r="J48">
        <v>47.35</v>
      </c>
      <c r="K48">
        <v>48.3</v>
      </c>
      <c r="L48">
        <v>56.38</v>
      </c>
      <c r="M48">
        <v>-29.04</v>
      </c>
      <c r="N48">
        <v>-28.28</v>
      </c>
      <c r="O48">
        <v>154.44999999999999</v>
      </c>
    </row>
    <row r="49" spans="1:15" x14ac:dyDescent="0.25">
      <c r="A49" s="23">
        <v>45238.620138888888</v>
      </c>
      <c r="C49">
        <v>47.89</v>
      </c>
      <c r="D49">
        <v>48.39</v>
      </c>
      <c r="E49">
        <v>47.58</v>
      </c>
      <c r="F49">
        <v>48.03</v>
      </c>
      <c r="G49">
        <v>48.08</v>
      </c>
      <c r="H49">
        <v>47.07</v>
      </c>
      <c r="I49">
        <v>47.65</v>
      </c>
      <c r="J49">
        <v>47.29</v>
      </c>
      <c r="K49">
        <v>48.19</v>
      </c>
      <c r="L49">
        <v>57.41</v>
      </c>
      <c r="M49">
        <v>-28.82</v>
      </c>
      <c r="N49">
        <v>-28.01</v>
      </c>
      <c r="O49">
        <v>154.35</v>
      </c>
    </row>
    <row r="50" spans="1:15" x14ac:dyDescent="0.25">
      <c r="A50" s="23">
        <v>45238.620833333334</v>
      </c>
      <c r="C50">
        <v>47.91</v>
      </c>
      <c r="D50">
        <v>48.4</v>
      </c>
      <c r="E50">
        <v>47.56</v>
      </c>
      <c r="F50">
        <v>48.05</v>
      </c>
      <c r="G50">
        <v>48.19</v>
      </c>
      <c r="H50">
        <v>47.17</v>
      </c>
      <c r="I50">
        <v>47.72</v>
      </c>
      <c r="J50">
        <v>47.38</v>
      </c>
      <c r="K50">
        <v>48.26</v>
      </c>
      <c r="L50">
        <v>57.42</v>
      </c>
      <c r="M50">
        <v>-29.21</v>
      </c>
      <c r="N50">
        <v>-28.56</v>
      </c>
      <c r="O50">
        <v>156.91999999999999</v>
      </c>
    </row>
    <row r="51" spans="1:15" x14ac:dyDescent="0.25">
      <c r="A51" s="23">
        <v>45238.621527777781</v>
      </c>
      <c r="C51">
        <v>47.92</v>
      </c>
      <c r="D51">
        <v>48.44</v>
      </c>
      <c r="E51">
        <v>47.53</v>
      </c>
      <c r="F51">
        <v>48.08</v>
      </c>
      <c r="G51">
        <v>48.23</v>
      </c>
      <c r="H51">
        <v>47.28</v>
      </c>
      <c r="I51">
        <v>47.73</v>
      </c>
      <c r="J51">
        <v>47.37</v>
      </c>
      <c r="K51">
        <v>48.32</v>
      </c>
      <c r="L51">
        <v>56.48</v>
      </c>
      <c r="M51">
        <v>-30.12</v>
      </c>
      <c r="N51">
        <v>-29.55</v>
      </c>
      <c r="O51">
        <v>153.72</v>
      </c>
    </row>
    <row r="52" spans="1:15" x14ac:dyDescent="0.25">
      <c r="A52" s="23">
        <v>45238.62222222222</v>
      </c>
      <c r="C52">
        <v>47.84</v>
      </c>
      <c r="D52">
        <v>48.31</v>
      </c>
      <c r="E52">
        <v>47.53</v>
      </c>
      <c r="F52">
        <v>47.97</v>
      </c>
      <c r="G52">
        <v>48.09</v>
      </c>
      <c r="H52">
        <v>47.09</v>
      </c>
      <c r="I52">
        <v>47.62</v>
      </c>
      <c r="J52">
        <v>47.31</v>
      </c>
      <c r="K52">
        <v>48.25</v>
      </c>
      <c r="L52">
        <v>56.53</v>
      </c>
      <c r="M52">
        <v>-30.3</v>
      </c>
      <c r="N52">
        <v>-29.69</v>
      </c>
      <c r="O52">
        <v>153.86000000000001</v>
      </c>
    </row>
    <row r="53" spans="1:15" x14ac:dyDescent="0.25">
      <c r="A53" s="23">
        <v>45238.622916666667</v>
      </c>
      <c r="C53">
        <v>47.97</v>
      </c>
      <c r="D53">
        <v>48.5</v>
      </c>
      <c r="E53">
        <v>47.65</v>
      </c>
      <c r="F53">
        <v>48.16</v>
      </c>
      <c r="G53">
        <v>48.21</v>
      </c>
      <c r="H53">
        <v>47.18</v>
      </c>
      <c r="I53">
        <v>47.79</v>
      </c>
      <c r="J53">
        <v>47.35</v>
      </c>
      <c r="K53">
        <v>48.37</v>
      </c>
      <c r="L53">
        <v>57.37</v>
      </c>
      <c r="M53">
        <v>-29.95</v>
      </c>
      <c r="N53">
        <v>-29.23</v>
      </c>
      <c r="O53">
        <v>152.21</v>
      </c>
    </row>
    <row r="54" spans="1:15" x14ac:dyDescent="0.25">
      <c r="A54" s="23">
        <v>45238.623611111114</v>
      </c>
      <c r="C54">
        <v>47.9</v>
      </c>
      <c r="D54">
        <v>48.39</v>
      </c>
      <c r="E54">
        <v>47.58</v>
      </c>
      <c r="F54">
        <v>48.07</v>
      </c>
      <c r="G54">
        <v>48.2</v>
      </c>
      <c r="H54">
        <v>47.25</v>
      </c>
      <c r="I54">
        <v>47.75</v>
      </c>
      <c r="J54">
        <v>47.35</v>
      </c>
      <c r="K54">
        <v>48.23</v>
      </c>
      <c r="L54">
        <v>57.28</v>
      </c>
      <c r="M54">
        <v>-29.47</v>
      </c>
      <c r="N54">
        <v>-28.81</v>
      </c>
      <c r="O54">
        <v>153.13999999999999</v>
      </c>
    </row>
    <row r="55" spans="1:15" x14ac:dyDescent="0.25">
      <c r="A55" s="23">
        <v>45238.624305555553</v>
      </c>
      <c r="C55">
        <v>47.96</v>
      </c>
      <c r="D55">
        <v>48.51</v>
      </c>
      <c r="E55">
        <v>47.7</v>
      </c>
      <c r="F55">
        <v>48.13</v>
      </c>
      <c r="G55">
        <v>48.3</v>
      </c>
      <c r="H55">
        <v>47.28</v>
      </c>
      <c r="I55">
        <v>47.74</v>
      </c>
      <c r="J55">
        <v>47.33</v>
      </c>
      <c r="K55">
        <v>48.41</v>
      </c>
      <c r="L55">
        <v>56.4</v>
      </c>
      <c r="M55">
        <v>-29.08</v>
      </c>
      <c r="N55">
        <v>-28.46</v>
      </c>
      <c r="O55">
        <v>151.91</v>
      </c>
    </row>
    <row r="56" spans="1:15" x14ac:dyDescent="0.25">
      <c r="A56" s="23">
        <v>45238.625</v>
      </c>
      <c r="C56">
        <v>47.97</v>
      </c>
      <c r="D56">
        <v>48.49</v>
      </c>
      <c r="E56">
        <v>47.7</v>
      </c>
      <c r="F56">
        <v>48.14</v>
      </c>
      <c r="G56">
        <v>48.29</v>
      </c>
      <c r="H56">
        <v>47.29</v>
      </c>
      <c r="I56">
        <v>47.79</v>
      </c>
      <c r="J56">
        <v>47.41</v>
      </c>
      <c r="K56">
        <v>48.4</v>
      </c>
      <c r="L56">
        <v>56.79</v>
      </c>
      <c r="M56">
        <v>-28.77</v>
      </c>
      <c r="N56">
        <v>-28.24</v>
      </c>
      <c r="O56">
        <v>153.1</v>
      </c>
    </row>
    <row r="57" spans="1:15" x14ac:dyDescent="0.25">
      <c r="A57" s="23">
        <v>45238.625694444447</v>
      </c>
      <c r="C57">
        <v>47.87</v>
      </c>
      <c r="D57">
        <v>48.35</v>
      </c>
      <c r="E57">
        <v>47.54</v>
      </c>
      <c r="F57">
        <v>47.98</v>
      </c>
      <c r="G57">
        <v>48.15</v>
      </c>
      <c r="H57">
        <v>47.21</v>
      </c>
      <c r="I57">
        <v>47.65</v>
      </c>
      <c r="J57">
        <v>47.34</v>
      </c>
      <c r="K57">
        <v>48.15</v>
      </c>
      <c r="L57">
        <v>58.04</v>
      </c>
      <c r="M57">
        <v>-29.29</v>
      </c>
      <c r="N57">
        <v>-28.56</v>
      </c>
      <c r="O57">
        <v>151.87</v>
      </c>
    </row>
    <row r="58" spans="1:15" x14ac:dyDescent="0.25">
      <c r="A58" s="23">
        <v>45238.626388888886</v>
      </c>
      <c r="C58">
        <v>47.93</v>
      </c>
      <c r="D58">
        <v>48.4</v>
      </c>
      <c r="E58">
        <v>47.6</v>
      </c>
      <c r="F58">
        <v>48.06</v>
      </c>
      <c r="G58">
        <v>48.18</v>
      </c>
      <c r="H58">
        <v>47.34</v>
      </c>
      <c r="I58">
        <v>47.78</v>
      </c>
      <c r="J58">
        <v>47.36</v>
      </c>
      <c r="K58">
        <v>48.28</v>
      </c>
      <c r="L58">
        <v>57.33</v>
      </c>
      <c r="M58">
        <v>-29.68</v>
      </c>
      <c r="N58">
        <v>-28.87</v>
      </c>
      <c r="O58">
        <v>151.33000000000001</v>
      </c>
    </row>
    <row r="59" spans="1:15" x14ac:dyDescent="0.25">
      <c r="A59" s="23">
        <v>45238.627083333333</v>
      </c>
      <c r="C59">
        <v>47.89</v>
      </c>
      <c r="D59">
        <v>48.43</v>
      </c>
      <c r="E59">
        <v>47.58</v>
      </c>
      <c r="F59">
        <v>48.04</v>
      </c>
      <c r="G59">
        <v>48.19</v>
      </c>
      <c r="H59">
        <v>47.16</v>
      </c>
      <c r="I59">
        <v>47.68</v>
      </c>
      <c r="J59">
        <v>47.45</v>
      </c>
      <c r="K59">
        <v>48.3</v>
      </c>
      <c r="L59">
        <v>56.46</v>
      </c>
      <c r="M59">
        <v>-29.85</v>
      </c>
      <c r="N59">
        <v>-29</v>
      </c>
      <c r="O59">
        <v>153.08000000000001</v>
      </c>
    </row>
    <row r="60" spans="1:15" x14ac:dyDescent="0.25">
      <c r="A60" s="23">
        <v>45238.62777777778</v>
      </c>
      <c r="C60">
        <v>49.27</v>
      </c>
      <c r="D60">
        <v>51.87</v>
      </c>
      <c r="E60">
        <v>49.31</v>
      </c>
      <c r="F60">
        <v>50.79</v>
      </c>
      <c r="G60">
        <v>50.2</v>
      </c>
      <c r="H60">
        <v>47.9</v>
      </c>
      <c r="I60">
        <v>49.62</v>
      </c>
      <c r="J60">
        <v>48.37</v>
      </c>
      <c r="K60">
        <v>51.71</v>
      </c>
      <c r="L60">
        <v>57.37</v>
      </c>
      <c r="M60">
        <v>-29.86</v>
      </c>
      <c r="N60">
        <v>-28.98</v>
      </c>
      <c r="O60">
        <v>152.29</v>
      </c>
    </row>
    <row r="61" spans="1:15" x14ac:dyDescent="0.25">
      <c r="A61" s="23">
        <v>45238.628472222219</v>
      </c>
      <c r="C61">
        <v>63.07</v>
      </c>
      <c r="D61">
        <v>72.2</v>
      </c>
      <c r="E61">
        <v>62.9</v>
      </c>
      <c r="F61">
        <v>69.290000000000006</v>
      </c>
      <c r="G61">
        <v>66.63</v>
      </c>
      <c r="H61">
        <v>58.15</v>
      </c>
      <c r="I61">
        <v>63.92</v>
      </c>
      <c r="J61">
        <v>58.23</v>
      </c>
      <c r="K61">
        <v>70.819999999999993</v>
      </c>
      <c r="L61">
        <v>57.9</v>
      </c>
      <c r="M61">
        <v>-29.51</v>
      </c>
      <c r="N61">
        <v>-28.72</v>
      </c>
      <c r="O61">
        <v>152.53</v>
      </c>
    </row>
    <row r="62" spans="1:15" x14ac:dyDescent="0.25">
      <c r="A62" s="23">
        <v>45238.629166666666</v>
      </c>
      <c r="C62">
        <v>76.25</v>
      </c>
      <c r="D62">
        <v>91.3</v>
      </c>
      <c r="E62">
        <v>76.209999999999994</v>
      </c>
      <c r="F62">
        <v>86.07</v>
      </c>
      <c r="G62">
        <v>85.36</v>
      </c>
      <c r="H62">
        <v>74.459999999999994</v>
      </c>
      <c r="I62">
        <v>79.319999999999993</v>
      </c>
      <c r="J62">
        <v>72.83</v>
      </c>
      <c r="K62">
        <v>88.7</v>
      </c>
      <c r="L62">
        <v>56.98</v>
      </c>
      <c r="M62">
        <v>-29.25</v>
      </c>
      <c r="N62">
        <v>-28.5</v>
      </c>
      <c r="O62">
        <v>152.09</v>
      </c>
    </row>
    <row r="63" spans="1:15" x14ac:dyDescent="0.25">
      <c r="A63" s="23">
        <v>45238.629861111112</v>
      </c>
      <c r="C63">
        <v>81.680000000000007</v>
      </c>
      <c r="D63">
        <v>96.59</v>
      </c>
      <c r="E63">
        <v>85.19</v>
      </c>
      <c r="F63">
        <v>91.52</v>
      </c>
      <c r="G63">
        <v>93.26</v>
      </c>
      <c r="H63">
        <v>83.63</v>
      </c>
      <c r="I63">
        <v>84.74</v>
      </c>
      <c r="J63">
        <v>80.62</v>
      </c>
      <c r="K63">
        <v>93.98</v>
      </c>
      <c r="L63">
        <v>56.7</v>
      </c>
      <c r="M63">
        <v>-29.02</v>
      </c>
      <c r="N63">
        <v>-28.25</v>
      </c>
      <c r="O63">
        <v>151.43</v>
      </c>
    </row>
    <row r="64" spans="1:15" x14ac:dyDescent="0.25">
      <c r="A64" s="23">
        <v>45238.630555555559</v>
      </c>
      <c r="C64">
        <v>86.69</v>
      </c>
      <c r="D64">
        <v>97.8</v>
      </c>
      <c r="E64">
        <v>86.16</v>
      </c>
      <c r="F64">
        <v>93.97</v>
      </c>
      <c r="G64">
        <v>93.59</v>
      </c>
      <c r="H64">
        <v>83.45</v>
      </c>
      <c r="I64">
        <v>88.51</v>
      </c>
      <c r="J64">
        <v>84.92</v>
      </c>
      <c r="K64">
        <v>95.81</v>
      </c>
      <c r="L64">
        <v>57.86</v>
      </c>
      <c r="M64">
        <v>-28.85</v>
      </c>
      <c r="N64">
        <v>-28.09</v>
      </c>
      <c r="O64">
        <v>151.56</v>
      </c>
    </row>
    <row r="65" spans="1:15" x14ac:dyDescent="0.25">
      <c r="A65" s="23">
        <v>45238.631249999999</v>
      </c>
      <c r="C65">
        <v>90.28</v>
      </c>
      <c r="D65">
        <v>100.65</v>
      </c>
      <c r="E65">
        <v>89.55</v>
      </c>
      <c r="F65">
        <v>96.37</v>
      </c>
      <c r="G65">
        <v>96.54</v>
      </c>
      <c r="H65">
        <v>86.16</v>
      </c>
      <c r="I65">
        <v>91.17</v>
      </c>
      <c r="J65">
        <v>87.77</v>
      </c>
      <c r="K65">
        <v>98.16</v>
      </c>
      <c r="L65">
        <v>57.93</v>
      </c>
      <c r="M65">
        <v>-29.5</v>
      </c>
      <c r="N65">
        <v>-28.88</v>
      </c>
      <c r="O65">
        <v>152.77000000000001</v>
      </c>
    </row>
    <row r="66" spans="1:15" x14ac:dyDescent="0.25">
      <c r="A66" s="23">
        <v>45238.631944444445</v>
      </c>
      <c r="C66">
        <v>92.37</v>
      </c>
      <c r="D66">
        <v>100.98</v>
      </c>
      <c r="E66">
        <v>91.44</v>
      </c>
      <c r="F66">
        <v>97.37</v>
      </c>
      <c r="G66">
        <v>97.53</v>
      </c>
      <c r="H66">
        <v>87.46</v>
      </c>
      <c r="I66">
        <v>92.33</v>
      </c>
      <c r="J66">
        <v>88.67</v>
      </c>
      <c r="K66">
        <v>99</v>
      </c>
      <c r="L66">
        <v>56.64</v>
      </c>
      <c r="M66">
        <v>-30.37</v>
      </c>
      <c r="N66">
        <v>-29.73</v>
      </c>
      <c r="O66">
        <v>152.6</v>
      </c>
    </row>
    <row r="67" spans="1:15" x14ac:dyDescent="0.25">
      <c r="A67" s="23">
        <v>45238.632638888892</v>
      </c>
      <c r="C67">
        <v>93.66</v>
      </c>
      <c r="D67">
        <v>101.25</v>
      </c>
      <c r="E67">
        <v>92.41</v>
      </c>
      <c r="F67">
        <v>98.18</v>
      </c>
      <c r="G67">
        <v>98.43</v>
      </c>
      <c r="H67">
        <v>88.86</v>
      </c>
      <c r="I67">
        <v>93.2</v>
      </c>
      <c r="J67">
        <v>89.67</v>
      </c>
      <c r="K67">
        <v>99.43</v>
      </c>
      <c r="L67">
        <v>57.16</v>
      </c>
      <c r="M67">
        <v>-30.27</v>
      </c>
      <c r="N67">
        <v>-29.61</v>
      </c>
      <c r="O67">
        <v>152.19999999999999</v>
      </c>
    </row>
    <row r="68" spans="1:15" x14ac:dyDescent="0.25">
      <c r="A68" s="23">
        <v>45238.633333333331</v>
      </c>
      <c r="C68">
        <v>94.59</v>
      </c>
      <c r="D68">
        <v>101.5</v>
      </c>
      <c r="E68">
        <v>93.36</v>
      </c>
      <c r="F68">
        <v>98.58</v>
      </c>
      <c r="G68">
        <v>98.61</v>
      </c>
      <c r="H68">
        <v>89.17</v>
      </c>
      <c r="I68">
        <v>93.92</v>
      </c>
      <c r="J68">
        <v>90.83</v>
      </c>
      <c r="K68">
        <v>99.75</v>
      </c>
      <c r="L68">
        <v>58.27</v>
      </c>
      <c r="M68">
        <v>-29.81</v>
      </c>
      <c r="N68">
        <v>-29.15</v>
      </c>
      <c r="O68">
        <v>152.16</v>
      </c>
    </row>
    <row r="69" spans="1:15" x14ac:dyDescent="0.25">
      <c r="A69" s="23">
        <v>45238.634027777778</v>
      </c>
      <c r="C69">
        <v>95.6</v>
      </c>
      <c r="D69">
        <v>101.33</v>
      </c>
      <c r="E69">
        <v>93.94</v>
      </c>
      <c r="F69">
        <v>98.69</v>
      </c>
      <c r="G69">
        <v>98.4</v>
      </c>
      <c r="H69">
        <v>90.64</v>
      </c>
      <c r="I69">
        <v>94.05</v>
      </c>
      <c r="J69">
        <v>90.95</v>
      </c>
      <c r="K69">
        <v>99.93</v>
      </c>
      <c r="L69">
        <v>57.65</v>
      </c>
      <c r="M69">
        <v>-29.36</v>
      </c>
      <c r="N69">
        <v>-28.82</v>
      </c>
      <c r="O69">
        <v>151.76</v>
      </c>
    </row>
    <row r="70" spans="1:15" x14ac:dyDescent="0.25">
      <c r="A70" s="23">
        <v>45238.634722222225</v>
      </c>
      <c r="C70">
        <v>95.98</v>
      </c>
      <c r="D70">
        <v>101.16</v>
      </c>
      <c r="E70">
        <v>94.48</v>
      </c>
      <c r="F70">
        <v>98.48</v>
      </c>
      <c r="G70">
        <v>98.5</v>
      </c>
      <c r="H70">
        <v>90.27</v>
      </c>
      <c r="I70">
        <v>93.75</v>
      </c>
      <c r="J70">
        <v>90.63</v>
      </c>
      <c r="K70">
        <v>99.64</v>
      </c>
      <c r="L70">
        <v>56.63</v>
      </c>
      <c r="M70">
        <v>-29.05</v>
      </c>
      <c r="N70">
        <v>-28.47</v>
      </c>
      <c r="O70">
        <v>151.77000000000001</v>
      </c>
    </row>
    <row r="71" spans="1:15" x14ac:dyDescent="0.25">
      <c r="A71" s="23">
        <v>45238.635416666664</v>
      </c>
      <c r="C71">
        <v>96</v>
      </c>
      <c r="D71">
        <v>100.99</v>
      </c>
      <c r="E71">
        <v>94.73</v>
      </c>
      <c r="F71">
        <v>98.85</v>
      </c>
      <c r="G71">
        <v>98.57</v>
      </c>
      <c r="H71">
        <v>91.48</v>
      </c>
      <c r="I71">
        <v>94.76</v>
      </c>
      <c r="J71">
        <v>91.21</v>
      </c>
      <c r="K71">
        <v>99.54</v>
      </c>
      <c r="L71">
        <v>57.34</v>
      </c>
      <c r="M71">
        <v>-28.74</v>
      </c>
      <c r="N71">
        <v>-28.27</v>
      </c>
      <c r="O71">
        <v>151.56</v>
      </c>
    </row>
    <row r="72" spans="1:15" x14ac:dyDescent="0.25">
      <c r="A72" s="23">
        <v>45238.636111111111</v>
      </c>
      <c r="C72">
        <v>96.44</v>
      </c>
      <c r="D72">
        <v>100.41</v>
      </c>
      <c r="E72">
        <v>95.09</v>
      </c>
      <c r="F72">
        <v>98.63</v>
      </c>
      <c r="G72">
        <v>98.28</v>
      </c>
      <c r="H72">
        <v>92.24</v>
      </c>
      <c r="I72">
        <v>94.91</v>
      </c>
      <c r="J72">
        <v>91.71</v>
      </c>
      <c r="K72">
        <v>99.54</v>
      </c>
      <c r="L72">
        <v>58.14</v>
      </c>
      <c r="M72">
        <v>-29.17</v>
      </c>
      <c r="N72">
        <v>-28.47</v>
      </c>
      <c r="O72">
        <v>151.84</v>
      </c>
    </row>
    <row r="73" spans="1:15" x14ac:dyDescent="0.25">
      <c r="A73" s="23">
        <v>45238.636805555558</v>
      </c>
      <c r="C73">
        <v>96.42</v>
      </c>
      <c r="D73">
        <v>100.37</v>
      </c>
      <c r="E73">
        <v>95.7</v>
      </c>
      <c r="F73">
        <v>98.32</v>
      </c>
      <c r="G73">
        <v>98.48</v>
      </c>
      <c r="H73">
        <v>91.44</v>
      </c>
      <c r="I73">
        <v>94.82</v>
      </c>
      <c r="J73">
        <v>91.81</v>
      </c>
      <c r="K73">
        <v>99.31</v>
      </c>
      <c r="L73">
        <v>57.55</v>
      </c>
      <c r="M73">
        <v>-29.64</v>
      </c>
      <c r="N73">
        <v>-28.97</v>
      </c>
      <c r="O73">
        <v>152.35</v>
      </c>
    </row>
    <row r="74" spans="1:15" x14ac:dyDescent="0.25">
      <c r="A74" s="23">
        <v>45238.637499999997</v>
      </c>
      <c r="C74">
        <v>96.31</v>
      </c>
      <c r="D74">
        <v>100.06</v>
      </c>
      <c r="E74">
        <v>95.54</v>
      </c>
      <c r="F74">
        <v>98.35</v>
      </c>
      <c r="G74">
        <v>98.45</v>
      </c>
      <c r="H74">
        <v>91.75</v>
      </c>
      <c r="I74">
        <v>94.92</v>
      </c>
      <c r="J74">
        <v>92.49</v>
      </c>
      <c r="K74">
        <v>99.06</v>
      </c>
      <c r="L74">
        <v>56.93</v>
      </c>
      <c r="M74">
        <v>-29.72</v>
      </c>
      <c r="N74">
        <v>-29.15</v>
      </c>
      <c r="O74">
        <v>152</v>
      </c>
    </row>
    <row r="75" spans="1:15" x14ac:dyDescent="0.25">
      <c r="A75" s="23">
        <v>45238.638194444444</v>
      </c>
      <c r="C75">
        <v>96.5</v>
      </c>
      <c r="D75">
        <v>99.87</v>
      </c>
      <c r="E75">
        <v>95.56</v>
      </c>
      <c r="F75">
        <v>98.09</v>
      </c>
      <c r="G75">
        <v>98.17</v>
      </c>
      <c r="H75">
        <v>91.88</v>
      </c>
      <c r="I75">
        <v>94.85</v>
      </c>
      <c r="J75">
        <v>92.54</v>
      </c>
      <c r="K75">
        <v>98.87</v>
      </c>
      <c r="L75">
        <v>57.85</v>
      </c>
      <c r="M75">
        <v>-29.76</v>
      </c>
      <c r="N75">
        <v>-29.01</v>
      </c>
      <c r="O75">
        <v>152.41999999999999</v>
      </c>
    </row>
    <row r="76" spans="1:15" x14ac:dyDescent="0.25">
      <c r="A76" s="23">
        <v>45238.638888888891</v>
      </c>
      <c r="C76">
        <v>96.3</v>
      </c>
      <c r="D76">
        <v>99.67</v>
      </c>
      <c r="E76">
        <v>95.66</v>
      </c>
      <c r="F76">
        <v>98.11</v>
      </c>
      <c r="G76">
        <v>98.19</v>
      </c>
      <c r="H76">
        <v>92.42</v>
      </c>
      <c r="I76">
        <v>95.11</v>
      </c>
      <c r="J76">
        <v>92.93</v>
      </c>
      <c r="K76">
        <v>98.89</v>
      </c>
      <c r="L76">
        <v>58.43</v>
      </c>
      <c r="M76">
        <v>-29.57</v>
      </c>
      <c r="N76">
        <v>-28.79</v>
      </c>
      <c r="O76">
        <v>151.88</v>
      </c>
    </row>
    <row r="77" spans="1:15" x14ac:dyDescent="0.25">
      <c r="A77" s="23">
        <v>45238.63958333333</v>
      </c>
      <c r="C77">
        <v>96.44</v>
      </c>
      <c r="D77">
        <v>99.28</v>
      </c>
      <c r="E77">
        <v>95.67</v>
      </c>
      <c r="F77">
        <v>97.9</v>
      </c>
      <c r="G77">
        <v>97.81</v>
      </c>
      <c r="H77">
        <v>91.96</v>
      </c>
      <c r="I77">
        <v>95.14</v>
      </c>
      <c r="J77">
        <v>93.04</v>
      </c>
      <c r="K77">
        <v>98.6</v>
      </c>
      <c r="L77">
        <v>151.12</v>
      </c>
      <c r="M77">
        <v>149.80000000000001</v>
      </c>
      <c r="N77">
        <v>151.29</v>
      </c>
      <c r="O77">
        <v>151.54</v>
      </c>
    </row>
    <row r="78" spans="1:15" x14ac:dyDescent="0.25">
      <c r="A78" s="23">
        <v>45238.640277777777</v>
      </c>
      <c r="C78">
        <v>96.47</v>
      </c>
      <c r="D78">
        <v>99.34</v>
      </c>
      <c r="E78">
        <v>95.65</v>
      </c>
      <c r="F78">
        <v>97.97</v>
      </c>
      <c r="G78">
        <v>98.17</v>
      </c>
      <c r="H78">
        <v>92.12</v>
      </c>
      <c r="I78">
        <v>95.24</v>
      </c>
      <c r="J78">
        <v>93.36</v>
      </c>
      <c r="K78">
        <v>98.54</v>
      </c>
      <c r="L78">
        <v>150.88999999999999</v>
      </c>
      <c r="M78">
        <v>149.93</v>
      </c>
      <c r="N78">
        <v>151.33000000000001</v>
      </c>
      <c r="O78">
        <v>151.25</v>
      </c>
    </row>
    <row r="79" spans="1:15" x14ac:dyDescent="0.25">
      <c r="A79" s="23">
        <v>45238.640972222223</v>
      </c>
      <c r="C79">
        <v>96.26</v>
      </c>
      <c r="D79">
        <v>99.1</v>
      </c>
      <c r="E79">
        <v>95.65</v>
      </c>
      <c r="F79">
        <v>97.62</v>
      </c>
      <c r="G79">
        <v>97.75</v>
      </c>
      <c r="H79">
        <v>92.33</v>
      </c>
      <c r="I79">
        <v>94.88</v>
      </c>
      <c r="J79">
        <v>93.39</v>
      </c>
      <c r="K79">
        <v>98.4</v>
      </c>
      <c r="L79">
        <v>151.63999999999999</v>
      </c>
      <c r="M79">
        <v>150.74</v>
      </c>
      <c r="N79">
        <v>152.08000000000001</v>
      </c>
      <c r="O79">
        <v>152.04</v>
      </c>
    </row>
    <row r="80" spans="1:15" x14ac:dyDescent="0.25">
      <c r="A80" s="23">
        <v>45238.64166666667</v>
      </c>
      <c r="C80">
        <v>96.22</v>
      </c>
      <c r="D80">
        <v>99.01</v>
      </c>
      <c r="E80">
        <v>95.69</v>
      </c>
      <c r="F80">
        <v>97.63</v>
      </c>
      <c r="G80">
        <v>97.72</v>
      </c>
      <c r="H80">
        <v>92.53</v>
      </c>
      <c r="I80">
        <v>94.96</v>
      </c>
      <c r="J80">
        <v>93.34</v>
      </c>
      <c r="K80">
        <v>98.38</v>
      </c>
      <c r="L80">
        <v>152.04</v>
      </c>
      <c r="M80">
        <v>150.96</v>
      </c>
      <c r="N80">
        <v>152.55000000000001</v>
      </c>
      <c r="O80">
        <v>152.38</v>
      </c>
    </row>
    <row r="81" spans="1:15" x14ac:dyDescent="0.25">
      <c r="A81" s="23">
        <v>45238.642361111109</v>
      </c>
      <c r="C81">
        <v>96.46</v>
      </c>
      <c r="D81">
        <v>98.92</v>
      </c>
      <c r="E81">
        <v>95.78</v>
      </c>
      <c r="F81">
        <v>97.75</v>
      </c>
      <c r="G81">
        <v>97.66</v>
      </c>
      <c r="H81">
        <v>92.58</v>
      </c>
      <c r="I81">
        <v>95.05</v>
      </c>
      <c r="J81">
        <v>93.68</v>
      </c>
      <c r="K81">
        <v>98.38</v>
      </c>
      <c r="L81">
        <v>151.41999999999999</v>
      </c>
      <c r="M81">
        <v>150.47</v>
      </c>
      <c r="N81">
        <v>151.63</v>
      </c>
      <c r="O81">
        <v>151.94</v>
      </c>
    </row>
    <row r="82" spans="1:15" x14ac:dyDescent="0.25">
      <c r="A82" s="23">
        <v>45238.643055555556</v>
      </c>
      <c r="C82">
        <v>96.34</v>
      </c>
      <c r="D82">
        <v>98.77</v>
      </c>
      <c r="E82">
        <v>95.59</v>
      </c>
      <c r="F82">
        <v>97.54</v>
      </c>
      <c r="G82">
        <v>97.66</v>
      </c>
      <c r="H82">
        <v>92.46</v>
      </c>
      <c r="I82">
        <v>95.24</v>
      </c>
      <c r="J82">
        <v>93.69</v>
      </c>
      <c r="K82">
        <v>98.19</v>
      </c>
      <c r="L82">
        <v>151.05000000000001</v>
      </c>
      <c r="M82">
        <v>150.16999999999999</v>
      </c>
      <c r="N82">
        <v>151.44999999999999</v>
      </c>
      <c r="O82">
        <v>151.6</v>
      </c>
    </row>
    <row r="83" spans="1:15" x14ac:dyDescent="0.25">
      <c r="A83" s="23">
        <v>45238.643750000003</v>
      </c>
      <c r="C83">
        <v>96.52</v>
      </c>
      <c r="D83">
        <v>98.86</v>
      </c>
      <c r="E83">
        <v>95.77</v>
      </c>
      <c r="F83">
        <v>97.62</v>
      </c>
      <c r="G83">
        <v>97.63</v>
      </c>
      <c r="H83">
        <v>92.27</v>
      </c>
      <c r="I83">
        <v>95.27</v>
      </c>
      <c r="J83">
        <v>93.95</v>
      </c>
      <c r="K83">
        <v>98.29</v>
      </c>
      <c r="L83">
        <v>151.16999999999999</v>
      </c>
      <c r="M83">
        <v>150.06</v>
      </c>
      <c r="N83">
        <v>151.57</v>
      </c>
      <c r="O83">
        <v>151.63</v>
      </c>
    </row>
    <row r="84" spans="1:15" x14ac:dyDescent="0.25">
      <c r="A84" s="23">
        <v>45238.644444444442</v>
      </c>
      <c r="C84">
        <v>96.47</v>
      </c>
      <c r="D84">
        <v>98.7</v>
      </c>
      <c r="E84">
        <v>95.79</v>
      </c>
      <c r="F84">
        <v>97.56</v>
      </c>
      <c r="G84">
        <v>97.75</v>
      </c>
      <c r="H84">
        <v>92.87</v>
      </c>
      <c r="I84">
        <v>95.29</v>
      </c>
      <c r="J84">
        <v>93.75</v>
      </c>
      <c r="K84">
        <v>98.15</v>
      </c>
      <c r="L84">
        <v>151.38</v>
      </c>
      <c r="M84">
        <v>150.25</v>
      </c>
      <c r="N84">
        <v>151.57</v>
      </c>
      <c r="O84">
        <v>151.71</v>
      </c>
    </row>
    <row r="85" spans="1:15" x14ac:dyDescent="0.25">
      <c r="A85" s="23">
        <v>45238.645138888889</v>
      </c>
      <c r="C85">
        <v>96.34</v>
      </c>
      <c r="D85">
        <v>98.64</v>
      </c>
      <c r="E85">
        <v>95.66</v>
      </c>
      <c r="F85">
        <v>97.35</v>
      </c>
      <c r="G85">
        <v>97.57</v>
      </c>
      <c r="H85">
        <v>92.45</v>
      </c>
      <c r="I85">
        <v>95.17</v>
      </c>
      <c r="J85">
        <v>93.91</v>
      </c>
      <c r="K85">
        <v>98.03</v>
      </c>
      <c r="L85">
        <v>154.32</v>
      </c>
      <c r="M85">
        <v>152.18</v>
      </c>
      <c r="N85">
        <v>151.97</v>
      </c>
      <c r="O85">
        <v>151.77000000000001</v>
      </c>
    </row>
    <row r="86" spans="1:15" x14ac:dyDescent="0.25">
      <c r="A86" s="23">
        <v>45238.645833333336</v>
      </c>
      <c r="C86">
        <v>96.6</v>
      </c>
      <c r="D86">
        <v>98.6</v>
      </c>
      <c r="E86">
        <v>95.86</v>
      </c>
      <c r="F86">
        <v>97.45</v>
      </c>
      <c r="G86">
        <v>97.51</v>
      </c>
      <c r="H86">
        <v>93.2</v>
      </c>
      <c r="I86">
        <v>95.41</v>
      </c>
      <c r="J86">
        <v>93.92</v>
      </c>
      <c r="K86">
        <v>98.15</v>
      </c>
      <c r="L86">
        <v>151.49</v>
      </c>
      <c r="M86">
        <v>150.36000000000001</v>
      </c>
      <c r="N86">
        <v>151.94999999999999</v>
      </c>
      <c r="O86">
        <v>151.85</v>
      </c>
    </row>
    <row r="87" spans="1:15" x14ac:dyDescent="0.25">
      <c r="A87" s="23">
        <v>45238.646527777775</v>
      </c>
      <c r="C87">
        <v>96.57</v>
      </c>
      <c r="D87">
        <v>98.67</v>
      </c>
      <c r="E87">
        <v>95.74</v>
      </c>
      <c r="F87">
        <v>97.45</v>
      </c>
      <c r="G87">
        <v>97.7</v>
      </c>
      <c r="H87">
        <v>93.08</v>
      </c>
      <c r="I87">
        <v>95.4</v>
      </c>
      <c r="J87">
        <v>93.92</v>
      </c>
      <c r="K87">
        <v>98.04</v>
      </c>
      <c r="L87">
        <v>165.49</v>
      </c>
      <c r="M87">
        <v>163.87</v>
      </c>
      <c r="N87">
        <v>168.1</v>
      </c>
      <c r="O87">
        <v>167.25</v>
      </c>
    </row>
    <row r="88" spans="1:15" x14ac:dyDescent="0.25">
      <c r="A88" s="23">
        <v>45238.647222222222</v>
      </c>
      <c r="C88">
        <v>96.6</v>
      </c>
      <c r="D88">
        <v>98.49</v>
      </c>
      <c r="E88">
        <v>95.89</v>
      </c>
      <c r="F88">
        <v>97.47</v>
      </c>
      <c r="G88">
        <v>97.23</v>
      </c>
      <c r="H88">
        <v>93.32</v>
      </c>
      <c r="I88">
        <v>95.39</v>
      </c>
      <c r="J88">
        <v>94.04</v>
      </c>
      <c r="K88">
        <v>98.07</v>
      </c>
      <c r="L88">
        <v>173.56</v>
      </c>
      <c r="M88">
        <v>170.6</v>
      </c>
      <c r="N88">
        <v>175.59</v>
      </c>
      <c r="O88">
        <v>174.65</v>
      </c>
    </row>
    <row r="89" spans="1:15" x14ac:dyDescent="0.25">
      <c r="A89" s="23">
        <v>45238.647916666669</v>
      </c>
      <c r="C89">
        <v>96.7</v>
      </c>
      <c r="D89">
        <v>98.5</v>
      </c>
      <c r="E89">
        <v>95.72</v>
      </c>
      <c r="F89">
        <v>97.31</v>
      </c>
      <c r="G89">
        <v>97.6</v>
      </c>
      <c r="H89">
        <v>93.02</v>
      </c>
      <c r="I89">
        <v>95.61</v>
      </c>
      <c r="J89">
        <v>94.22</v>
      </c>
      <c r="K89">
        <v>98.03</v>
      </c>
      <c r="L89">
        <v>179.31</v>
      </c>
      <c r="M89">
        <v>177.4</v>
      </c>
      <c r="N89">
        <v>181.16</v>
      </c>
      <c r="O89">
        <v>180.19</v>
      </c>
    </row>
    <row r="90" spans="1:15" x14ac:dyDescent="0.25">
      <c r="A90" s="23">
        <v>45238.648611111108</v>
      </c>
      <c r="C90">
        <v>96.49</v>
      </c>
      <c r="D90">
        <v>98.41</v>
      </c>
      <c r="E90">
        <v>95.68</v>
      </c>
      <c r="F90">
        <v>97.33</v>
      </c>
      <c r="G90">
        <v>97.63</v>
      </c>
      <c r="H90">
        <v>93.23</v>
      </c>
      <c r="I90">
        <v>95.47</v>
      </c>
      <c r="J90">
        <v>94.32</v>
      </c>
      <c r="K90">
        <v>97.96</v>
      </c>
      <c r="L90">
        <v>184.51</v>
      </c>
      <c r="M90">
        <v>181.86</v>
      </c>
      <c r="N90">
        <v>185.24</v>
      </c>
      <c r="O90">
        <v>185.28</v>
      </c>
    </row>
    <row r="91" spans="1:15" x14ac:dyDescent="0.25">
      <c r="A91" s="23">
        <v>45238.649305555555</v>
      </c>
      <c r="C91">
        <v>96.56</v>
      </c>
      <c r="D91">
        <v>98.47</v>
      </c>
      <c r="E91">
        <v>95.7</v>
      </c>
      <c r="F91">
        <v>97.34</v>
      </c>
      <c r="G91">
        <v>97.7</v>
      </c>
      <c r="H91">
        <v>92.99</v>
      </c>
      <c r="I91">
        <v>95.35</v>
      </c>
      <c r="J91">
        <v>94.24</v>
      </c>
      <c r="K91">
        <v>97.99</v>
      </c>
      <c r="L91">
        <v>188.85</v>
      </c>
      <c r="M91">
        <v>185.46</v>
      </c>
      <c r="N91">
        <v>189.26</v>
      </c>
      <c r="O91">
        <v>189.46</v>
      </c>
    </row>
    <row r="92" spans="1:15" x14ac:dyDescent="0.25">
      <c r="A92" s="23">
        <v>45238.65</v>
      </c>
      <c r="C92">
        <v>96.45</v>
      </c>
      <c r="D92">
        <v>98.51</v>
      </c>
      <c r="E92">
        <v>95.71</v>
      </c>
      <c r="F92">
        <v>97.4</v>
      </c>
      <c r="G92">
        <v>97.5</v>
      </c>
      <c r="H92">
        <v>93.17</v>
      </c>
      <c r="I92">
        <v>95.37</v>
      </c>
      <c r="J92">
        <v>94.46</v>
      </c>
      <c r="K92">
        <v>98.03</v>
      </c>
      <c r="L92">
        <v>192.47</v>
      </c>
      <c r="M92">
        <v>189.58</v>
      </c>
      <c r="N92">
        <v>191.47</v>
      </c>
      <c r="O92">
        <v>193.33</v>
      </c>
    </row>
    <row r="93" spans="1:15" x14ac:dyDescent="0.25">
      <c r="A93" s="23">
        <v>45238.650694444441</v>
      </c>
      <c r="C93">
        <v>96.63</v>
      </c>
      <c r="D93">
        <v>98.34</v>
      </c>
      <c r="E93">
        <v>95.88</v>
      </c>
      <c r="F93">
        <v>97.34</v>
      </c>
      <c r="G93">
        <v>97.58</v>
      </c>
      <c r="H93">
        <v>93.5</v>
      </c>
      <c r="I93">
        <v>95.47</v>
      </c>
      <c r="J93">
        <v>94.24</v>
      </c>
      <c r="K93">
        <v>97.92</v>
      </c>
      <c r="L93">
        <v>195.02</v>
      </c>
      <c r="M93">
        <v>192.26</v>
      </c>
      <c r="N93">
        <v>195.18</v>
      </c>
      <c r="O93">
        <v>195.32</v>
      </c>
    </row>
    <row r="94" spans="1:15" x14ac:dyDescent="0.25">
      <c r="A94" s="23">
        <v>45238.651388888888</v>
      </c>
      <c r="C94">
        <v>96.52</v>
      </c>
      <c r="D94">
        <v>98.36</v>
      </c>
      <c r="E94">
        <v>95.95</v>
      </c>
      <c r="F94">
        <v>97.4</v>
      </c>
      <c r="G94">
        <v>97.41</v>
      </c>
      <c r="H94">
        <v>93.57</v>
      </c>
      <c r="I94">
        <v>95.6</v>
      </c>
      <c r="J94">
        <v>94.22</v>
      </c>
      <c r="K94">
        <v>97.99</v>
      </c>
      <c r="L94">
        <v>198.07</v>
      </c>
      <c r="M94">
        <v>195.33</v>
      </c>
      <c r="N94">
        <v>198.57</v>
      </c>
      <c r="O94">
        <v>197.01</v>
      </c>
    </row>
    <row r="95" spans="1:15" x14ac:dyDescent="0.25">
      <c r="A95" s="23">
        <v>45238.652083333334</v>
      </c>
      <c r="C95">
        <v>96.64</v>
      </c>
      <c r="D95">
        <v>98.37</v>
      </c>
      <c r="E95">
        <v>95.88</v>
      </c>
      <c r="F95">
        <v>97.27</v>
      </c>
      <c r="G95">
        <v>97.53</v>
      </c>
      <c r="H95">
        <v>93.67</v>
      </c>
      <c r="I95">
        <v>95.41</v>
      </c>
      <c r="J95">
        <v>94.33</v>
      </c>
      <c r="K95">
        <v>97.9</v>
      </c>
      <c r="L95">
        <v>195.59</v>
      </c>
      <c r="M95">
        <v>193.16</v>
      </c>
      <c r="N95">
        <v>195.79</v>
      </c>
      <c r="O95">
        <v>195.85</v>
      </c>
    </row>
    <row r="96" spans="1:15" x14ac:dyDescent="0.25">
      <c r="A96" s="23">
        <v>45238.652777777781</v>
      </c>
      <c r="C96">
        <v>96.57</v>
      </c>
      <c r="D96">
        <v>98.46</v>
      </c>
      <c r="E96">
        <v>95.87</v>
      </c>
      <c r="F96">
        <v>97.34</v>
      </c>
      <c r="G96">
        <v>97.66</v>
      </c>
      <c r="H96">
        <v>93.47</v>
      </c>
      <c r="I96">
        <v>95.4</v>
      </c>
      <c r="J96">
        <v>94.25</v>
      </c>
      <c r="K96">
        <v>97.97</v>
      </c>
      <c r="L96">
        <v>196.63</v>
      </c>
      <c r="M96">
        <v>193.86</v>
      </c>
      <c r="N96">
        <v>197.39</v>
      </c>
      <c r="O96">
        <v>197.09</v>
      </c>
    </row>
    <row r="97" spans="1:15" x14ac:dyDescent="0.25">
      <c r="A97" s="23">
        <v>45238.65347222222</v>
      </c>
      <c r="C97">
        <v>96.52</v>
      </c>
      <c r="D97">
        <v>98.21</v>
      </c>
      <c r="E97">
        <v>95.82</v>
      </c>
      <c r="F97">
        <v>97.15</v>
      </c>
      <c r="G97">
        <v>97.34</v>
      </c>
      <c r="H97">
        <v>93.69</v>
      </c>
      <c r="I97">
        <v>95.49</v>
      </c>
      <c r="J97">
        <v>94.31</v>
      </c>
      <c r="K97">
        <v>97.8</v>
      </c>
      <c r="L97">
        <v>195.03</v>
      </c>
      <c r="M97">
        <v>191.12</v>
      </c>
      <c r="N97">
        <v>195.38</v>
      </c>
      <c r="O97">
        <v>193.95</v>
      </c>
    </row>
    <row r="98" spans="1:15" x14ac:dyDescent="0.25">
      <c r="A98" s="23">
        <v>45238.654166666667</v>
      </c>
      <c r="C98">
        <v>96.67</v>
      </c>
      <c r="D98">
        <v>98.43</v>
      </c>
      <c r="E98">
        <v>95.87</v>
      </c>
      <c r="F98">
        <v>97.37</v>
      </c>
      <c r="G98">
        <v>97.62</v>
      </c>
      <c r="H98">
        <v>93.7</v>
      </c>
      <c r="I98">
        <v>95.68</v>
      </c>
      <c r="J98">
        <v>94.5</v>
      </c>
      <c r="K98">
        <v>98</v>
      </c>
      <c r="L98">
        <v>193.34</v>
      </c>
      <c r="M98">
        <v>190.56</v>
      </c>
      <c r="N98">
        <v>193.41</v>
      </c>
      <c r="O98">
        <v>192.14</v>
      </c>
    </row>
    <row r="99" spans="1:15" x14ac:dyDescent="0.25">
      <c r="A99" s="23">
        <v>45238.654861111114</v>
      </c>
      <c r="C99">
        <v>96.54</v>
      </c>
      <c r="D99">
        <v>98.12</v>
      </c>
      <c r="E99">
        <v>95.72</v>
      </c>
      <c r="F99">
        <v>97.24</v>
      </c>
      <c r="G99">
        <v>97.31</v>
      </c>
      <c r="H99">
        <v>93.85</v>
      </c>
      <c r="I99">
        <v>95.53</v>
      </c>
      <c r="J99">
        <v>94.32</v>
      </c>
      <c r="K99">
        <v>97.78</v>
      </c>
      <c r="L99">
        <v>195.64</v>
      </c>
      <c r="M99">
        <v>193.15</v>
      </c>
      <c r="N99">
        <v>196</v>
      </c>
      <c r="O99">
        <v>196.15</v>
      </c>
    </row>
    <row r="100" spans="1:15" x14ac:dyDescent="0.25">
      <c r="A100" s="23">
        <v>45238.655555555553</v>
      </c>
      <c r="C100">
        <v>96.75</v>
      </c>
      <c r="D100">
        <v>98.53</v>
      </c>
      <c r="E100">
        <v>96.02</v>
      </c>
      <c r="F100">
        <v>97.37</v>
      </c>
      <c r="G100">
        <v>97.52</v>
      </c>
      <c r="H100">
        <v>93.75</v>
      </c>
      <c r="I100">
        <v>95.45</v>
      </c>
      <c r="J100">
        <v>94.31</v>
      </c>
      <c r="K100">
        <v>97.99</v>
      </c>
      <c r="L100">
        <v>192.95</v>
      </c>
      <c r="M100">
        <v>190.19</v>
      </c>
      <c r="N100">
        <v>193.46</v>
      </c>
      <c r="O100">
        <v>193.93</v>
      </c>
    </row>
    <row r="101" spans="1:15" x14ac:dyDescent="0.25">
      <c r="A101" s="23">
        <v>45238.65625</v>
      </c>
      <c r="C101">
        <v>96.73</v>
      </c>
      <c r="D101">
        <v>98.32</v>
      </c>
      <c r="E101">
        <v>95.82</v>
      </c>
      <c r="F101">
        <v>97.34</v>
      </c>
      <c r="G101">
        <v>97.28</v>
      </c>
      <c r="H101">
        <v>93.92</v>
      </c>
      <c r="I101">
        <v>95.49</v>
      </c>
      <c r="J101">
        <v>94.36</v>
      </c>
      <c r="K101">
        <v>97.9</v>
      </c>
      <c r="L101">
        <v>191.94</v>
      </c>
      <c r="M101">
        <v>190.05</v>
      </c>
      <c r="N101">
        <v>192.26</v>
      </c>
      <c r="O101">
        <v>192.02</v>
      </c>
    </row>
    <row r="102" spans="1:15" x14ac:dyDescent="0.25">
      <c r="A102" s="23">
        <v>45238.656944444447</v>
      </c>
      <c r="C102">
        <v>96.68</v>
      </c>
      <c r="D102">
        <v>98.38</v>
      </c>
      <c r="E102">
        <v>95.97</v>
      </c>
      <c r="F102">
        <v>97.3</v>
      </c>
      <c r="G102">
        <v>97.61</v>
      </c>
      <c r="H102">
        <v>93.98</v>
      </c>
      <c r="I102">
        <v>95.7</v>
      </c>
      <c r="J102">
        <v>94.33</v>
      </c>
      <c r="K102">
        <v>97.88</v>
      </c>
      <c r="L102">
        <v>191.89</v>
      </c>
      <c r="M102">
        <v>190.57</v>
      </c>
      <c r="N102">
        <v>192.85</v>
      </c>
      <c r="O102">
        <v>192.73</v>
      </c>
    </row>
    <row r="103" spans="1:15" x14ac:dyDescent="0.25">
      <c r="A103" s="23">
        <v>45238.657638888886</v>
      </c>
      <c r="C103">
        <v>96.84</v>
      </c>
      <c r="D103">
        <v>98.4</v>
      </c>
      <c r="E103">
        <v>95.94</v>
      </c>
      <c r="F103">
        <v>97.34</v>
      </c>
      <c r="G103">
        <v>97.47</v>
      </c>
      <c r="H103">
        <v>93.99</v>
      </c>
      <c r="I103">
        <v>95.82</v>
      </c>
      <c r="J103">
        <v>94.47</v>
      </c>
      <c r="K103">
        <v>97.89</v>
      </c>
      <c r="L103">
        <v>192.12</v>
      </c>
      <c r="M103">
        <v>190.4</v>
      </c>
      <c r="N103">
        <v>192.95</v>
      </c>
      <c r="O103">
        <v>193.09</v>
      </c>
    </row>
    <row r="104" spans="1:15" x14ac:dyDescent="0.25">
      <c r="A104" s="23">
        <v>45238.658333333333</v>
      </c>
      <c r="C104">
        <v>96.64</v>
      </c>
      <c r="D104">
        <v>98.45</v>
      </c>
      <c r="E104">
        <v>96.06</v>
      </c>
      <c r="F104">
        <v>97.31</v>
      </c>
      <c r="G104">
        <v>97.59</v>
      </c>
      <c r="H104">
        <v>93.58</v>
      </c>
      <c r="I104">
        <v>95.46</v>
      </c>
      <c r="J104">
        <v>94.37</v>
      </c>
      <c r="K104">
        <v>97.98</v>
      </c>
      <c r="L104">
        <v>192.68</v>
      </c>
      <c r="M104">
        <v>190.94</v>
      </c>
      <c r="N104">
        <v>193.57</v>
      </c>
      <c r="O104">
        <v>193.43</v>
      </c>
    </row>
    <row r="105" spans="1:15" x14ac:dyDescent="0.25">
      <c r="A105" s="23">
        <v>45238.65902777778</v>
      </c>
      <c r="C105">
        <v>106.31</v>
      </c>
      <c r="D105">
        <v>115.02</v>
      </c>
      <c r="E105">
        <v>106.93</v>
      </c>
      <c r="F105">
        <v>112.48</v>
      </c>
      <c r="G105">
        <v>111.29</v>
      </c>
      <c r="H105">
        <v>101.12</v>
      </c>
      <c r="I105">
        <v>106.62</v>
      </c>
      <c r="J105">
        <v>101.39</v>
      </c>
      <c r="K105">
        <v>114.06</v>
      </c>
      <c r="L105">
        <v>192.03</v>
      </c>
      <c r="M105">
        <v>189.83</v>
      </c>
      <c r="N105">
        <v>192.6</v>
      </c>
      <c r="O105">
        <v>192.59</v>
      </c>
    </row>
    <row r="106" spans="1:15" x14ac:dyDescent="0.25">
      <c r="A106" s="23">
        <v>45238.659722222219</v>
      </c>
      <c r="C106">
        <v>119.65</v>
      </c>
      <c r="D106">
        <v>133.06</v>
      </c>
      <c r="E106">
        <v>121.04</v>
      </c>
      <c r="F106">
        <v>128.96</v>
      </c>
      <c r="G106">
        <v>127.75</v>
      </c>
      <c r="H106">
        <v>114.16</v>
      </c>
      <c r="I106">
        <v>121.26</v>
      </c>
      <c r="J106">
        <v>113.69</v>
      </c>
      <c r="K106">
        <v>131.69999999999999</v>
      </c>
      <c r="L106">
        <v>192.44</v>
      </c>
      <c r="M106">
        <v>190.9</v>
      </c>
      <c r="N106">
        <v>193.3</v>
      </c>
      <c r="O106">
        <v>193.91</v>
      </c>
    </row>
    <row r="107" spans="1:15" x14ac:dyDescent="0.25">
      <c r="A107" s="23">
        <v>45238.660416666666</v>
      </c>
      <c r="C107">
        <v>127.07</v>
      </c>
      <c r="D107">
        <v>142.91999999999999</v>
      </c>
      <c r="E107">
        <v>136.36000000000001</v>
      </c>
      <c r="F107">
        <v>136.74</v>
      </c>
      <c r="G107">
        <v>139.63</v>
      </c>
      <c r="H107">
        <v>125.93</v>
      </c>
      <c r="I107">
        <v>131.69</v>
      </c>
      <c r="J107">
        <v>116.49</v>
      </c>
      <c r="K107">
        <v>141.47999999999999</v>
      </c>
      <c r="L107">
        <v>192.01</v>
      </c>
      <c r="M107">
        <v>190.44</v>
      </c>
      <c r="N107">
        <v>192.47</v>
      </c>
      <c r="O107">
        <v>192.56</v>
      </c>
    </row>
    <row r="108" spans="1:15" x14ac:dyDescent="0.25">
      <c r="A108" s="23">
        <v>45238.661111111112</v>
      </c>
      <c r="C108">
        <v>130.62</v>
      </c>
      <c r="D108">
        <v>146</v>
      </c>
      <c r="E108">
        <v>138.28</v>
      </c>
      <c r="F108">
        <v>139.47999999999999</v>
      </c>
      <c r="G108">
        <v>143.30000000000001</v>
      </c>
      <c r="H108">
        <v>130.19</v>
      </c>
      <c r="I108">
        <v>132.88999999999999</v>
      </c>
      <c r="J108">
        <v>124.69</v>
      </c>
      <c r="K108">
        <v>144.63999999999999</v>
      </c>
      <c r="L108">
        <v>191.39</v>
      </c>
      <c r="M108">
        <v>190</v>
      </c>
      <c r="N108">
        <v>192.31</v>
      </c>
      <c r="O108">
        <v>192.45</v>
      </c>
    </row>
    <row r="109" spans="1:15" x14ac:dyDescent="0.25">
      <c r="A109" s="23">
        <v>45238.661805555559</v>
      </c>
      <c r="C109">
        <v>133.5</v>
      </c>
      <c r="D109">
        <v>148.41999999999999</v>
      </c>
      <c r="E109">
        <v>139.41999999999999</v>
      </c>
      <c r="F109">
        <v>142.85</v>
      </c>
      <c r="G109">
        <v>145.47</v>
      </c>
      <c r="H109">
        <v>131.94</v>
      </c>
      <c r="I109">
        <v>133.69999999999999</v>
      </c>
      <c r="J109">
        <v>129.29</v>
      </c>
      <c r="K109">
        <v>146.46</v>
      </c>
      <c r="L109">
        <v>191.53</v>
      </c>
      <c r="M109">
        <v>189.85</v>
      </c>
      <c r="N109">
        <v>192.36</v>
      </c>
      <c r="O109">
        <v>192.38</v>
      </c>
    </row>
    <row r="110" spans="1:15" x14ac:dyDescent="0.25">
      <c r="A110" s="23">
        <v>45238.662499999999</v>
      </c>
      <c r="C110">
        <v>138.38</v>
      </c>
      <c r="D110">
        <v>150.38999999999999</v>
      </c>
      <c r="E110">
        <v>141.88</v>
      </c>
      <c r="F110">
        <v>145.13</v>
      </c>
      <c r="G110">
        <v>146.94</v>
      </c>
      <c r="H110">
        <v>133.88</v>
      </c>
      <c r="I110">
        <v>137.88</v>
      </c>
      <c r="J110">
        <v>132.91</v>
      </c>
      <c r="K110">
        <v>147.68</v>
      </c>
      <c r="L110">
        <v>192.27</v>
      </c>
      <c r="M110">
        <v>191.28</v>
      </c>
      <c r="N110">
        <v>193.27</v>
      </c>
      <c r="O110">
        <v>193.64</v>
      </c>
    </row>
    <row r="111" spans="1:15" x14ac:dyDescent="0.25">
      <c r="A111" s="23">
        <v>45238.663194444445</v>
      </c>
      <c r="C111">
        <v>139.68</v>
      </c>
      <c r="D111">
        <v>151.34</v>
      </c>
      <c r="E111">
        <v>142.74</v>
      </c>
      <c r="F111">
        <v>146.72999999999999</v>
      </c>
      <c r="G111">
        <v>147.88999999999999</v>
      </c>
      <c r="H111">
        <v>134.91</v>
      </c>
      <c r="I111">
        <v>140.35</v>
      </c>
      <c r="J111">
        <v>135.94</v>
      </c>
      <c r="K111">
        <v>148.83000000000001</v>
      </c>
      <c r="L111">
        <v>192.37</v>
      </c>
      <c r="M111">
        <v>190.83</v>
      </c>
      <c r="N111">
        <v>193.08</v>
      </c>
      <c r="O111">
        <v>192.96</v>
      </c>
    </row>
    <row r="112" spans="1:15" x14ac:dyDescent="0.25">
      <c r="A112" s="23">
        <v>45238.663888888892</v>
      </c>
      <c r="C112">
        <v>141.46</v>
      </c>
      <c r="D112">
        <v>151.41</v>
      </c>
      <c r="E112">
        <v>143.22</v>
      </c>
      <c r="F112">
        <v>147.34</v>
      </c>
      <c r="G112">
        <v>148.38</v>
      </c>
      <c r="H112">
        <v>136.02000000000001</v>
      </c>
      <c r="I112">
        <v>141.26</v>
      </c>
      <c r="J112">
        <v>136.80000000000001</v>
      </c>
      <c r="K112">
        <v>148.99</v>
      </c>
      <c r="L112">
        <v>191.75</v>
      </c>
      <c r="M112">
        <v>190.32</v>
      </c>
      <c r="N112">
        <v>192.51</v>
      </c>
      <c r="O112">
        <v>192.54</v>
      </c>
    </row>
    <row r="113" spans="1:15" x14ac:dyDescent="0.25">
      <c r="A113" s="23">
        <v>45238.664583333331</v>
      </c>
      <c r="C113">
        <v>141.69999999999999</v>
      </c>
      <c r="D113">
        <v>151.74</v>
      </c>
      <c r="E113">
        <v>143.65</v>
      </c>
      <c r="F113">
        <v>147.94999999999999</v>
      </c>
      <c r="G113">
        <v>149</v>
      </c>
      <c r="H113">
        <v>136.49</v>
      </c>
      <c r="I113">
        <v>141.44</v>
      </c>
      <c r="J113">
        <v>137.99</v>
      </c>
      <c r="K113">
        <v>149.5</v>
      </c>
      <c r="L113">
        <v>191.43</v>
      </c>
      <c r="M113">
        <v>190.24</v>
      </c>
      <c r="N113">
        <v>192.05</v>
      </c>
      <c r="O113">
        <v>192.68</v>
      </c>
    </row>
    <row r="114" spans="1:15" x14ac:dyDescent="0.25">
      <c r="A114" s="23">
        <v>45238.665277777778</v>
      </c>
      <c r="C114">
        <v>143.13</v>
      </c>
      <c r="D114">
        <v>151.47999999999999</v>
      </c>
      <c r="E114">
        <v>143.84</v>
      </c>
      <c r="F114">
        <v>148.22999999999999</v>
      </c>
      <c r="G114">
        <v>148.75</v>
      </c>
      <c r="H114">
        <v>137</v>
      </c>
      <c r="I114">
        <v>141.11000000000001</v>
      </c>
      <c r="J114">
        <v>138.69999999999999</v>
      </c>
      <c r="K114">
        <v>149.44</v>
      </c>
      <c r="L114">
        <v>191.53</v>
      </c>
      <c r="M114">
        <v>190.23</v>
      </c>
      <c r="N114">
        <v>191.92</v>
      </c>
      <c r="O114">
        <v>192.29</v>
      </c>
    </row>
    <row r="115" spans="1:15" x14ac:dyDescent="0.25">
      <c r="A115" s="23">
        <v>45238.665972222225</v>
      </c>
      <c r="C115">
        <v>143.86000000000001</v>
      </c>
      <c r="D115">
        <v>151.30000000000001</v>
      </c>
      <c r="E115">
        <v>144.47</v>
      </c>
      <c r="F115">
        <v>148.09</v>
      </c>
      <c r="G115">
        <v>148.86000000000001</v>
      </c>
      <c r="H115">
        <v>137.81</v>
      </c>
      <c r="I115">
        <v>142.13999999999999</v>
      </c>
      <c r="J115">
        <v>139.05000000000001</v>
      </c>
      <c r="K115">
        <v>149.38</v>
      </c>
      <c r="L115">
        <v>191.74</v>
      </c>
      <c r="M115">
        <v>190.56</v>
      </c>
      <c r="N115">
        <v>192.09</v>
      </c>
      <c r="O115">
        <v>192.86</v>
      </c>
    </row>
    <row r="116" spans="1:15" x14ac:dyDescent="0.25">
      <c r="A116" s="23">
        <v>45238.666666666664</v>
      </c>
      <c r="C116">
        <v>144.32</v>
      </c>
      <c r="D116">
        <v>151.19</v>
      </c>
      <c r="E116">
        <v>144.49</v>
      </c>
      <c r="F116">
        <v>148.09</v>
      </c>
      <c r="G116">
        <v>148.88999999999999</v>
      </c>
      <c r="H116">
        <v>138.31</v>
      </c>
      <c r="I116">
        <v>142.53</v>
      </c>
      <c r="J116">
        <v>139.47999999999999</v>
      </c>
      <c r="K116">
        <v>149.35</v>
      </c>
      <c r="L116">
        <v>192.01</v>
      </c>
      <c r="M116">
        <v>190.72</v>
      </c>
      <c r="N116">
        <v>192.32</v>
      </c>
      <c r="O116">
        <v>193.1</v>
      </c>
    </row>
    <row r="117" spans="1:15" x14ac:dyDescent="0.25">
      <c r="A117" s="23">
        <v>45238.667361111111</v>
      </c>
      <c r="C117">
        <v>144.66</v>
      </c>
      <c r="D117">
        <v>151.11000000000001</v>
      </c>
      <c r="E117">
        <v>144.41</v>
      </c>
      <c r="F117">
        <v>147.82</v>
      </c>
      <c r="G117">
        <v>148.80000000000001</v>
      </c>
      <c r="H117">
        <v>138.81</v>
      </c>
      <c r="I117">
        <v>142.18</v>
      </c>
      <c r="J117">
        <v>139.85</v>
      </c>
      <c r="K117">
        <v>149.16999999999999</v>
      </c>
      <c r="L117">
        <v>192.31</v>
      </c>
      <c r="M117">
        <v>190.97</v>
      </c>
      <c r="N117">
        <v>192.54</v>
      </c>
      <c r="O117">
        <v>193.07</v>
      </c>
    </row>
    <row r="118" spans="1:15" x14ac:dyDescent="0.25">
      <c r="A118" s="23">
        <v>45238.668055555558</v>
      </c>
      <c r="C118">
        <v>144.63999999999999</v>
      </c>
      <c r="D118">
        <v>150.6</v>
      </c>
      <c r="E118">
        <v>144.52000000000001</v>
      </c>
      <c r="F118">
        <v>147.44</v>
      </c>
      <c r="G118">
        <v>148.46</v>
      </c>
      <c r="H118">
        <v>138.66</v>
      </c>
      <c r="I118">
        <v>142.33000000000001</v>
      </c>
      <c r="J118">
        <v>139.87</v>
      </c>
      <c r="K118">
        <v>149.02000000000001</v>
      </c>
      <c r="L118">
        <v>192.3</v>
      </c>
      <c r="M118">
        <v>191.2</v>
      </c>
      <c r="N118">
        <v>192.54</v>
      </c>
      <c r="O118">
        <v>193.41</v>
      </c>
    </row>
    <row r="119" spans="1:15" x14ac:dyDescent="0.25">
      <c r="A119" s="23">
        <v>45238.668749999997</v>
      </c>
      <c r="C119">
        <v>144.97</v>
      </c>
      <c r="D119">
        <v>150.13</v>
      </c>
      <c r="E119">
        <v>144.57</v>
      </c>
      <c r="F119">
        <v>147.37</v>
      </c>
      <c r="G119">
        <v>148.22</v>
      </c>
      <c r="H119">
        <v>138.82</v>
      </c>
      <c r="I119">
        <v>142.44</v>
      </c>
      <c r="J119">
        <v>140.05000000000001</v>
      </c>
      <c r="K119">
        <v>148.80000000000001</v>
      </c>
      <c r="L119">
        <v>192.23</v>
      </c>
      <c r="M119">
        <v>190.8</v>
      </c>
      <c r="N119">
        <v>192.41</v>
      </c>
      <c r="O119">
        <v>193.02</v>
      </c>
    </row>
    <row r="120" spans="1:15" x14ac:dyDescent="0.25">
      <c r="A120" s="23">
        <v>45238.669444444444</v>
      </c>
      <c r="C120">
        <v>145</v>
      </c>
      <c r="D120">
        <v>150.49</v>
      </c>
      <c r="E120">
        <v>144.84</v>
      </c>
      <c r="F120">
        <v>147.51</v>
      </c>
      <c r="G120">
        <v>148.47</v>
      </c>
      <c r="H120">
        <v>138.99</v>
      </c>
      <c r="I120">
        <v>142.78</v>
      </c>
      <c r="J120">
        <v>140.75</v>
      </c>
      <c r="K120">
        <v>148.87</v>
      </c>
      <c r="L120">
        <v>191.98</v>
      </c>
      <c r="M120">
        <v>190.59</v>
      </c>
      <c r="N120">
        <v>192.3</v>
      </c>
      <c r="O120">
        <v>192.68</v>
      </c>
    </row>
    <row r="121" spans="1:15" x14ac:dyDescent="0.25">
      <c r="A121" s="23">
        <v>45238.670138888891</v>
      </c>
      <c r="C121">
        <v>144.9</v>
      </c>
      <c r="D121">
        <v>149.72999999999999</v>
      </c>
      <c r="E121">
        <v>144.4</v>
      </c>
      <c r="F121">
        <v>146.93</v>
      </c>
      <c r="G121">
        <v>147.75</v>
      </c>
      <c r="H121">
        <v>138.62</v>
      </c>
      <c r="I121">
        <v>142.19</v>
      </c>
      <c r="J121">
        <v>140.63</v>
      </c>
      <c r="K121">
        <v>148.22</v>
      </c>
      <c r="L121">
        <v>191.73</v>
      </c>
      <c r="M121">
        <v>190.61</v>
      </c>
      <c r="N121">
        <v>192.18</v>
      </c>
      <c r="O121">
        <v>192.77</v>
      </c>
    </row>
    <row r="122" spans="1:15" x14ac:dyDescent="0.25">
      <c r="A122" s="23">
        <v>45238.67083333333</v>
      </c>
      <c r="C122">
        <v>145.77000000000001</v>
      </c>
      <c r="D122">
        <v>150.06</v>
      </c>
      <c r="E122">
        <v>144.29</v>
      </c>
      <c r="F122">
        <v>147.65</v>
      </c>
      <c r="G122">
        <v>147.87</v>
      </c>
      <c r="H122">
        <v>139.76</v>
      </c>
      <c r="I122">
        <v>142.78</v>
      </c>
      <c r="J122">
        <v>140.5</v>
      </c>
      <c r="K122">
        <v>148.63</v>
      </c>
      <c r="L122">
        <v>191.69</v>
      </c>
      <c r="M122">
        <v>190.63</v>
      </c>
      <c r="N122">
        <v>192.05</v>
      </c>
      <c r="O122">
        <v>192.69</v>
      </c>
    </row>
    <row r="123" spans="1:15" x14ac:dyDescent="0.25">
      <c r="A123" s="23">
        <v>45238.671527777777</v>
      </c>
      <c r="C123">
        <v>145.49</v>
      </c>
      <c r="D123">
        <v>149.41999999999999</v>
      </c>
      <c r="E123">
        <v>144.44</v>
      </c>
      <c r="F123">
        <v>147.34</v>
      </c>
      <c r="G123">
        <v>147.94</v>
      </c>
      <c r="H123">
        <v>138.75</v>
      </c>
      <c r="I123">
        <v>143.15</v>
      </c>
      <c r="J123">
        <v>141</v>
      </c>
      <c r="K123">
        <v>148.32</v>
      </c>
      <c r="L123">
        <v>191.58</v>
      </c>
      <c r="M123">
        <v>190.37</v>
      </c>
      <c r="N123">
        <v>191.85</v>
      </c>
      <c r="O123">
        <v>192.59</v>
      </c>
    </row>
    <row r="124" spans="1:15" x14ac:dyDescent="0.25">
      <c r="A124" s="23">
        <v>45238.672222222223</v>
      </c>
      <c r="C124">
        <v>145.4</v>
      </c>
      <c r="D124">
        <v>149.49</v>
      </c>
      <c r="E124">
        <v>144.49</v>
      </c>
      <c r="F124">
        <v>147.37</v>
      </c>
      <c r="G124">
        <v>147.71</v>
      </c>
      <c r="H124">
        <v>139.32</v>
      </c>
      <c r="I124">
        <v>142.88</v>
      </c>
      <c r="J124">
        <v>141.05000000000001</v>
      </c>
      <c r="K124">
        <v>148.34</v>
      </c>
      <c r="L124">
        <v>191.6</v>
      </c>
      <c r="M124">
        <v>189.98</v>
      </c>
      <c r="N124">
        <v>191.65</v>
      </c>
      <c r="O124">
        <v>192.73</v>
      </c>
    </row>
    <row r="125" spans="1:15" x14ac:dyDescent="0.25">
      <c r="A125" s="23">
        <v>45238.67291666667</v>
      </c>
      <c r="C125">
        <v>145.24</v>
      </c>
      <c r="D125">
        <v>149.32</v>
      </c>
      <c r="E125">
        <v>144.41999999999999</v>
      </c>
      <c r="F125">
        <v>147.09</v>
      </c>
      <c r="G125">
        <v>147.69</v>
      </c>
      <c r="H125">
        <v>139.30000000000001</v>
      </c>
      <c r="I125">
        <v>142.78</v>
      </c>
      <c r="J125">
        <v>140.9</v>
      </c>
      <c r="K125">
        <v>148.22999999999999</v>
      </c>
      <c r="L125">
        <v>191.52</v>
      </c>
      <c r="M125">
        <v>190.29</v>
      </c>
      <c r="N125">
        <v>191.83</v>
      </c>
      <c r="O125">
        <v>192.88</v>
      </c>
    </row>
    <row r="126" spans="1:15" x14ac:dyDescent="0.25">
      <c r="A126" s="23">
        <v>45238.673611111109</v>
      </c>
      <c r="C126">
        <v>145.9</v>
      </c>
      <c r="D126">
        <v>149.38</v>
      </c>
      <c r="E126">
        <v>144.25</v>
      </c>
      <c r="F126">
        <v>147.44</v>
      </c>
      <c r="G126">
        <v>147.51</v>
      </c>
      <c r="H126">
        <v>140.63999999999999</v>
      </c>
      <c r="I126">
        <v>143.18</v>
      </c>
      <c r="J126">
        <v>141.06</v>
      </c>
      <c r="K126">
        <v>148.25</v>
      </c>
      <c r="L126">
        <v>191.85</v>
      </c>
      <c r="M126">
        <v>190.43</v>
      </c>
      <c r="N126">
        <v>191.56</v>
      </c>
      <c r="O126">
        <v>192.89</v>
      </c>
    </row>
    <row r="127" spans="1:15" x14ac:dyDescent="0.25">
      <c r="A127" s="23">
        <v>45238.674305555556</v>
      </c>
      <c r="C127">
        <v>145.26</v>
      </c>
      <c r="D127">
        <v>149.09</v>
      </c>
      <c r="E127">
        <v>144.33000000000001</v>
      </c>
      <c r="F127">
        <v>146.9</v>
      </c>
      <c r="G127">
        <v>147.69</v>
      </c>
      <c r="H127">
        <v>140.1</v>
      </c>
      <c r="I127">
        <v>143.02000000000001</v>
      </c>
      <c r="J127">
        <v>141.25</v>
      </c>
      <c r="K127">
        <v>148.04</v>
      </c>
      <c r="L127">
        <v>191.94</v>
      </c>
      <c r="M127">
        <v>190.52</v>
      </c>
      <c r="N127">
        <v>192.01</v>
      </c>
      <c r="O127">
        <v>193.02</v>
      </c>
    </row>
    <row r="128" spans="1:15" x14ac:dyDescent="0.25">
      <c r="A128" s="23">
        <v>45238.675000000003</v>
      </c>
      <c r="C128">
        <v>145.80000000000001</v>
      </c>
      <c r="D128">
        <v>148.97999999999999</v>
      </c>
      <c r="E128">
        <v>144.38</v>
      </c>
      <c r="F128">
        <v>147.21</v>
      </c>
      <c r="G128">
        <v>147.63999999999999</v>
      </c>
      <c r="H128">
        <v>140.16999999999999</v>
      </c>
      <c r="I128">
        <v>143.44</v>
      </c>
      <c r="J128">
        <v>141.47999999999999</v>
      </c>
      <c r="K128">
        <v>148.1</v>
      </c>
      <c r="L128">
        <v>191.88</v>
      </c>
      <c r="M128">
        <v>190.51</v>
      </c>
      <c r="N128">
        <v>192.09</v>
      </c>
      <c r="O128">
        <v>192.99</v>
      </c>
    </row>
    <row r="129" spans="1:15" x14ac:dyDescent="0.25">
      <c r="A129" s="23">
        <v>45238.675694444442</v>
      </c>
      <c r="C129">
        <v>145.72999999999999</v>
      </c>
      <c r="D129">
        <v>148.97</v>
      </c>
      <c r="E129">
        <v>144.52000000000001</v>
      </c>
      <c r="F129">
        <v>147.22999999999999</v>
      </c>
      <c r="G129">
        <v>147.66999999999999</v>
      </c>
      <c r="H129">
        <v>140.38999999999999</v>
      </c>
      <c r="I129">
        <v>143.24</v>
      </c>
      <c r="J129">
        <v>141.37</v>
      </c>
      <c r="K129">
        <v>148.15</v>
      </c>
      <c r="L129">
        <v>191.97</v>
      </c>
      <c r="M129">
        <v>190.49</v>
      </c>
      <c r="N129">
        <v>192.25</v>
      </c>
      <c r="O129">
        <v>192.96</v>
      </c>
    </row>
    <row r="130" spans="1:15" x14ac:dyDescent="0.25">
      <c r="A130" s="23">
        <v>45238.676388888889</v>
      </c>
      <c r="C130">
        <v>145.55000000000001</v>
      </c>
      <c r="D130">
        <v>149.19999999999999</v>
      </c>
      <c r="E130">
        <v>144.59</v>
      </c>
      <c r="F130">
        <v>147.13999999999999</v>
      </c>
      <c r="G130">
        <v>147.71</v>
      </c>
      <c r="H130">
        <v>140.25</v>
      </c>
      <c r="I130">
        <v>143.26</v>
      </c>
      <c r="J130">
        <v>141.58000000000001</v>
      </c>
      <c r="K130">
        <v>148.16999999999999</v>
      </c>
      <c r="L130">
        <v>191.12</v>
      </c>
      <c r="M130">
        <v>189.8</v>
      </c>
      <c r="N130">
        <v>191.23</v>
      </c>
      <c r="O130">
        <v>192</v>
      </c>
    </row>
    <row r="131" spans="1:15" x14ac:dyDescent="0.25">
      <c r="A131" s="23">
        <v>45238.677083333336</v>
      </c>
      <c r="C131">
        <v>145.54</v>
      </c>
      <c r="D131">
        <v>148.88</v>
      </c>
      <c r="E131">
        <v>144.49</v>
      </c>
      <c r="F131">
        <v>147.07</v>
      </c>
      <c r="G131">
        <v>147.38999999999999</v>
      </c>
      <c r="H131">
        <v>140.47999999999999</v>
      </c>
      <c r="I131">
        <v>143.38</v>
      </c>
      <c r="J131">
        <v>141.44</v>
      </c>
      <c r="K131">
        <v>148.06</v>
      </c>
      <c r="L131">
        <v>191.06</v>
      </c>
      <c r="M131">
        <v>190.47</v>
      </c>
      <c r="N131">
        <v>191.55</v>
      </c>
      <c r="O131">
        <v>192.4</v>
      </c>
    </row>
    <row r="132" spans="1:15" x14ac:dyDescent="0.25">
      <c r="A132" s="23">
        <v>45238.677777777775</v>
      </c>
      <c r="C132">
        <v>145.69999999999999</v>
      </c>
      <c r="D132">
        <v>148.88</v>
      </c>
      <c r="E132">
        <v>144.52000000000001</v>
      </c>
      <c r="F132">
        <v>147.05000000000001</v>
      </c>
      <c r="G132">
        <v>147.4</v>
      </c>
      <c r="H132">
        <v>140.6</v>
      </c>
      <c r="I132">
        <v>143.26</v>
      </c>
      <c r="J132">
        <v>141.38</v>
      </c>
      <c r="K132">
        <v>147.91999999999999</v>
      </c>
      <c r="L132">
        <v>191.88</v>
      </c>
      <c r="M132">
        <v>190.94</v>
      </c>
      <c r="N132">
        <v>191.92</v>
      </c>
      <c r="O132">
        <v>193.52</v>
      </c>
    </row>
    <row r="133" spans="1:15" x14ac:dyDescent="0.25">
      <c r="A133" s="23">
        <v>45238.678472222222</v>
      </c>
      <c r="C133">
        <v>145.82</v>
      </c>
      <c r="D133">
        <v>148.78</v>
      </c>
      <c r="E133">
        <v>144.38999999999999</v>
      </c>
      <c r="F133">
        <v>147.25</v>
      </c>
      <c r="G133">
        <v>147.34</v>
      </c>
      <c r="H133">
        <v>140.97999999999999</v>
      </c>
      <c r="I133">
        <v>143.33000000000001</v>
      </c>
      <c r="J133">
        <v>141.66</v>
      </c>
      <c r="K133">
        <v>148.06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bxQo+8Vb6BdqS06PgLgecy7DmsPICNa+FkRrtooW1Z4h1crZ8FzC5T9BZcgTK9Jz0Vn7aHiCi55y8ZzGGmItrA==" saltValue="5yW74oD6dNYlG2E8NeafYQ=="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0"/>
  <sheetViews>
    <sheetView topLeftCell="A106" workbookViewId="0">
      <selection activeCell="A121" sqref="A121:L130"/>
    </sheetView>
  </sheetViews>
  <sheetFormatPr baseColWidth="10" defaultRowHeight="15" x14ac:dyDescent="0.25"/>
  <sheetData>
    <row r="1" spans="1:14" x14ac:dyDescent="0.25">
      <c r="A1" s="333" t="s">
        <v>85</v>
      </c>
      <c r="B1" s="333"/>
      <c r="C1" s="333"/>
      <c r="D1" s="333"/>
      <c r="E1" s="333"/>
      <c r="F1" s="333"/>
      <c r="G1" s="333"/>
      <c r="H1" s="333"/>
      <c r="I1" s="333"/>
      <c r="J1" s="333"/>
      <c r="K1" s="333"/>
      <c r="L1" s="333"/>
      <c r="M1" s="333"/>
      <c r="N1" s="333"/>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3" t="s">
        <v>86</v>
      </c>
      <c r="B24" s="333"/>
      <c r="C24" s="333"/>
      <c r="D24" s="333"/>
      <c r="E24" s="333"/>
      <c r="F24" s="333"/>
      <c r="G24" s="333"/>
      <c r="H24" s="333"/>
      <c r="I24" s="333"/>
      <c r="J24" s="333"/>
      <c r="K24" s="333"/>
      <c r="L24" s="333"/>
      <c r="M24" s="333"/>
      <c r="N24" s="333"/>
      <c r="O24" s="333"/>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4" t="s">
        <v>245</v>
      </c>
      <c r="B45" s="334"/>
      <c r="C45" s="334"/>
      <c r="D45" s="334"/>
      <c r="E45" s="334"/>
      <c r="F45" s="334"/>
      <c r="G45" s="334"/>
      <c r="H45" s="334"/>
      <c r="I45" s="334"/>
      <c r="J45" s="334"/>
      <c r="K45" s="334"/>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5" t="s">
        <v>277</v>
      </c>
      <c r="B63" s="336"/>
      <c r="C63" s="336"/>
      <c r="D63" s="336"/>
      <c r="E63" s="336"/>
      <c r="F63" s="336"/>
      <c r="G63" s="336"/>
      <c r="H63" s="336"/>
      <c r="I63" s="336"/>
      <c r="J63" s="337"/>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5" t="s">
        <v>530</v>
      </c>
      <c r="B79" s="336"/>
      <c r="C79" s="336"/>
      <c r="D79" s="336"/>
      <c r="E79" s="336"/>
      <c r="F79" s="336"/>
      <c r="G79" s="336"/>
      <c r="H79" s="336"/>
      <c r="I79" s="336"/>
      <c r="J79" s="336"/>
      <c r="K79" s="336"/>
      <c r="L79" s="336"/>
      <c r="M79" s="336"/>
      <c r="N79" s="336"/>
      <c r="O79" s="336"/>
      <c r="P79" s="336"/>
      <c r="Q79" s="337"/>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2" spans="1:17" ht="15.75" thickBot="1" x14ac:dyDescent="0.3"/>
    <row r="103" spans="1:17" ht="15.75" thickBot="1" x14ac:dyDescent="0.3">
      <c r="A103" s="330" t="str">
        <f>C104</f>
        <v>6100 PORTABLE</v>
      </c>
      <c r="B103" s="331"/>
      <c r="C103" s="331"/>
      <c r="D103" s="331"/>
      <c r="E103" s="331"/>
      <c r="F103" s="331"/>
      <c r="G103" s="331"/>
      <c r="H103" s="331"/>
      <c r="I103" s="331"/>
      <c r="J103" s="331"/>
      <c r="K103" s="331"/>
      <c r="L103" s="332"/>
    </row>
    <row r="104" spans="1:17" ht="15.75" thickTop="1" x14ac:dyDescent="0.25">
      <c r="A104" s="309" t="s">
        <v>50</v>
      </c>
      <c r="B104" t="s">
        <v>51</v>
      </c>
      <c r="C104" t="s">
        <v>52</v>
      </c>
      <c r="E104" t="s">
        <v>53</v>
      </c>
      <c r="F104">
        <v>8480381</v>
      </c>
      <c r="H104" t="s">
        <v>54</v>
      </c>
      <c r="I104" t="s">
        <v>55</v>
      </c>
      <c r="L104" s="310"/>
    </row>
    <row r="105" spans="1:17" x14ac:dyDescent="0.25">
      <c r="A105" s="309"/>
      <c r="B105" t="s">
        <v>56</v>
      </c>
      <c r="C105" t="s">
        <v>57</v>
      </c>
      <c r="E105" t="s">
        <v>58</v>
      </c>
      <c r="F105" t="s">
        <v>59</v>
      </c>
      <c r="H105" t="s">
        <v>60</v>
      </c>
      <c r="I105" t="s">
        <v>61</v>
      </c>
      <c r="K105" t="s">
        <v>62</v>
      </c>
      <c r="L105" s="310" t="s">
        <v>63</v>
      </c>
    </row>
    <row r="106" spans="1:17" x14ac:dyDescent="0.25">
      <c r="A106" s="309" t="s">
        <v>64</v>
      </c>
      <c r="B106" t="s">
        <v>65</v>
      </c>
      <c r="L106" s="310"/>
    </row>
    <row r="107" spans="1:17" x14ac:dyDescent="0.25">
      <c r="A107" s="309" t="s">
        <v>66</v>
      </c>
      <c r="B107" t="s">
        <v>67</v>
      </c>
      <c r="C107">
        <v>20</v>
      </c>
      <c r="D107" t="s">
        <v>68</v>
      </c>
      <c r="E107">
        <v>550</v>
      </c>
      <c r="F107" t="s">
        <v>69</v>
      </c>
      <c r="G107" t="s">
        <v>70</v>
      </c>
      <c r="L107" s="310"/>
    </row>
    <row r="108" spans="1:17" x14ac:dyDescent="0.25">
      <c r="A108" s="309" t="s">
        <v>71</v>
      </c>
      <c r="B108" t="s">
        <v>67</v>
      </c>
      <c r="C108">
        <v>20</v>
      </c>
      <c r="D108" t="s">
        <v>68</v>
      </c>
      <c r="E108">
        <v>550</v>
      </c>
      <c r="F108" t="s">
        <v>69</v>
      </c>
      <c r="G108" t="s">
        <v>70</v>
      </c>
      <c r="L108" s="310"/>
    </row>
    <row r="109" spans="1:17" x14ac:dyDescent="0.25">
      <c r="A109" s="309" t="s">
        <v>72</v>
      </c>
      <c r="B109" t="s">
        <v>67</v>
      </c>
      <c r="C109">
        <v>20</v>
      </c>
      <c r="D109" t="s">
        <v>68</v>
      </c>
      <c r="E109">
        <v>550</v>
      </c>
      <c r="F109" t="s">
        <v>69</v>
      </c>
      <c r="G109" t="s">
        <v>70</v>
      </c>
      <c r="L109" s="310"/>
    </row>
    <row r="110" spans="1:17" x14ac:dyDescent="0.25">
      <c r="A110" s="309" t="s">
        <v>73</v>
      </c>
      <c r="B110" t="s">
        <v>67</v>
      </c>
      <c r="C110">
        <v>20</v>
      </c>
      <c r="D110" t="s">
        <v>68</v>
      </c>
      <c r="E110">
        <v>550</v>
      </c>
      <c r="F110" t="s">
        <v>69</v>
      </c>
      <c r="G110" t="s">
        <v>70</v>
      </c>
      <c r="L110" s="310"/>
    </row>
    <row r="111" spans="1:17" x14ac:dyDescent="0.25">
      <c r="A111" s="309" t="s">
        <v>74</v>
      </c>
      <c r="B111" t="s">
        <v>67</v>
      </c>
      <c r="C111">
        <v>20</v>
      </c>
      <c r="D111" t="s">
        <v>68</v>
      </c>
      <c r="E111">
        <v>550</v>
      </c>
      <c r="F111" t="s">
        <v>69</v>
      </c>
      <c r="G111" t="s">
        <v>70</v>
      </c>
      <c r="L111" s="310"/>
    </row>
    <row r="112" spans="1:17" x14ac:dyDescent="0.25">
      <c r="A112" s="309" t="s">
        <v>75</v>
      </c>
      <c r="B112" t="s">
        <v>67</v>
      </c>
      <c r="C112">
        <v>20</v>
      </c>
      <c r="D112" t="s">
        <v>68</v>
      </c>
      <c r="E112">
        <v>550</v>
      </c>
      <c r="F112" t="s">
        <v>69</v>
      </c>
      <c r="G112" t="s">
        <v>70</v>
      </c>
      <c r="L112" s="310"/>
    </row>
    <row r="113" spans="1:12" x14ac:dyDescent="0.25">
      <c r="A113" s="309" t="s">
        <v>76</v>
      </c>
      <c r="B113" t="s">
        <v>67</v>
      </c>
      <c r="C113">
        <v>20</v>
      </c>
      <c r="D113" t="s">
        <v>68</v>
      </c>
      <c r="E113">
        <v>550</v>
      </c>
      <c r="F113" t="s">
        <v>69</v>
      </c>
      <c r="G113" t="s">
        <v>70</v>
      </c>
      <c r="L113" s="310"/>
    </row>
    <row r="114" spans="1:12" x14ac:dyDescent="0.25">
      <c r="A114" s="309" t="s">
        <v>77</v>
      </c>
      <c r="B114" t="s">
        <v>67</v>
      </c>
      <c r="C114">
        <v>20</v>
      </c>
      <c r="D114" t="s">
        <v>68</v>
      </c>
      <c r="E114">
        <v>550</v>
      </c>
      <c r="F114" t="s">
        <v>69</v>
      </c>
      <c r="G114" t="s">
        <v>70</v>
      </c>
      <c r="L114" s="310"/>
    </row>
    <row r="115" spans="1:12" x14ac:dyDescent="0.25">
      <c r="A115" s="309" t="s">
        <v>78</v>
      </c>
      <c r="B115" t="s">
        <v>67</v>
      </c>
      <c r="C115">
        <v>20</v>
      </c>
      <c r="D115" t="s">
        <v>68</v>
      </c>
      <c r="E115">
        <v>550</v>
      </c>
      <c r="F115" t="s">
        <v>69</v>
      </c>
      <c r="G115" t="s">
        <v>70</v>
      </c>
      <c r="L115" s="310"/>
    </row>
    <row r="116" spans="1:12" x14ac:dyDescent="0.25">
      <c r="A116" s="309" t="s">
        <v>36</v>
      </c>
      <c r="C116" t="s">
        <v>66</v>
      </c>
      <c r="D116" t="s">
        <v>71</v>
      </c>
      <c r="E116" t="s">
        <v>72</v>
      </c>
      <c r="F116" t="s">
        <v>73</v>
      </c>
      <c r="G116" t="s">
        <v>74</v>
      </c>
      <c r="H116" t="s">
        <v>75</v>
      </c>
      <c r="I116" t="s">
        <v>76</v>
      </c>
      <c r="J116" t="s">
        <v>77</v>
      </c>
      <c r="K116" t="s">
        <v>78</v>
      </c>
      <c r="L116" s="310"/>
    </row>
    <row r="117" spans="1:12" ht="15.75" thickBot="1" x14ac:dyDescent="0.3">
      <c r="A117" s="311"/>
      <c r="B117" s="312"/>
      <c r="C117" s="312" t="s">
        <v>70</v>
      </c>
      <c r="D117" s="312" t="s">
        <v>70</v>
      </c>
      <c r="E117" s="312" t="s">
        <v>70</v>
      </c>
      <c r="F117" s="312" t="s">
        <v>70</v>
      </c>
      <c r="G117" s="312" t="s">
        <v>70</v>
      </c>
      <c r="H117" s="312" t="s">
        <v>70</v>
      </c>
      <c r="I117" s="312" t="s">
        <v>70</v>
      </c>
      <c r="J117" s="312" t="s">
        <v>70</v>
      </c>
      <c r="K117" s="312" t="s">
        <v>70</v>
      </c>
      <c r="L117" s="313"/>
    </row>
    <row r="119" spans="1:12" ht="15.75" thickBot="1" x14ac:dyDescent="0.3"/>
    <row r="120" spans="1:12" ht="15.75" thickBot="1" x14ac:dyDescent="0.3">
      <c r="A120" s="330" t="str">
        <f>C121</f>
        <v>Four Thermidor Efita</v>
      </c>
      <c r="B120" s="331"/>
      <c r="C120" s="331"/>
      <c r="D120" s="331"/>
      <c r="E120" s="331"/>
      <c r="F120" s="331"/>
      <c r="G120" s="331"/>
      <c r="H120" s="331"/>
      <c r="I120" s="331"/>
      <c r="J120" s="331"/>
      <c r="K120" s="331"/>
      <c r="L120" s="332"/>
    </row>
    <row r="121" spans="1:12" ht="15.75" thickTop="1" x14ac:dyDescent="0.25">
      <c r="A121" s="309" t="s">
        <v>50</v>
      </c>
      <c r="B121" t="s">
        <v>51</v>
      </c>
      <c r="C121" t="s">
        <v>531</v>
      </c>
      <c r="E121" t="s">
        <v>53</v>
      </c>
      <c r="F121">
        <v>8470479</v>
      </c>
      <c r="H121" t="s">
        <v>54</v>
      </c>
      <c r="I121" t="s">
        <v>532</v>
      </c>
      <c r="L121" s="310"/>
    </row>
    <row r="122" spans="1:12" x14ac:dyDescent="0.25">
      <c r="A122" s="309"/>
      <c r="B122" t="s">
        <v>56</v>
      </c>
      <c r="C122" t="s">
        <v>533</v>
      </c>
      <c r="E122" t="s">
        <v>58</v>
      </c>
      <c r="F122" t="s">
        <v>59</v>
      </c>
      <c r="H122" t="s">
        <v>60</v>
      </c>
      <c r="I122" t="s">
        <v>61</v>
      </c>
      <c r="K122" t="s">
        <v>62</v>
      </c>
      <c r="L122" s="310" t="s">
        <v>63</v>
      </c>
    </row>
    <row r="123" spans="1:12" x14ac:dyDescent="0.25">
      <c r="A123" s="309" t="s">
        <v>64</v>
      </c>
      <c r="B123" t="s">
        <v>65</v>
      </c>
      <c r="L123" s="310"/>
    </row>
    <row r="124" spans="1:12" x14ac:dyDescent="0.25">
      <c r="A124" s="309" t="s">
        <v>526</v>
      </c>
      <c r="B124" t="s">
        <v>67</v>
      </c>
      <c r="C124">
        <v>50</v>
      </c>
      <c r="D124" t="s">
        <v>68</v>
      </c>
      <c r="E124">
        <v>550</v>
      </c>
      <c r="F124" t="s">
        <v>69</v>
      </c>
      <c r="G124" t="s">
        <v>70</v>
      </c>
      <c r="L124" s="310"/>
    </row>
    <row r="125" spans="1:12" x14ac:dyDescent="0.25">
      <c r="A125" s="309" t="s">
        <v>534</v>
      </c>
      <c r="B125" t="s">
        <v>67</v>
      </c>
      <c r="C125">
        <v>0</v>
      </c>
      <c r="D125" t="s">
        <v>68</v>
      </c>
      <c r="E125">
        <v>100</v>
      </c>
      <c r="F125" t="s">
        <v>69</v>
      </c>
      <c r="G125" t="s">
        <v>535</v>
      </c>
      <c r="L125" s="310"/>
    </row>
    <row r="126" spans="1:12" x14ac:dyDescent="0.25">
      <c r="A126" s="309" t="s">
        <v>527</v>
      </c>
      <c r="B126" t="s">
        <v>67</v>
      </c>
      <c r="C126">
        <v>50</v>
      </c>
      <c r="D126" t="s">
        <v>68</v>
      </c>
      <c r="E126">
        <v>550</v>
      </c>
      <c r="F126" t="s">
        <v>69</v>
      </c>
      <c r="G126" t="s">
        <v>70</v>
      </c>
      <c r="L126" s="310"/>
    </row>
    <row r="127" spans="1:12" x14ac:dyDescent="0.25">
      <c r="A127" s="309" t="s">
        <v>529</v>
      </c>
      <c r="B127" t="s">
        <v>67</v>
      </c>
      <c r="C127">
        <v>50</v>
      </c>
      <c r="D127" t="s">
        <v>68</v>
      </c>
      <c r="E127">
        <v>550</v>
      </c>
      <c r="F127" t="s">
        <v>69</v>
      </c>
      <c r="G127" t="s">
        <v>70</v>
      </c>
      <c r="L127" s="310"/>
    </row>
    <row r="128" spans="1:12" x14ac:dyDescent="0.25">
      <c r="A128" s="309" t="s">
        <v>528</v>
      </c>
      <c r="B128" t="s">
        <v>67</v>
      </c>
      <c r="C128">
        <v>50</v>
      </c>
      <c r="D128" t="s">
        <v>68</v>
      </c>
      <c r="E128">
        <v>550</v>
      </c>
      <c r="F128" t="s">
        <v>69</v>
      </c>
      <c r="G128" t="s">
        <v>70</v>
      </c>
      <c r="L128" s="310"/>
    </row>
    <row r="129" spans="1:12" x14ac:dyDescent="0.25">
      <c r="A129" s="309" t="s">
        <v>36</v>
      </c>
      <c r="C129" t="s">
        <v>526</v>
      </c>
      <c r="D129" t="s">
        <v>534</v>
      </c>
      <c r="E129" t="s">
        <v>527</v>
      </c>
      <c r="F129" t="s">
        <v>529</v>
      </c>
      <c r="G129" t="s">
        <v>528</v>
      </c>
      <c r="L129" s="310"/>
    </row>
    <row r="130" spans="1:12" ht="15.75" thickBot="1" x14ac:dyDescent="0.3">
      <c r="A130" s="311"/>
      <c r="B130" s="312"/>
      <c r="C130" s="312" t="s">
        <v>70</v>
      </c>
      <c r="D130" s="312" t="s">
        <v>535</v>
      </c>
      <c r="E130" s="312" t="s">
        <v>70</v>
      </c>
      <c r="F130" s="312" t="s">
        <v>70</v>
      </c>
      <c r="G130" s="312" t="s">
        <v>70</v>
      </c>
      <c r="H130" s="312"/>
      <c r="I130" s="312"/>
      <c r="J130" s="312"/>
      <c r="K130" s="312"/>
      <c r="L130" s="313"/>
    </row>
  </sheetData>
  <sheetProtection algorithmName="SHA-512" hashValue="PSKBq8CwtOiksLs+lKP9oNmqwwvDxYuHiTVtQZA4JUxjUTaYJaE7tuFlET/g4q+FDTj8Gc8HChq+9G6+q3J08w==" saltValue="sBmXKwSCM0NbhZIO9Tu1GQ==" spinCount="100000" sheet="1" objects="1" scenarios="1"/>
  <mergeCells count="7">
    <mergeCell ref="A103:L103"/>
    <mergeCell ref="A120:L120"/>
    <mergeCell ref="A1:N1"/>
    <mergeCell ref="A24:O24"/>
    <mergeCell ref="A45:K45"/>
    <mergeCell ref="A63:J63"/>
    <mergeCell ref="A79:Q79"/>
  </mergeCells>
  <phoneticPr fontId="3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2:M10"/>
  <sheetViews>
    <sheetView tabSelected="1" topLeftCell="D1" workbookViewId="0">
      <selection activeCell="F3" sqref="F3"/>
    </sheetView>
  </sheetViews>
  <sheetFormatPr baseColWidth="10" defaultColWidth="9.140625" defaultRowHeight="15" x14ac:dyDescent="0.25"/>
  <cols>
    <col min="2" max="2" width="15.28515625" customWidth="1"/>
    <col min="12" max="12" width="17.85546875" customWidth="1"/>
  </cols>
  <sheetData>
    <row r="2" spans="2:13" x14ac:dyDescent="0.25">
      <c r="I2" s="338" t="s">
        <v>560</v>
      </c>
      <c r="J2" s="338"/>
      <c r="K2" s="338"/>
      <c r="L2" t="s">
        <v>561</v>
      </c>
    </row>
    <row r="3" spans="2:13" x14ac:dyDescent="0.25">
      <c r="B3" s="24" t="s">
        <v>279</v>
      </c>
    </row>
    <row r="4" spans="2:13" x14ac:dyDescent="0.25">
      <c r="B4" s="24" t="s">
        <v>242</v>
      </c>
      <c r="D4" s="24"/>
    </row>
    <row r="5" spans="2:13" x14ac:dyDescent="0.25">
      <c r="B5" s="24" t="s">
        <v>284</v>
      </c>
    </row>
    <row r="6" spans="2:13" x14ac:dyDescent="0.25">
      <c r="B6" s="24" t="s">
        <v>243</v>
      </c>
    </row>
    <row r="7" spans="2:13" x14ac:dyDescent="0.25">
      <c r="B7" s="24" t="s">
        <v>285</v>
      </c>
      <c r="K7" s="158" t="s">
        <v>320</v>
      </c>
    </row>
    <row r="8" spans="2:13" x14ac:dyDescent="0.25">
      <c r="B8" s="24" t="s">
        <v>322</v>
      </c>
    </row>
    <row r="10" spans="2:13" x14ac:dyDescent="0.25">
      <c r="M10" t="s">
        <v>244</v>
      </c>
    </row>
  </sheetData>
  <sheetProtection algorithmName="SHA-512" hashValue="TH+i84QHRUlBAmyBRvQkfGHxc82iprKAjTmy5FxKNO4QIP9s0yDY9qjcUHlSCRe33VZBI739URI+CXhZHDhHaQ==" saltValue="2a9+d3SiiNMUPtIWTRnkvA==" spinCount="100000" sheet="1" objects="1" scenarios="1"/>
  <mergeCells count="1">
    <mergeCell ref="I2:K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14</xdr:col>
                <xdr:colOff>438150</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topLeftCell="A16" zoomScale="70" zoomScaleNormal="85" workbookViewId="0">
      <selection activeCell="E40" sqref="E40"/>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50" t="s">
        <v>471</v>
      </c>
      <c r="B1" s="350"/>
      <c r="C1" s="350"/>
      <c r="D1" s="350"/>
      <c r="E1" s="350"/>
      <c r="F1" s="350"/>
      <c r="G1" s="350"/>
      <c r="H1" s="350"/>
      <c r="I1" s="350"/>
      <c r="J1" s="350"/>
      <c r="K1" s="350"/>
      <c r="L1" s="350"/>
      <c r="M1" s="350"/>
    </row>
    <row r="2" spans="1:14" ht="20.25" x14ac:dyDescent="0.3">
      <c r="A2" s="351" t="s">
        <v>472</v>
      </c>
      <c r="B2" s="351"/>
      <c r="C2" s="351"/>
      <c r="D2" s="351"/>
      <c r="E2" s="351"/>
      <c r="F2" s="351"/>
      <c r="G2" s="351"/>
      <c r="H2" s="351"/>
      <c r="I2" s="351"/>
      <c r="J2" s="351"/>
      <c r="K2" s="351"/>
      <c r="L2" s="351"/>
      <c r="M2" s="351"/>
    </row>
    <row r="4" spans="1:14" x14ac:dyDescent="0.25">
      <c r="A4" t="s">
        <v>473</v>
      </c>
      <c r="B4" s="352" t="str">
        <f>Choose_TUS!L2 &amp; "(PV TUS INTERNE FOUR THERMIDOR)"</f>
        <v>IMP 472 ind O du 07-02-2024 (PV TUS INTERNE FOUR THERMIDOR)</v>
      </c>
      <c r="C4" s="352"/>
      <c r="D4" s="352"/>
      <c r="E4" s="269" t="s">
        <v>474</v>
      </c>
    </row>
    <row r="5" spans="1:14" x14ac:dyDescent="0.25">
      <c r="A5" s="270" t="s">
        <v>475</v>
      </c>
      <c r="B5" s="271"/>
      <c r="C5" s="24" t="s">
        <v>476</v>
      </c>
    </row>
    <row r="6" spans="1:14" x14ac:dyDescent="0.25">
      <c r="A6" s="270" t="s">
        <v>477</v>
      </c>
      <c r="B6" s="272"/>
    </row>
    <row r="7" spans="1:14" x14ac:dyDescent="0.25">
      <c r="A7" s="353" t="s">
        <v>478</v>
      </c>
      <c r="B7" s="271"/>
    </row>
    <row r="8" spans="1:14" x14ac:dyDescent="0.25">
      <c r="A8" s="354"/>
      <c r="B8" s="271"/>
    </row>
    <row r="9" spans="1:14" x14ac:dyDescent="0.25">
      <c r="A9" s="355"/>
      <c r="B9" s="271"/>
    </row>
    <row r="10" spans="1:14" x14ac:dyDescent="0.25">
      <c r="A10" s="270" t="s">
        <v>479</v>
      </c>
      <c r="B10" s="271"/>
    </row>
    <row r="11" spans="1:14" x14ac:dyDescent="0.25">
      <c r="A11" s="270" t="s">
        <v>5</v>
      </c>
      <c r="B11" s="273"/>
    </row>
    <row r="12" spans="1:14" x14ac:dyDescent="0.25">
      <c r="A12" s="270" t="s">
        <v>480</v>
      </c>
      <c r="B12" s="274"/>
    </row>
    <row r="14" spans="1:14" x14ac:dyDescent="0.25">
      <c r="A14" s="275" t="s">
        <v>481</v>
      </c>
      <c r="B14" s="276" t="s">
        <v>482</v>
      </c>
      <c r="C14" s="277" t="s">
        <v>483</v>
      </c>
      <c r="D14" s="356" t="s">
        <v>484</v>
      </c>
      <c r="E14" s="357"/>
      <c r="F14" s="275" t="s">
        <v>485</v>
      </c>
      <c r="H14" s="1"/>
      <c r="J14" s="348" t="s">
        <v>486</v>
      </c>
      <c r="K14" s="348"/>
      <c r="L14" s="348"/>
      <c r="M14" s="348"/>
      <c r="N14" s="348"/>
    </row>
    <row r="15" spans="1:14" x14ac:dyDescent="0.25">
      <c r="B15" s="278"/>
      <c r="C15" s="279"/>
      <c r="D15" s="280" t="s">
        <v>487</v>
      </c>
      <c r="E15" s="281" t="s">
        <v>488</v>
      </c>
      <c r="F15" s="1" t="s">
        <v>488</v>
      </c>
      <c r="H15" s="1"/>
      <c r="J15" s="358" t="s">
        <v>489</v>
      </c>
      <c r="K15" s="358"/>
      <c r="L15" s="358"/>
      <c r="M15" s="358"/>
      <c r="N15" s="358"/>
    </row>
    <row r="16" spans="1:14" x14ac:dyDescent="0.25">
      <c r="A16" s="253" t="s">
        <v>50</v>
      </c>
      <c r="B16" s="282" t="s">
        <v>490</v>
      </c>
      <c r="C16" s="283" t="s">
        <v>186</v>
      </c>
      <c r="D16" s="284"/>
      <c r="E16" s="284"/>
      <c r="F16" s="285"/>
      <c r="G16" s="286"/>
    </row>
    <row r="17" spans="1:14" x14ac:dyDescent="0.25">
      <c r="A17" s="253" t="s">
        <v>12</v>
      </c>
      <c r="B17" s="282" t="s">
        <v>491</v>
      </c>
      <c r="C17" s="284"/>
      <c r="D17" s="284"/>
      <c r="E17" s="284"/>
      <c r="F17" s="284"/>
      <c r="G17" s="286"/>
      <c r="J17" s="287" t="s">
        <v>492</v>
      </c>
      <c r="K17" s="287"/>
      <c r="L17" s="287"/>
      <c r="M17" s="287"/>
      <c r="N17" s="287"/>
    </row>
    <row r="18" spans="1:14" ht="25.5" x14ac:dyDescent="0.25">
      <c r="A18" s="253" t="s">
        <v>12</v>
      </c>
      <c r="B18" s="282" t="s">
        <v>491</v>
      </c>
      <c r="C18" s="284"/>
      <c r="D18" s="284"/>
      <c r="E18" s="284"/>
      <c r="F18" s="284"/>
      <c r="G18" s="286"/>
      <c r="H18" s="288" t="s">
        <v>493</v>
      </c>
      <c r="J18" s="287" t="s">
        <v>494</v>
      </c>
      <c r="K18" s="287"/>
      <c r="L18" s="287"/>
      <c r="M18" s="287"/>
      <c r="N18" s="287"/>
    </row>
    <row r="19" spans="1:14" x14ac:dyDescent="0.25">
      <c r="A19" s="88"/>
      <c r="B19" s="1"/>
      <c r="C19" s="1"/>
      <c r="D19" s="1"/>
      <c r="E19" s="1"/>
      <c r="F19" s="1"/>
      <c r="G19" s="1"/>
      <c r="H19" s="1"/>
      <c r="I19" s="359"/>
      <c r="J19" s="359"/>
      <c r="K19" s="359"/>
      <c r="L19" s="359"/>
      <c r="M19" s="359"/>
    </row>
    <row r="20" spans="1:14" x14ac:dyDescent="0.25">
      <c r="A20" s="88"/>
      <c r="B20" s="290" t="s">
        <v>495</v>
      </c>
      <c r="C20" s="290" t="s">
        <v>496</v>
      </c>
      <c r="D20" s="290" t="s">
        <v>497</v>
      </c>
      <c r="E20" s="290" t="s">
        <v>498</v>
      </c>
      <c r="F20" s="290" t="s">
        <v>499</v>
      </c>
      <c r="G20" s="290" t="s">
        <v>500</v>
      </c>
      <c r="H20" s="1"/>
      <c r="I20" s="289"/>
      <c r="J20" s="289"/>
      <c r="K20" s="289"/>
      <c r="L20" s="289"/>
      <c r="M20" s="289"/>
    </row>
    <row r="21" spans="1:14" x14ac:dyDescent="0.25">
      <c r="A21" s="88"/>
      <c r="B21" s="291">
        <v>80</v>
      </c>
      <c r="C21" s="291">
        <v>-0.6</v>
      </c>
      <c r="D21" s="291">
        <v>-0.27</v>
      </c>
      <c r="E21" s="291">
        <v>0.5</v>
      </c>
      <c r="F21" s="291">
        <v>3</v>
      </c>
      <c r="G21" s="291">
        <v>6</v>
      </c>
      <c r="H21" s="1"/>
      <c r="I21" s="289"/>
      <c r="J21" s="289"/>
      <c r="K21" s="289"/>
      <c r="L21" s="289"/>
      <c r="M21" s="289"/>
    </row>
    <row r="22" spans="1:14" x14ac:dyDescent="0.25">
      <c r="A22" s="88"/>
      <c r="B22" s="291">
        <v>200</v>
      </c>
      <c r="C22" s="292">
        <v>-0.6</v>
      </c>
      <c r="D22" s="292">
        <v>-0.27</v>
      </c>
      <c r="E22" s="292">
        <v>0.5</v>
      </c>
      <c r="F22" s="292">
        <v>3</v>
      </c>
      <c r="G22" s="292">
        <v>6</v>
      </c>
      <c r="H22" s="1"/>
      <c r="I22" s="289"/>
      <c r="J22" s="289"/>
      <c r="K22" s="289"/>
      <c r="L22" s="289"/>
      <c r="M22" s="289"/>
    </row>
    <row r="23" spans="1:14" x14ac:dyDescent="0.25">
      <c r="A23" s="88"/>
      <c r="B23" s="291">
        <v>385</v>
      </c>
      <c r="C23" s="292">
        <v>-0.6</v>
      </c>
      <c r="D23" s="292">
        <v>-0.27</v>
      </c>
      <c r="E23" s="292">
        <v>0.5</v>
      </c>
      <c r="F23" s="292">
        <v>5</v>
      </c>
      <c r="G23" s="292">
        <v>10</v>
      </c>
      <c r="H23" s="1"/>
      <c r="I23" s="289"/>
      <c r="J23" s="289"/>
      <c r="K23" s="289"/>
      <c r="L23" s="289"/>
      <c r="M23" s="289"/>
    </row>
    <row r="24" spans="1:14" x14ac:dyDescent="0.25">
      <c r="A24" s="88"/>
      <c r="B24" s="291">
        <v>535</v>
      </c>
      <c r="C24" s="292">
        <v>-0.6</v>
      </c>
      <c r="D24" s="292">
        <v>-0.27</v>
      </c>
      <c r="E24" s="292">
        <v>0.5</v>
      </c>
      <c r="F24" s="292">
        <v>5</v>
      </c>
      <c r="G24" s="292">
        <v>10</v>
      </c>
      <c r="H24" s="1"/>
      <c r="I24" s="289"/>
      <c r="J24" s="289"/>
      <c r="K24" s="289"/>
      <c r="L24" s="289"/>
      <c r="M24" s="289"/>
    </row>
    <row r="25" spans="1:14" x14ac:dyDescent="0.25">
      <c r="A25" s="88"/>
      <c r="B25" s="1"/>
      <c r="C25" s="1"/>
      <c r="D25" s="1"/>
      <c r="E25" s="1"/>
      <c r="F25" s="1"/>
      <c r="G25" s="1"/>
      <c r="H25" s="1"/>
      <c r="I25" s="289"/>
      <c r="J25" s="289"/>
      <c r="K25" s="289"/>
      <c r="L25" s="289"/>
      <c r="M25" s="289"/>
    </row>
    <row r="26" spans="1:14" x14ac:dyDescent="0.25">
      <c r="A26" s="349" t="s">
        <v>501</v>
      </c>
      <c r="B26" s="349"/>
      <c r="C26" s="349"/>
      <c r="D26" s="360" t="s">
        <v>502</v>
      </c>
      <c r="E26" s="361"/>
      <c r="F26" s="361"/>
      <c r="G26" s="361"/>
      <c r="H26" s="362"/>
      <c r="I26" s="289"/>
      <c r="J26" s="289"/>
      <c r="K26" s="289"/>
      <c r="L26" s="289"/>
      <c r="M26" s="289"/>
    </row>
    <row r="27" spans="1:14" ht="36" customHeight="1" x14ac:dyDescent="0.25">
      <c r="A27" s="293" t="s">
        <v>503</v>
      </c>
      <c r="B27" s="293" t="s">
        <v>504</v>
      </c>
      <c r="C27" s="294" t="s">
        <v>505</v>
      </c>
      <c r="D27" s="294" t="str">
        <f>_xlfn.CONCAT(B$21,"°C")</f>
        <v>80°C</v>
      </c>
      <c r="E27" s="294" t="str">
        <f>_xlfn.CONCAT(B$22,"°C")</f>
        <v>200°C</v>
      </c>
      <c r="F27" s="294" t="str">
        <f>_xlfn.CONCAT(B$23,"°C")</f>
        <v>385°C</v>
      </c>
      <c r="G27" s="294" t="str">
        <f>_xlfn.CONCAT(B$24,"°C")</f>
        <v>535°C</v>
      </c>
      <c r="H27" s="294" t="s">
        <v>506</v>
      </c>
      <c r="I27" s="289"/>
      <c r="J27" s="289"/>
      <c r="K27" s="289"/>
      <c r="L27" s="289"/>
      <c r="M27" s="289"/>
    </row>
    <row r="28" spans="1:14" ht="22.5" customHeight="1" x14ac:dyDescent="0.25">
      <c r="A28" s="250">
        <v>1</v>
      </c>
      <c r="B28" s="329"/>
      <c r="C28" s="329"/>
      <c r="D28" s="295"/>
      <c r="E28" s="295"/>
      <c r="F28" s="295"/>
      <c r="G28" s="295"/>
      <c r="H28" s="295"/>
      <c r="I28" s="289"/>
      <c r="J28" s="289"/>
      <c r="K28" s="289"/>
      <c r="L28" s="289"/>
      <c r="M28" s="289"/>
    </row>
    <row r="29" spans="1:14" ht="22.5" customHeight="1" x14ac:dyDescent="0.25">
      <c r="A29" s="250">
        <v>2</v>
      </c>
      <c r="B29" s="329"/>
      <c r="C29" s="329"/>
      <c r="D29" s="295"/>
      <c r="E29" s="295"/>
      <c r="F29" s="295"/>
      <c r="G29" s="295"/>
      <c r="H29" s="295"/>
      <c r="J29" s="348" t="s">
        <v>507</v>
      </c>
      <c r="K29" s="348"/>
      <c r="L29" s="348"/>
      <c r="M29" s="348"/>
      <c r="N29" s="348"/>
    </row>
    <row r="30" spans="1:14" ht="18" customHeight="1" x14ac:dyDescent="0.25">
      <c r="A30" s="250">
        <v>3</v>
      </c>
      <c r="B30" s="329"/>
      <c r="C30" s="329"/>
      <c r="D30" s="295"/>
      <c r="E30" s="295"/>
      <c r="F30" s="295"/>
      <c r="G30" s="295"/>
      <c r="H30" s="295"/>
      <c r="J30" s="348" t="s">
        <v>508</v>
      </c>
      <c r="K30" s="348"/>
      <c r="L30" s="348"/>
      <c r="M30" s="348"/>
      <c r="N30" s="348"/>
    </row>
    <row r="31" spans="1:14" ht="24" customHeight="1" x14ac:dyDescent="0.25">
      <c r="A31" s="250">
        <v>4</v>
      </c>
      <c r="B31" s="329"/>
      <c r="C31" s="329"/>
      <c r="D31" s="295"/>
      <c r="E31" s="295"/>
      <c r="F31" s="295"/>
      <c r="G31" s="295"/>
      <c r="H31" s="295"/>
      <c r="J31" s="348" t="s">
        <v>509</v>
      </c>
      <c r="K31" s="348"/>
      <c r="L31" s="348"/>
      <c r="M31" s="348"/>
      <c r="N31" s="348"/>
    </row>
    <row r="32" spans="1:14" ht="19.5" customHeight="1" x14ac:dyDescent="0.25">
      <c r="A32" s="250">
        <v>5</v>
      </c>
      <c r="B32" s="329"/>
      <c r="C32" s="329"/>
      <c r="D32" s="295"/>
      <c r="E32" s="295"/>
      <c r="F32" s="295"/>
      <c r="G32" s="295"/>
      <c r="H32" s="295"/>
      <c r="I32" s="289"/>
      <c r="J32" s="289"/>
      <c r="K32" s="289"/>
      <c r="L32" s="289"/>
      <c r="M32" s="289"/>
    </row>
    <row r="33" spans="1:13" ht="20.25" customHeight="1" x14ac:dyDescent="0.25">
      <c r="A33" s="250">
        <v>6</v>
      </c>
      <c r="B33" s="329"/>
      <c r="C33" s="329"/>
      <c r="D33" s="295"/>
      <c r="E33" s="295"/>
      <c r="F33" s="295"/>
      <c r="G33" s="295"/>
      <c r="H33" s="295"/>
      <c r="I33" s="289"/>
      <c r="J33" s="289"/>
      <c r="K33" s="289"/>
      <c r="L33" s="289"/>
      <c r="M33" s="289"/>
    </row>
    <row r="34" spans="1:13" ht="20.25" customHeight="1" x14ac:dyDescent="0.25">
      <c r="A34" s="250">
        <v>7</v>
      </c>
      <c r="B34" s="329"/>
      <c r="C34" s="329"/>
      <c r="D34" s="295"/>
      <c r="E34" s="295"/>
      <c r="F34" s="295"/>
      <c r="G34" s="295"/>
      <c r="H34" s="295"/>
      <c r="I34" s="289"/>
      <c r="J34" s="289"/>
      <c r="K34" s="289"/>
      <c r="L34" s="289"/>
      <c r="M34" s="289"/>
    </row>
    <row r="35" spans="1:13" ht="21" customHeight="1" x14ac:dyDescent="0.25">
      <c r="A35" s="250">
        <v>8</v>
      </c>
      <c r="B35" s="329"/>
      <c r="C35" s="329"/>
      <c r="D35" s="295"/>
      <c r="E35" s="295"/>
      <c r="F35" s="295"/>
      <c r="G35" s="295"/>
      <c r="H35" s="295"/>
      <c r="I35" s="289"/>
      <c r="J35" s="289"/>
      <c r="K35" s="289"/>
      <c r="L35" s="289"/>
      <c r="M35" s="289"/>
    </row>
    <row r="36" spans="1:13" ht="26.25" customHeight="1" x14ac:dyDescent="0.25">
      <c r="A36" s="250">
        <v>9</v>
      </c>
      <c r="B36" s="329"/>
      <c r="C36" s="329"/>
      <c r="D36" s="295"/>
      <c r="E36" s="295"/>
      <c r="F36" s="295"/>
      <c r="G36" s="295"/>
      <c r="H36" s="295"/>
      <c r="I36" s="289"/>
      <c r="J36" s="289"/>
      <c r="K36" s="289"/>
      <c r="L36" s="289"/>
      <c r="M36" s="289"/>
    </row>
    <row r="37" spans="1:13" x14ac:dyDescent="0.25">
      <c r="A37" s="88"/>
      <c r="B37" s="1"/>
      <c r="C37" s="1"/>
      <c r="D37" s="1"/>
      <c r="E37" s="1"/>
      <c r="F37" s="1"/>
      <c r="G37" s="1"/>
      <c r="H37" s="1"/>
      <c r="I37" s="289"/>
      <c r="J37" s="289"/>
      <c r="K37" s="289"/>
      <c r="L37" s="289"/>
      <c r="M37" s="289"/>
    </row>
    <row r="38" spans="1:13" x14ac:dyDescent="0.25">
      <c r="A38" s="88"/>
      <c r="B38" s="1"/>
      <c r="C38" s="349" t="s">
        <v>510</v>
      </c>
      <c r="D38" s="349" t="s">
        <v>511</v>
      </c>
      <c r="E38" s="349"/>
      <c r="F38" s="349"/>
      <c r="G38" s="126" t="str">
        <f>IF(+D16&lt;&gt;"",D16,"")</f>
        <v/>
      </c>
      <c r="H38" s="1"/>
      <c r="I38" s="289"/>
      <c r="J38" s="289"/>
      <c r="K38" s="289"/>
      <c r="L38" s="289"/>
      <c r="M38" s="289"/>
    </row>
    <row r="39" spans="1:13" x14ac:dyDescent="0.25">
      <c r="A39" s="88"/>
      <c r="B39" s="1"/>
      <c r="C39" s="349"/>
      <c r="D39" s="126" t="str">
        <f>_xlfn.CONCAT(B$21,"°C")</f>
        <v>80°C</v>
      </c>
      <c r="E39" s="126" t="str">
        <f>_xlfn.CONCAT(B$22,"°C")</f>
        <v>200°C</v>
      </c>
      <c r="F39" s="126" t="str">
        <f>_xlfn.CONCAT(B$23,"°C")</f>
        <v>385°C</v>
      </c>
      <c r="G39" s="126" t="str">
        <f>_xlfn.CONCAT(B$24,"°C")</f>
        <v>535°C</v>
      </c>
      <c r="H39" s="1"/>
      <c r="I39" s="289"/>
      <c r="J39" s="289"/>
      <c r="K39" s="289"/>
      <c r="L39" s="289"/>
      <c r="M39" s="289"/>
    </row>
    <row r="40" spans="1:13" ht="24" customHeight="1" x14ac:dyDescent="0.25">
      <c r="A40" s="88"/>
      <c r="B40" s="1"/>
      <c r="C40" s="250">
        <v>1</v>
      </c>
      <c r="D40" s="295"/>
      <c r="E40" s="295"/>
      <c r="F40" s="295"/>
      <c r="G40" s="295"/>
      <c r="H40" s="1"/>
      <c r="I40" s="289"/>
      <c r="J40" s="289"/>
      <c r="K40" s="289"/>
      <c r="L40" s="289"/>
      <c r="M40" s="289"/>
    </row>
    <row r="41" spans="1:13" ht="23.25" customHeight="1" x14ac:dyDescent="0.25">
      <c r="A41" s="88"/>
      <c r="B41" s="1"/>
      <c r="C41" s="250">
        <v>2</v>
      </c>
      <c r="D41" s="295"/>
      <c r="E41" s="295"/>
      <c r="F41" s="295"/>
      <c r="G41" s="295"/>
      <c r="H41" s="1"/>
      <c r="I41" s="289"/>
      <c r="J41" s="289"/>
      <c r="K41" s="289"/>
      <c r="L41" s="289"/>
      <c r="M41" s="289"/>
    </row>
    <row r="42" spans="1:13" ht="24" customHeight="1" x14ac:dyDescent="0.25">
      <c r="A42" s="88"/>
      <c r="B42" s="1"/>
      <c r="C42" s="250">
        <v>3</v>
      </c>
      <c r="D42" s="295"/>
      <c r="E42" s="295"/>
      <c r="F42" s="295"/>
      <c r="G42" s="295"/>
      <c r="H42" s="1"/>
      <c r="I42" s="289"/>
      <c r="J42" s="289"/>
      <c r="K42" s="289"/>
      <c r="L42" s="289"/>
      <c r="M42" s="289"/>
    </row>
    <row r="43" spans="1:13" ht="21" customHeight="1" x14ac:dyDescent="0.25">
      <c r="A43" s="88"/>
      <c r="B43" s="1"/>
      <c r="C43" s="250">
        <v>4</v>
      </c>
      <c r="D43" s="295"/>
      <c r="E43" s="295"/>
      <c r="F43" s="295"/>
      <c r="G43" s="295"/>
      <c r="H43" s="1"/>
      <c r="I43" s="289"/>
      <c r="J43" s="289"/>
      <c r="K43" s="289"/>
      <c r="L43" s="289"/>
      <c r="M43" s="289"/>
    </row>
    <row r="44" spans="1:13" ht="28.5" customHeight="1" x14ac:dyDescent="0.25">
      <c r="A44" s="88"/>
      <c r="B44" s="1"/>
      <c r="C44" s="250">
        <v>5</v>
      </c>
      <c r="D44" s="295"/>
      <c r="E44" s="295"/>
      <c r="F44" s="295"/>
      <c r="G44" s="295"/>
      <c r="H44" s="1"/>
      <c r="I44" s="289"/>
      <c r="J44" s="289"/>
      <c r="K44" s="289"/>
      <c r="L44" s="289"/>
      <c r="M44" s="289"/>
    </row>
    <row r="45" spans="1:13" ht="24" customHeight="1" x14ac:dyDescent="0.25">
      <c r="A45" s="88"/>
      <c r="B45" s="1"/>
      <c r="C45" s="250">
        <v>6</v>
      </c>
      <c r="D45" s="295"/>
      <c r="E45" s="295"/>
      <c r="F45" s="295"/>
      <c r="G45" s="295"/>
      <c r="H45" s="1"/>
      <c r="I45" s="289"/>
      <c r="J45" s="289"/>
      <c r="K45" s="289"/>
      <c r="L45" s="289"/>
      <c r="M45" s="289"/>
    </row>
    <row r="46" spans="1:13" ht="24" customHeight="1" x14ac:dyDescent="0.25">
      <c r="A46" s="88"/>
      <c r="B46" s="1"/>
      <c r="C46" s="250">
        <v>7</v>
      </c>
      <c r="D46" s="295"/>
      <c r="E46" s="295"/>
      <c r="F46" s="295"/>
      <c r="G46" s="295"/>
      <c r="H46" s="1"/>
      <c r="I46" s="289"/>
      <c r="J46" s="289"/>
      <c r="K46" s="289"/>
      <c r="L46" s="289"/>
      <c r="M46" s="289"/>
    </row>
    <row r="47" spans="1:13" ht="23.25" customHeight="1" x14ac:dyDescent="0.25">
      <c r="A47" s="88"/>
      <c r="B47" s="1"/>
      <c r="C47" s="250">
        <v>8</v>
      </c>
      <c r="D47" s="295"/>
      <c r="E47" s="295"/>
      <c r="F47" s="295"/>
      <c r="G47" s="295"/>
      <c r="H47" s="1"/>
      <c r="I47" s="289"/>
      <c r="J47" s="289"/>
      <c r="K47" s="289"/>
      <c r="L47" s="289"/>
      <c r="M47" s="289"/>
    </row>
    <row r="48" spans="1:13" ht="24" customHeight="1" x14ac:dyDescent="0.25">
      <c r="A48" s="88"/>
      <c r="B48" s="1"/>
      <c r="C48" s="250">
        <v>9</v>
      </c>
      <c r="D48" s="295"/>
      <c r="E48" s="295"/>
      <c r="F48" s="295"/>
      <c r="G48" s="295"/>
      <c r="H48" s="1"/>
      <c r="I48" s="289"/>
      <c r="J48" s="289"/>
      <c r="K48" s="289"/>
      <c r="L48" s="289"/>
      <c r="M48" s="289"/>
    </row>
    <row r="49" spans="1:13" x14ac:dyDescent="0.25">
      <c r="A49" s="88"/>
      <c r="B49" s="1"/>
      <c r="C49" s="1"/>
      <c r="D49" s="1"/>
      <c r="E49" s="1"/>
      <c r="F49" s="1"/>
      <c r="G49" s="1"/>
      <c r="H49" s="1"/>
      <c r="I49" s="289"/>
      <c r="J49" s="289"/>
      <c r="K49" s="289"/>
      <c r="L49" s="289"/>
      <c r="M49" s="289"/>
    </row>
    <row r="50" spans="1:13" x14ac:dyDescent="0.25">
      <c r="A50" s="88"/>
      <c r="B50" s="1"/>
      <c r="C50" s="1"/>
      <c r="D50" s="1"/>
      <c r="E50" s="1"/>
      <c r="F50" s="1"/>
      <c r="G50" s="1"/>
      <c r="H50" s="1"/>
      <c r="I50" s="289"/>
      <c r="J50" s="289"/>
      <c r="K50" s="289"/>
      <c r="L50" s="289"/>
      <c r="M50" s="289"/>
    </row>
    <row r="51" spans="1:13" x14ac:dyDescent="0.25">
      <c r="A51" s="296" t="s">
        <v>512</v>
      </c>
      <c r="B51" s="1"/>
      <c r="C51" s="297" t="s">
        <v>483</v>
      </c>
      <c r="D51" s="349"/>
      <c r="E51" s="349"/>
      <c r="F51" s="88"/>
      <c r="G51" s="1"/>
      <c r="H51" s="1"/>
    </row>
    <row r="52" spans="1:13" x14ac:dyDescent="0.25">
      <c r="C52" s="279"/>
      <c r="D52" s="250" t="s">
        <v>487</v>
      </c>
      <c r="E52" s="250" t="s">
        <v>488</v>
      </c>
      <c r="F52" s="1"/>
      <c r="I52" s="298"/>
      <c r="J52" s="299"/>
      <c r="K52" s="300"/>
      <c r="L52" s="301"/>
      <c r="M52" s="302"/>
    </row>
    <row r="53" spans="1:13" ht="28.9" customHeight="1" x14ac:dyDescent="0.25">
      <c r="A53" s="303" t="s">
        <v>513</v>
      </c>
      <c r="B53" s="304" t="s">
        <v>514</v>
      </c>
      <c r="C53" s="282" t="s">
        <v>515</v>
      </c>
      <c r="D53" s="282" t="s">
        <v>516</v>
      </c>
      <c r="E53" s="305">
        <v>42901</v>
      </c>
      <c r="F53" s="286"/>
      <c r="G53" s="299"/>
      <c r="H53" s="299"/>
      <c r="I53" s="348" t="s">
        <v>492</v>
      </c>
      <c r="J53" s="348"/>
      <c r="K53" s="348"/>
      <c r="L53" s="348"/>
      <c r="M53" s="348"/>
    </row>
    <row r="54" spans="1:13" ht="25.9" customHeight="1" x14ac:dyDescent="0.25">
      <c r="A54" s="306"/>
      <c r="B54" s="304" t="s">
        <v>517</v>
      </c>
      <c r="C54" s="282" t="s">
        <v>518</v>
      </c>
      <c r="D54" s="282" t="s">
        <v>519</v>
      </c>
      <c r="E54" s="305">
        <v>44785</v>
      </c>
      <c r="F54" s="299"/>
      <c r="G54" s="286"/>
      <c r="H54" s="286"/>
      <c r="I54" s="348" t="s">
        <v>494</v>
      </c>
      <c r="J54" s="348"/>
      <c r="K54" s="348"/>
      <c r="L54" s="348"/>
      <c r="M54" s="348"/>
    </row>
    <row r="55" spans="1:13" ht="28.9" customHeight="1" x14ac:dyDescent="0.25">
      <c r="A55" s="306"/>
      <c r="B55" s="304" t="s">
        <v>520</v>
      </c>
      <c r="C55" s="282" t="s">
        <v>521</v>
      </c>
      <c r="D55" s="282" t="s">
        <v>522</v>
      </c>
      <c r="E55" s="305">
        <v>44865</v>
      </c>
      <c r="F55" s="286"/>
      <c r="G55" s="286"/>
      <c r="H55" s="286"/>
      <c r="I55" s="307"/>
      <c r="J55" s="301"/>
      <c r="K55" s="302"/>
      <c r="L55" s="299"/>
      <c r="M55" s="302"/>
    </row>
    <row r="56" spans="1:13" x14ac:dyDescent="0.25">
      <c r="A56" s="308"/>
      <c r="B56" s="308"/>
      <c r="C56" s="308"/>
      <c r="D56" s="308"/>
      <c r="E56" s="308"/>
      <c r="F56" s="308"/>
      <c r="G56" s="308"/>
      <c r="H56" s="308"/>
      <c r="I56" s="299"/>
      <c r="J56" s="299"/>
      <c r="K56" s="299"/>
    </row>
    <row r="58" spans="1:13" x14ac:dyDescent="0.25">
      <c r="A58" s="306" t="s">
        <v>523</v>
      </c>
      <c r="B58" s="339"/>
      <c r="C58" s="340"/>
      <c r="D58" s="340"/>
      <c r="E58" s="340"/>
      <c r="F58" s="341"/>
    </row>
    <row r="59" spans="1:13" x14ac:dyDescent="0.25">
      <c r="A59" s="306" t="s">
        <v>524</v>
      </c>
      <c r="B59" s="342"/>
      <c r="C59" s="343"/>
      <c r="D59" s="343"/>
      <c r="E59" s="343"/>
      <c r="F59" s="344"/>
    </row>
    <row r="60" spans="1:13" x14ac:dyDescent="0.25">
      <c r="B60" s="345"/>
      <c r="C60" s="346"/>
      <c r="D60" s="346"/>
      <c r="E60" s="346"/>
      <c r="F60" s="347"/>
    </row>
    <row r="63" spans="1:13" ht="30" customHeight="1" x14ac:dyDescent="0.25"/>
  </sheetData>
  <sheetProtection algorithmName="SHA-512" hashValue="a6RggL+7kud/LSutMMQJclPP4hpCIA/ruxORrG2xi+O/y2D4esiZbKU6NhoQab4BkTsD5VwytrBTi5BTH7xm/g==" saltValue="YvKTZU0N7sbWcL8pCx2pAQ==" spinCount="100000" sheet="1" objects="1" scenarios="1" selectLockedCells="1"/>
  <protectedRanges>
    <protectedRange sqref="B5:B12" name="Donnees controleur"/>
  </protectedRanges>
  <dataConsolidate/>
  <mergeCells count="19">
    <mergeCell ref="J30:N30"/>
    <mergeCell ref="A1:M1"/>
    <mergeCell ref="A2:M2"/>
    <mergeCell ref="B4:D4"/>
    <mergeCell ref="A7:A9"/>
    <mergeCell ref="D14:E14"/>
    <mergeCell ref="J14:N14"/>
    <mergeCell ref="J15:N15"/>
    <mergeCell ref="I19:M19"/>
    <mergeCell ref="A26:C26"/>
    <mergeCell ref="D26:H26"/>
    <mergeCell ref="J29:N29"/>
    <mergeCell ref="B58:F60"/>
    <mergeCell ref="J31:N31"/>
    <mergeCell ref="C38:C39"/>
    <mergeCell ref="D38:F38"/>
    <mergeCell ref="D51:E51"/>
    <mergeCell ref="I53:M53"/>
    <mergeCell ref="I54:M54"/>
  </mergeCells>
  <conditionalFormatting sqref="E16">
    <cfRule type="expression" dxfId="99" priority="2">
      <formula>$B$6&gt;EDATE($E$16,3)</formula>
    </cfRule>
  </conditionalFormatting>
  <conditionalFormatting sqref="F17:F18">
    <cfRule type="expression" dxfId="98" priority="3">
      <formula>$B$6&gt;(EDATE($F18,3)-JOUR.DECALER(4))</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66"/>
  <sheetViews>
    <sheetView workbookViewId="0">
      <selection activeCell="B5" sqref="B5:G5"/>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21"/>
      <c r="B2" s="88"/>
      <c r="C2" s="88"/>
      <c r="D2" s="88"/>
      <c r="E2" s="322"/>
      <c r="F2" s="88"/>
      <c r="G2" s="88"/>
      <c r="H2" s="88"/>
      <c r="I2" s="88"/>
      <c r="J2" s="88"/>
      <c r="P2" s="23"/>
    </row>
    <row r="3" spans="1:16" x14ac:dyDescent="0.25">
      <c r="P3" s="23"/>
    </row>
    <row r="4" spans="1:16" x14ac:dyDescent="0.25">
      <c r="P4" s="23"/>
    </row>
    <row r="5" spans="1:16" x14ac:dyDescent="0.25">
      <c r="P5" s="23"/>
    </row>
    <row r="6" spans="1:16" x14ac:dyDescent="0.25">
      <c r="P6" s="23"/>
    </row>
    <row r="7" spans="1:16" x14ac:dyDescent="0.25">
      <c r="P7" s="23"/>
    </row>
    <row r="8" spans="1:16" ht="15.75" thickBot="1" x14ac:dyDescent="0.3">
      <c r="P8" s="23"/>
    </row>
    <row r="9" spans="1:16" ht="14.45" customHeight="1" x14ac:dyDescent="0.25">
      <c r="L9" s="363" t="s">
        <v>525</v>
      </c>
      <c r="M9" s="364"/>
      <c r="N9" s="364"/>
      <c r="O9" s="365"/>
      <c r="P9" s="23"/>
    </row>
    <row r="10" spans="1:16" ht="14.45" customHeight="1" x14ac:dyDescent="0.25">
      <c r="L10" s="366"/>
      <c r="M10" s="367"/>
      <c r="N10" s="367"/>
      <c r="O10" s="368"/>
      <c r="P10" s="23"/>
    </row>
    <row r="11" spans="1:16" ht="14.45" customHeight="1" x14ac:dyDescent="0.25">
      <c r="L11" s="366"/>
      <c r="M11" s="367"/>
      <c r="N11" s="367"/>
      <c r="O11" s="368"/>
      <c r="P11" s="23"/>
    </row>
    <row r="12" spans="1:16" ht="14.45" customHeight="1" x14ac:dyDescent="0.25">
      <c r="L12" s="366"/>
      <c r="M12" s="367"/>
      <c r="N12" s="367"/>
      <c r="O12" s="368"/>
      <c r="P12" s="23"/>
    </row>
    <row r="13" spans="1:16" ht="14.45" customHeight="1" x14ac:dyDescent="0.25">
      <c r="L13" s="366"/>
      <c r="M13" s="367"/>
      <c r="N13" s="367"/>
      <c r="O13" s="368"/>
      <c r="P13" s="23"/>
    </row>
    <row r="14" spans="1:16" ht="14.45" customHeight="1" x14ac:dyDescent="0.25">
      <c r="L14" s="366"/>
      <c r="M14" s="367"/>
      <c r="N14" s="367"/>
      <c r="O14" s="368"/>
      <c r="P14" s="23"/>
    </row>
    <row r="15" spans="1:16" ht="15" customHeight="1" thickBot="1" x14ac:dyDescent="0.3">
      <c r="L15" s="369"/>
      <c r="M15" s="370"/>
      <c r="N15" s="370"/>
      <c r="O15" s="371"/>
      <c r="P15" s="23"/>
    </row>
    <row r="16" spans="1:16" x14ac:dyDescent="0.25">
      <c r="P16" s="23"/>
    </row>
    <row r="17" spans="16:16" x14ac:dyDescent="0.25">
      <c r="P17" s="23"/>
    </row>
    <row r="18" spans="16:16" x14ac:dyDescent="0.25">
      <c r="P18" s="23"/>
    </row>
    <row r="19" spans="16:16" x14ac:dyDescent="0.25">
      <c r="P19" s="23"/>
    </row>
    <row r="20" spans="16:16" x14ac:dyDescent="0.25">
      <c r="P20" s="23"/>
    </row>
    <row r="21" spans="16:16" x14ac:dyDescent="0.25">
      <c r="P21" s="23"/>
    </row>
    <row r="22" spans="16:16" x14ac:dyDescent="0.25">
      <c r="P22" s="23"/>
    </row>
    <row r="23" spans="16:16" x14ac:dyDescent="0.25">
      <c r="P23" s="23"/>
    </row>
    <row r="24" spans="16:16" x14ac:dyDescent="0.25">
      <c r="P24" s="23"/>
    </row>
    <row r="25" spans="16:16" x14ac:dyDescent="0.25">
      <c r="P25" s="23"/>
    </row>
    <row r="26" spans="16:16" x14ac:dyDescent="0.25">
      <c r="P26" s="23"/>
    </row>
    <row r="27" spans="16:16" x14ac:dyDescent="0.25">
      <c r="P27" s="23"/>
    </row>
    <row r="28" spans="16:16" x14ac:dyDescent="0.25">
      <c r="P28" s="23"/>
    </row>
    <row r="29" spans="16:16" x14ac:dyDescent="0.25">
      <c r="P29" s="23"/>
    </row>
    <row r="30" spans="16:16" x14ac:dyDescent="0.25">
      <c r="P30" s="23"/>
    </row>
    <row r="31" spans="16:16" x14ac:dyDescent="0.25">
      <c r="P31" s="23"/>
    </row>
    <row r="32" spans="16:16" x14ac:dyDescent="0.25">
      <c r="P32" s="23"/>
    </row>
    <row r="33" spans="16:16" x14ac:dyDescent="0.25">
      <c r="P33" s="23"/>
    </row>
    <row r="34" spans="16:16" x14ac:dyDescent="0.25">
      <c r="P34" s="23"/>
    </row>
    <row r="35" spans="16:16" x14ac:dyDescent="0.25">
      <c r="P35" s="23"/>
    </row>
    <row r="36" spans="16:16" x14ac:dyDescent="0.25">
      <c r="P36" s="23"/>
    </row>
    <row r="37" spans="16:16" x14ac:dyDescent="0.25">
      <c r="P37" s="23"/>
    </row>
    <row r="38" spans="16:16" x14ac:dyDescent="0.25">
      <c r="P38" s="23"/>
    </row>
    <row r="39" spans="16:16" x14ac:dyDescent="0.25">
      <c r="P39" s="23"/>
    </row>
    <row r="40" spans="16:16" x14ac:dyDescent="0.25">
      <c r="P40" s="23"/>
    </row>
    <row r="41" spans="16:16" x14ac:dyDescent="0.25">
      <c r="P41" s="23"/>
    </row>
    <row r="42" spans="16:16" x14ac:dyDescent="0.25">
      <c r="P42" s="23"/>
    </row>
    <row r="43" spans="16:16" x14ac:dyDescent="0.25">
      <c r="P43" s="23"/>
    </row>
    <row r="44" spans="16:16" x14ac:dyDescent="0.25">
      <c r="P44" s="23"/>
    </row>
    <row r="45" spans="16:16" x14ac:dyDescent="0.25">
      <c r="P45" s="23"/>
    </row>
    <row r="46" spans="16:16" x14ac:dyDescent="0.25">
      <c r="P46" s="23"/>
    </row>
    <row r="47" spans="16:16" x14ac:dyDescent="0.25">
      <c r="P47" s="23"/>
    </row>
    <row r="48" spans="16:16" x14ac:dyDescent="0.25">
      <c r="P48" s="23"/>
    </row>
    <row r="49" spans="16:16" x14ac:dyDescent="0.25">
      <c r="P49" s="23"/>
    </row>
    <row r="50" spans="16:16" x14ac:dyDescent="0.25">
      <c r="P50" s="23"/>
    </row>
    <row r="51" spans="16:16" x14ac:dyDescent="0.25">
      <c r="P51" s="23"/>
    </row>
    <row r="52" spans="16:16" x14ac:dyDescent="0.25">
      <c r="P52" s="23"/>
    </row>
    <row r="53" spans="16:16" x14ac:dyDescent="0.25">
      <c r="P53" s="23"/>
    </row>
    <row r="54" spans="16:16" x14ac:dyDescent="0.25">
      <c r="P54" s="23"/>
    </row>
    <row r="55" spans="16:16" x14ac:dyDescent="0.25">
      <c r="P55" s="23"/>
    </row>
    <row r="56" spans="16:16" x14ac:dyDescent="0.25">
      <c r="P56" s="23"/>
    </row>
    <row r="57" spans="16:16" x14ac:dyDescent="0.25">
      <c r="P57" s="23"/>
    </row>
    <row r="58" spans="16:16" x14ac:dyDescent="0.25">
      <c r="P58" s="23"/>
    </row>
    <row r="59" spans="16:16" x14ac:dyDescent="0.25">
      <c r="P59" s="23"/>
    </row>
    <row r="60" spans="16:16" x14ac:dyDescent="0.25">
      <c r="P60" s="23"/>
    </row>
    <row r="61" spans="16:16" x14ac:dyDescent="0.25">
      <c r="P61" s="23"/>
    </row>
    <row r="62" spans="16:16" x14ac:dyDescent="0.25">
      <c r="P62" s="23"/>
    </row>
    <row r="63" spans="16:16" x14ac:dyDescent="0.25">
      <c r="P63" s="23"/>
    </row>
    <row r="64" spans="16:16" x14ac:dyDescent="0.25">
      <c r="P64" s="23"/>
    </row>
    <row r="65" spans="16:16" x14ac:dyDescent="0.25">
      <c r="P65" s="23"/>
    </row>
    <row r="66" spans="16:16" x14ac:dyDescent="0.25">
      <c r="P66" s="23"/>
    </row>
  </sheetData>
  <sheetProtection algorithmName="SHA-512" hashValue="fc0AV/4cYvb2rPd11qHy8LNgym8ZHDayo9823lo7duwgmw2g04/2KdhG3eKvtjA5N8Tfh85CzMC5cJPRYdX3VQ==" saltValue="NhNb0aH4IWqpxxzO/sIUKw=="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ht="14.45" customHeight="1" x14ac:dyDescent="0.25">
      <c r="L9" s="363" t="s">
        <v>525</v>
      </c>
      <c r="M9" s="364"/>
      <c r="N9" s="364"/>
      <c r="O9" s="365"/>
    </row>
    <row r="10" spans="1:15" ht="14.45" customHeight="1" x14ac:dyDescent="0.25">
      <c r="L10" s="366"/>
      <c r="M10" s="367"/>
      <c r="N10" s="367"/>
      <c r="O10" s="368"/>
    </row>
    <row r="11" spans="1:15" ht="14.45" customHeight="1" x14ac:dyDescent="0.25">
      <c r="L11" s="366"/>
      <c r="M11" s="367"/>
      <c r="N11" s="367"/>
      <c r="O11" s="368"/>
    </row>
    <row r="12" spans="1:15" ht="14.45" customHeight="1" x14ac:dyDescent="0.25">
      <c r="L12" s="366"/>
      <c r="M12" s="367"/>
      <c r="N12" s="367"/>
      <c r="O12" s="368"/>
    </row>
    <row r="13" spans="1:15" ht="14.45" customHeight="1" x14ac:dyDescent="0.25">
      <c r="L13" s="366"/>
      <c r="M13" s="367"/>
      <c r="N13" s="367"/>
      <c r="O13" s="368"/>
    </row>
    <row r="14" spans="1:15" ht="14.45" customHeight="1" x14ac:dyDescent="0.25">
      <c r="L14" s="366"/>
      <c r="M14" s="367"/>
      <c r="N14" s="367"/>
      <c r="O14" s="368"/>
    </row>
    <row r="15" spans="1:15" ht="15.75" thickBot="1" x14ac:dyDescent="0.3">
      <c r="L15" s="369"/>
      <c r="M15" s="370"/>
      <c r="N15" s="370"/>
      <c r="O15" s="371"/>
    </row>
  </sheetData>
  <sheetProtection algorithmName="SHA-512" hashValue="1ZPgq9dMB5sbwSnUh30tq6eQS8uPW7Cuetr7K1Wzy0GYMgOG7TT7lVgxN4CpKxbCBTKcOmDEpi11PW0vOpjmpQ==" saltValue="hJOtAqFdaBg9M3nxGbyq8A=="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x14ac:dyDescent="0.25">
      <c r="L9" s="363" t="s">
        <v>525</v>
      </c>
      <c r="M9" s="364"/>
      <c r="N9" s="364"/>
      <c r="O9" s="365"/>
    </row>
    <row r="10" spans="1:15" x14ac:dyDescent="0.25">
      <c r="L10" s="366"/>
      <c r="M10" s="367"/>
      <c r="N10" s="367"/>
      <c r="O10" s="368"/>
    </row>
    <row r="11" spans="1:15" x14ac:dyDescent="0.25">
      <c r="L11" s="366"/>
      <c r="M11" s="367"/>
      <c r="N11" s="367"/>
      <c r="O11" s="368"/>
    </row>
    <row r="12" spans="1:15" x14ac:dyDescent="0.25">
      <c r="L12" s="366"/>
      <c r="M12" s="367"/>
      <c r="N12" s="367"/>
      <c r="O12" s="368"/>
    </row>
    <row r="13" spans="1:15" x14ac:dyDescent="0.25">
      <c r="L13" s="366"/>
      <c r="M13" s="367"/>
      <c r="N13" s="367"/>
      <c r="O13" s="368"/>
    </row>
    <row r="14" spans="1:15" x14ac:dyDescent="0.25">
      <c r="L14" s="366"/>
      <c r="M14" s="367"/>
      <c r="N14" s="367"/>
      <c r="O14" s="368"/>
    </row>
    <row r="15" spans="1:15" ht="15.75" thickBot="1" x14ac:dyDescent="0.3">
      <c r="L15" s="369"/>
      <c r="M15" s="370"/>
      <c r="N15" s="370"/>
      <c r="O15" s="371"/>
    </row>
  </sheetData>
  <sheetProtection algorithmName="SHA-512" hashValue="4qp4n+3UitgyzrMxb74wkuK5adMni/s1RVvz/IYY9nINlwuWhJz2fWWyQdV9xEYquCIc3KpYPYH8zsbAea2HNQ==" saltValue="K7aSyVnMwJyAyh4faAlL7w=="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15"/>
  <sheetViews>
    <sheetView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21"/>
      <c r="B2" s="88"/>
      <c r="C2" s="88"/>
      <c r="D2" s="88"/>
      <c r="E2" s="88"/>
      <c r="F2" s="88"/>
      <c r="G2" s="88"/>
      <c r="H2" s="88"/>
      <c r="I2" s="88"/>
      <c r="J2" s="88"/>
    </row>
    <row r="8" spans="1:15" ht="15.75" thickBot="1" x14ac:dyDescent="0.3"/>
    <row r="9" spans="1:15" x14ac:dyDescent="0.25">
      <c r="L9" s="363" t="s">
        <v>525</v>
      </c>
      <c r="M9" s="364"/>
      <c r="N9" s="364"/>
      <c r="O9" s="365"/>
    </row>
    <row r="10" spans="1:15" x14ac:dyDescent="0.25">
      <c r="L10" s="366"/>
      <c r="M10" s="367"/>
      <c r="N10" s="367"/>
      <c r="O10" s="368"/>
    </row>
    <row r="11" spans="1:15" x14ac:dyDescent="0.25">
      <c r="L11" s="366"/>
      <c r="M11" s="367"/>
      <c r="N11" s="367"/>
      <c r="O11" s="368"/>
    </row>
    <row r="12" spans="1:15" x14ac:dyDescent="0.25">
      <c r="L12" s="366"/>
      <c r="M12" s="367"/>
      <c r="N12" s="367"/>
      <c r="O12" s="368"/>
    </row>
    <row r="13" spans="1:15" x14ac:dyDescent="0.25">
      <c r="L13" s="366"/>
      <c r="M13" s="367"/>
      <c r="N13" s="367"/>
      <c r="O13" s="368"/>
    </row>
    <row r="14" spans="1:15" x14ac:dyDescent="0.25">
      <c r="L14" s="366"/>
      <c r="M14" s="367"/>
      <c r="N14" s="367"/>
      <c r="O14" s="368"/>
    </row>
    <row r="15" spans="1:15" ht="15.75" thickBot="1" x14ac:dyDescent="0.3">
      <c r="L15" s="369"/>
      <c r="M15" s="370"/>
      <c r="N15" s="370"/>
      <c r="O15" s="371"/>
    </row>
  </sheetData>
  <sheetProtection algorithmName="SHA-512" hashValue="Rd693FH1HLKTXy4r/HzIP1XRrPANiXjoa5cyJc2ktT9AlatcjmEVArjO0EvJhQ7tBenApckex4tGB6ngmNTILg==" saltValue="vYBy0EvLvBCK+hQrOm0WqQ==" spinCount="100000" sheet="1" objects="1" scenarios="1"/>
  <mergeCells count="1">
    <mergeCell ref="L9:O15"/>
  </mergeCell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5"/>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526</v>
      </c>
      <c r="C1" t="s">
        <v>527</v>
      </c>
      <c r="D1" t="s">
        <v>528</v>
      </c>
      <c r="E1" t="s">
        <v>529</v>
      </c>
    </row>
    <row r="2" spans="1:11" x14ac:dyDescent="0.25">
      <c r="A2" s="321"/>
      <c r="B2" s="88"/>
      <c r="C2" s="88"/>
      <c r="D2" s="88"/>
      <c r="E2" s="88"/>
    </row>
    <row r="8" spans="1:11" ht="15.75" thickBot="1" x14ac:dyDescent="0.3"/>
    <row r="9" spans="1:11" x14ac:dyDescent="0.25">
      <c r="H9" s="363" t="s">
        <v>525</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A2fA8qq7Q/UCHxjXugbsHR3cxiy8j7dyYbCzNxiX+bv7h/vHbxYANsbMzwvhB3PcKH9wvN+JCOxsn8A6aHnNYw==" saltValue="i4pC4aaW6zl8uVR9DNdns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15"/>
  <sheetViews>
    <sheetView topLeftCell="A2" workbookViewId="0">
      <selection activeCell="A2" sqref="A2:E94"/>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1"/>
      <c r="B2" s="88"/>
      <c r="C2" s="88"/>
      <c r="D2" s="88"/>
      <c r="E2" s="88"/>
    </row>
    <row r="8" spans="1:11" ht="15.75" thickBot="1" x14ac:dyDescent="0.3"/>
    <row r="9" spans="1:11" x14ac:dyDescent="0.25">
      <c r="H9" s="363" t="s">
        <v>525</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CKaIlz2yflVTP9HNWng5Nn1/Uk/8udDjaCemQXXQWaS+aIi/l3NujNgHJknuKGpFTidFF0ETJi8P9MVuoAmHYA==" saltValue="m3SSCnAZ4DQ9XKwDOyhqfw=="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1"/>
      <c r="B2" s="88"/>
      <c r="C2" s="88"/>
      <c r="D2" s="88"/>
      <c r="E2" s="88"/>
    </row>
    <row r="8" spans="1:11" ht="15.75" thickBot="1" x14ac:dyDescent="0.3"/>
    <row r="9" spans="1:11" x14ac:dyDescent="0.25">
      <c r="H9" s="363" t="s">
        <v>525</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hUTGSVhcok1rWiWYbefHyKvYe8oDJMvXOOin3TwEwDWek2IBQuJhoOzWBKSfcUmEs6h5xL1+GY985nlhyP43Cg==" saltValue="FHni+M4L0O1L/FFMhtc7LQ=="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15"/>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526</v>
      </c>
      <c r="C1" t="s">
        <v>527</v>
      </c>
      <c r="D1" t="s">
        <v>528</v>
      </c>
      <c r="E1" t="s">
        <v>529</v>
      </c>
    </row>
    <row r="2" spans="1:11" x14ac:dyDescent="0.25">
      <c r="A2" s="321"/>
      <c r="B2" s="88"/>
      <c r="C2" s="88"/>
      <c r="D2" s="88"/>
      <c r="E2" s="88"/>
    </row>
    <row r="8" spans="1:11" ht="15.75" thickBot="1" x14ac:dyDescent="0.3"/>
    <row r="9" spans="1:11" x14ac:dyDescent="0.25">
      <c r="H9" s="363" t="s">
        <v>525</v>
      </c>
      <c r="I9" s="364"/>
      <c r="J9" s="364"/>
      <c r="K9" s="365"/>
    </row>
    <row r="10" spans="1:11" x14ac:dyDescent="0.25">
      <c r="H10" s="366"/>
      <c r="I10" s="367"/>
      <c r="J10" s="367"/>
      <c r="K10" s="368"/>
    </row>
    <row r="11" spans="1:11" x14ac:dyDescent="0.25">
      <c r="H11" s="366"/>
      <c r="I11" s="367"/>
      <c r="J11" s="367"/>
      <c r="K11" s="368"/>
    </row>
    <row r="12" spans="1:11" x14ac:dyDescent="0.25">
      <c r="H12" s="366"/>
      <c r="I12" s="367"/>
      <c r="J12" s="367"/>
      <c r="K12" s="368"/>
    </row>
    <row r="13" spans="1:11" x14ac:dyDescent="0.25">
      <c r="H13" s="366"/>
      <c r="I13" s="367"/>
      <c r="J13" s="367"/>
      <c r="K13" s="368"/>
    </row>
    <row r="14" spans="1:11" x14ac:dyDescent="0.25">
      <c r="H14" s="366"/>
      <c r="I14" s="367"/>
      <c r="J14" s="367"/>
      <c r="K14" s="368"/>
    </row>
    <row r="15" spans="1:11" ht="15.75" thickBot="1" x14ac:dyDescent="0.3">
      <c r="H15" s="369"/>
      <c r="I15" s="370"/>
      <c r="J15" s="370"/>
      <c r="K15" s="371"/>
    </row>
  </sheetData>
  <sheetProtection algorithmName="SHA-512" hashValue="lj33qQLBC+gI3SCJ4S18pfojravJqzAcF+ASwc13yMg4i3KKI/3Ocm+ghXlvhfCOtIDQU5SqhRU11blLoxqZ/g==" saltValue="n1XnVZXxDuf0jnaiOmsJCg==" spinCount="100000" sheet="1" objects="1" scenarios="1"/>
  <mergeCells count="1">
    <mergeCell ref="H9:K15"/>
  </mergeCells>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330"/>
  <sheetViews>
    <sheetView topLeftCell="D1" zoomScale="85" zoomScaleNormal="85" workbookViewId="0">
      <selection activeCell="N3" sqref="N3"/>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72" t="str">
        <f>Mesures_Four!D27</f>
        <v>80°C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31" x14ac:dyDescent="0.25">
      <c r="A2" s="145"/>
      <c r="M2" s="23" t="s">
        <v>87</v>
      </c>
      <c r="N2" s="44">
        <f>_xlfn.XLOOKUP(INT(SUBSTITUTE(N6,"Connecteur ", "")),Mesures_Four!C40:C48,Mesures_Four!D40:D48)</f>
        <v>0</v>
      </c>
      <c r="O2" s="44">
        <f>_xlfn.XLOOKUP(INT(SUBSTITUTE(O6,"Connecteur ", "")),Mesures_Four!C40:C48,Mesures_Four!D40:D48)</f>
        <v>0</v>
      </c>
      <c r="P2" s="44">
        <f>_xlfn.XLOOKUP(INT(SUBSTITUTE(P6,"Connecteur ", "")),Mesures_Four!C40:C48,Mesures_Four!D40:D48)</f>
        <v>0</v>
      </c>
      <c r="Q2" s="44">
        <f>_xlfn.XLOOKUP(INT(SUBSTITUTE(Q6,"Connecteur ", "")),Mesures_Four!C40:C48,Mesures_Four!D40:D48)</f>
        <v>0</v>
      </c>
      <c r="R2" s="44">
        <f>_xlfn.XLOOKUP(INT(SUBSTITUTE(R6,"Connecteur ", "")),Mesures_Four!C40:C48,Mesures_Four!D40:D48)</f>
        <v>0</v>
      </c>
      <c r="S2" s="44">
        <f>_xlfn.XLOOKUP(INT(SUBSTITUTE(S6,"Connecteur ", "")),Mesures_Four!C40:C48,Mesures_Four!D40:D48)</f>
        <v>0</v>
      </c>
      <c r="T2" s="44">
        <f>_xlfn.XLOOKUP(INT(SUBSTITUTE(T6,"Connecteur ", "")),Mesures_Four!C40:C48,Mesures_Four!D40:D48)</f>
        <v>0</v>
      </c>
      <c r="U2" s="44">
        <f>_xlfn.XLOOKUP(INT(SUBSTITUTE(U6,"Connecteur ", "")),Mesures_Four!C40:C48,Mesures_Four!D40:D48)</f>
        <v>0</v>
      </c>
      <c r="V2" s="44">
        <f>_xlfn.XLOOKUP(INT(SUBSTITUTE(V6,"Connecteur ", "")),Mesures_Four!C40:C48,Mesures_Four!D40:D48)</f>
        <v>0</v>
      </c>
      <c r="W2" s="212"/>
      <c r="X2" s="158"/>
      <c r="Y2" s="158"/>
    </row>
    <row r="3" spans="1:31" x14ac:dyDescent="0.25">
      <c r="M3" s="23" t="s">
        <v>23</v>
      </c>
      <c r="N3" s="44" t="e" cm="1">
        <f t="array" ref="N3">_xlfn.XLOOKUP(INT(SUBSTITUTE(N6,"Connecteur ", "")),INT(Mesures_Four!B28:B36),Mesures_Four!D28:D36)</f>
        <v>#N/A</v>
      </c>
      <c r="O3" s="44" t="e" cm="1">
        <f t="array" ref="O3">_xlfn.XLOOKUP(INT(SUBSTITUTE(O6,"Connecteur ", "")),INT(Mesures_Four!B28:B36),Mesures_Four!D28:D36)</f>
        <v>#N/A</v>
      </c>
      <c r="P3" s="44" t="e" cm="1">
        <f t="array" ref="P3">_xlfn.XLOOKUP(INT(SUBSTITUTE(P6,"Connecteur ", "")),INT(Mesures_Four!B28:B36),Mesures_Four!D28:D36)</f>
        <v>#N/A</v>
      </c>
      <c r="Q3" s="44" t="e" cm="1">
        <f t="array" ref="Q3">_xlfn.XLOOKUP(INT(SUBSTITUTE(Q6,"Connecteur ", "")),INT(Mesures_Four!B28:B36),Mesures_Four!D28:D36)</f>
        <v>#N/A</v>
      </c>
      <c r="R3" s="44" t="e" cm="1">
        <f t="array" ref="R3">_xlfn.XLOOKUP(INT(SUBSTITUTE(R6,"Connecteur ", "")),INT(Mesures_Four!B28:B36),Mesures_Four!D28:D36)</f>
        <v>#N/A</v>
      </c>
      <c r="S3" s="44" t="e" cm="1">
        <f t="array" ref="S3">_xlfn.XLOOKUP(INT(SUBSTITUTE(S6,"Connecteur ", "")),INT(Mesures_Four!B28:B36),Mesures_Four!D28:D36)</f>
        <v>#N/A</v>
      </c>
      <c r="T3" s="44" t="e" cm="1">
        <f t="array" ref="T3">_xlfn.XLOOKUP(INT(SUBSTITUTE(T6,"Connecteur ", "")),INT(Mesures_Four!B28:B36),Mesures_Four!D28:D36)</f>
        <v>#N/A</v>
      </c>
      <c r="U3" s="44" t="e" cm="1">
        <f t="array" ref="U3">_xlfn.XLOOKUP(INT(SUBSTITUTE(U6,"Connecteur ", "")),INT(Mesures_Four!B28:B36),Mesures_Four!D28:D36)</f>
        <v>#N/A</v>
      </c>
      <c r="V3" s="44" t="e" cm="1">
        <f t="array" ref="V3">_xlfn.XLOOKUP(INT(SUBSTITUTE(V6,"Connecteur ", "")),INT(Mesures_Four!B28:B36),Mesures_Four!D28:D36)</f>
        <v>#N/A</v>
      </c>
      <c r="W3" s="212"/>
      <c r="X3" s="158"/>
      <c r="Y3" s="158"/>
    </row>
    <row r="4" spans="1:31" x14ac:dyDescent="0.25">
      <c r="M4" s="23"/>
      <c r="N4" s="210"/>
      <c r="O4" s="210"/>
      <c r="P4" s="210"/>
      <c r="Q4" s="210"/>
      <c r="R4" s="210"/>
      <c r="S4" s="210"/>
      <c r="T4" s="210"/>
      <c r="U4" s="210"/>
      <c r="V4" s="210"/>
      <c r="W4" s="212"/>
      <c r="X4" s="158"/>
      <c r="Y4" s="158"/>
    </row>
    <row r="5" spans="1:31" x14ac:dyDescent="0.25">
      <c r="B5" s="374" t="s">
        <v>330</v>
      </c>
      <c r="C5" s="374"/>
      <c r="D5" s="374"/>
      <c r="E5" s="374"/>
      <c r="F5" s="374"/>
      <c r="G5" s="374"/>
      <c r="H5" s="374"/>
      <c r="I5" s="374"/>
      <c r="J5" s="374"/>
      <c r="N5" s="375" t="s">
        <v>88</v>
      </c>
      <c r="O5" s="375"/>
      <c r="P5" s="375"/>
      <c r="Q5" s="375"/>
      <c r="R5" s="375"/>
      <c r="S5" s="375"/>
      <c r="T5" s="375"/>
      <c r="U5" s="375"/>
      <c r="V5" s="375"/>
    </row>
    <row r="6" spans="1:31" x14ac:dyDescent="0.25">
      <c r="A6" s="207" t="str" cm="1">
        <f t="array" ref="A6:J7">tab_transfert80[#All]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1" t="str" cm="1">
        <f t="array" ref="N6:V6">tab_transfert80[[#Headers],[Connecteur 1]:[Connecteur 9]]</f>
        <v>Connecteur 1</v>
      </c>
      <c r="O6" s="201" t="str">
        <v>Connecteur 2</v>
      </c>
      <c r="P6" s="201" t="str">
        <v>Connecteur 3</v>
      </c>
      <c r="Q6" s="201" t="str">
        <v>Connecteur 4</v>
      </c>
      <c r="R6" s="201" t="str">
        <v>Connecteur 5</v>
      </c>
      <c r="S6" s="201" t="str">
        <v>Connecteur 6</v>
      </c>
      <c r="T6" s="201" t="str">
        <v>Connecteur 7</v>
      </c>
      <c r="U6" s="201" t="str">
        <v>Connecteur 8</v>
      </c>
      <c r="V6" s="201" t="str">
        <v>Connecteur 9</v>
      </c>
      <c r="W6" s="201" t="str" cm="1">
        <f t="array" ref="W6:W7">tab_four80[[#All],[Consigne T°]]</f>
        <v>Consigne T°</v>
      </c>
      <c r="Z6" s="201" t="str" cm="1">
        <f t="array" ref="Z6:AC7">tab_four80[[#All],[Date/Heure]:[Pt Chaud]]</f>
        <v>Date/Heure</v>
      </c>
      <c r="AA6" s="201" t="str">
        <v>Pt Froid</v>
      </c>
      <c r="AB6" s="201" t="str">
        <v>Regulation</v>
      </c>
      <c r="AC6" s="201" t="str">
        <v>Pt Chaud</v>
      </c>
      <c r="AE6" s="23"/>
    </row>
    <row r="7" spans="1:31" ht="14.45" customHeight="1" x14ac:dyDescent="0.25">
      <c r="A7">
        <v>0</v>
      </c>
      <c r="B7">
        <v>0</v>
      </c>
      <c r="C7">
        <v>0</v>
      </c>
      <c r="D7">
        <v>0</v>
      </c>
      <c r="E7">
        <v>0</v>
      </c>
      <c r="F7">
        <v>0</v>
      </c>
      <c r="G7">
        <v>0</v>
      </c>
      <c r="H7">
        <v>0</v>
      </c>
      <c r="I7">
        <v>0</v>
      </c>
      <c r="J7">
        <v>0</v>
      </c>
      <c r="M7" s="328" t="s">
        <v>328</v>
      </c>
      <c r="N7" s="205" t="e" cm="1">
        <f t="array" ref="N7:V7">tab_transfert80[[Connecteur 1]:[Connecteur 9]]+N2:V2+N3:V3</f>
        <v>#N/A</v>
      </c>
      <c r="O7" s="205" t="e">
        <v>#N/A</v>
      </c>
      <c r="P7" s="205" t="e">
        <v>#N/A</v>
      </c>
      <c r="Q7" s="205" t="e">
        <v>#N/A</v>
      </c>
      <c r="R7" s="205" t="e">
        <v>#N/A</v>
      </c>
      <c r="S7" s="205" t="e">
        <v>#N/A</v>
      </c>
      <c r="T7" s="205" t="e">
        <v>#N/A</v>
      </c>
      <c r="U7" s="205" t="e">
        <v>#N/A</v>
      </c>
      <c r="V7" s="205" t="e">
        <v>#N/A</v>
      </c>
      <c r="W7" s="213">
        <v>0</v>
      </c>
      <c r="Z7" s="23">
        <v>0</v>
      </c>
      <c r="AA7" s="27">
        <v>0</v>
      </c>
      <c r="AB7" s="27">
        <v>0</v>
      </c>
      <c r="AC7" s="27">
        <v>0</v>
      </c>
    </row>
    <row r="8" spans="1:31" ht="14.45" customHeight="1" x14ac:dyDescent="0.25">
      <c r="A8"/>
      <c r="B8"/>
      <c r="C8"/>
      <c r="D8"/>
      <c r="E8"/>
      <c r="F8"/>
      <c r="G8"/>
      <c r="H8"/>
      <c r="I8"/>
      <c r="J8"/>
      <c r="M8" s="327" t="s">
        <v>327</v>
      </c>
      <c r="N8" s="203"/>
      <c r="O8" s="203"/>
      <c r="P8" s="203"/>
      <c r="Q8" s="203"/>
      <c r="R8" s="203"/>
      <c r="S8" s="203"/>
      <c r="T8" s="203"/>
      <c r="U8" s="203"/>
      <c r="V8" s="203"/>
      <c r="W8" s="203"/>
      <c r="Z8" s="23"/>
    </row>
    <row r="9" spans="1:31" s="352" customFormat="1" ht="14.45" customHeight="1" x14ac:dyDescent="0.25"/>
    <row r="10" spans="1:31" ht="14.45" customHeight="1" x14ac:dyDescent="0.25">
      <c r="A10"/>
      <c r="B10"/>
      <c r="C10"/>
      <c r="D10"/>
      <c r="E10"/>
      <c r="F10"/>
      <c r="G10"/>
      <c r="H10"/>
      <c r="I10"/>
      <c r="J10"/>
      <c r="M10" s="91" t="s">
        <v>90</v>
      </c>
      <c r="N10" s="43" t="e">
        <f>MAX(tab_transfert80[Connecteur 1])+N$2+N$3</f>
        <v>#N/A</v>
      </c>
      <c r="O10" s="43" t="e">
        <f>MAX(tab_transfert80[Connecteur 2])+O$2+O$3</f>
        <v>#N/A</v>
      </c>
      <c r="P10" s="43" t="e">
        <f>MAX(tab_transfert80[Connecteur 3])+P$2+P$3</f>
        <v>#N/A</v>
      </c>
      <c r="Q10" s="43" t="e">
        <f>MAX(tab_transfert80[Connecteur 4])+Q$2+Q$3</f>
        <v>#N/A</v>
      </c>
      <c r="R10" s="43" t="e">
        <f>MAX(tab_transfert80[Connecteur 5])+R$2+R$3</f>
        <v>#N/A</v>
      </c>
      <c r="S10" s="43" t="e">
        <f>MAX(tab_transfert80[Connecteur 6])+S$2+S$3</f>
        <v>#N/A</v>
      </c>
      <c r="T10" s="43" t="e">
        <f>MAX(tab_transfert80[Connecteur 7])+T$2+T$3</f>
        <v>#N/A</v>
      </c>
      <c r="U10" s="43" t="e">
        <f>MAX(tab_transfert80[Connecteur 8])+U$2+U$3</f>
        <v>#N/A</v>
      </c>
      <c r="V10" s="43" t="e">
        <f>MAX(tab_transfert80[Connecteur 9])+V$2+V$3</f>
        <v>#N/A</v>
      </c>
      <c r="W10" s="200" t="e">
        <f>MAX(N10:V10)</f>
        <v>#N/A</v>
      </c>
      <c r="Z10" s="23"/>
    </row>
    <row r="11" spans="1:31" ht="14.45" customHeight="1" x14ac:dyDescent="0.25">
      <c r="A11"/>
      <c r="B11"/>
      <c r="C11"/>
      <c r="D11"/>
      <c r="E11"/>
      <c r="F11"/>
      <c r="G11"/>
      <c r="H11"/>
      <c r="I11"/>
      <c r="J11"/>
      <c r="M11" s="91" t="s">
        <v>91</v>
      </c>
      <c r="N11" s="43" t="e">
        <f ca="1">MAX(OFFSET(INDEX(tab_transfert80[Connecteur 1],1),COUNT(tab_transfert80[Connecteur 1])-30,0,30))+N$2+N$3</f>
        <v>#REF!</v>
      </c>
      <c r="O11" s="43" t="e">
        <f ca="1">MAX(OFFSET(INDEX(tab_transfert80[Connecteur 2],1),COUNT(tab_transfert80[Connecteur 2])-30,0,30))+O$2+O$3</f>
        <v>#REF!</v>
      </c>
      <c r="P11" s="43" t="e">
        <f ca="1">MAX(OFFSET(INDEX(tab_transfert80[Connecteur 3],1),COUNT(tab_transfert80[Connecteur 3])-30,0,30))+P$2+P$3</f>
        <v>#REF!</v>
      </c>
      <c r="Q11" s="43" t="e">
        <f ca="1">MAX(OFFSET(INDEX(tab_transfert80[Connecteur 4],1),COUNT(tab_transfert80[Connecteur 4])-30,0,30))+Q$2+Q$3</f>
        <v>#REF!</v>
      </c>
      <c r="R11" s="43" t="e">
        <f ca="1">MAX(OFFSET(INDEX(tab_transfert80[Connecteur 5],1),COUNT(tab_transfert80[Connecteur 5])-30,0,30))+R$2+R$3</f>
        <v>#REF!</v>
      </c>
      <c r="S11" s="43" t="e">
        <f ca="1">MAX(OFFSET(INDEX(tab_transfert80[Connecteur 6],1),COUNT(tab_transfert80[Connecteur 6])-30,0,30))+S$2+S$3</f>
        <v>#REF!</v>
      </c>
      <c r="T11" s="43" t="e">
        <f ca="1">MAX(OFFSET(INDEX(tab_transfert80[Connecteur 7],1),COUNT(tab_transfert80[Connecteur 7])-30,0,30))+T$2+T$3</f>
        <v>#REF!</v>
      </c>
      <c r="U11" s="43" t="e">
        <f ca="1">MAX(OFFSET(INDEX(tab_transfert80[Connecteur 8],1),COUNT(tab_transfert80[Connecteur 8])-30,0,30))+U$2+U$3</f>
        <v>#REF!</v>
      </c>
      <c r="V11" s="43" t="e">
        <f ca="1">MAX(OFFSET(INDEX(tab_transfert80[Connecteur 9],1),COUNT(tab_transfert80[Connecteur 9])-30,0,30))+V$2+V$3</f>
        <v>#REF!</v>
      </c>
      <c r="W11" s="200" t="e">
        <f ca="1">MAX(N11:V11)</f>
        <v>#REF!</v>
      </c>
      <c r="Z11" s="23"/>
    </row>
    <row r="12" spans="1:31" ht="14.45" customHeight="1" x14ac:dyDescent="0.25">
      <c r="A12"/>
      <c r="B12"/>
      <c r="C12"/>
      <c r="D12"/>
      <c r="E12"/>
      <c r="F12"/>
      <c r="G12"/>
      <c r="H12"/>
      <c r="I12"/>
      <c r="J12"/>
      <c r="M12" s="91" t="s">
        <v>93</v>
      </c>
      <c r="N12" s="43" t="e">
        <f ca="1">MIN(OFFSET(INDEX(tab_transfert80[Connecteur 1],1),COUNT(tab_transfert80[Connecteur 1])-30,0,30))+N$2+N$3</f>
        <v>#REF!</v>
      </c>
      <c r="O12" s="43" t="e">
        <f ca="1">MIN(OFFSET(INDEX(tab_transfert80[Connecteur 2],1),COUNT(tab_transfert80[Connecteur 2])-30,0,30))+O$2+O$3</f>
        <v>#REF!</v>
      </c>
      <c r="P12" s="43" t="e">
        <f ca="1">MIN(OFFSET(INDEX(tab_transfert80[Connecteur 3],1),COUNT(tab_transfert80[Connecteur 3])-30,0,30))+P$2+P$3</f>
        <v>#REF!</v>
      </c>
      <c r="Q12" s="43" t="e">
        <f ca="1">MIN(OFFSET(INDEX(tab_transfert80[Connecteur 4],1),COUNT(tab_transfert80[Connecteur 4])-30,0,30))+Q$2+Q$3</f>
        <v>#REF!</v>
      </c>
      <c r="R12" s="43" t="e">
        <f ca="1">MIN(OFFSET(INDEX(tab_transfert80[Connecteur 5],1),COUNT(tab_transfert80[Connecteur 5])-30,0,30))+R$2+R$3</f>
        <v>#REF!</v>
      </c>
      <c r="S12" s="43" t="e">
        <f ca="1">MIN(OFFSET(INDEX(tab_transfert80[Connecteur 6],1),COUNT(tab_transfert80[Connecteur 6])-30,0,30))+S$2+S$3</f>
        <v>#REF!</v>
      </c>
      <c r="T12" s="43" t="e">
        <f ca="1">MIN(OFFSET(INDEX(tab_transfert80[Connecteur 7],1),COUNT(tab_transfert80[Connecteur 7])-30,0,30))+T$2+T$3</f>
        <v>#REF!</v>
      </c>
      <c r="U12" s="43" t="e">
        <f ca="1">MIN(OFFSET(INDEX(tab_transfert80[Connecteur 8],1),COUNT(tab_transfert80[Connecteur 8])-30,0,30))+U$2+U$3</f>
        <v>#REF!</v>
      </c>
      <c r="V12" s="43" t="e">
        <f ca="1">MIN(OFFSET(INDEX(tab_transfert80[Connecteur 9],1),COUNT(tab_transfert80[Connecteur 9])-30,0,30))+V$2+V$3</f>
        <v>#REF!</v>
      </c>
      <c r="W12" s="200" t="e">
        <f ca="1">MIN(N12:V12)</f>
        <v>#REF!</v>
      </c>
      <c r="Z12" s="23"/>
    </row>
    <row r="13" spans="1:31" ht="14.45" customHeight="1" x14ac:dyDescent="0.25">
      <c r="A13"/>
      <c r="B13"/>
      <c r="C13"/>
      <c r="D13"/>
      <c r="E13"/>
      <c r="F13"/>
      <c r="G13"/>
      <c r="H13"/>
      <c r="I13"/>
      <c r="J13"/>
      <c r="M13" s="91" t="s">
        <v>95</v>
      </c>
      <c r="N13" s="43" t="e">
        <f ca="1">AVERAGE(OFFSET(INDEX(tab_transfert80[Connecteur 1],1),COUNT(tab_transfert80[Connecteur 1])-30,0,30))+N$2+N$3</f>
        <v>#REF!</v>
      </c>
      <c r="O13" s="43" t="e">
        <f ca="1">AVERAGE(OFFSET(INDEX(tab_transfert80[Connecteur 2],1),COUNT(tab_transfert80[Connecteur 2])-30,0,30))+O$2+O$3</f>
        <v>#REF!</v>
      </c>
      <c r="P13" s="43" t="e">
        <f ca="1">AVERAGE(OFFSET(INDEX(tab_transfert80[Connecteur 3],1),COUNT(tab_transfert80[Connecteur 3])-30,0,30))+P$2+P$3</f>
        <v>#REF!</v>
      </c>
      <c r="Q13" s="43" t="e">
        <f ca="1">AVERAGE(OFFSET(INDEX(tab_transfert80[Connecteur 4],1),COUNT(tab_transfert80[Connecteur 4])-30,0,30))+Q$2+Q$3</f>
        <v>#REF!</v>
      </c>
      <c r="R13" s="43" t="e">
        <f ca="1">AVERAGE(OFFSET(INDEX(tab_transfert80[Connecteur 5],1),COUNT(tab_transfert80[Connecteur 5])-30,0,30))+R$2+R$3</f>
        <v>#REF!</v>
      </c>
      <c r="S13" s="43" t="e">
        <f ca="1">AVERAGE(OFFSET(INDEX(tab_transfert80[Connecteur 6],1),COUNT(tab_transfert80[Connecteur 6])-30,0,30))+S$2+S$3</f>
        <v>#REF!</v>
      </c>
      <c r="T13" s="43" t="e">
        <f ca="1">AVERAGE(OFFSET(INDEX(tab_transfert80[Connecteur 7],1),COUNT(tab_transfert80[Connecteur 7])-30,0,30))+T$2+T$3</f>
        <v>#REF!</v>
      </c>
      <c r="U13" s="43" t="e">
        <f ca="1">AVERAGE(OFFSET(INDEX(tab_transfert80[Connecteur 8],1),COUNT(tab_transfert80[Connecteur 8])-30,0,30))+U$2+U$3</f>
        <v>#REF!</v>
      </c>
      <c r="V13" s="43" t="e">
        <f ca="1">AVERAGE(OFFSET(INDEX(tab_transfert80[Connecteur 9],1),COUNT(tab_transfert80[Connecteur 9])-30,0,30))+V$2+V$3</f>
        <v>#REF!</v>
      </c>
      <c r="W13" s="44"/>
      <c r="Z13" s="23"/>
    </row>
    <row r="14" spans="1:31" ht="14.45" customHeight="1" x14ac:dyDescent="0.25">
      <c r="A14"/>
      <c r="B14"/>
      <c r="C14"/>
      <c r="D14"/>
      <c r="E14"/>
      <c r="F14"/>
      <c r="G14"/>
      <c r="H14"/>
      <c r="I14"/>
      <c r="J14"/>
      <c r="M14" s="91" t="s">
        <v>96</v>
      </c>
      <c r="N14" s="43" t="e">
        <f ca="1">N11-N12</f>
        <v>#REF!</v>
      </c>
      <c r="O14" s="43" t="e">
        <f t="shared" ref="O14:V14" ca="1" si="0">O11-O12</f>
        <v>#REF!</v>
      </c>
      <c r="P14" s="43" t="e">
        <f t="shared" ca="1" si="0"/>
        <v>#REF!</v>
      </c>
      <c r="Q14" s="43" t="e">
        <f t="shared" ca="1" si="0"/>
        <v>#REF!</v>
      </c>
      <c r="R14" s="43" t="e">
        <f t="shared" ca="1" si="0"/>
        <v>#REF!</v>
      </c>
      <c r="S14" s="43" t="e">
        <f t="shared" ca="1" si="0"/>
        <v>#REF!</v>
      </c>
      <c r="T14" s="43" t="e">
        <f t="shared" ca="1" si="0"/>
        <v>#REF!</v>
      </c>
      <c r="U14" s="43" t="e">
        <f t="shared" ca="1" si="0"/>
        <v>#REF!</v>
      </c>
      <c r="V14" s="43" t="e">
        <f t="shared" ca="1" si="0"/>
        <v>#REF!</v>
      </c>
      <c r="Z14" s="23"/>
    </row>
    <row r="15" spans="1:31" ht="14.45" customHeight="1" x14ac:dyDescent="0.25">
      <c r="A15"/>
      <c r="B15"/>
      <c r="C15"/>
      <c r="D15"/>
      <c r="E15"/>
      <c r="F15"/>
      <c r="G15"/>
      <c r="H15"/>
      <c r="I15"/>
      <c r="J15"/>
      <c r="M15" s="91" t="s">
        <v>97</v>
      </c>
      <c r="N15" s="376" t="e">
        <f ca="1">ABS(MAX(N11:V11) - MIN(N12:V12))</f>
        <v>#REF!</v>
      </c>
      <c r="O15" s="376"/>
      <c r="P15" s="376"/>
      <c r="Q15" s="376"/>
      <c r="R15" s="376"/>
      <c r="S15" s="376"/>
      <c r="T15" s="376"/>
      <c r="U15" s="376"/>
      <c r="V15" s="376"/>
      <c r="W15" s="44" t="e">
        <f ca="1">N15</f>
        <v>#REF!</v>
      </c>
      <c r="Z15" s="23"/>
    </row>
    <row r="16" spans="1:31" ht="14.45" customHeight="1" x14ac:dyDescent="0.25">
      <c r="A16"/>
      <c r="B16"/>
      <c r="C16"/>
      <c r="D16"/>
      <c r="E16"/>
      <c r="F16"/>
      <c r="G16"/>
      <c r="H16"/>
      <c r="I16"/>
      <c r="J16"/>
      <c r="M16" s="91" t="s">
        <v>98</v>
      </c>
      <c r="N16" s="376" t="e">
        <f ca="1">AVERAGE(N13:V13)</f>
        <v>#REF!</v>
      </c>
      <c r="O16" s="376"/>
      <c r="P16" s="376"/>
      <c r="Q16" s="376"/>
      <c r="R16" s="376"/>
      <c r="S16" s="376"/>
      <c r="T16" s="376"/>
      <c r="U16" s="376"/>
      <c r="V16" s="376"/>
      <c r="W16" s="44" t="e">
        <f ca="1">N16</f>
        <v>#REF!</v>
      </c>
      <c r="Z16" s="23"/>
    </row>
    <row r="17" spans="1:26" ht="14.45" customHeight="1" x14ac:dyDescent="0.25">
      <c r="A17"/>
      <c r="B17"/>
      <c r="C17"/>
      <c r="D17"/>
      <c r="E17"/>
      <c r="F17"/>
      <c r="G17"/>
      <c r="H17"/>
      <c r="I17"/>
      <c r="J17"/>
      <c r="M17" s="91" t="s">
        <v>326</v>
      </c>
      <c r="N17" s="35" t="str" cm="1">
        <f t="array" ref="N17:V17">tab_transfert80[[#Headers],[Connecteur 1]:[Connecteur 9]]</f>
        <v>Connecteur 1</v>
      </c>
      <c r="O17" s="35" t="str">
        <v>Connecteur 2</v>
      </c>
      <c r="P17" s="35" t="str">
        <v>Connecteur 3</v>
      </c>
      <c r="Q17" s="35" t="str">
        <v>Connecteur 4</v>
      </c>
      <c r="R17" s="35" t="str">
        <v>Connecteur 5</v>
      </c>
      <c r="S17" s="35" t="str">
        <v>Connecteur 6</v>
      </c>
      <c r="T17" s="35" t="str">
        <v>Connecteur 7</v>
      </c>
      <c r="U17" s="35" t="str">
        <v>Connecteur 8</v>
      </c>
      <c r="V17" s="35" t="str">
        <v>Connecteur 9</v>
      </c>
      <c r="Z17" s="23"/>
    </row>
    <row r="18" spans="1:26" ht="14.45" customHeight="1" x14ac:dyDescent="0.25">
      <c r="A18"/>
      <c r="B18"/>
      <c r="C18"/>
      <c r="D18"/>
      <c r="E18"/>
      <c r="F18"/>
      <c r="G18"/>
      <c r="H18"/>
      <c r="I18"/>
      <c r="J18"/>
      <c r="M18" s="193" t="s">
        <v>325</v>
      </c>
      <c r="N18" s="195" t="e">
        <f ca="1">_xlfn.STDEV.S(OFFSET(INDEX(tab_transfert80[Connecteur 1],1),COUNT(tab_transfert80[Connecteur 1])-30,0,30))</f>
        <v>#REF!</v>
      </c>
      <c r="O18" s="195" t="e">
        <f ca="1">_xlfn.STDEV.S(OFFSET(INDEX(tab_transfert80[Connecteur 2],1),COUNT(tab_transfert80[Connecteur 2])-30,0,30))</f>
        <v>#REF!</v>
      </c>
      <c r="P18" s="195" t="e">
        <f ca="1">_xlfn.STDEV.S(OFFSET(INDEX(tab_transfert80[Connecteur 3],1),COUNT(tab_transfert80[Connecteur 3])-30,0,30))</f>
        <v>#REF!</v>
      </c>
      <c r="Q18" s="195" t="e">
        <f ca="1">_xlfn.STDEV.S(OFFSET(INDEX(tab_transfert80[Connecteur 4],1),COUNT(tab_transfert80[Connecteur 4])-30,0,30))</f>
        <v>#REF!</v>
      </c>
      <c r="R18" s="195" t="e">
        <f ca="1">_xlfn.STDEV.S(OFFSET(INDEX(tab_transfert80[Connecteur 5],1),COUNT(tab_transfert80[Connecteur 5])-30,0,30))</f>
        <v>#REF!</v>
      </c>
      <c r="S18" s="195" t="e">
        <f ca="1">_xlfn.STDEV.S(OFFSET(INDEX(tab_transfert80[Connecteur 6],1),COUNT(tab_transfert80[Connecteur 6])-30,0,30))</f>
        <v>#REF!</v>
      </c>
      <c r="T18" s="195" t="e">
        <f ca="1">_xlfn.STDEV.S(OFFSET(INDEX(tab_transfert80[Connecteur 7],1),COUNT(tab_transfert80[Connecteur 7])-30,0,30))</f>
        <v>#REF!</v>
      </c>
      <c r="U18" s="195" t="e">
        <f ca="1">_xlfn.STDEV.S(OFFSET(INDEX(tab_transfert80[Connecteur 8],1),COUNT(tab_transfert80[Connecteur 8])-30,0,30))</f>
        <v>#REF!</v>
      </c>
      <c r="V18" s="195" t="e">
        <f ca="1">_xlfn.STDEV.S(OFFSET(INDEX(tab_transfert80[Connecteur 9],1),COUNT(tab_transfert80[Connecteur 9])-30,0,30))</f>
        <v>#REF!</v>
      </c>
      <c r="W18" s="194" t="e">
        <f ca="1">MAX(N18:V18)</f>
        <v>#REF!</v>
      </c>
      <c r="Z18" s="23"/>
    </row>
    <row r="19" spans="1:26" ht="14.45" customHeight="1" x14ac:dyDescent="0.25">
      <c r="A19"/>
      <c r="B19"/>
      <c r="C19"/>
      <c r="D19"/>
      <c r="E19"/>
      <c r="F19"/>
      <c r="G19"/>
      <c r="H19"/>
      <c r="I19"/>
      <c r="J19"/>
      <c r="N19" s="27"/>
      <c r="O19" s="27"/>
      <c r="P19" s="27"/>
      <c r="Q19" s="27"/>
      <c r="R19" s="27"/>
      <c r="S19" s="27"/>
      <c r="T19" s="27"/>
      <c r="U19" s="27"/>
      <c r="V19" s="27"/>
      <c r="Z19" s="23"/>
    </row>
    <row r="20" spans="1:26" ht="14.45" customHeight="1" x14ac:dyDescent="0.25">
      <c r="A20"/>
      <c r="B20"/>
      <c r="C20"/>
      <c r="D20"/>
      <c r="E20"/>
      <c r="F20"/>
      <c r="G20"/>
      <c r="H20"/>
      <c r="I20"/>
      <c r="J20"/>
      <c r="M20" s="193" t="s">
        <v>324</v>
      </c>
      <c r="N20" s="192" t="e">
        <f ca="1">W11-(OFFSET(INDEX(tab_four80[Consigne T°],1),COUNT(tab_four80[Consigne T°])-30,0,1))</f>
        <v>#REF!</v>
      </c>
      <c r="O20" s="27"/>
      <c r="P20" s="27"/>
      <c r="Q20" s="27"/>
      <c r="R20" s="27"/>
      <c r="S20" s="27"/>
      <c r="T20" s="27"/>
      <c r="U20" s="27"/>
      <c r="V20" s="27"/>
      <c r="Z20" s="23"/>
    </row>
    <row r="21" spans="1:26" ht="14.45" customHeight="1" x14ac:dyDescent="0.25">
      <c r="A21"/>
      <c r="B21"/>
      <c r="C21"/>
      <c r="D21"/>
      <c r="E21"/>
      <c r="F21"/>
      <c r="G21"/>
      <c r="H21"/>
      <c r="I21"/>
      <c r="J21"/>
      <c r="M21" s="193" t="s">
        <v>323</v>
      </c>
      <c r="N21" s="192" t="e">
        <f ca="1">W12-(OFFSET(INDEX(tab_four80[Consigne T°],1),COUNT(tab_four80[Consigne T°])-30,0,1))</f>
        <v>#REF!</v>
      </c>
      <c r="O21" s="27"/>
      <c r="P21" s="27"/>
      <c r="Q21" s="27"/>
      <c r="R21" s="27"/>
      <c r="S21" s="27"/>
      <c r="T21" s="27"/>
      <c r="U21" s="27"/>
      <c r="V21" s="27"/>
      <c r="Z21" s="23"/>
    </row>
    <row r="22" spans="1:26" ht="14.45" customHeight="1" x14ac:dyDescent="0.25">
      <c r="A22"/>
      <c r="B22"/>
      <c r="C22"/>
      <c r="D22"/>
      <c r="E22"/>
      <c r="F22"/>
      <c r="G22"/>
      <c r="H22"/>
      <c r="I22"/>
      <c r="J22"/>
      <c r="Z22" s="23"/>
    </row>
    <row r="23" spans="1:26" ht="14.45" customHeight="1" x14ac:dyDescent="0.25">
      <c r="A23"/>
      <c r="B23"/>
      <c r="C23"/>
      <c r="D23"/>
      <c r="E23"/>
      <c r="F23"/>
      <c r="G23"/>
      <c r="H23"/>
      <c r="I23"/>
      <c r="J23"/>
      <c r="Z23" s="23"/>
    </row>
    <row r="24" spans="1:26" ht="14.45" customHeight="1" x14ac:dyDescent="0.25">
      <c r="A24"/>
      <c r="B24"/>
      <c r="C24"/>
      <c r="D24"/>
      <c r="E24"/>
      <c r="F24"/>
      <c r="G24"/>
      <c r="H24"/>
      <c r="I24"/>
      <c r="J24"/>
      <c r="Z24" s="23"/>
    </row>
    <row r="25" spans="1:26" ht="14.45" customHeight="1" x14ac:dyDescent="0.25">
      <c r="A25"/>
      <c r="B25"/>
      <c r="C25"/>
      <c r="D25"/>
      <c r="E25"/>
      <c r="F25"/>
      <c r="G25"/>
      <c r="H25"/>
      <c r="I25"/>
      <c r="J25"/>
      <c r="Z25" s="23"/>
    </row>
    <row r="26" spans="1:26" ht="14.45" customHeight="1" x14ac:dyDescent="0.25">
      <c r="A26"/>
      <c r="B26"/>
      <c r="C26"/>
      <c r="D26"/>
      <c r="E26"/>
      <c r="F26"/>
      <c r="G26"/>
      <c r="H26"/>
      <c r="I26"/>
      <c r="J26"/>
      <c r="Z26" s="23"/>
    </row>
    <row r="27" spans="1:26" ht="14.45" customHeight="1" x14ac:dyDescent="0.25">
      <c r="A27"/>
      <c r="B27"/>
      <c r="C27"/>
      <c r="D27"/>
      <c r="E27"/>
      <c r="F27"/>
      <c r="G27"/>
      <c r="H27"/>
      <c r="I27"/>
      <c r="J27"/>
      <c r="Z27" s="23"/>
    </row>
    <row r="28" spans="1:26" ht="14.45" customHeight="1" x14ac:dyDescent="0.25">
      <c r="A28"/>
      <c r="B28"/>
      <c r="C28"/>
      <c r="D28"/>
      <c r="E28"/>
      <c r="F28"/>
      <c r="G28"/>
      <c r="H28"/>
      <c r="I28"/>
      <c r="J28"/>
      <c r="Z28" s="23"/>
    </row>
    <row r="29" spans="1:26" ht="14.45" customHeight="1" x14ac:dyDescent="0.25">
      <c r="A29"/>
      <c r="B29"/>
      <c r="C29"/>
      <c r="D29"/>
      <c r="E29"/>
      <c r="F29"/>
      <c r="G29"/>
      <c r="H29"/>
      <c r="I29"/>
      <c r="J29"/>
      <c r="Z29" s="23"/>
    </row>
    <row r="30" spans="1:26" ht="14.45" customHeight="1" x14ac:dyDescent="0.25">
      <c r="A30"/>
      <c r="B30"/>
      <c r="C30"/>
      <c r="D30"/>
      <c r="E30"/>
      <c r="F30"/>
      <c r="G30"/>
      <c r="H30"/>
      <c r="I30"/>
      <c r="J30"/>
      <c r="Z30" s="23"/>
    </row>
    <row r="31" spans="1:26" ht="14.45" customHeight="1" x14ac:dyDescent="0.25">
      <c r="A31"/>
      <c r="B31"/>
      <c r="C31"/>
      <c r="D31"/>
      <c r="E31"/>
      <c r="F31"/>
      <c r="G31"/>
      <c r="H31"/>
      <c r="I31"/>
      <c r="J31"/>
      <c r="Z31" s="23"/>
    </row>
    <row r="32" spans="1:26" ht="14.45" customHeight="1" x14ac:dyDescent="0.25">
      <c r="A32"/>
      <c r="B32"/>
      <c r="C32"/>
      <c r="D32"/>
      <c r="E32"/>
      <c r="F32"/>
      <c r="G32"/>
      <c r="H32"/>
      <c r="I32"/>
      <c r="J32"/>
      <c r="Z32" s="23"/>
    </row>
    <row r="33" spans="1:26" ht="14.45" customHeight="1" x14ac:dyDescent="0.25">
      <c r="A33"/>
      <c r="B33"/>
      <c r="C33"/>
      <c r="D33"/>
      <c r="E33"/>
      <c r="F33"/>
      <c r="G33"/>
      <c r="H33"/>
      <c r="I33"/>
      <c r="J33"/>
      <c r="Z33" s="23"/>
    </row>
    <row r="34" spans="1:26" ht="14.45" customHeight="1" x14ac:dyDescent="0.25">
      <c r="A34"/>
      <c r="B34"/>
      <c r="C34"/>
      <c r="D34"/>
      <c r="E34"/>
      <c r="F34"/>
      <c r="G34"/>
      <c r="H34"/>
      <c r="I34"/>
      <c r="J34"/>
      <c r="Z34" s="23"/>
    </row>
    <row r="35" spans="1:26" ht="14.45" customHeight="1" x14ac:dyDescent="0.25">
      <c r="A35"/>
      <c r="B35"/>
      <c r="C35"/>
      <c r="D35"/>
      <c r="E35"/>
      <c r="F35"/>
      <c r="G35"/>
      <c r="H35"/>
      <c r="I35"/>
      <c r="J35"/>
      <c r="Z35" s="23"/>
    </row>
    <row r="36" spans="1:26" ht="14.45" customHeight="1" x14ac:dyDescent="0.25">
      <c r="A36"/>
      <c r="B36"/>
      <c r="C36"/>
      <c r="D36"/>
      <c r="E36"/>
      <c r="F36"/>
      <c r="G36"/>
      <c r="H36"/>
      <c r="I36"/>
      <c r="J36"/>
      <c r="Z36" s="23"/>
    </row>
    <row r="37" spans="1:26" ht="14.45" customHeight="1" x14ac:dyDescent="0.25">
      <c r="A37"/>
      <c r="B37"/>
      <c r="C37"/>
      <c r="D37"/>
      <c r="E37"/>
      <c r="F37"/>
      <c r="G37"/>
      <c r="H37"/>
      <c r="I37"/>
      <c r="J37"/>
      <c r="Z37" s="23"/>
    </row>
    <row r="38" spans="1:26" ht="14.45" customHeight="1" x14ac:dyDescent="0.25">
      <c r="A38"/>
      <c r="B38"/>
      <c r="C38"/>
      <c r="D38"/>
      <c r="E38"/>
      <c r="F38"/>
      <c r="G38"/>
      <c r="H38"/>
      <c r="I38"/>
      <c r="J38"/>
      <c r="Z38" s="23"/>
    </row>
    <row r="39" spans="1:26" ht="14.45" customHeight="1" x14ac:dyDescent="0.25">
      <c r="A39"/>
      <c r="B39"/>
      <c r="C39"/>
      <c r="D39"/>
      <c r="E39"/>
      <c r="F39"/>
      <c r="G39"/>
      <c r="H39"/>
      <c r="I39"/>
      <c r="J39"/>
      <c r="Z39" s="23"/>
    </row>
    <row r="40" spans="1:26" ht="14.45" customHeight="1" x14ac:dyDescent="0.25">
      <c r="A40"/>
      <c r="B40"/>
      <c r="C40"/>
      <c r="D40"/>
      <c r="E40"/>
      <c r="F40"/>
      <c r="G40"/>
      <c r="H40"/>
      <c r="I40"/>
      <c r="J40"/>
      <c r="Z40" s="23"/>
    </row>
    <row r="41" spans="1:26" ht="14.45" customHeight="1" x14ac:dyDescent="0.25">
      <c r="A41"/>
      <c r="B41"/>
      <c r="C41"/>
      <c r="D41"/>
      <c r="E41"/>
      <c r="F41"/>
      <c r="G41"/>
      <c r="H41"/>
      <c r="I41"/>
      <c r="J41"/>
      <c r="Z41" s="23"/>
    </row>
    <row r="42" spans="1:26" ht="14.45" customHeight="1" x14ac:dyDescent="0.25">
      <c r="A42"/>
      <c r="B42"/>
      <c r="C42"/>
      <c r="D42"/>
      <c r="E42"/>
      <c r="F42"/>
      <c r="G42"/>
      <c r="H42"/>
      <c r="I42"/>
      <c r="J42"/>
      <c r="Z42" s="23"/>
    </row>
    <row r="43" spans="1:26" ht="14.45" customHeight="1" x14ac:dyDescent="0.25">
      <c r="A43"/>
      <c r="B43"/>
      <c r="C43"/>
      <c r="D43"/>
      <c r="E43"/>
      <c r="F43"/>
      <c r="G43"/>
      <c r="H43"/>
      <c r="I43"/>
      <c r="J43"/>
      <c r="Z43" s="23"/>
    </row>
    <row r="44" spans="1:26" ht="14.45" customHeight="1" x14ac:dyDescent="0.25">
      <c r="A44"/>
      <c r="B44"/>
      <c r="C44"/>
      <c r="D44"/>
      <c r="E44"/>
      <c r="F44"/>
      <c r="G44"/>
      <c r="H44"/>
      <c r="I44"/>
      <c r="J44"/>
      <c r="Z44" s="23"/>
    </row>
    <row r="45" spans="1:26" ht="14.45" customHeight="1" x14ac:dyDescent="0.25">
      <c r="A45"/>
      <c r="B45"/>
      <c r="C45"/>
      <c r="D45"/>
      <c r="E45"/>
      <c r="F45"/>
      <c r="G45"/>
      <c r="H45"/>
      <c r="I45"/>
      <c r="J45"/>
      <c r="Z45" s="23"/>
    </row>
    <row r="46" spans="1:26" ht="14.45" customHeight="1" x14ac:dyDescent="0.25">
      <c r="A46"/>
      <c r="B46"/>
      <c r="C46"/>
      <c r="D46"/>
      <c r="E46"/>
      <c r="F46"/>
      <c r="G46"/>
      <c r="H46"/>
      <c r="I46"/>
      <c r="J46"/>
      <c r="Z46" s="23"/>
    </row>
    <row r="47" spans="1:26" ht="14.45" customHeight="1" x14ac:dyDescent="0.25">
      <c r="A47"/>
      <c r="B47"/>
      <c r="C47"/>
      <c r="D47"/>
      <c r="E47"/>
      <c r="F47"/>
      <c r="G47"/>
      <c r="H47"/>
      <c r="I47"/>
      <c r="J47"/>
      <c r="Z47" s="23"/>
    </row>
    <row r="48" spans="1:26" ht="14.45" customHeight="1" x14ac:dyDescent="0.25">
      <c r="A48"/>
      <c r="B48"/>
      <c r="C48"/>
      <c r="D48"/>
      <c r="E48"/>
      <c r="F48"/>
      <c r="G48"/>
      <c r="H48"/>
      <c r="I48"/>
      <c r="J48"/>
      <c r="Z48" s="23"/>
    </row>
    <row r="49" spans="1:26" ht="14.45" customHeight="1" x14ac:dyDescent="0.25">
      <c r="A49"/>
      <c r="B49"/>
      <c r="C49"/>
      <c r="D49"/>
      <c r="E49"/>
      <c r="F49"/>
      <c r="G49"/>
      <c r="H49"/>
      <c r="I49"/>
      <c r="J49"/>
      <c r="Z49" s="23"/>
    </row>
    <row r="50" spans="1:26" ht="14.45" customHeight="1" x14ac:dyDescent="0.25">
      <c r="A50"/>
      <c r="B50"/>
      <c r="C50"/>
      <c r="D50"/>
      <c r="E50"/>
      <c r="F50"/>
      <c r="G50"/>
      <c r="H50"/>
      <c r="I50"/>
      <c r="J50"/>
      <c r="Z50" s="23"/>
    </row>
    <row r="51" spans="1:26" ht="14.45" customHeight="1" x14ac:dyDescent="0.25">
      <c r="A51"/>
      <c r="B51"/>
      <c r="C51"/>
      <c r="D51"/>
      <c r="E51"/>
      <c r="F51"/>
      <c r="G51"/>
      <c r="H51"/>
      <c r="I51"/>
      <c r="J51"/>
      <c r="Z51" s="23"/>
    </row>
    <row r="52" spans="1:26" ht="14.45" customHeight="1" x14ac:dyDescent="0.25">
      <c r="A52"/>
      <c r="B52"/>
      <c r="C52"/>
      <c r="D52"/>
      <c r="E52"/>
      <c r="F52"/>
      <c r="G52"/>
      <c r="H52"/>
      <c r="I52"/>
      <c r="J52"/>
      <c r="Z52" s="23"/>
    </row>
    <row r="53" spans="1:26" ht="14.45" customHeight="1" x14ac:dyDescent="0.25">
      <c r="A53"/>
      <c r="B53"/>
      <c r="C53"/>
      <c r="D53"/>
      <c r="E53"/>
      <c r="F53"/>
      <c r="G53"/>
      <c r="H53"/>
      <c r="I53"/>
      <c r="J53"/>
      <c r="Z53" s="23"/>
    </row>
    <row r="54" spans="1:26" ht="14.45" customHeight="1" x14ac:dyDescent="0.25">
      <c r="A54"/>
      <c r="B54"/>
      <c r="C54"/>
      <c r="D54"/>
      <c r="E54"/>
      <c r="F54"/>
      <c r="G54"/>
      <c r="H54"/>
      <c r="I54"/>
      <c r="J54"/>
      <c r="Z54" s="23"/>
    </row>
    <row r="55" spans="1:26" ht="14.45" customHeight="1" x14ac:dyDescent="0.25">
      <c r="A55"/>
      <c r="B55"/>
      <c r="C55"/>
      <c r="D55"/>
      <c r="E55"/>
      <c r="F55"/>
      <c r="G55"/>
      <c r="H55"/>
      <c r="I55"/>
      <c r="J55"/>
      <c r="Z55" s="23"/>
    </row>
    <row r="56" spans="1:26" ht="14.45" customHeight="1" x14ac:dyDescent="0.25">
      <c r="A56"/>
      <c r="B56"/>
      <c r="C56"/>
      <c r="D56"/>
      <c r="E56"/>
      <c r="F56"/>
      <c r="G56"/>
      <c r="H56"/>
      <c r="I56"/>
      <c r="J56"/>
      <c r="Z56" s="23"/>
    </row>
    <row r="57" spans="1:26" ht="14.45" customHeight="1" x14ac:dyDescent="0.25">
      <c r="A57"/>
      <c r="B57"/>
      <c r="C57"/>
      <c r="D57"/>
      <c r="E57"/>
      <c r="F57"/>
      <c r="G57"/>
      <c r="H57"/>
      <c r="I57"/>
      <c r="J57"/>
      <c r="Z57" s="23"/>
    </row>
    <row r="58" spans="1:26" ht="14.45" customHeight="1" x14ac:dyDescent="0.25">
      <c r="A58"/>
      <c r="B58"/>
      <c r="C58"/>
      <c r="D58"/>
      <c r="E58"/>
      <c r="F58"/>
      <c r="G58"/>
      <c r="H58"/>
      <c r="I58"/>
      <c r="J58"/>
      <c r="Z58" s="23"/>
    </row>
    <row r="59" spans="1:26" ht="14.45" customHeight="1" x14ac:dyDescent="0.25">
      <c r="A59"/>
      <c r="B59"/>
      <c r="C59"/>
      <c r="D59"/>
      <c r="E59"/>
      <c r="F59"/>
      <c r="G59"/>
      <c r="H59"/>
      <c r="I59"/>
      <c r="J59"/>
      <c r="Z59" s="23"/>
    </row>
    <row r="60" spans="1:26" ht="14.45" customHeight="1" x14ac:dyDescent="0.25">
      <c r="A60"/>
      <c r="B60"/>
      <c r="C60"/>
      <c r="D60"/>
      <c r="E60"/>
      <c r="F60"/>
      <c r="G60"/>
      <c r="H60"/>
      <c r="I60"/>
      <c r="J60"/>
      <c r="Z60" s="23"/>
    </row>
    <row r="61" spans="1:26" ht="14.45" customHeight="1" x14ac:dyDescent="0.25">
      <c r="A61"/>
      <c r="B61"/>
      <c r="C61"/>
      <c r="D61"/>
      <c r="E61"/>
      <c r="F61"/>
      <c r="G61"/>
      <c r="H61"/>
      <c r="I61"/>
      <c r="J61"/>
      <c r="Z61" s="23"/>
    </row>
    <row r="62" spans="1:26" ht="14.45" customHeight="1" x14ac:dyDescent="0.25">
      <c r="A62"/>
      <c r="B62"/>
      <c r="C62"/>
      <c r="D62"/>
      <c r="E62"/>
      <c r="F62"/>
      <c r="G62"/>
      <c r="H62"/>
      <c r="I62"/>
      <c r="J62"/>
      <c r="Z62" s="23"/>
    </row>
    <row r="63" spans="1:26" ht="14.45" customHeight="1" x14ac:dyDescent="0.25">
      <c r="A63"/>
      <c r="B63"/>
      <c r="C63"/>
      <c r="D63"/>
      <c r="E63"/>
      <c r="F63"/>
      <c r="G63"/>
      <c r="H63"/>
      <c r="I63"/>
      <c r="J63"/>
      <c r="Z63" s="23"/>
    </row>
    <row r="64" spans="1:26" ht="14.45" customHeight="1" x14ac:dyDescent="0.25">
      <c r="A64"/>
      <c r="B64"/>
      <c r="C64"/>
      <c r="D64"/>
      <c r="E64"/>
      <c r="F64"/>
      <c r="G64"/>
      <c r="H64"/>
      <c r="I64"/>
      <c r="J64"/>
      <c r="Z64" s="23"/>
    </row>
    <row r="65" spans="1:26" ht="14.45" customHeight="1" x14ac:dyDescent="0.25">
      <c r="A65"/>
      <c r="B65"/>
      <c r="C65"/>
      <c r="D65"/>
      <c r="E65"/>
      <c r="F65"/>
      <c r="G65"/>
      <c r="H65"/>
      <c r="I65"/>
      <c r="J65"/>
      <c r="Z65" s="23"/>
    </row>
    <row r="66" spans="1:26" ht="14.45" customHeight="1" x14ac:dyDescent="0.25">
      <c r="A66"/>
      <c r="B66"/>
      <c r="C66"/>
      <c r="D66"/>
      <c r="E66"/>
      <c r="F66"/>
      <c r="G66"/>
      <c r="H66"/>
      <c r="I66"/>
      <c r="J66"/>
      <c r="Z66" s="23"/>
    </row>
    <row r="67" spans="1:26" ht="14.45" customHeight="1" x14ac:dyDescent="0.25">
      <c r="A67"/>
      <c r="B67"/>
      <c r="C67"/>
      <c r="D67"/>
      <c r="E67"/>
      <c r="F67"/>
      <c r="G67"/>
      <c r="H67"/>
      <c r="I67"/>
      <c r="J67"/>
      <c r="Z67" s="23"/>
    </row>
    <row r="68" spans="1:26" ht="14.45" customHeight="1" x14ac:dyDescent="0.25">
      <c r="A68"/>
      <c r="B68"/>
      <c r="C68"/>
      <c r="D68"/>
      <c r="E68"/>
      <c r="F68"/>
      <c r="G68"/>
      <c r="H68"/>
      <c r="I68"/>
      <c r="J68"/>
      <c r="Z68" s="23"/>
    </row>
    <row r="69" spans="1:26" ht="14.45" customHeight="1" x14ac:dyDescent="0.25">
      <c r="A69"/>
      <c r="B69"/>
      <c r="C69"/>
      <c r="D69"/>
      <c r="E69"/>
      <c r="F69"/>
      <c r="G69"/>
      <c r="H69"/>
      <c r="I69"/>
      <c r="J69"/>
      <c r="Z69" s="23"/>
    </row>
    <row r="70" spans="1:26" ht="14.45" customHeight="1" x14ac:dyDescent="0.25">
      <c r="A70"/>
      <c r="B70"/>
      <c r="C70"/>
      <c r="D70"/>
      <c r="E70"/>
      <c r="F70"/>
      <c r="G70"/>
      <c r="H70"/>
      <c r="I70"/>
      <c r="J70"/>
      <c r="Z70" s="23"/>
    </row>
    <row r="71" spans="1:26" ht="14.45" customHeight="1" x14ac:dyDescent="0.25">
      <c r="A71"/>
      <c r="B71"/>
      <c r="C71"/>
      <c r="D71"/>
      <c r="E71"/>
      <c r="F71"/>
      <c r="G71"/>
      <c r="H71"/>
      <c r="I71"/>
      <c r="J71"/>
      <c r="Z71" s="23"/>
    </row>
    <row r="72" spans="1:26" ht="14.45" customHeight="1" x14ac:dyDescent="0.25">
      <c r="A72"/>
      <c r="B72"/>
      <c r="C72"/>
      <c r="D72"/>
      <c r="E72"/>
      <c r="F72"/>
      <c r="G72"/>
      <c r="H72"/>
      <c r="I72"/>
      <c r="J72"/>
      <c r="Z72" s="23"/>
    </row>
    <row r="73" spans="1:26" ht="14.45" customHeight="1" x14ac:dyDescent="0.25">
      <c r="A73"/>
      <c r="B73"/>
      <c r="C73"/>
      <c r="D73"/>
      <c r="E73"/>
      <c r="F73"/>
      <c r="G73"/>
      <c r="H73"/>
      <c r="I73"/>
      <c r="J73"/>
      <c r="Z73" s="23"/>
    </row>
    <row r="74" spans="1:26" ht="14.45" customHeight="1" x14ac:dyDescent="0.25">
      <c r="A74"/>
      <c r="B74"/>
      <c r="C74"/>
      <c r="D74"/>
      <c r="E74"/>
      <c r="F74"/>
      <c r="G74"/>
      <c r="H74"/>
      <c r="I74"/>
      <c r="J74"/>
      <c r="Z74" s="23"/>
    </row>
    <row r="75" spans="1:26" ht="14.45" customHeight="1" x14ac:dyDescent="0.25">
      <c r="A75"/>
      <c r="B75"/>
      <c r="C75"/>
      <c r="D75"/>
      <c r="E75"/>
      <c r="F75"/>
      <c r="G75"/>
      <c r="H75"/>
      <c r="I75"/>
      <c r="J75"/>
      <c r="Z75" s="23"/>
    </row>
    <row r="76" spans="1:26" ht="14.45" customHeight="1" x14ac:dyDescent="0.25">
      <c r="A76"/>
      <c r="B76"/>
      <c r="C76"/>
      <c r="D76"/>
      <c r="E76"/>
      <c r="F76"/>
      <c r="G76"/>
      <c r="H76"/>
      <c r="I76"/>
      <c r="J76"/>
      <c r="Z76" s="23"/>
    </row>
    <row r="77" spans="1:26" ht="14.45" customHeight="1" x14ac:dyDescent="0.25">
      <c r="A77"/>
      <c r="B77"/>
      <c r="C77"/>
      <c r="D77"/>
      <c r="E77"/>
      <c r="F77"/>
      <c r="G77"/>
      <c r="H77"/>
      <c r="I77"/>
      <c r="J77"/>
      <c r="Z77" s="23"/>
    </row>
    <row r="78" spans="1:26" ht="14.45" customHeight="1" x14ac:dyDescent="0.25">
      <c r="A78"/>
      <c r="B78"/>
      <c r="C78"/>
      <c r="D78"/>
      <c r="E78"/>
      <c r="F78"/>
      <c r="G78"/>
      <c r="H78"/>
      <c r="I78"/>
      <c r="J78"/>
      <c r="Z78" s="23"/>
    </row>
    <row r="79" spans="1:26" ht="14.45" customHeight="1" x14ac:dyDescent="0.25">
      <c r="A79"/>
      <c r="B79"/>
      <c r="C79"/>
      <c r="D79"/>
      <c r="E79"/>
      <c r="F79"/>
      <c r="G79"/>
      <c r="H79"/>
      <c r="I79"/>
      <c r="J79"/>
      <c r="Z79" s="23"/>
    </row>
    <row r="80" spans="1:26" ht="14.45" customHeight="1" x14ac:dyDescent="0.25">
      <c r="A80"/>
      <c r="B80"/>
      <c r="C80"/>
      <c r="D80"/>
      <c r="E80"/>
      <c r="F80"/>
      <c r="G80"/>
      <c r="H80"/>
      <c r="I80"/>
      <c r="J80"/>
      <c r="Z80" s="23"/>
    </row>
    <row r="81" spans="1:26" ht="14.45" customHeight="1" x14ac:dyDescent="0.25">
      <c r="A81"/>
      <c r="B81"/>
      <c r="C81"/>
      <c r="D81"/>
      <c r="E81"/>
      <c r="F81"/>
      <c r="G81"/>
      <c r="H81"/>
      <c r="I81"/>
      <c r="J81"/>
      <c r="Z81" s="23"/>
    </row>
    <row r="82" spans="1:26" ht="14.45" customHeight="1" x14ac:dyDescent="0.25">
      <c r="A82"/>
      <c r="B82"/>
      <c r="C82"/>
      <c r="D82"/>
      <c r="E82"/>
      <c r="F82"/>
      <c r="G82"/>
      <c r="H82"/>
      <c r="I82"/>
      <c r="J82"/>
      <c r="Z82" s="23"/>
    </row>
    <row r="83" spans="1:26" ht="14.45" customHeight="1" x14ac:dyDescent="0.25">
      <c r="A83"/>
      <c r="B83"/>
      <c r="C83"/>
      <c r="D83"/>
      <c r="E83"/>
      <c r="F83"/>
      <c r="G83"/>
      <c r="H83"/>
      <c r="I83"/>
      <c r="J83"/>
      <c r="Z83" s="23"/>
    </row>
    <row r="84" spans="1:26" ht="14.45" customHeight="1" x14ac:dyDescent="0.25">
      <c r="A84"/>
      <c r="B84"/>
      <c r="C84"/>
      <c r="D84"/>
      <c r="E84"/>
      <c r="F84"/>
      <c r="G84"/>
      <c r="H84"/>
      <c r="I84"/>
      <c r="J84"/>
      <c r="Z84" s="23"/>
    </row>
    <row r="85" spans="1:26" ht="14.45" customHeight="1" x14ac:dyDescent="0.25">
      <c r="A85"/>
      <c r="B85"/>
      <c r="C85"/>
      <c r="D85"/>
      <c r="E85"/>
      <c r="F85"/>
      <c r="G85"/>
      <c r="H85"/>
      <c r="I85"/>
      <c r="J85"/>
      <c r="Z85" s="23"/>
    </row>
    <row r="86" spans="1:26" ht="14.45" customHeight="1" x14ac:dyDescent="0.25">
      <c r="A86"/>
      <c r="B86"/>
      <c r="C86"/>
      <c r="D86"/>
      <c r="E86"/>
      <c r="F86"/>
      <c r="G86"/>
      <c r="H86"/>
      <c r="I86"/>
      <c r="J86"/>
      <c r="Z86" s="23"/>
    </row>
    <row r="87" spans="1:26" ht="14.45" customHeight="1" x14ac:dyDescent="0.25">
      <c r="A87"/>
      <c r="B87"/>
      <c r="C87"/>
      <c r="D87"/>
      <c r="E87"/>
      <c r="F87"/>
      <c r="G87"/>
      <c r="H87"/>
      <c r="I87"/>
      <c r="J87"/>
      <c r="Z87" s="23"/>
    </row>
    <row r="88" spans="1:26" ht="14.45" customHeight="1" x14ac:dyDescent="0.25">
      <c r="A88"/>
      <c r="B88"/>
      <c r="C88"/>
      <c r="D88"/>
      <c r="E88"/>
      <c r="F88"/>
      <c r="G88"/>
      <c r="H88"/>
      <c r="I88"/>
      <c r="J88"/>
      <c r="Z88" s="23"/>
    </row>
    <row r="89" spans="1:26" ht="14.45" customHeight="1" x14ac:dyDescent="0.25">
      <c r="A89"/>
      <c r="B89"/>
      <c r="C89"/>
      <c r="D89"/>
      <c r="E89"/>
      <c r="F89"/>
      <c r="G89"/>
      <c r="H89"/>
      <c r="I89"/>
      <c r="J89"/>
      <c r="Z89" s="23"/>
    </row>
    <row r="90" spans="1:26" ht="14.45" customHeight="1" x14ac:dyDescent="0.25">
      <c r="A90"/>
      <c r="B90"/>
      <c r="C90"/>
      <c r="D90"/>
      <c r="E90"/>
      <c r="F90"/>
      <c r="G90"/>
      <c r="H90"/>
      <c r="I90"/>
      <c r="J90"/>
      <c r="Z90" s="23"/>
    </row>
    <row r="91" spans="1:26" ht="14.45" customHeight="1" x14ac:dyDescent="0.25">
      <c r="A91"/>
      <c r="B91"/>
      <c r="C91"/>
      <c r="D91"/>
      <c r="E91"/>
      <c r="F91"/>
      <c r="G91"/>
      <c r="H91"/>
      <c r="I91"/>
      <c r="J91"/>
      <c r="Z91" s="23"/>
    </row>
    <row r="92" spans="1:26" ht="14.45" customHeight="1" x14ac:dyDescent="0.25">
      <c r="A92"/>
      <c r="B92"/>
      <c r="C92"/>
      <c r="D92"/>
      <c r="E92"/>
      <c r="F92"/>
      <c r="G92"/>
      <c r="H92"/>
      <c r="I92"/>
      <c r="J92"/>
      <c r="Z92" s="23"/>
    </row>
    <row r="93" spans="1:26" ht="14.45" customHeight="1" x14ac:dyDescent="0.25">
      <c r="A93"/>
      <c r="B93"/>
      <c r="C93"/>
      <c r="D93"/>
      <c r="E93"/>
      <c r="F93"/>
      <c r="G93"/>
      <c r="H93"/>
      <c r="I93"/>
      <c r="J93"/>
      <c r="Z93" s="23"/>
    </row>
    <row r="94" spans="1:26" ht="14.45" customHeight="1" x14ac:dyDescent="0.25">
      <c r="A94"/>
      <c r="B94"/>
      <c r="C94"/>
      <c r="D94"/>
      <c r="E94"/>
      <c r="F94"/>
      <c r="G94"/>
      <c r="H94"/>
      <c r="I94"/>
      <c r="J94"/>
      <c r="Z94" s="23"/>
    </row>
    <row r="95" spans="1:26" ht="14.45" customHeight="1" x14ac:dyDescent="0.25">
      <c r="A95"/>
      <c r="B95"/>
      <c r="C95"/>
      <c r="D95"/>
      <c r="E95"/>
      <c r="F95"/>
      <c r="G95"/>
      <c r="H95"/>
      <c r="I95"/>
      <c r="J95"/>
      <c r="Z95" s="23"/>
    </row>
    <row r="96" spans="1:26" ht="14.45" customHeight="1" x14ac:dyDescent="0.25">
      <c r="A96"/>
      <c r="B96"/>
      <c r="C96"/>
      <c r="D96"/>
      <c r="E96"/>
      <c r="F96"/>
      <c r="G96"/>
      <c r="H96"/>
      <c r="I96"/>
      <c r="J96"/>
      <c r="Z96" s="23"/>
    </row>
    <row r="97" spans="1:26" ht="14.45" customHeight="1" x14ac:dyDescent="0.25">
      <c r="A97"/>
      <c r="B97"/>
      <c r="C97"/>
      <c r="D97"/>
      <c r="E97"/>
      <c r="F97"/>
      <c r="G97"/>
      <c r="H97"/>
      <c r="I97"/>
      <c r="J97"/>
      <c r="Z97" s="23"/>
    </row>
    <row r="98" spans="1:26" ht="14.45" customHeight="1" x14ac:dyDescent="0.25">
      <c r="A98"/>
      <c r="B98"/>
      <c r="C98"/>
      <c r="D98"/>
      <c r="E98"/>
      <c r="F98"/>
      <c r="G98"/>
      <c r="H98"/>
      <c r="I98"/>
      <c r="J98"/>
      <c r="Z98" s="23"/>
    </row>
    <row r="99" spans="1:26" ht="14.45" customHeight="1" x14ac:dyDescent="0.25">
      <c r="A99"/>
      <c r="B99"/>
      <c r="C99"/>
      <c r="D99"/>
      <c r="E99"/>
      <c r="F99"/>
      <c r="G99"/>
      <c r="H99"/>
      <c r="I99"/>
      <c r="J99"/>
      <c r="Z99" s="23"/>
    </row>
    <row r="100" spans="1:26" ht="14.45" customHeight="1" x14ac:dyDescent="0.25">
      <c r="A100"/>
      <c r="B100"/>
      <c r="C100"/>
      <c r="D100"/>
      <c r="E100"/>
      <c r="F100"/>
      <c r="G100"/>
      <c r="H100"/>
      <c r="I100"/>
      <c r="J100"/>
      <c r="Z100" s="23"/>
    </row>
    <row r="101" spans="1:26" ht="14.45" customHeight="1" x14ac:dyDescent="0.25">
      <c r="A101"/>
      <c r="B101"/>
      <c r="C101"/>
      <c r="D101"/>
      <c r="E101"/>
      <c r="F101"/>
      <c r="G101"/>
      <c r="H101"/>
      <c r="I101"/>
      <c r="J101"/>
      <c r="Z101" s="23"/>
    </row>
    <row r="102" spans="1:26" ht="14.45" customHeight="1" x14ac:dyDescent="0.25">
      <c r="A102"/>
      <c r="B102"/>
      <c r="C102"/>
      <c r="D102"/>
      <c r="E102"/>
      <c r="F102"/>
      <c r="G102"/>
      <c r="H102"/>
      <c r="I102"/>
      <c r="J102"/>
      <c r="Z102" s="23"/>
    </row>
    <row r="103" spans="1:26" ht="14.45" customHeight="1" x14ac:dyDescent="0.25">
      <c r="A103"/>
      <c r="B103"/>
      <c r="C103"/>
      <c r="D103"/>
      <c r="E103"/>
      <c r="F103"/>
      <c r="G103"/>
      <c r="H103"/>
      <c r="I103"/>
      <c r="J103"/>
      <c r="Z103" s="23"/>
    </row>
    <row r="104" spans="1:26" ht="14.45" customHeight="1" x14ac:dyDescent="0.25">
      <c r="A104"/>
      <c r="B104"/>
      <c r="C104"/>
      <c r="D104"/>
      <c r="E104"/>
      <c r="F104"/>
      <c r="G104"/>
      <c r="H104"/>
      <c r="I104"/>
      <c r="J104"/>
      <c r="Z104" s="23"/>
    </row>
    <row r="105" spans="1:26" ht="14.45" customHeight="1" x14ac:dyDescent="0.25">
      <c r="A105"/>
      <c r="B105"/>
      <c r="C105"/>
      <c r="D105"/>
      <c r="E105"/>
      <c r="F105"/>
      <c r="G105"/>
      <c r="H105"/>
      <c r="I105"/>
      <c r="J105"/>
      <c r="Z105" s="23"/>
    </row>
    <row r="106" spans="1:26" ht="14.45" customHeight="1" x14ac:dyDescent="0.25">
      <c r="A106"/>
      <c r="B106"/>
      <c r="C106"/>
      <c r="D106"/>
      <c r="E106"/>
      <c r="F106"/>
      <c r="G106"/>
      <c r="H106"/>
      <c r="I106"/>
      <c r="J106"/>
      <c r="Z106" s="23"/>
    </row>
    <row r="107" spans="1:26" ht="14.45" customHeight="1" x14ac:dyDescent="0.25">
      <c r="A107"/>
      <c r="B107"/>
      <c r="C107"/>
      <c r="D107"/>
      <c r="E107"/>
      <c r="F107"/>
      <c r="G107"/>
      <c r="H107"/>
      <c r="I107"/>
      <c r="J107"/>
      <c r="Z107" s="23"/>
    </row>
    <row r="108" spans="1:26" ht="14.45" customHeight="1" x14ac:dyDescent="0.25">
      <c r="A108"/>
      <c r="B108"/>
      <c r="C108"/>
      <c r="D108"/>
      <c r="E108"/>
      <c r="F108"/>
      <c r="G108"/>
      <c r="H108"/>
      <c r="I108"/>
      <c r="J108"/>
      <c r="Z108" s="23"/>
    </row>
    <row r="109" spans="1:26" ht="14.45" customHeight="1" x14ac:dyDescent="0.25">
      <c r="A109"/>
      <c r="B109"/>
      <c r="C109"/>
      <c r="D109"/>
      <c r="E109"/>
      <c r="F109"/>
      <c r="G109"/>
      <c r="H109"/>
      <c r="I109"/>
      <c r="J109"/>
      <c r="Z109" s="23"/>
    </row>
    <row r="110" spans="1:26" ht="14.45" customHeight="1" x14ac:dyDescent="0.25">
      <c r="A110"/>
      <c r="B110"/>
      <c r="C110"/>
      <c r="D110"/>
      <c r="E110"/>
      <c r="F110"/>
      <c r="G110"/>
      <c r="H110"/>
      <c r="I110"/>
      <c r="J110"/>
      <c r="Z110" s="23"/>
    </row>
    <row r="111" spans="1:26" ht="14.45" customHeight="1" x14ac:dyDescent="0.25">
      <c r="A111"/>
      <c r="B111"/>
      <c r="C111"/>
      <c r="D111"/>
      <c r="E111"/>
      <c r="F111"/>
      <c r="G111"/>
      <c r="H111"/>
      <c r="I111"/>
      <c r="J111"/>
      <c r="Z111" s="23"/>
    </row>
    <row r="112" spans="1:26" ht="14.45" customHeight="1" x14ac:dyDescent="0.25">
      <c r="A112"/>
      <c r="B112"/>
      <c r="C112"/>
      <c r="D112"/>
      <c r="E112"/>
      <c r="F112"/>
      <c r="G112"/>
      <c r="H112"/>
      <c r="I112"/>
      <c r="J112"/>
      <c r="Z112" s="23"/>
    </row>
    <row r="113" spans="1:26" ht="14.45" customHeight="1" x14ac:dyDescent="0.25">
      <c r="A113"/>
      <c r="B113"/>
      <c r="C113"/>
      <c r="D113"/>
      <c r="E113"/>
      <c r="F113"/>
      <c r="G113"/>
      <c r="H113"/>
      <c r="I113"/>
      <c r="J113"/>
      <c r="Z113" s="23"/>
    </row>
    <row r="114" spans="1:26" ht="14.45" customHeight="1" x14ac:dyDescent="0.25">
      <c r="A114"/>
      <c r="B114"/>
      <c r="C114"/>
      <c r="D114"/>
      <c r="E114"/>
      <c r="F114"/>
      <c r="G114"/>
      <c r="H114"/>
      <c r="I114"/>
      <c r="J114"/>
      <c r="Z114" s="23"/>
    </row>
    <row r="115" spans="1:26" ht="14.45" customHeight="1" x14ac:dyDescent="0.25">
      <c r="A115"/>
      <c r="B115"/>
      <c r="C115"/>
      <c r="D115"/>
      <c r="E115"/>
      <c r="F115"/>
      <c r="G115"/>
      <c r="H115"/>
      <c r="I115"/>
      <c r="J115"/>
      <c r="Z115" s="23"/>
    </row>
    <row r="116" spans="1:26" ht="14.45" customHeight="1" x14ac:dyDescent="0.25">
      <c r="A116"/>
      <c r="B116"/>
      <c r="C116"/>
      <c r="D116"/>
      <c r="E116"/>
      <c r="F116"/>
      <c r="G116"/>
      <c r="H116"/>
      <c r="I116"/>
      <c r="J116"/>
      <c r="Z116" s="23"/>
    </row>
    <row r="117" spans="1:26" ht="14.45" customHeight="1" x14ac:dyDescent="0.25">
      <c r="A117"/>
      <c r="B117"/>
      <c r="C117"/>
      <c r="D117"/>
      <c r="E117"/>
      <c r="F117"/>
      <c r="G117"/>
      <c r="H117"/>
      <c r="I117"/>
      <c r="J117"/>
      <c r="Z117" s="23"/>
    </row>
    <row r="118" spans="1:26" ht="14.45" customHeight="1" x14ac:dyDescent="0.25">
      <c r="A118"/>
      <c r="B118"/>
      <c r="C118"/>
      <c r="D118"/>
      <c r="E118"/>
      <c r="F118"/>
      <c r="G118"/>
      <c r="H118"/>
      <c r="I118"/>
      <c r="J118"/>
      <c r="Z118" s="23"/>
    </row>
    <row r="119" spans="1:26" ht="14.45" customHeight="1" x14ac:dyDescent="0.25">
      <c r="A119"/>
      <c r="B119"/>
      <c r="C119"/>
      <c r="D119"/>
      <c r="E119"/>
      <c r="F119"/>
      <c r="G119"/>
      <c r="H119"/>
      <c r="I119"/>
      <c r="J119"/>
      <c r="Z119" s="23"/>
    </row>
    <row r="120" spans="1:26" ht="14.45" customHeight="1" x14ac:dyDescent="0.25">
      <c r="A120"/>
      <c r="B120"/>
      <c r="C120"/>
      <c r="D120"/>
      <c r="E120"/>
      <c r="F120"/>
      <c r="G120"/>
      <c r="H120"/>
      <c r="I120"/>
      <c r="J120"/>
      <c r="Z120" s="23"/>
    </row>
    <row r="121" spans="1:26" ht="14.45" customHeight="1" x14ac:dyDescent="0.25">
      <c r="A121"/>
      <c r="B121"/>
      <c r="C121"/>
      <c r="D121"/>
      <c r="E121"/>
      <c r="F121"/>
      <c r="G121"/>
      <c r="H121"/>
      <c r="I121"/>
      <c r="J121"/>
      <c r="Z121" s="23"/>
    </row>
    <row r="122" spans="1:26" ht="14.45" customHeight="1" x14ac:dyDescent="0.25">
      <c r="A122"/>
      <c r="B122"/>
      <c r="C122"/>
      <c r="D122"/>
      <c r="E122"/>
      <c r="F122"/>
      <c r="G122"/>
      <c r="H122"/>
      <c r="I122"/>
      <c r="J122"/>
      <c r="Z122" s="23"/>
    </row>
    <row r="123" spans="1:26" ht="14.45" customHeight="1" x14ac:dyDescent="0.25">
      <c r="A123"/>
      <c r="B123"/>
      <c r="C123"/>
      <c r="D123"/>
      <c r="E123"/>
      <c r="F123"/>
      <c r="G123"/>
      <c r="H123"/>
      <c r="I123"/>
      <c r="J123"/>
      <c r="Z123" s="23"/>
    </row>
    <row r="124" spans="1:26" ht="14.45" customHeight="1" x14ac:dyDescent="0.25">
      <c r="A124"/>
      <c r="B124"/>
      <c r="C124"/>
      <c r="D124"/>
      <c r="E124"/>
      <c r="F124"/>
      <c r="G124"/>
      <c r="H124"/>
      <c r="I124"/>
      <c r="J124"/>
      <c r="Z124" s="23"/>
    </row>
    <row r="125" spans="1:26" ht="14.45" customHeight="1" x14ac:dyDescent="0.25">
      <c r="A125"/>
      <c r="B125"/>
      <c r="C125"/>
      <c r="D125"/>
      <c r="E125"/>
      <c r="F125"/>
      <c r="G125"/>
      <c r="H125"/>
      <c r="I125"/>
      <c r="J125"/>
      <c r="Z125" s="23"/>
    </row>
    <row r="126" spans="1:26" ht="14.45" customHeight="1" x14ac:dyDescent="0.25">
      <c r="A126"/>
      <c r="B126"/>
      <c r="C126"/>
      <c r="D126"/>
      <c r="E126"/>
      <c r="F126"/>
      <c r="G126"/>
      <c r="H126"/>
      <c r="I126"/>
      <c r="J126"/>
      <c r="Z126" s="23"/>
    </row>
    <row r="127" spans="1:26" ht="14.45" customHeight="1" x14ac:dyDescent="0.25">
      <c r="A127"/>
      <c r="B127"/>
      <c r="C127"/>
      <c r="D127"/>
      <c r="E127"/>
      <c r="F127"/>
      <c r="G127"/>
      <c r="H127"/>
      <c r="I127"/>
      <c r="J127"/>
      <c r="Z127" s="23"/>
    </row>
    <row r="128" spans="1:26" ht="14.45" customHeight="1" x14ac:dyDescent="0.25">
      <c r="A128"/>
      <c r="B128"/>
      <c r="C128"/>
      <c r="D128"/>
      <c r="E128"/>
      <c r="F128"/>
      <c r="G128"/>
      <c r="H128"/>
      <c r="I128"/>
      <c r="J128"/>
      <c r="Z128" s="23"/>
    </row>
    <row r="129" spans="1:26" ht="14.45" customHeight="1" x14ac:dyDescent="0.25">
      <c r="A129"/>
      <c r="B129"/>
      <c r="C129"/>
      <c r="D129"/>
      <c r="E129"/>
      <c r="F129"/>
      <c r="G129"/>
      <c r="H129"/>
      <c r="I129"/>
      <c r="J129"/>
      <c r="Z129" s="23"/>
    </row>
    <row r="130" spans="1:26" ht="14.45" customHeight="1" x14ac:dyDescent="0.25">
      <c r="A130"/>
      <c r="B130"/>
      <c r="C130"/>
      <c r="D130"/>
      <c r="E130"/>
      <c r="F130"/>
      <c r="G130"/>
      <c r="H130"/>
      <c r="I130"/>
      <c r="J130"/>
      <c r="Z130" s="23"/>
    </row>
    <row r="131" spans="1:26" ht="14.45" customHeight="1" x14ac:dyDescent="0.25">
      <c r="A131"/>
      <c r="B131"/>
      <c r="C131"/>
      <c r="D131"/>
      <c r="E131"/>
      <c r="F131"/>
      <c r="G131"/>
      <c r="H131"/>
      <c r="I131"/>
      <c r="J131"/>
      <c r="Z131" s="23"/>
    </row>
    <row r="132" spans="1:26" ht="14.45" customHeight="1" x14ac:dyDescent="0.25">
      <c r="A132"/>
      <c r="B132"/>
      <c r="C132"/>
      <c r="D132"/>
      <c r="E132"/>
      <c r="F132"/>
      <c r="G132"/>
      <c r="H132"/>
      <c r="I132"/>
      <c r="J132"/>
      <c r="Z132" s="23"/>
    </row>
    <row r="133" spans="1:26" ht="14.45" customHeight="1" x14ac:dyDescent="0.25">
      <c r="A133"/>
      <c r="B133"/>
      <c r="C133"/>
      <c r="D133"/>
      <c r="E133"/>
      <c r="F133"/>
      <c r="G133"/>
      <c r="H133"/>
      <c r="I133"/>
      <c r="J133"/>
      <c r="Z133" s="23"/>
    </row>
    <row r="134" spans="1:26" ht="14.45" customHeight="1" x14ac:dyDescent="0.25">
      <c r="A134"/>
      <c r="B134"/>
      <c r="C134"/>
      <c r="D134"/>
      <c r="E134"/>
      <c r="F134"/>
      <c r="G134"/>
      <c r="H134"/>
      <c r="I134"/>
      <c r="J134"/>
      <c r="Z134" s="23"/>
    </row>
    <row r="135" spans="1:26" ht="14.45" customHeight="1" x14ac:dyDescent="0.25">
      <c r="A135"/>
      <c r="B135"/>
      <c r="C135"/>
      <c r="D135"/>
      <c r="E135"/>
      <c r="F135"/>
      <c r="G135"/>
      <c r="H135"/>
      <c r="I135"/>
      <c r="J135"/>
      <c r="Z135" s="23"/>
    </row>
    <row r="136" spans="1:26" ht="14.45" customHeight="1" x14ac:dyDescent="0.25">
      <c r="A136"/>
      <c r="B136"/>
      <c r="C136"/>
      <c r="D136"/>
      <c r="E136"/>
      <c r="F136"/>
      <c r="G136"/>
      <c r="H136"/>
      <c r="I136"/>
      <c r="J136"/>
      <c r="Z136" s="23"/>
    </row>
    <row r="137" spans="1:26" ht="14.45" customHeight="1" x14ac:dyDescent="0.25">
      <c r="A137"/>
      <c r="B137"/>
      <c r="C137"/>
      <c r="D137"/>
      <c r="E137"/>
      <c r="F137"/>
      <c r="G137"/>
      <c r="H137"/>
      <c r="I137"/>
      <c r="J137"/>
      <c r="Z137" s="23"/>
    </row>
    <row r="138" spans="1:26" ht="14.45" customHeight="1" x14ac:dyDescent="0.25">
      <c r="A138"/>
      <c r="B138"/>
      <c r="C138"/>
      <c r="D138"/>
      <c r="E138"/>
      <c r="F138"/>
      <c r="G138"/>
      <c r="H138"/>
      <c r="I138"/>
      <c r="J138"/>
      <c r="Z138" s="23"/>
    </row>
    <row r="139" spans="1:26" ht="14.45" customHeight="1" x14ac:dyDescent="0.25">
      <c r="A139"/>
      <c r="B139"/>
      <c r="C139"/>
      <c r="D139"/>
      <c r="E139"/>
      <c r="F139"/>
      <c r="G139"/>
      <c r="H139"/>
      <c r="I139"/>
      <c r="J139"/>
      <c r="Z139" s="23"/>
    </row>
    <row r="140" spans="1:26" ht="14.45" customHeight="1" x14ac:dyDescent="0.25">
      <c r="A140"/>
      <c r="B140"/>
      <c r="C140"/>
      <c r="D140"/>
      <c r="E140"/>
      <c r="F140"/>
      <c r="G140"/>
      <c r="H140"/>
      <c r="I140"/>
      <c r="J140"/>
      <c r="Z140" s="23"/>
    </row>
    <row r="141" spans="1:26" ht="14.45" customHeight="1" x14ac:dyDescent="0.25">
      <c r="A141"/>
      <c r="B141"/>
      <c r="C141"/>
      <c r="D141"/>
      <c r="E141"/>
      <c r="F141"/>
      <c r="G141"/>
      <c r="H141"/>
      <c r="I141"/>
      <c r="J141"/>
      <c r="Z141" s="23"/>
    </row>
    <row r="142" spans="1:26" ht="14.45" customHeight="1" x14ac:dyDescent="0.25">
      <c r="A142"/>
      <c r="B142"/>
      <c r="C142"/>
      <c r="D142"/>
      <c r="E142"/>
      <c r="F142"/>
      <c r="G142"/>
      <c r="H142"/>
      <c r="I142"/>
      <c r="J142"/>
      <c r="Z142" s="23"/>
    </row>
    <row r="143" spans="1:26" ht="14.45" customHeight="1" x14ac:dyDescent="0.25">
      <c r="A143"/>
      <c r="B143"/>
      <c r="C143"/>
      <c r="D143"/>
      <c r="E143"/>
      <c r="F143"/>
      <c r="G143"/>
      <c r="H143"/>
      <c r="I143"/>
      <c r="J143"/>
      <c r="Z143" s="23"/>
    </row>
    <row r="144" spans="1:26" ht="14.45" customHeight="1" x14ac:dyDescent="0.25">
      <c r="A144"/>
      <c r="B144"/>
      <c r="C144"/>
      <c r="D144"/>
      <c r="E144"/>
      <c r="F144"/>
      <c r="G144"/>
      <c r="H144"/>
      <c r="I144"/>
      <c r="J144"/>
      <c r="Z144" s="23"/>
    </row>
    <row r="145" spans="1:26" ht="14.45" customHeight="1" x14ac:dyDescent="0.25">
      <c r="A145"/>
      <c r="B145"/>
      <c r="C145"/>
      <c r="D145"/>
      <c r="E145"/>
      <c r="F145"/>
      <c r="G145"/>
      <c r="H145"/>
      <c r="I145"/>
      <c r="J145"/>
      <c r="Z145" s="23"/>
    </row>
    <row r="146" spans="1:26" ht="14.45" customHeight="1" x14ac:dyDescent="0.25">
      <c r="A146"/>
      <c r="B146"/>
      <c r="C146"/>
      <c r="D146"/>
      <c r="E146"/>
      <c r="F146"/>
      <c r="G146"/>
      <c r="H146"/>
      <c r="I146"/>
      <c r="J146"/>
      <c r="Z146" s="23"/>
    </row>
    <row r="147" spans="1:26" ht="14.45" customHeight="1" x14ac:dyDescent="0.25">
      <c r="A147"/>
      <c r="B147"/>
      <c r="C147"/>
      <c r="D147"/>
      <c r="E147"/>
      <c r="F147"/>
      <c r="G147"/>
      <c r="H147"/>
      <c r="I147"/>
      <c r="J147"/>
      <c r="Z147" s="23"/>
    </row>
    <row r="148" spans="1:26" ht="14.45" customHeight="1" x14ac:dyDescent="0.25">
      <c r="A148"/>
      <c r="B148"/>
      <c r="C148"/>
      <c r="D148"/>
      <c r="E148"/>
      <c r="F148"/>
      <c r="G148"/>
      <c r="H148"/>
      <c r="I148"/>
      <c r="J148"/>
      <c r="Z148" s="23"/>
    </row>
    <row r="149" spans="1:26" ht="14.45" customHeight="1" x14ac:dyDescent="0.25">
      <c r="A149"/>
      <c r="B149"/>
      <c r="C149"/>
      <c r="D149"/>
      <c r="E149"/>
      <c r="F149"/>
      <c r="G149"/>
      <c r="H149"/>
      <c r="I149"/>
      <c r="J149"/>
      <c r="Z149" s="23"/>
    </row>
    <row r="150" spans="1:26" ht="14.45" customHeight="1" x14ac:dyDescent="0.25">
      <c r="A150"/>
      <c r="B150"/>
      <c r="C150"/>
      <c r="D150"/>
      <c r="E150"/>
      <c r="F150"/>
      <c r="G150"/>
      <c r="H150"/>
      <c r="I150"/>
      <c r="J150"/>
      <c r="Z150" s="23"/>
    </row>
    <row r="151" spans="1:26" ht="14.45" customHeight="1" x14ac:dyDescent="0.25">
      <c r="A151"/>
      <c r="B151"/>
      <c r="C151"/>
      <c r="D151"/>
      <c r="E151"/>
      <c r="F151"/>
      <c r="G151"/>
      <c r="H151"/>
      <c r="I151"/>
      <c r="J151"/>
      <c r="Z151" s="23"/>
    </row>
    <row r="152" spans="1:26" ht="14.45" customHeight="1" x14ac:dyDescent="0.25">
      <c r="A152"/>
      <c r="B152"/>
      <c r="C152"/>
      <c r="D152"/>
      <c r="E152"/>
      <c r="F152"/>
      <c r="G152"/>
      <c r="H152"/>
      <c r="I152"/>
      <c r="J152"/>
      <c r="Z152" s="23"/>
    </row>
    <row r="153" spans="1:26" ht="14.45" customHeight="1" x14ac:dyDescent="0.25">
      <c r="A153"/>
      <c r="B153"/>
      <c r="C153"/>
      <c r="D153"/>
      <c r="E153"/>
      <c r="F153"/>
      <c r="G153"/>
      <c r="H153"/>
      <c r="I153"/>
      <c r="J153"/>
      <c r="Z153" s="23"/>
    </row>
    <row r="154" spans="1:26" ht="14.45" customHeight="1" x14ac:dyDescent="0.25">
      <c r="A154"/>
      <c r="B154"/>
      <c r="C154"/>
      <c r="D154"/>
      <c r="E154"/>
      <c r="F154"/>
      <c r="G154"/>
      <c r="H154"/>
      <c r="I154"/>
      <c r="J154"/>
      <c r="Z154" s="23"/>
    </row>
    <row r="155" spans="1:26" ht="14.45" customHeight="1" x14ac:dyDescent="0.25">
      <c r="A155"/>
      <c r="B155"/>
      <c r="C155"/>
      <c r="D155"/>
      <c r="E155"/>
      <c r="F155"/>
      <c r="G155"/>
      <c r="H155"/>
      <c r="I155"/>
      <c r="J155"/>
      <c r="Z155" s="23"/>
    </row>
    <row r="156" spans="1:26" ht="14.45" customHeight="1" x14ac:dyDescent="0.25">
      <c r="A156"/>
      <c r="B156"/>
      <c r="C156"/>
      <c r="D156"/>
      <c r="E156"/>
      <c r="F156"/>
      <c r="G156"/>
      <c r="H156"/>
      <c r="I156"/>
      <c r="J156"/>
      <c r="Z156" s="23"/>
    </row>
    <row r="157" spans="1:26" ht="14.45" customHeight="1" x14ac:dyDescent="0.25">
      <c r="A157"/>
      <c r="B157"/>
      <c r="C157"/>
      <c r="D157"/>
      <c r="E157"/>
      <c r="F157"/>
      <c r="G157"/>
      <c r="H157"/>
      <c r="I157"/>
      <c r="J157"/>
      <c r="Z157" s="23"/>
    </row>
    <row r="158" spans="1:26" ht="14.45" customHeight="1" x14ac:dyDescent="0.25">
      <c r="A158"/>
      <c r="B158"/>
      <c r="C158"/>
      <c r="D158"/>
      <c r="E158"/>
      <c r="F158"/>
      <c r="G158"/>
      <c r="H158"/>
      <c r="I158"/>
      <c r="J158"/>
      <c r="Z158" s="23"/>
    </row>
    <row r="159" spans="1:26" ht="14.45" customHeight="1" x14ac:dyDescent="0.25">
      <c r="A159"/>
      <c r="B159"/>
      <c r="C159"/>
      <c r="D159"/>
      <c r="E159"/>
      <c r="F159"/>
      <c r="G159"/>
      <c r="H159"/>
      <c r="I159"/>
      <c r="J159"/>
      <c r="Z159" s="23"/>
    </row>
    <row r="160" spans="1:26" ht="14.45" customHeight="1" x14ac:dyDescent="0.25">
      <c r="A160"/>
      <c r="B160"/>
      <c r="C160"/>
      <c r="D160"/>
      <c r="E160"/>
      <c r="F160"/>
      <c r="G160"/>
      <c r="H160"/>
      <c r="I160"/>
      <c r="J160"/>
      <c r="Z160" s="23"/>
    </row>
    <row r="161" spans="1:26" ht="14.45" customHeight="1" x14ac:dyDescent="0.25">
      <c r="A161"/>
      <c r="B161"/>
      <c r="C161"/>
      <c r="D161"/>
      <c r="E161"/>
      <c r="F161"/>
      <c r="G161"/>
      <c r="H161"/>
      <c r="I161"/>
      <c r="J161"/>
      <c r="Z161" s="23"/>
    </row>
    <row r="162" spans="1:26" ht="14.45" customHeight="1" x14ac:dyDescent="0.25">
      <c r="A162"/>
      <c r="B162"/>
      <c r="C162"/>
      <c r="D162"/>
      <c r="E162"/>
      <c r="F162"/>
      <c r="G162"/>
      <c r="H162"/>
      <c r="I162"/>
      <c r="J162"/>
      <c r="Z162" s="23"/>
    </row>
    <row r="163" spans="1:26" ht="14.45" customHeight="1" x14ac:dyDescent="0.25">
      <c r="A163"/>
      <c r="B163"/>
      <c r="C163"/>
      <c r="D163"/>
      <c r="E163"/>
      <c r="F163"/>
      <c r="G163"/>
      <c r="H163"/>
      <c r="I163"/>
      <c r="J163"/>
      <c r="Z163" s="23"/>
    </row>
    <row r="164" spans="1:26" ht="14.45" customHeight="1" x14ac:dyDescent="0.25">
      <c r="A164"/>
      <c r="B164"/>
      <c r="C164"/>
      <c r="D164"/>
      <c r="E164"/>
      <c r="F164"/>
      <c r="G164"/>
      <c r="H164"/>
      <c r="I164"/>
      <c r="J164"/>
      <c r="Z164" s="23"/>
    </row>
    <row r="165" spans="1:26" ht="14.45" customHeight="1" x14ac:dyDescent="0.25">
      <c r="A165"/>
      <c r="B165"/>
      <c r="C165"/>
      <c r="D165"/>
      <c r="E165"/>
      <c r="F165"/>
      <c r="G165"/>
      <c r="H165"/>
      <c r="I165"/>
      <c r="J165"/>
      <c r="Z165" s="23"/>
    </row>
    <row r="166" spans="1:26" ht="14.45" customHeight="1" x14ac:dyDescent="0.25">
      <c r="A166"/>
      <c r="B166"/>
      <c r="C166"/>
      <c r="D166"/>
      <c r="E166"/>
      <c r="F166"/>
      <c r="G166"/>
      <c r="H166"/>
      <c r="I166"/>
      <c r="J166"/>
      <c r="Z166" s="23"/>
    </row>
    <row r="167" spans="1:26" ht="14.45" customHeight="1" x14ac:dyDescent="0.25">
      <c r="A167"/>
      <c r="B167"/>
      <c r="C167"/>
      <c r="D167"/>
      <c r="E167"/>
      <c r="F167"/>
      <c r="G167"/>
      <c r="H167"/>
      <c r="I167"/>
      <c r="J167"/>
      <c r="Z167" s="23"/>
    </row>
    <row r="168" spans="1:26" ht="14.45" customHeight="1" x14ac:dyDescent="0.25">
      <c r="A168"/>
      <c r="B168"/>
      <c r="C168"/>
      <c r="D168"/>
      <c r="E168"/>
      <c r="F168"/>
      <c r="G168"/>
      <c r="H168"/>
      <c r="I168"/>
      <c r="J168"/>
      <c r="Z168" s="23"/>
    </row>
    <row r="169" spans="1:26" ht="14.45" customHeight="1" x14ac:dyDescent="0.25">
      <c r="A169"/>
      <c r="B169"/>
      <c r="C169"/>
      <c r="D169"/>
      <c r="E169"/>
      <c r="F169"/>
      <c r="G169"/>
      <c r="H169"/>
      <c r="I169"/>
      <c r="J169"/>
      <c r="Z169" s="23"/>
    </row>
    <row r="170" spans="1:26" ht="14.45" customHeight="1" x14ac:dyDescent="0.25">
      <c r="A170"/>
      <c r="B170"/>
      <c r="C170"/>
      <c r="D170"/>
      <c r="E170"/>
      <c r="F170"/>
      <c r="G170"/>
      <c r="H170"/>
      <c r="I170"/>
      <c r="J170"/>
      <c r="Z170" s="23"/>
    </row>
    <row r="171" spans="1:26" ht="14.45" customHeight="1" x14ac:dyDescent="0.25">
      <c r="A171"/>
      <c r="B171"/>
      <c r="C171"/>
      <c r="D171"/>
      <c r="E171"/>
      <c r="F171"/>
      <c r="G171"/>
      <c r="H171"/>
      <c r="I171"/>
      <c r="J171"/>
      <c r="Z171" s="23"/>
    </row>
    <row r="172" spans="1:26" ht="14.45" customHeight="1" x14ac:dyDescent="0.25">
      <c r="A172"/>
      <c r="B172"/>
      <c r="C172"/>
      <c r="D172"/>
      <c r="E172"/>
      <c r="F172"/>
      <c r="G172"/>
      <c r="H172"/>
      <c r="I172"/>
      <c r="J172"/>
      <c r="Z172" s="23"/>
    </row>
    <row r="173" spans="1:26" ht="14.45" customHeight="1" x14ac:dyDescent="0.25">
      <c r="A173"/>
      <c r="B173"/>
      <c r="C173"/>
      <c r="D173"/>
      <c r="E173"/>
      <c r="F173"/>
      <c r="G173"/>
      <c r="H173"/>
      <c r="I173"/>
      <c r="J173"/>
      <c r="Z173" s="23"/>
    </row>
    <row r="174" spans="1:26" ht="14.45" customHeight="1" x14ac:dyDescent="0.25">
      <c r="A174"/>
      <c r="B174"/>
      <c r="C174"/>
      <c r="D174"/>
      <c r="E174"/>
      <c r="F174"/>
      <c r="G174"/>
      <c r="H174"/>
      <c r="I174"/>
      <c r="J174"/>
      <c r="Z174" s="23"/>
    </row>
    <row r="175" spans="1:26" ht="14.45" customHeight="1" x14ac:dyDescent="0.25">
      <c r="A175"/>
      <c r="B175"/>
      <c r="C175"/>
      <c r="D175"/>
      <c r="E175"/>
      <c r="F175"/>
      <c r="G175"/>
      <c r="H175"/>
      <c r="I175"/>
      <c r="J175"/>
      <c r="Z175" s="23"/>
    </row>
    <row r="176" spans="1:26" ht="14.45" customHeight="1" x14ac:dyDescent="0.25">
      <c r="A176"/>
      <c r="B176"/>
      <c r="C176"/>
      <c r="D176"/>
      <c r="E176"/>
      <c r="F176"/>
      <c r="G176"/>
      <c r="H176"/>
      <c r="I176"/>
      <c r="J176"/>
      <c r="Z176" s="23"/>
    </row>
    <row r="177" spans="1:31" ht="14.45" customHeight="1" x14ac:dyDescent="0.25">
      <c r="A177"/>
      <c r="B177"/>
      <c r="C177"/>
      <c r="D177"/>
      <c r="E177"/>
      <c r="F177"/>
      <c r="G177"/>
      <c r="H177"/>
      <c r="I177"/>
      <c r="J177"/>
      <c r="Z177" s="23"/>
    </row>
    <row r="178" spans="1:31" ht="14.45" customHeight="1" x14ac:dyDescent="0.25">
      <c r="A178"/>
      <c r="B178"/>
      <c r="C178"/>
      <c r="D178"/>
      <c r="E178"/>
      <c r="F178"/>
      <c r="G178"/>
      <c r="H178"/>
      <c r="I178"/>
      <c r="J178"/>
      <c r="Z178" s="23"/>
    </row>
    <row r="179" spans="1:31" ht="14.45" customHeight="1" x14ac:dyDescent="0.25">
      <c r="A179"/>
      <c r="B179"/>
      <c r="C179"/>
      <c r="D179"/>
      <c r="E179"/>
      <c r="F179"/>
      <c r="G179"/>
      <c r="H179"/>
      <c r="I179"/>
      <c r="J179"/>
      <c r="Z179" s="23"/>
    </row>
    <row r="180" spans="1:31" x14ac:dyDescent="0.25">
      <c r="L180" s="27"/>
      <c r="X180" s="27"/>
      <c r="Y180" s="27"/>
      <c r="Z180" s="27"/>
    </row>
    <row r="181" spans="1:31" x14ac:dyDescent="0.25">
      <c r="A181"/>
      <c r="B181"/>
      <c r="C181"/>
      <c r="D181"/>
      <c r="E181"/>
      <c r="F181"/>
      <c r="G181"/>
      <c r="H181"/>
      <c r="I181"/>
      <c r="J181"/>
      <c r="Z181" s="209"/>
      <c r="AA181" s="201" t="str" cm="1">
        <f t="array" ref="AA181:AC181">AA6:AC6</f>
        <v>Pt Froid</v>
      </c>
      <c r="AB181" s="201" t="str">
        <v>Regulation</v>
      </c>
      <c r="AC181" s="201" t="str">
        <v>Pt Chaud</v>
      </c>
    </row>
    <row r="182" spans="1:31" x14ac:dyDescent="0.25">
      <c r="A182"/>
      <c r="B182"/>
      <c r="C182"/>
      <c r="D182"/>
      <c r="E182"/>
      <c r="F182"/>
      <c r="G182"/>
      <c r="H182"/>
      <c r="I182"/>
      <c r="J182"/>
      <c r="Z182" s="197" t="s">
        <v>90</v>
      </c>
      <c r="AA182" s="43">
        <f>MAX(tab_four80[Pt Froid])</f>
        <v>0</v>
      </c>
      <c r="AB182" s="43">
        <f>MAX(tab_four80[Regulation])</f>
        <v>0</v>
      </c>
      <c r="AC182" s="43">
        <f>MAX(tab_four80[Pt Chaud])</f>
        <v>0</v>
      </c>
    </row>
    <row r="183" spans="1:31" x14ac:dyDescent="0.25">
      <c r="A183"/>
      <c r="B183"/>
      <c r="C183"/>
      <c r="D183"/>
      <c r="E183"/>
      <c r="F183"/>
      <c r="G183"/>
      <c r="H183"/>
      <c r="I183"/>
      <c r="J183"/>
      <c r="Z183" s="197" t="s">
        <v>91</v>
      </c>
      <c r="AA183" s="43" t="e">
        <f ca="1">MAX(OFFSET(INDEX(tab_four80[Pt Froid],1),COUNT(tab_four80[Pt Froid])-30,0,30))</f>
        <v>#REF!</v>
      </c>
      <c r="AB183" s="43" t="e">
        <f ca="1">MAX(OFFSET(INDEX(tab_four80[Regulation],1),COUNT(tab_four80[Regulation])-30,0,30))</f>
        <v>#REF!</v>
      </c>
      <c r="AC183" s="43" t="e">
        <f ca="1">MAX(OFFSET(INDEX(tab_four80[Pt Chaud],1),COUNT(tab_four80[Pt Chaud])-30,0,30))</f>
        <v>#REF!</v>
      </c>
    </row>
    <row r="184" spans="1:31" x14ac:dyDescent="0.25">
      <c r="A184"/>
      <c r="B184"/>
      <c r="C184"/>
      <c r="D184"/>
      <c r="E184"/>
      <c r="F184"/>
      <c r="G184"/>
      <c r="H184"/>
      <c r="I184"/>
      <c r="J184"/>
      <c r="Z184" s="197" t="s">
        <v>93</v>
      </c>
      <c r="AA184" s="43" t="e">
        <f ca="1">MIN(OFFSET(INDEX(tab_four80[Pt Froid],1),COUNT(tab_four80[Pt Froid])-30,0,30))</f>
        <v>#REF!</v>
      </c>
      <c r="AB184" s="43" t="e">
        <f ca="1">MIN(OFFSET(INDEX(tab_four80[Regulation],1),COUNT(tab_four80[Regulation])-30,0,30))</f>
        <v>#REF!</v>
      </c>
      <c r="AC184" s="43" t="e">
        <f ca="1">MIN(OFFSET(INDEX(tab_four80[Pt Chaud],1),COUNT(tab_four80[Pt Chaud])-30,0,30))</f>
        <v>#REF!</v>
      </c>
    </row>
    <row r="185" spans="1:31" x14ac:dyDescent="0.25">
      <c r="A185"/>
      <c r="B185"/>
      <c r="C185"/>
      <c r="D185"/>
      <c r="E185"/>
      <c r="F185"/>
      <c r="G185"/>
      <c r="H185"/>
      <c r="I185"/>
      <c r="J185"/>
      <c r="Z185" s="197" t="s">
        <v>95</v>
      </c>
      <c r="AA185" s="43" t="e">
        <f ca="1">AVERAGE(OFFSET(INDEX(tab_four80[Pt Froid],1),COUNT(tab_four80[Pt Froid])-30,0,30))</f>
        <v>#REF!</v>
      </c>
      <c r="AB185" s="43" t="e">
        <f ca="1">AVERAGE(OFFSET(INDEX(tab_four80[Regulation],1),COUNT(tab_four80[Regulation])-30,0,30))</f>
        <v>#REF!</v>
      </c>
      <c r="AC185" s="43" t="e">
        <f ca="1">AVERAGE(OFFSET(INDEX(tab_four80[Pt Chaud],1),COUNT(tab_four80[Pt Chaud])-30,0,30))</f>
        <v>#REF!</v>
      </c>
    </row>
    <row r="186" spans="1:31" x14ac:dyDescent="0.25">
      <c r="A186"/>
      <c r="B186"/>
      <c r="C186"/>
      <c r="D186"/>
      <c r="E186"/>
      <c r="F186"/>
      <c r="G186"/>
      <c r="H186"/>
      <c r="I186"/>
      <c r="J186"/>
      <c r="Z186" s="209"/>
    </row>
    <row r="187" spans="1:31" x14ac:dyDescent="0.25">
      <c r="A187"/>
      <c r="B187"/>
      <c r="C187"/>
      <c r="D187"/>
      <c r="E187"/>
      <c r="F187"/>
      <c r="G187"/>
      <c r="H187"/>
      <c r="I187"/>
      <c r="J187"/>
      <c r="Z187" s="209"/>
    </row>
    <row r="188" spans="1:31" s="27" customFormat="1" x14ac:dyDescent="0.25">
      <c r="A188"/>
      <c r="B188"/>
      <c r="C188"/>
      <c r="D188"/>
      <c r="E188"/>
      <c r="F188"/>
      <c r="G188"/>
      <c r="H188"/>
      <c r="I188"/>
      <c r="J188"/>
      <c r="L188"/>
      <c r="M188"/>
      <c r="N188"/>
      <c r="O188"/>
      <c r="P188"/>
      <c r="Q188"/>
      <c r="R188"/>
      <c r="S188"/>
      <c r="T188"/>
      <c r="U188"/>
      <c r="V188"/>
      <c r="X188"/>
      <c r="Y188"/>
      <c r="Z188" s="209"/>
      <c r="AD188"/>
      <c r="AE188"/>
    </row>
    <row r="189" spans="1:31" s="27" customFormat="1" x14ac:dyDescent="0.25">
      <c r="A189"/>
      <c r="B189"/>
      <c r="C189"/>
      <c r="D189"/>
      <c r="E189"/>
      <c r="F189"/>
      <c r="G189"/>
      <c r="H189"/>
      <c r="I189"/>
      <c r="J189"/>
      <c r="L189"/>
      <c r="M189"/>
      <c r="N189"/>
      <c r="O189"/>
      <c r="P189"/>
      <c r="Q189"/>
      <c r="R189"/>
      <c r="S189"/>
      <c r="T189"/>
      <c r="U189"/>
      <c r="V189"/>
      <c r="X189"/>
      <c r="Y189"/>
      <c r="Z189" s="209"/>
      <c r="AD189"/>
      <c r="AE189"/>
    </row>
    <row r="190" spans="1:31" s="27" customFormat="1" x14ac:dyDescent="0.25">
      <c r="A190"/>
      <c r="B190"/>
      <c r="C190"/>
      <c r="D190"/>
      <c r="E190"/>
      <c r="F190"/>
      <c r="G190"/>
      <c r="H190"/>
      <c r="I190"/>
      <c r="J190"/>
      <c r="L190"/>
      <c r="M190"/>
      <c r="N190"/>
      <c r="O190"/>
      <c r="P190"/>
      <c r="Q190"/>
      <c r="R190"/>
      <c r="S190"/>
      <c r="T190"/>
      <c r="U190"/>
      <c r="V190"/>
      <c r="X190"/>
      <c r="Y190"/>
      <c r="Z190" s="209"/>
      <c r="AD190"/>
      <c r="AE190"/>
    </row>
    <row r="191" spans="1:31" s="27" customFormat="1" x14ac:dyDescent="0.25">
      <c r="A191"/>
      <c r="B191"/>
      <c r="C191"/>
      <c r="D191"/>
      <c r="E191"/>
      <c r="F191"/>
      <c r="G191"/>
      <c r="H191"/>
      <c r="I191"/>
      <c r="J191"/>
      <c r="L191"/>
      <c r="M191"/>
      <c r="N191"/>
      <c r="O191"/>
      <c r="P191"/>
      <c r="Q191"/>
      <c r="R191"/>
      <c r="S191"/>
      <c r="T191"/>
      <c r="U191"/>
      <c r="V191"/>
      <c r="X191"/>
      <c r="Y191"/>
      <c r="Z191" s="209"/>
      <c r="AD191"/>
      <c r="AE191"/>
    </row>
    <row r="192" spans="1:31" s="27" customFormat="1" x14ac:dyDescent="0.25">
      <c r="A192"/>
      <c r="B192"/>
      <c r="C192"/>
      <c r="D192"/>
      <c r="E192"/>
      <c r="F192"/>
      <c r="G192"/>
      <c r="H192"/>
      <c r="I192"/>
      <c r="J192"/>
      <c r="L192"/>
      <c r="M192"/>
      <c r="N192"/>
      <c r="O192"/>
      <c r="P192"/>
      <c r="Q192"/>
      <c r="R192"/>
      <c r="S192"/>
      <c r="T192"/>
      <c r="U192"/>
      <c r="V192"/>
      <c r="X192"/>
      <c r="Y192"/>
      <c r="Z192" s="209"/>
      <c r="AD192"/>
      <c r="AE192"/>
    </row>
    <row r="193" spans="1:31" s="27" customFormat="1" x14ac:dyDescent="0.25">
      <c r="A193"/>
      <c r="B193"/>
      <c r="C193"/>
      <c r="D193"/>
      <c r="E193"/>
      <c r="F193"/>
      <c r="G193"/>
      <c r="H193"/>
      <c r="I193"/>
      <c r="J193"/>
      <c r="L193"/>
      <c r="M193"/>
      <c r="N193"/>
      <c r="O193"/>
      <c r="P193"/>
      <c r="Q193"/>
      <c r="R193"/>
      <c r="S193"/>
      <c r="T193"/>
      <c r="U193"/>
      <c r="V193"/>
      <c r="X193"/>
      <c r="Y193"/>
      <c r="Z193" s="209"/>
      <c r="AD193"/>
      <c r="AE193"/>
    </row>
    <row r="194" spans="1:31" s="27" customFormat="1" x14ac:dyDescent="0.25">
      <c r="A194"/>
      <c r="B194"/>
      <c r="C194"/>
      <c r="D194"/>
      <c r="E194"/>
      <c r="F194"/>
      <c r="G194"/>
      <c r="H194"/>
      <c r="I194"/>
      <c r="J194"/>
      <c r="L194"/>
      <c r="M194"/>
      <c r="N194"/>
      <c r="O194"/>
      <c r="P194"/>
      <c r="Q194"/>
      <c r="R194"/>
      <c r="S194"/>
      <c r="T194"/>
      <c r="U194"/>
      <c r="V194"/>
      <c r="X194"/>
      <c r="Y194"/>
      <c r="Z194" s="209"/>
      <c r="AD194"/>
      <c r="AE194"/>
    </row>
    <row r="195" spans="1:31" s="27" customFormat="1" x14ac:dyDescent="0.25">
      <c r="A195"/>
      <c r="B195"/>
      <c r="C195"/>
      <c r="D195"/>
      <c r="E195"/>
      <c r="F195"/>
      <c r="G195"/>
      <c r="H195"/>
      <c r="I195"/>
      <c r="J195"/>
      <c r="L195"/>
      <c r="M195"/>
      <c r="N195"/>
      <c r="O195"/>
      <c r="P195"/>
      <c r="Q195"/>
      <c r="R195"/>
      <c r="S195"/>
      <c r="T195"/>
      <c r="U195"/>
      <c r="V195"/>
      <c r="X195"/>
      <c r="Y195"/>
      <c r="Z195" s="209"/>
      <c r="AD195"/>
      <c r="AE195"/>
    </row>
    <row r="196" spans="1:31" s="27" customFormat="1" x14ac:dyDescent="0.25">
      <c r="A196"/>
      <c r="B196"/>
      <c r="C196"/>
      <c r="D196"/>
      <c r="E196"/>
      <c r="F196"/>
      <c r="G196"/>
      <c r="H196"/>
      <c r="I196"/>
      <c r="J196"/>
      <c r="L196"/>
      <c r="M196"/>
      <c r="N196"/>
      <c r="O196"/>
      <c r="P196"/>
      <c r="Q196"/>
      <c r="R196"/>
      <c r="S196"/>
      <c r="T196"/>
      <c r="U196"/>
      <c r="V196"/>
      <c r="X196"/>
      <c r="Y196"/>
      <c r="Z196" s="209"/>
      <c r="AD196"/>
      <c r="AE196"/>
    </row>
    <row r="197" spans="1:31" s="27" customFormat="1" x14ac:dyDescent="0.25">
      <c r="A197"/>
      <c r="B197"/>
      <c r="C197"/>
      <c r="D197"/>
      <c r="E197"/>
      <c r="F197"/>
      <c r="G197"/>
      <c r="H197"/>
      <c r="I197"/>
      <c r="J197"/>
      <c r="L197"/>
      <c r="M197"/>
      <c r="N197"/>
      <c r="O197"/>
      <c r="P197"/>
      <c r="Q197"/>
      <c r="R197"/>
      <c r="S197"/>
      <c r="T197"/>
      <c r="U197"/>
      <c r="V197"/>
      <c r="X197"/>
      <c r="Y197"/>
      <c r="Z197" s="209"/>
      <c r="AD197"/>
      <c r="AE197"/>
    </row>
    <row r="198" spans="1:31" s="27" customFormat="1" x14ac:dyDescent="0.25">
      <c r="A198"/>
      <c r="B198"/>
      <c r="C198"/>
      <c r="D198"/>
      <c r="E198"/>
      <c r="F198"/>
      <c r="G198"/>
      <c r="H198"/>
      <c r="I198"/>
      <c r="J198"/>
      <c r="L198"/>
      <c r="M198"/>
      <c r="N198"/>
      <c r="O198"/>
      <c r="P198"/>
      <c r="Q198"/>
      <c r="R198"/>
      <c r="S198"/>
      <c r="T198"/>
      <c r="U198"/>
      <c r="V198"/>
      <c r="X198"/>
      <c r="Y198"/>
      <c r="Z198" s="209"/>
      <c r="AD198"/>
      <c r="AE198"/>
    </row>
    <row r="199" spans="1:31" s="27" customFormat="1" x14ac:dyDescent="0.25">
      <c r="A199"/>
      <c r="B199"/>
      <c r="C199"/>
      <c r="D199"/>
      <c r="E199"/>
      <c r="F199"/>
      <c r="G199"/>
      <c r="H199"/>
      <c r="I199"/>
      <c r="J199"/>
      <c r="L199"/>
      <c r="M199"/>
      <c r="N199"/>
      <c r="O199"/>
      <c r="P199"/>
      <c r="Q199"/>
      <c r="R199"/>
      <c r="S199"/>
      <c r="T199"/>
      <c r="U199"/>
      <c r="V199"/>
      <c r="X199"/>
      <c r="Y199"/>
      <c r="Z199" s="209"/>
      <c r="AD199"/>
      <c r="AE199"/>
    </row>
    <row r="200" spans="1:31" s="27" customFormat="1" x14ac:dyDescent="0.25">
      <c r="A200"/>
      <c r="B200"/>
      <c r="C200"/>
      <c r="D200"/>
      <c r="E200"/>
      <c r="F200"/>
      <c r="G200"/>
      <c r="H200"/>
      <c r="I200"/>
      <c r="J200"/>
      <c r="L200"/>
      <c r="M200"/>
      <c r="N200"/>
      <c r="O200"/>
      <c r="P200"/>
      <c r="Q200"/>
      <c r="R200"/>
      <c r="S200"/>
      <c r="T200"/>
      <c r="U200"/>
      <c r="V200"/>
      <c r="X200"/>
      <c r="Y200"/>
      <c r="Z200" s="209"/>
      <c r="AD200"/>
      <c r="AE200"/>
    </row>
    <row r="201" spans="1:31" s="27" customFormat="1" x14ac:dyDescent="0.25">
      <c r="A201"/>
      <c r="B201"/>
      <c r="C201"/>
      <c r="D201"/>
      <c r="E201"/>
      <c r="F201"/>
      <c r="G201"/>
      <c r="H201"/>
      <c r="I201"/>
      <c r="J201"/>
      <c r="L201"/>
      <c r="M201"/>
      <c r="N201"/>
      <c r="O201"/>
      <c r="P201"/>
      <c r="Q201"/>
      <c r="R201"/>
      <c r="S201"/>
      <c r="T201"/>
      <c r="U201"/>
      <c r="V201"/>
      <c r="X201"/>
      <c r="Y201"/>
      <c r="Z201" s="209"/>
      <c r="AD201"/>
      <c r="AE201"/>
    </row>
    <row r="202" spans="1:31" s="27" customFormat="1" x14ac:dyDescent="0.25">
      <c r="A202"/>
      <c r="B202"/>
      <c r="C202"/>
      <c r="D202"/>
      <c r="E202"/>
      <c r="F202"/>
      <c r="G202"/>
      <c r="H202"/>
      <c r="I202"/>
      <c r="J202"/>
      <c r="L202"/>
      <c r="M202"/>
      <c r="N202"/>
      <c r="O202"/>
      <c r="P202"/>
      <c r="Q202"/>
      <c r="R202"/>
      <c r="S202"/>
      <c r="T202"/>
      <c r="U202"/>
      <c r="V202"/>
      <c r="X202"/>
      <c r="Y202"/>
      <c r="Z202" s="209"/>
      <c r="AD202"/>
      <c r="AE202"/>
    </row>
    <row r="203" spans="1:31" s="27" customFormat="1" x14ac:dyDescent="0.25">
      <c r="A203"/>
      <c r="B203"/>
      <c r="C203"/>
      <c r="D203"/>
      <c r="E203"/>
      <c r="F203"/>
      <c r="G203"/>
      <c r="H203"/>
      <c r="I203"/>
      <c r="J203"/>
      <c r="L203"/>
      <c r="M203"/>
      <c r="N203"/>
      <c r="O203"/>
      <c r="P203"/>
      <c r="Q203"/>
      <c r="R203"/>
      <c r="S203"/>
      <c r="T203"/>
      <c r="U203"/>
      <c r="V203"/>
      <c r="X203"/>
      <c r="Y203"/>
      <c r="Z203" s="209"/>
      <c r="AD203"/>
      <c r="AE203"/>
    </row>
    <row r="204" spans="1:31" s="27" customFormat="1" x14ac:dyDescent="0.25">
      <c r="A204"/>
      <c r="B204"/>
      <c r="C204"/>
      <c r="D204"/>
      <c r="E204"/>
      <c r="F204"/>
      <c r="G204"/>
      <c r="H204"/>
      <c r="I204"/>
      <c r="J204"/>
      <c r="L204"/>
      <c r="M204"/>
      <c r="N204"/>
      <c r="O204"/>
      <c r="P204"/>
      <c r="Q204"/>
      <c r="R204"/>
      <c r="S204"/>
      <c r="T204"/>
      <c r="U204"/>
      <c r="V204"/>
      <c r="X204"/>
      <c r="Y204"/>
      <c r="Z204" s="209"/>
      <c r="AD204"/>
      <c r="AE204"/>
    </row>
    <row r="205" spans="1:31" s="27" customFormat="1" x14ac:dyDescent="0.25">
      <c r="A205"/>
      <c r="B205"/>
      <c r="C205"/>
      <c r="D205"/>
      <c r="E205"/>
      <c r="F205"/>
      <c r="G205"/>
      <c r="H205"/>
      <c r="I205"/>
      <c r="J205"/>
      <c r="L205"/>
      <c r="M205"/>
      <c r="N205"/>
      <c r="O205"/>
      <c r="P205"/>
      <c r="Q205"/>
      <c r="R205"/>
      <c r="S205"/>
      <c r="T205"/>
      <c r="U205"/>
      <c r="V205"/>
      <c r="X205"/>
      <c r="Y205"/>
      <c r="Z205" s="209"/>
      <c r="AD205"/>
      <c r="AE205"/>
    </row>
    <row r="206" spans="1:31" s="27" customFormat="1" x14ac:dyDescent="0.25">
      <c r="A206"/>
      <c r="B206"/>
      <c r="C206"/>
      <c r="D206"/>
      <c r="E206"/>
      <c r="F206"/>
      <c r="G206"/>
      <c r="H206"/>
      <c r="I206"/>
      <c r="J206"/>
      <c r="L206"/>
      <c r="M206"/>
      <c r="N206"/>
      <c r="O206"/>
      <c r="P206"/>
      <c r="Q206"/>
      <c r="R206"/>
      <c r="S206"/>
      <c r="T206"/>
      <c r="U206"/>
      <c r="V206"/>
      <c r="X206"/>
      <c r="Y206"/>
      <c r="Z206" s="209"/>
      <c r="AD206"/>
      <c r="AE206"/>
    </row>
    <row r="207" spans="1:31" s="27" customFormat="1" x14ac:dyDescent="0.25">
      <c r="A207"/>
      <c r="B207"/>
      <c r="C207"/>
      <c r="D207"/>
      <c r="E207"/>
      <c r="F207"/>
      <c r="G207"/>
      <c r="H207"/>
      <c r="I207"/>
      <c r="J207"/>
      <c r="L207"/>
      <c r="M207"/>
      <c r="N207"/>
      <c r="O207"/>
      <c r="P207"/>
      <c r="Q207"/>
      <c r="R207"/>
      <c r="S207"/>
      <c r="T207"/>
      <c r="U207"/>
      <c r="V207"/>
      <c r="X207"/>
      <c r="Y207"/>
      <c r="Z207" s="209"/>
      <c r="AD207"/>
      <c r="AE207"/>
    </row>
    <row r="208" spans="1:31" s="27" customFormat="1" x14ac:dyDescent="0.25">
      <c r="A208"/>
      <c r="B208"/>
      <c r="C208"/>
      <c r="D208"/>
      <c r="E208"/>
      <c r="F208"/>
      <c r="G208"/>
      <c r="H208"/>
      <c r="I208"/>
      <c r="J208"/>
      <c r="L208"/>
      <c r="M208"/>
      <c r="N208"/>
      <c r="O208"/>
      <c r="P208"/>
      <c r="Q208"/>
      <c r="R208"/>
      <c r="S208"/>
      <c r="T208"/>
      <c r="U208"/>
      <c r="V208"/>
      <c r="X208"/>
      <c r="Y208"/>
      <c r="Z208" s="209"/>
      <c r="AD208"/>
      <c r="AE208"/>
    </row>
    <row r="209" spans="1:31" s="27" customFormat="1" x14ac:dyDescent="0.25">
      <c r="A209"/>
      <c r="B209"/>
      <c r="C209"/>
      <c r="D209"/>
      <c r="E209"/>
      <c r="F209"/>
      <c r="G209"/>
      <c r="H209"/>
      <c r="I209"/>
      <c r="J209"/>
      <c r="L209"/>
      <c r="M209"/>
      <c r="N209"/>
      <c r="O209"/>
      <c r="P209"/>
      <c r="Q209"/>
      <c r="R209"/>
      <c r="S209"/>
      <c r="T209"/>
      <c r="U209"/>
      <c r="V209"/>
      <c r="X209"/>
      <c r="Y209"/>
      <c r="Z209" s="209"/>
      <c r="AD209"/>
      <c r="AE209"/>
    </row>
    <row r="210" spans="1:31" s="27" customFormat="1" x14ac:dyDescent="0.25">
      <c r="A210"/>
      <c r="B210"/>
      <c r="C210"/>
      <c r="D210"/>
      <c r="E210"/>
      <c r="F210"/>
      <c r="G210"/>
      <c r="H210"/>
      <c r="I210"/>
      <c r="J210"/>
      <c r="L210"/>
      <c r="M210"/>
      <c r="N210"/>
      <c r="O210"/>
      <c r="P210"/>
      <c r="Q210"/>
      <c r="R210"/>
      <c r="S210"/>
      <c r="T210"/>
      <c r="U210"/>
      <c r="V210"/>
      <c r="X210"/>
      <c r="Y210"/>
      <c r="Z210" s="209"/>
      <c r="AD210"/>
      <c r="AE210"/>
    </row>
    <row r="211" spans="1:31" s="27" customFormat="1" x14ac:dyDescent="0.25">
      <c r="A211"/>
      <c r="B211"/>
      <c r="C211"/>
      <c r="D211"/>
      <c r="E211"/>
      <c r="F211"/>
      <c r="G211"/>
      <c r="H211"/>
      <c r="I211"/>
      <c r="J211"/>
      <c r="L211"/>
      <c r="M211"/>
      <c r="N211"/>
      <c r="O211"/>
      <c r="P211"/>
      <c r="Q211"/>
      <c r="R211"/>
      <c r="S211"/>
      <c r="T211"/>
      <c r="U211"/>
      <c r="V211"/>
      <c r="X211"/>
      <c r="Y211"/>
      <c r="Z211" s="209"/>
      <c r="AD211"/>
      <c r="AE211"/>
    </row>
    <row r="212" spans="1:31" s="27" customFormat="1" x14ac:dyDescent="0.25">
      <c r="A212"/>
      <c r="B212"/>
      <c r="C212"/>
      <c r="D212"/>
      <c r="E212"/>
      <c r="F212"/>
      <c r="G212"/>
      <c r="H212"/>
      <c r="I212"/>
      <c r="J212"/>
      <c r="L212"/>
      <c r="M212"/>
      <c r="N212"/>
      <c r="O212"/>
      <c r="P212"/>
      <c r="Q212"/>
      <c r="R212"/>
      <c r="S212"/>
      <c r="T212"/>
      <c r="U212"/>
      <c r="V212"/>
      <c r="X212"/>
      <c r="Y212"/>
      <c r="Z212" s="209"/>
      <c r="AD212"/>
      <c r="AE212"/>
    </row>
    <row r="213" spans="1:31" s="27" customFormat="1" x14ac:dyDescent="0.25">
      <c r="A213"/>
      <c r="B213"/>
      <c r="C213"/>
      <c r="D213"/>
      <c r="E213"/>
      <c r="F213"/>
      <c r="G213"/>
      <c r="H213"/>
      <c r="I213"/>
      <c r="J213"/>
      <c r="L213"/>
      <c r="M213"/>
      <c r="N213"/>
      <c r="O213"/>
      <c r="P213"/>
      <c r="Q213"/>
      <c r="R213"/>
      <c r="S213"/>
      <c r="T213"/>
      <c r="U213"/>
      <c r="V213"/>
      <c r="X213"/>
      <c r="Y213"/>
      <c r="Z213" s="209"/>
      <c r="AD213"/>
      <c r="AE213"/>
    </row>
    <row r="214" spans="1:31" s="27" customFormat="1" x14ac:dyDescent="0.25">
      <c r="A214"/>
      <c r="B214"/>
      <c r="C214"/>
      <c r="D214"/>
      <c r="E214"/>
      <c r="F214"/>
      <c r="G214"/>
      <c r="H214"/>
      <c r="I214"/>
      <c r="J214"/>
      <c r="L214"/>
      <c r="M214"/>
      <c r="N214"/>
      <c r="O214"/>
      <c r="P214"/>
      <c r="Q214"/>
      <c r="R214"/>
      <c r="S214"/>
      <c r="T214"/>
      <c r="U214"/>
      <c r="V214"/>
      <c r="X214"/>
      <c r="Y214"/>
      <c r="Z214" s="209"/>
      <c r="AD214"/>
      <c r="AE214"/>
    </row>
    <row r="215" spans="1:31" s="27" customFormat="1" x14ac:dyDescent="0.25">
      <c r="A215"/>
      <c r="B215"/>
      <c r="C215"/>
      <c r="D215"/>
      <c r="E215"/>
      <c r="F215"/>
      <c r="G215"/>
      <c r="H215"/>
      <c r="I215"/>
      <c r="J215"/>
      <c r="L215"/>
      <c r="M215"/>
      <c r="N215"/>
      <c r="O215"/>
      <c r="P215"/>
      <c r="Q215"/>
      <c r="R215"/>
      <c r="S215"/>
      <c r="T215"/>
      <c r="U215"/>
      <c r="V215"/>
      <c r="X215"/>
      <c r="Y215"/>
      <c r="Z215" s="209"/>
      <c r="AD215"/>
      <c r="AE215"/>
    </row>
    <row r="216" spans="1:31" s="27" customFormat="1" x14ac:dyDescent="0.25">
      <c r="A216"/>
      <c r="B216"/>
      <c r="C216"/>
      <c r="D216"/>
      <c r="E216"/>
      <c r="F216"/>
      <c r="G216"/>
      <c r="H216"/>
      <c r="I216"/>
      <c r="J216"/>
      <c r="L216"/>
      <c r="M216"/>
      <c r="N216"/>
      <c r="O216"/>
      <c r="P216"/>
      <c r="Q216"/>
      <c r="R216"/>
      <c r="S216"/>
      <c r="T216"/>
      <c r="U216"/>
      <c r="V216"/>
      <c r="X216"/>
      <c r="Y216"/>
      <c r="Z216" s="209"/>
      <c r="AD216"/>
      <c r="AE216"/>
    </row>
    <row r="217" spans="1:31" s="27" customFormat="1" x14ac:dyDescent="0.25">
      <c r="A217"/>
      <c r="B217"/>
      <c r="C217"/>
      <c r="D217"/>
      <c r="E217"/>
      <c r="F217"/>
      <c r="G217"/>
      <c r="H217"/>
      <c r="I217"/>
      <c r="J217"/>
      <c r="L217"/>
      <c r="M217"/>
      <c r="N217"/>
      <c r="O217"/>
      <c r="P217"/>
      <c r="Q217"/>
      <c r="R217"/>
      <c r="S217"/>
      <c r="T217"/>
      <c r="U217"/>
      <c r="V217"/>
      <c r="X217"/>
      <c r="Y217"/>
      <c r="Z217" s="209"/>
      <c r="AD217"/>
      <c r="AE217"/>
    </row>
    <row r="218" spans="1:31" s="27" customFormat="1" x14ac:dyDescent="0.25">
      <c r="A218"/>
      <c r="B218"/>
      <c r="C218"/>
      <c r="D218"/>
      <c r="E218"/>
      <c r="F218"/>
      <c r="G218"/>
      <c r="H218"/>
      <c r="I218"/>
      <c r="J218"/>
      <c r="L218"/>
      <c r="M218"/>
      <c r="N218"/>
      <c r="O218"/>
      <c r="P218"/>
      <c r="Q218"/>
      <c r="R218"/>
      <c r="S218"/>
      <c r="T218"/>
      <c r="U218"/>
      <c r="V218"/>
      <c r="X218"/>
      <c r="Y218"/>
      <c r="Z218" s="209"/>
      <c r="AD218"/>
      <c r="AE218"/>
    </row>
    <row r="219" spans="1:31" s="27" customFormat="1" x14ac:dyDescent="0.25">
      <c r="A219"/>
      <c r="B219"/>
      <c r="C219"/>
      <c r="D219"/>
      <c r="E219"/>
      <c r="F219"/>
      <c r="G219"/>
      <c r="H219"/>
      <c r="I219"/>
      <c r="J219"/>
      <c r="L219"/>
      <c r="M219"/>
      <c r="N219"/>
      <c r="O219"/>
      <c r="P219"/>
      <c r="Q219"/>
      <c r="R219"/>
      <c r="S219"/>
      <c r="T219"/>
      <c r="U219"/>
      <c r="V219"/>
      <c r="X219"/>
      <c r="Y219"/>
      <c r="Z219" s="209"/>
      <c r="AD219"/>
      <c r="AE219"/>
    </row>
    <row r="220" spans="1:31" s="27" customFormat="1" x14ac:dyDescent="0.25">
      <c r="A220"/>
      <c r="B220"/>
      <c r="C220"/>
      <c r="D220"/>
      <c r="E220"/>
      <c r="F220"/>
      <c r="G220"/>
      <c r="H220"/>
      <c r="I220"/>
      <c r="J220"/>
      <c r="L220"/>
      <c r="M220"/>
      <c r="N220"/>
      <c r="O220"/>
      <c r="P220"/>
      <c r="Q220"/>
      <c r="R220"/>
      <c r="S220"/>
      <c r="T220"/>
      <c r="U220"/>
      <c r="V220"/>
      <c r="X220"/>
      <c r="Y220"/>
      <c r="Z220" s="209"/>
      <c r="AD220"/>
      <c r="AE220"/>
    </row>
    <row r="221" spans="1:31" s="27" customFormat="1" x14ac:dyDescent="0.25">
      <c r="A221"/>
      <c r="B221"/>
      <c r="C221"/>
      <c r="D221"/>
      <c r="E221"/>
      <c r="F221"/>
      <c r="G221"/>
      <c r="H221"/>
      <c r="I221"/>
      <c r="J221"/>
      <c r="L221"/>
      <c r="M221"/>
      <c r="N221"/>
      <c r="O221"/>
      <c r="P221"/>
      <c r="Q221"/>
      <c r="R221"/>
      <c r="S221"/>
      <c r="T221"/>
      <c r="U221"/>
      <c r="V221"/>
      <c r="X221"/>
      <c r="Y221"/>
      <c r="Z221" s="209"/>
      <c r="AD221"/>
      <c r="AE221"/>
    </row>
    <row r="222" spans="1:31" s="27" customFormat="1" x14ac:dyDescent="0.25">
      <c r="A222"/>
      <c r="B222"/>
      <c r="C222"/>
      <c r="D222"/>
      <c r="E222"/>
      <c r="F222"/>
      <c r="G222"/>
      <c r="H222"/>
      <c r="I222"/>
      <c r="J222"/>
      <c r="L222"/>
      <c r="M222"/>
      <c r="N222"/>
      <c r="O222"/>
      <c r="P222"/>
      <c r="Q222"/>
      <c r="R222"/>
      <c r="S222"/>
      <c r="T222"/>
      <c r="U222"/>
      <c r="V222"/>
      <c r="X222"/>
      <c r="Y222"/>
      <c r="Z222" s="209"/>
      <c r="AD222"/>
      <c r="AE222"/>
    </row>
    <row r="223" spans="1:31" s="27" customFormat="1" x14ac:dyDescent="0.25">
      <c r="A223"/>
      <c r="B223"/>
      <c r="C223"/>
      <c r="D223"/>
      <c r="E223"/>
      <c r="F223"/>
      <c r="G223"/>
      <c r="H223"/>
      <c r="I223"/>
      <c r="J223"/>
      <c r="L223"/>
      <c r="M223"/>
      <c r="N223"/>
      <c r="O223"/>
      <c r="P223"/>
      <c r="Q223"/>
      <c r="R223"/>
      <c r="S223"/>
      <c r="T223"/>
      <c r="U223"/>
      <c r="V223"/>
      <c r="X223"/>
      <c r="Y223"/>
      <c r="Z223" s="209"/>
      <c r="AD223"/>
      <c r="AE223"/>
    </row>
    <row r="224" spans="1:31" s="27" customFormat="1" x14ac:dyDescent="0.25">
      <c r="A224"/>
      <c r="B224"/>
      <c r="C224"/>
      <c r="D224"/>
      <c r="E224"/>
      <c r="F224"/>
      <c r="G224"/>
      <c r="H224"/>
      <c r="I224"/>
      <c r="J224"/>
      <c r="L224"/>
      <c r="M224"/>
      <c r="N224"/>
      <c r="O224"/>
      <c r="P224"/>
      <c r="Q224"/>
      <c r="R224"/>
      <c r="S224"/>
      <c r="T224"/>
      <c r="U224"/>
      <c r="V224"/>
      <c r="X224"/>
      <c r="Y224"/>
      <c r="Z224" s="209"/>
      <c r="AD224"/>
      <c r="AE224"/>
    </row>
    <row r="225" spans="1:31" s="27" customFormat="1" x14ac:dyDescent="0.25">
      <c r="A225"/>
      <c r="B225"/>
      <c r="C225"/>
      <c r="D225"/>
      <c r="E225"/>
      <c r="F225"/>
      <c r="G225"/>
      <c r="H225"/>
      <c r="I225"/>
      <c r="J225"/>
      <c r="L225"/>
      <c r="M225"/>
      <c r="N225"/>
      <c r="O225"/>
      <c r="P225"/>
      <c r="Q225"/>
      <c r="R225"/>
      <c r="S225"/>
      <c r="T225"/>
      <c r="U225"/>
      <c r="V225"/>
      <c r="X225"/>
      <c r="Y225"/>
      <c r="Z225" s="209"/>
      <c r="AD225"/>
      <c r="AE225"/>
    </row>
    <row r="226" spans="1:31" s="27" customFormat="1" x14ac:dyDescent="0.25">
      <c r="A226"/>
      <c r="B226"/>
      <c r="C226"/>
      <c r="D226"/>
      <c r="E226"/>
      <c r="F226"/>
      <c r="G226"/>
      <c r="H226"/>
      <c r="I226"/>
      <c r="J226"/>
      <c r="L226"/>
      <c r="M226"/>
      <c r="N226"/>
      <c r="O226"/>
      <c r="P226"/>
      <c r="Q226"/>
      <c r="R226"/>
      <c r="S226"/>
      <c r="T226"/>
      <c r="U226"/>
      <c r="V226"/>
      <c r="X226"/>
      <c r="Y226"/>
      <c r="Z226" s="209"/>
      <c r="AD226"/>
      <c r="AE226"/>
    </row>
    <row r="227" spans="1:31" s="27" customFormat="1" x14ac:dyDescent="0.25">
      <c r="A227"/>
      <c r="B227"/>
      <c r="C227"/>
      <c r="D227"/>
      <c r="E227"/>
      <c r="F227"/>
      <c r="G227"/>
      <c r="H227"/>
      <c r="I227"/>
      <c r="J227"/>
      <c r="L227"/>
      <c r="M227"/>
      <c r="N227"/>
      <c r="O227"/>
      <c r="P227"/>
      <c r="Q227"/>
      <c r="R227"/>
      <c r="S227"/>
      <c r="T227"/>
      <c r="U227"/>
      <c r="V227"/>
      <c r="X227"/>
      <c r="Y227"/>
      <c r="Z227" s="209"/>
      <c r="AD227"/>
      <c r="AE227"/>
    </row>
    <row r="228" spans="1:31" s="27" customFormat="1" x14ac:dyDescent="0.25">
      <c r="A228"/>
      <c r="B228"/>
      <c r="C228"/>
      <c r="D228"/>
      <c r="E228"/>
      <c r="F228"/>
      <c r="G228"/>
      <c r="H228"/>
      <c r="I228"/>
      <c r="J228"/>
      <c r="L228"/>
      <c r="M228"/>
      <c r="N228"/>
      <c r="O228"/>
      <c r="P228"/>
      <c r="Q228"/>
      <c r="R228"/>
      <c r="S228"/>
      <c r="T228"/>
      <c r="U228"/>
      <c r="V228"/>
      <c r="X228"/>
      <c r="Y228"/>
      <c r="Z228" s="209"/>
      <c r="AD228"/>
      <c r="AE228"/>
    </row>
    <row r="229" spans="1:31" s="27" customFormat="1" x14ac:dyDescent="0.25">
      <c r="A229"/>
      <c r="B229"/>
      <c r="C229"/>
      <c r="D229"/>
      <c r="E229"/>
      <c r="F229"/>
      <c r="G229"/>
      <c r="H229"/>
      <c r="I229"/>
      <c r="J229"/>
      <c r="L229"/>
      <c r="M229"/>
      <c r="N229"/>
      <c r="O229"/>
      <c r="P229"/>
      <c r="Q229"/>
      <c r="R229"/>
      <c r="S229"/>
      <c r="T229"/>
      <c r="U229"/>
      <c r="V229"/>
      <c r="X229"/>
      <c r="Y229"/>
      <c r="Z229" s="209"/>
      <c r="AD229"/>
      <c r="AE229"/>
    </row>
    <row r="230" spans="1:31" s="27" customFormat="1" x14ac:dyDescent="0.25">
      <c r="A230"/>
      <c r="B230"/>
      <c r="C230"/>
      <c r="D230"/>
      <c r="E230"/>
      <c r="F230"/>
      <c r="G230"/>
      <c r="H230"/>
      <c r="I230"/>
      <c r="J230"/>
      <c r="L230"/>
      <c r="M230"/>
      <c r="N230"/>
      <c r="O230"/>
      <c r="P230"/>
      <c r="Q230"/>
      <c r="R230"/>
      <c r="S230"/>
      <c r="T230"/>
      <c r="U230"/>
      <c r="V230"/>
      <c r="X230"/>
      <c r="Y230"/>
      <c r="Z230" s="209"/>
      <c r="AD230"/>
      <c r="AE230"/>
    </row>
    <row r="231" spans="1:31" s="27" customFormat="1" x14ac:dyDescent="0.25">
      <c r="A231"/>
      <c r="B231"/>
      <c r="C231"/>
      <c r="D231"/>
      <c r="E231"/>
      <c r="F231"/>
      <c r="G231"/>
      <c r="H231"/>
      <c r="I231"/>
      <c r="J231"/>
      <c r="L231"/>
      <c r="M231"/>
      <c r="N231"/>
      <c r="O231"/>
      <c r="P231"/>
      <c r="Q231"/>
      <c r="R231"/>
      <c r="S231"/>
      <c r="T231"/>
      <c r="U231"/>
      <c r="V231"/>
      <c r="X231"/>
      <c r="Y231"/>
      <c r="Z231" s="209"/>
      <c r="AD231"/>
      <c r="AE231"/>
    </row>
    <row r="232" spans="1:31" s="27" customFormat="1" x14ac:dyDescent="0.25">
      <c r="A232"/>
      <c r="B232"/>
      <c r="C232"/>
      <c r="D232"/>
      <c r="E232"/>
      <c r="F232"/>
      <c r="G232"/>
      <c r="H232"/>
      <c r="I232"/>
      <c r="J232"/>
      <c r="L232"/>
      <c r="M232"/>
      <c r="N232"/>
      <c r="O232"/>
      <c r="P232"/>
      <c r="Q232"/>
      <c r="R232"/>
      <c r="S232"/>
      <c r="T232"/>
      <c r="U232"/>
      <c r="V232"/>
      <c r="X232"/>
      <c r="Y232"/>
      <c r="Z232" s="209"/>
      <c r="AD232"/>
      <c r="AE232"/>
    </row>
    <row r="233" spans="1:31" s="27" customFormat="1" x14ac:dyDescent="0.25">
      <c r="A233"/>
      <c r="B233"/>
      <c r="C233"/>
      <c r="D233"/>
      <c r="E233"/>
      <c r="F233"/>
      <c r="G233"/>
      <c r="H233"/>
      <c r="I233"/>
      <c r="J233"/>
      <c r="L233"/>
      <c r="M233"/>
      <c r="N233"/>
      <c r="O233"/>
      <c r="P233"/>
      <c r="Q233"/>
      <c r="R233"/>
      <c r="S233"/>
      <c r="T233"/>
      <c r="U233"/>
      <c r="V233"/>
      <c r="X233"/>
      <c r="Y233"/>
      <c r="Z233" s="209"/>
      <c r="AD233"/>
      <c r="AE233"/>
    </row>
    <row r="234" spans="1:31" s="27" customFormat="1" x14ac:dyDescent="0.25">
      <c r="A234"/>
      <c r="B234"/>
      <c r="C234"/>
      <c r="D234"/>
      <c r="E234"/>
      <c r="F234"/>
      <c r="G234"/>
      <c r="H234"/>
      <c r="I234"/>
      <c r="J234"/>
      <c r="L234"/>
      <c r="M234"/>
      <c r="N234"/>
      <c r="O234"/>
      <c r="P234"/>
      <c r="Q234"/>
      <c r="R234"/>
      <c r="S234"/>
      <c r="T234"/>
      <c r="U234"/>
      <c r="V234"/>
      <c r="X234"/>
      <c r="Y234"/>
      <c r="Z234" s="209"/>
      <c r="AD234"/>
      <c r="AE234"/>
    </row>
    <row r="235" spans="1:31" s="27" customFormat="1" x14ac:dyDescent="0.25">
      <c r="A235"/>
      <c r="B235"/>
      <c r="C235"/>
      <c r="D235"/>
      <c r="E235"/>
      <c r="F235"/>
      <c r="G235"/>
      <c r="H235"/>
      <c r="I235"/>
      <c r="J235"/>
      <c r="L235"/>
      <c r="M235"/>
      <c r="N235"/>
      <c r="O235"/>
      <c r="P235"/>
      <c r="Q235"/>
      <c r="R235"/>
      <c r="S235"/>
      <c r="T235"/>
      <c r="U235"/>
      <c r="V235"/>
      <c r="X235"/>
      <c r="Y235"/>
      <c r="Z235" s="209"/>
      <c r="AD235"/>
      <c r="AE235"/>
    </row>
    <row r="236" spans="1:31" s="27" customFormat="1" x14ac:dyDescent="0.25">
      <c r="A236"/>
      <c r="B236"/>
      <c r="C236"/>
      <c r="D236"/>
      <c r="E236"/>
      <c r="F236"/>
      <c r="G236"/>
      <c r="H236"/>
      <c r="I236"/>
      <c r="J236"/>
      <c r="L236"/>
      <c r="M236"/>
      <c r="N236"/>
      <c r="O236"/>
      <c r="P236"/>
      <c r="Q236"/>
      <c r="R236"/>
      <c r="S236"/>
      <c r="T236"/>
      <c r="U236"/>
      <c r="V236"/>
      <c r="X236"/>
      <c r="Y236"/>
      <c r="Z236" s="209"/>
      <c r="AD236"/>
      <c r="AE236"/>
    </row>
    <row r="237" spans="1:31" s="27" customFormat="1" x14ac:dyDescent="0.25">
      <c r="A237"/>
      <c r="B237"/>
      <c r="C237"/>
      <c r="D237"/>
      <c r="E237"/>
      <c r="F237"/>
      <c r="G237"/>
      <c r="H237"/>
      <c r="I237"/>
      <c r="J237"/>
      <c r="L237"/>
      <c r="M237"/>
      <c r="N237"/>
      <c r="O237"/>
      <c r="P237"/>
      <c r="Q237"/>
      <c r="R237"/>
      <c r="S237"/>
      <c r="T237"/>
      <c r="U237"/>
      <c r="V237"/>
      <c r="X237"/>
      <c r="Y237"/>
      <c r="Z237" s="209"/>
      <c r="AD237"/>
      <c r="AE237"/>
    </row>
    <row r="238" spans="1:31" s="27" customFormat="1" x14ac:dyDescent="0.25">
      <c r="A238"/>
      <c r="B238"/>
      <c r="C238"/>
      <c r="D238"/>
      <c r="E238"/>
      <c r="F238"/>
      <c r="G238"/>
      <c r="H238"/>
      <c r="I238"/>
      <c r="J238"/>
      <c r="L238"/>
      <c r="M238"/>
      <c r="N238"/>
      <c r="O238"/>
      <c r="P238"/>
      <c r="Q238"/>
      <c r="R238"/>
      <c r="S238"/>
      <c r="T238"/>
      <c r="U238"/>
      <c r="V238"/>
      <c r="X238"/>
      <c r="Y238"/>
      <c r="Z238" s="209"/>
      <c r="AD238"/>
      <c r="AE238"/>
    </row>
    <row r="239" spans="1:31" s="27" customFormat="1" x14ac:dyDescent="0.25">
      <c r="A239"/>
      <c r="B239"/>
      <c r="C239"/>
      <c r="D239"/>
      <c r="E239"/>
      <c r="F239"/>
      <c r="G239"/>
      <c r="H239"/>
      <c r="I239"/>
      <c r="J239"/>
      <c r="L239"/>
      <c r="M239"/>
      <c r="N239"/>
      <c r="O239"/>
      <c r="P239"/>
      <c r="Q239"/>
      <c r="R239"/>
      <c r="S239"/>
      <c r="T239"/>
      <c r="U239"/>
      <c r="V239"/>
      <c r="X239"/>
      <c r="Y239"/>
      <c r="Z239" s="209"/>
      <c r="AD239"/>
      <c r="AE239"/>
    </row>
    <row r="240" spans="1:31" s="27" customFormat="1" x14ac:dyDescent="0.25">
      <c r="A240"/>
      <c r="B240"/>
      <c r="C240"/>
      <c r="D240"/>
      <c r="E240"/>
      <c r="F240"/>
      <c r="G240"/>
      <c r="H240"/>
      <c r="I240"/>
      <c r="J240"/>
      <c r="L240"/>
      <c r="M240"/>
      <c r="N240"/>
      <c r="O240"/>
      <c r="P240"/>
      <c r="Q240"/>
      <c r="R240"/>
      <c r="S240"/>
      <c r="T240"/>
      <c r="U240"/>
      <c r="V240"/>
      <c r="X240"/>
      <c r="Y240"/>
      <c r="Z240" s="209"/>
      <c r="AD240"/>
      <c r="AE240"/>
    </row>
    <row r="241" spans="1:31" s="27" customFormat="1" x14ac:dyDescent="0.25">
      <c r="A241"/>
      <c r="B241"/>
      <c r="C241"/>
      <c r="D241"/>
      <c r="E241"/>
      <c r="F241"/>
      <c r="G241"/>
      <c r="H241"/>
      <c r="I241"/>
      <c r="J241"/>
      <c r="L241"/>
      <c r="M241"/>
      <c r="N241"/>
      <c r="O241"/>
      <c r="P241"/>
      <c r="Q241"/>
      <c r="R241"/>
      <c r="S241"/>
      <c r="T241"/>
      <c r="U241"/>
      <c r="V241"/>
      <c r="X241"/>
      <c r="Y241"/>
      <c r="Z241" s="209"/>
      <c r="AD241"/>
      <c r="AE241"/>
    </row>
    <row r="242" spans="1:31" s="27" customFormat="1" x14ac:dyDescent="0.25">
      <c r="A242"/>
      <c r="B242"/>
      <c r="C242"/>
      <c r="D242"/>
      <c r="E242"/>
      <c r="F242"/>
      <c r="G242"/>
      <c r="H242"/>
      <c r="I242"/>
      <c r="J242"/>
      <c r="L242"/>
      <c r="M242"/>
      <c r="N242"/>
      <c r="O242"/>
      <c r="P242"/>
      <c r="Q242"/>
      <c r="R242"/>
      <c r="S242"/>
      <c r="T242"/>
      <c r="U242"/>
      <c r="V242"/>
      <c r="X242"/>
      <c r="Y242"/>
      <c r="Z242" s="209"/>
      <c r="AD242"/>
      <c r="AE242"/>
    </row>
    <row r="243" spans="1:31" s="27" customFormat="1" x14ac:dyDescent="0.25">
      <c r="A243"/>
      <c r="B243"/>
      <c r="C243"/>
      <c r="D243"/>
      <c r="E243"/>
      <c r="F243"/>
      <c r="G243"/>
      <c r="H243"/>
      <c r="I243"/>
      <c r="J243"/>
      <c r="L243"/>
      <c r="M243"/>
      <c r="N243"/>
      <c r="O243"/>
      <c r="P243"/>
      <c r="Q243"/>
      <c r="R243"/>
      <c r="S243"/>
      <c r="T243"/>
      <c r="U243"/>
      <c r="V243"/>
      <c r="X243"/>
      <c r="Y243"/>
      <c r="Z243" s="209"/>
      <c r="AD243"/>
      <c r="AE243"/>
    </row>
    <row r="244" spans="1:31" s="27" customFormat="1" x14ac:dyDescent="0.25">
      <c r="A244"/>
      <c r="B244"/>
      <c r="C244"/>
      <c r="D244"/>
      <c r="E244"/>
      <c r="F244"/>
      <c r="G244"/>
      <c r="H244"/>
      <c r="I244"/>
      <c r="J244"/>
      <c r="L244"/>
      <c r="M244"/>
      <c r="N244"/>
      <c r="O244"/>
      <c r="P244"/>
      <c r="Q244"/>
      <c r="R244"/>
      <c r="S244"/>
      <c r="T244"/>
      <c r="U244"/>
      <c r="V244"/>
      <c r="X244"/>
      <c r="Y244"/>
      <c r="Z244" s="209"/>
      <c r="AD244"/>
      <c r="AE244"/>
    </row>
    <row r="245" spans="1:31" s="27" customFormat="1" x14ac:dyDescent="0.25">
      <c r="A245"/>
      <c r="B245"/>
      <c r="C245"/>
      <c r="D245"/>
      <c r="E245"/>
      <c r="F245"/>
      <c r="G245"/>
      <c r="H245"/>
      <c r="I245"/>
      <c r="J245"/>
      <c r="L245"/>
      <c r="M245"/>
      <c r="N245"/>
      <c r="O245"/>
      <c r="P245"/>
      <c r="Q245"/>
      <c r="R245"/>
      <c r="S245"/>
      <c r="T245"/>
      <c r="U245"/>
      <c r="V245"/>
      <c r="X245"/>
      <c r="Y245"/>
      <c r="Z245" s="209"/>
      <c r="AD245"/>
      <c r="AE245"/>
    </row>
    <row r="246" spans="1:31" s="27" customFormat="1" x14ac:dyDescent="0.25">
      <c r="A246"/>
      <c r="B246"/>
      <c r="C246"/>
      <c r="D246"/>
      <c r="E246"/>
      <c r="F246"/>
      <c r="G246"/>
      <c r="H246"/>
      <c r="I246"/>
      <c r="J246"/>
      <c r="L246"/>
      <c r="M246"/>
      <c r="N246"/>
      <c r="O246"/>
      <c r="P246"/>
      <c r="Q246"/>
      <c r="R246"/>
      <c r="S246"/>
      <c r="T246"/>
      <c r="U246"/>
      <c r="V246"/>
      <c r="X246"/>
      <c r="Y246"/>
      <c r="Z246" s="209"/>
      <c r="AD246"/>
      <c r="AE246"/>
    </row>
    <row r="247" spans="1:31" s="27" customFormat="1" x14ac:dyDescent="0.25">
      <c r="A247"/>
      <c r="B247"/>
      <c r="C247"/>
      <c r="D247"/>
      <c r="E247"/>
      <c r="F247"/>
      <c r="G247"/>
      <c r="H247"/>
      <c r="I247"/>
      <c r="J247"/>
      <c r="L247"/>
      <c r="M247"/>
      <c r="N247"/>
      <c r="O247"/>
      <c r="P247"/>
      <c r="Q247"/>
      <c r="R247"/>
      <c r="S247"/>
      <c r="T247"/>
      <c r="U247"/>
      <c r="V247"/>
      <c r="X247"/>
      <c r="Y247"/>
      <c r="Z247" s="209"/>
      <c r="AD247"/>
      <c r="AE247"/>
    </row>
    <row r="248" spans="1:31" s="27" customFormat="1" x14ac:dyDescent="0.25">
      <c r="A248"/>
      <c r="B248"/>
      <c r="C248"/>
      <c r="D248"/>
      <c r="E248"/>
      <c r="F248"/>
      <c r="G248"/>
      <c r="H248"/>
      <c r="I248"/>
      <c r="J248"/>
      <c r="L248"/>
      <c r="M248"/>
      <c r="N248"/>
      <c r="O248"/>
      <c r="P248"/>
      <c r="Q248"/>
      <c r="R248"/>
      <c r="S248"/>
      <c r="T248"/>
      <c r="U248"/>
      <c r="V248"/>
      <c r="X248"/>
      <c r="Y248"/>
      <c r="Z248" s="209"/>
      <c r="AD248"/>
      <c r="AE248"/>
    </row>
    <row r="249" spans="1:31" s="27" customFormat="1" x14ac:dyDescent="0.25">
      <c r="A249"/>
      <c r="B249"/>
      <c r="C249"/>
      <c r="D249"/>
      <c r="E249"/>
      <c r="F249"/>
      <c r="G249"/>
      <c r="H249"/>
      <c r="I249"/>
      <c r="J249"/>
      <c r="L249"/>
      <c r="M249"/>
      <c r="N249"/>
      <c r="O249"/>
      <c r="P249"/>
      <c r="Q249"/>
      <c r="R249"/>
      <c r="S249"/>
      <c r="T249"/>
      <c r="U249"/>
      <c r="V249"/>
      <c r="X249"/>
      <c r="Y249"/>
      <c r="Z249" s="209"/>
      <c r="AD249"/>
      <c r="AE249"/>
    </row>
    <row r="250" spans="1:31" s="27" customFormat="1" x14ac:dyDescent="0.25">
      <c r="A250"/>
      <c r="B250"/>
      <c r="C250"/>
      <c r="D250"/>
      <c r="E250"/>
      <c r="F250"/>
      <c r="G250"/>
      <c r="H250"/>
      <c r="I250"/>
      <c r="J250"/>
      <c r="L250"/>
      <c r="M250"/>
      <c r="N250"/>
      <c r="O250"/>
      <c r="P250"/>
      <c r="Q250"/>
      <c r="R250"/>
      <c r="S250"/>
      <c r="T250"/>
      <c r="U250"/>
      <c r="V250"/>
      <c r="X250"/>
      <c r="Y250"/>
      <c r="Z250" s="209"/>
      <c r="AD250"/>
      <c r="AE250"/>
    </row>
    <row r="251" spans="1:31" s="27" customFormat="1" x14ac:dyDescent="0.25">
      <c r="A251"/>
      <c r="B251"/>
      <c r="C251"/>
      <c r="D251"/>
      <c r="E251"/>
      <c r="F251"/>
      <c r="G251"/>
      <c r="H251"/>
      <c r="I251"/>
      <c r="J251"/>
      <c r="L251"/>
      <c r="M251"/>
      <c r="N251"/>
      <c r="O251"/>
      <c r="P251"/>
      <c r="Q251"/>
      <c r="R251"/>
      <c r="S251"/>
      <c r="T251"/>
      <c r="U251"/>
      <c r="V251"/>
      <c r="X251"/>
      <c r="Y251"/>
      <c r="Z251" s="209"/>
      <c r="AD251"/>
      <c r="AE251"/>
    </row>
    <row r="252" spans="1:31" s="27" customFormat="1" x14ac:dyDescent="0.25">
      <c r="A252"/>
      <c r="B252"/>
      <c r="C252"/>
      <c r="D252"/>
      <c r="E252"/>
      <c r="F252"/>
      <c r="G252"/>
      <c r="H252"/>
      <c r="I252"/>
      <c r="J252"/>
      <c r="L252"/>
      <c r="M252"/>
      <c r="N252"/>
      <c r="O252"/>
      <c r="P252"/>
      <c r="Q252"/>
      <c r="R252"/>
      <c r="S252"/>
      <c r="T252"/>
      <c r="U252"/>
      <c r="V252"/>
      <c r="X252"/>
      <c r="Y252"/>
      <c r="Z252" s="209"/>
      <c r="AD252"/>
      <c r="AE252"/>
    </row>
    <row r="253" spans="1:31" s="27" customFormat="1" x14ac:dyDescent="0.25">
      <c r="A253"/>
      <c r="B253"/>
      <c r="C253"/>
      <c r="D253"/>
      <c r="E253"/>
      <c r="F253"/>
      <c r="G253"/>
      <c r="H253"/>
      <c r="I253"/>
      <c r="J253"/>
      <c r="L253"/>
      <c r="M253"/>
      <c r="N253"/>
      <c r="O253"/>
      <c r="P253"/>
      <c r="Q253"/>
      <c r="R253"/>
      <c r="S253"/>
      <c r="T253"/>
      <c r="U253"/>
      <c r="V253"/>
      <c r="X253"/>
      <c r="Y253"/>
      <c r="Z253" s="209"/>
      <c r="AD253"/>
      <c r="AE253"/>
    </row>
    <row r="254" spans="1:31" s="27" customFormat="1" x14ac:dyDescent="0.25">
      <c r="A254"/>
      <c r="B254"/>
      <c r="C254"/>
      <c r="D254"/>
      <c r="E254"/>
      <c r="F254"/>
      <c r="G254"/>
      <c r="H254"/>
      <c r="I254"/>
      <c r="J254"/>
      <c r="L254"/>
      <c r="M254"/>
      <c r="N254"/>
      <c r="O254"/>
      <c r="P254"/>
      <c r="Q254"/>
      <c r="R254"/>
      <c r="S254"/>
      <c r="T254"/>
      <c r="U254"/>
      <c r="V254"/>
      <c r="X254"/>
      <c r="Y254"/>
      <c r="Z254" s="209"/>
      <c r="AD254"/>
      <c r="AE254"/>
    </row>
    <row r="255" spans="1:31" s="27" customFormat="1" x14ac:dyDescent="0.25">
      <c r="A255"/>
      <c r="B255"/>
      <c r="C255"/>
      <c r="D255"/>
      <c r="E255"/>
      <c r="F255"/>
      <c r="G255"/>
      <c r="H255"/>
      <c r="I255"/>
      <c r="J255"/>
      <c r="L255"/>
      <c r="M255"/>
      <c r="N255"/>
      <c r="O255"/>
      <c r="P255"/>
      <c r="Q255"/>
      <c r="R255"/>
      <c r="S255"/>
      <c r="T255"/>
      <c r="U255"/>
      <c r="V255"/>
      <c r="X255"/>
      <c r="Y255"/>
      <c r="Z255" s="209"/>
      <c r="AD255"/>
      <c r="AE255"/>
    </row>
    <row r="256" spans="1:31" s="27" customFormat="1" x14ac:dyDescent="0.25">
      <c r="A256"/>
      <c r="B256"/>
      <c r="C256"/>
      <c r="D256"/>
      <c r="E256"/>
      <c r="F256"/>
      <c r="G256"/>
      <c r="H256"/>
      <c r="I256"/>
      <c r="J256"/>
      <c r="L256"/>
      <c r="M256"/>
      <c r="N256"/>
      <c r="O256"/>
      <c r="P256"/>
      <c r="Q256"/>
      <c r="R256"/>
      <c r="S256"/>
      <c r="T256"/>
      <c r="U256"/>
      <c r="V256"/>
      <c r="X256"/>
      <c r="Y256"/>
      <c r="Z256" s="209"/>
      <c r="AD256"/>
      <c r="AE256"/>
    </row>
    <row r="257" spans="1:31" s="27" customFormat="1" x14ac:dyDescent="0.25">
      <c r="A257"/>
      <c r="B257"/>
      <c r="C257"/>
      <c r="D257"/>
      <c r="E257"/>
      <c r="F257"/>
      <c r="G257"/>
      <c r="H257"/>
      <c r="I257"/>
      <c r="J257"/>
      <c r="L257"/>
      <c r="M257"/>
      <c r="N257"/>
      <c r="O257"/>
      <c r="P257"/>
      <c r="Q257"/>
      <c r="R257"/>
      <c r="S257"/>
      <c r="T257"/>
      <c r="U257"/>
      <c r="V257"/>
      <c r="X257"/>
      <c r="Y257"/>
      <c r="Z257" s="209"/>
      <c r="AD257"/>
      <c r="AE257"/>
    </row>
    <row r="258" spans="1:31" s="27" customFormat="1" x14ac:dyDescent="0.25">
      <c r="A258"/>
      <c r="B258"/>
      <c r="C258"/>
      <c r="D258"/>
      <c r="E258"/>
      <c r="F258"/>
      <c r="G258"/>
      <c r="H258"/>
      <c r="I258"/>
      <c r="J258"/>
      <c r="L258"/>
      <c r="M258"/>
      <c r="N258"/>
      <c r="O258"/>
      <c r="P258"/>
      <c r="Q258"/>
      <c r="R258"/>
      <c r="S258"/>
      <c r="T258"/>
      <c r="U258"/>
      <c r="V258"/>
      <c r="X258"/>
      <c r="Y258"/>
      <c r="Z258" s="209"/>
      <c r="AD258"/>
      <c r="AE258"/>
    </row>
    <row r="259" spans="1:31" s="27" customFormat="1" x14ac:dyDescent="0.25">
      <c r="A259"/>
      <c r="B259"/>
      <c r="C259"/>
      <c r="D259"/>
      <c r="E259"/>
      <c r="F259"/>
      <c r="G259"/>
      <c r="H259"/>
      <c r="I259"/>
      <c r="J259"/>
      <c r="L259"/>
      <c r="M259"/>
      <c r="N259"/>
      <c r="O259"/>
      <c r="P259"/>
      <c r="Q259"/>
      <c r="R259"/>
      <c r="S259"/>
      <c r="T259"/>
      <c r="U259"/>
      <c r="V259"/>
      <c r="X259"/>
      <c r="Y259"/>
      <c r="Z259" s="209"/>
      <c r="AD259"/>
      <c r="AE259"/>
    </row>
    <row r="260" spans="1:31" s="27" customFormat="1" x14ac:dyDescent="0.25">
      <c r="A260"/>
      <c r="B260"/>
      <c r="C260"/>
      <c r="D260"/>
      <c r="E260"/>
      <c r="F260"/>
      <c r="G260"/>
      <c r="H260"/>
      <c r="I260"/>
      <c r="J260"/>
      <c r="L260"/>
      <c r="M260"/>
      <c r="N260"/>
      <c r="O260"/>
      <c r="P260"/>
      <c r="Q260"/>
      <c r="R260"/>
      <c r="S260"/>
      <c r="T260"/>
      <c r="U260"/>
      <c r="V260"/>
      <c r="X260"/>
      <c r="Y260"/>
      <c r="Z260" s="209"/>
      <c r="AD260"/>
      <c r="AE260"/>
    </row>
    <row r="261" spans="1:31" s="27" customFormat="1" x14ac:dyDescent="0.25">
      <c r="A261"/>
      <c r="B261"/>
      <c r="C261"/>
      <c r="D261"/>
      <c r="E261"/>
      <c r="F261"/>
      <c r="G261"/>
      <c r="H261"/>
      <c r="I261"/>
      <c r="J261"/>
      <c r="L261"/>
      <c r="M261"/>
      <c r="N261"/>
      <c r="O261"/>
      <c r="P261"/>
      <c r="Q261"/>
      <c r="R261"/>
      <c r="S261"/>
      <c r="T261"/>
      <c r="U261"/>
      <c r="V261"/>
      <c r="X261"/>
      <c r="Y261"/>
      <c r="Z261" s="209"/>
      <c r="AD261"/>
      <c r="AE261"/>
    </row>
    <row r="262" spans="1:31" s="27" customFormat="1" x14ac:dyDescent="0.25">
      <c r="A262"/>
      <c r="B262"/>
      <c r="C262"/>
      <c r="D262"/>
      <c r="E262"/>
      <c r="F262"/>
      <c r="G262"/>
      <c r="H262"/>
      <c r="I262"/>
      <c r="J262"/>
      <c r="L262"/>
      <c r="M262"/>
      <c r="N262"/>
      <c r="O262"/>
      <c r="P262"/>
      <c r="Q262"/>
      <c r="R262"/>
      <c r="S262"/>
      <c r="T262"/>
      <c r="U262"/>
      <c r="V262"/>
      <c r="X262"/>
      <c r="Y262"/>
      <c r="Z262" s="209"/>
      <c r="AD262"/>
      <c r="AE262"/>
    </row>
    <row r="263" spans="1:31" s="27" customFormat="1" x14ac:dyDescent="0.25">
      <c r="A263"/>
      <c r="B263"/>
      <c r="C263"/>
      <c r="D263"/>
      <c r="E263"/>
      <c r="F263"/>
      <c r="G263"/>
      <c r="H263"/>
      <c r="I263"/>
      <c r="J263"/>
      <c r="L263"/>
      <c r="M263"/>
      <c r="N263"/>
      <c r="O263"/>
      <c r="P263"/>
      <c r="Q263"/>
      <c r="R263"/>
      <c r="S263"/>
      <c r="T263"/>
      <c r="U263"/>
      <c r="V263"/>
      <c r="X263"/>
      <c r="Y263"/>
      <c r="Z263" s="209"/>
      <c r="AD263"/>
      <c r="AE263"/>
    </row>
    <row r="264" spans="1:31" s="27" customFormat="1" x14ac:dyDescent="0.25">
      <c r="A264"/>
      <c r="B264"/>
      <c r="C264"/>
      <c r="D264"/>
      <c r="E264"/>
      <c r="F264"/>
      <c r="G264"/>
      <c r="H264"/>
      <c r="I264"/>
      <c r="J264"/>
      <c r="L264"/>
      <c r="M264"/>
      <c r="N264"/>
      <c r="O264"/>
      <c r="P264"/>
      <c r="Q264"/>
      <c r="R264"/>
      <c r="S264"/>
      <c r="T264"/>
      <c r="U264"/>
      <c r="V264"/>
      <c r="X264"/>
      <c r="Y264"/>
      <c r="Z264" s="209"/>
      <c r="AD264"/>
      <c r="AE264"/>
    </row>
    <row r="265" spans="1:31" s="27" customFormat="1" x14ac:dyDescent="0.25">
      <c r="A265"/>
      <c r="B265"/>
      <c r="C265"/>
      <c r="D265"/>
      <c r="E265"/>
      <c r="F265"/>
      <c r="G265"/>
      <c r="H265"/>
      <c r="I265"/>
      <c r="J265"/>
      <c r="L265"/>
      <c r="M265"/>
      <c r="N265"/>
      <c r="O265"/>
      <c r="P265"/>
      <c r="Q265"/>
      <c r="R265"/>
      <c r="S265"/>
      <c r="T265"/>
      <c r="U265"/>
      <c r="V265"/>
      <c r="X265"/>
      <c r="Y265"/>
      <c r="Z265" s="209"/>
      <c r="AD265"/>
      <c r="AE265"/>
    </row>
    <row r="266" spans="1:31" s="27" customFormat="1" x14ac:dyDescent="0.25">
      <c r="A266"/>
      <c r="B266"/>
      <c r="C266"/>
      <c r="D266"/>
      <c r="E266"/>
      <c r="F266"/>
      <c r="G266"/>
      <c r="H266"/>
      <c r="I266"/>
      <c r="J266"/>
      <c r="L266"/>
      <c r="M266"/>
      <c r="N266"/>
      <c r="O266"/>
      <c r="P266"/>
      <c r="Q266"/>
      <c r="R266"/>
      <c r="S266"/>
      <c r="T266"/>
      <c r="U266"/>
      <c r="V266"/>
      <c r="X266"/>
      <c r="Y266"/>
      <c r="Z266" s="209"/>
      <c r="AD266"/>
      <c r="AE266"/>
    </row>
    <row r="267" spans="1:31" s="27" customFormat="1" x14ac:dyDescent="0.25">
      <c r="A267"/>
      <c r="B267"/>
      <c r="C267"/>
      <c r="D267"/>
      <c r="E267"/>
      <c r="F267"/>
      <c r="G267"/>
      <c r="H267"/>
      <c r="I267"/>
      <c r="J267"/>
      <c r="L267"/>
      <c r="M267"/>
      <c r="N267"/>
      <c r="O267"/>
      <c r="P267"/>
      <c r="Q267"/>
      <c r="R267"/>
      <c r="S267"/>
      <c r="T267"/>
      <c r="U267"/>
      <c r="V267"/>
      <c r="X267"/>
      <c r="Y267"/>
      <c r="Z267" s="209"/>
      <c r="AD267"/>
      <c r="AE267"/>
    </row>
    <row r="268" spans="1:31" s="27" customFormat="1" x14ac:dyDescent="0.25">
      <c r="A268"/>
      <c r="B268"/>
      <c r="C268"/>
      <c r="D268"/>
      <c r="E268"/>
      <c r="F268"/>
      <c r="G268"/>
      <c r="H268"/>
      <c r="I268"/>
      <c r="J268"/>
      <c r="L268"/>
      <c r="M268"/>
      <c r="N268"/>
      <c r="O268"/>
      <c r="P268"/>
      <c r="Q268"/>
      <c r="R268"/>
      <c r="S268"/>
      <c r="T268"/>
      <c r="U268"/>
      <c r="V268"/>
      <c r="X268"/>
      <c r="Y268"/>
      <c r="Z268" s="209"/>
      <c r="AD268"/>
      <c r="AE268"/>
    </row>
    <row r="269" spans="1:31" s="27" customFormat="1" x14ac:dyDescent="0.25">
      <c r="A269"/>
      <c r="B269"/>
      <c r="C269"/>
      <c r="D269"/>
      <c r="E269"/>
      <c r="F269"/>
      <c r="G269"/>
      <c r="H269"/>
      <c r="I269"/>
      <c r="J269"/>
      <c r="L269"/>
      <c r="M269"/>
      <c r="N269"/>
      <c r="O269"/>
      <c r="P269"/>
      <c r="Q269"/>
      <c r="R269"/>
      <c r="S269"/>
      <c r="T269"/>
      <c r="U269"/>
      <c r="V269"/>
      <c r="X269"/>
      <c r="Y269"/>
      <c r="Z269" s="209"/>
      <c r="AD269"/>
      <c r="AE269"/>
    </row>
    <row r="270" spans="1:31" s="27" customFormat="1" x14ac:dyDescent="0.25">
      <c r="A270"/>
      <c r="B270"/>
      <c r="C270"/>
      <c r="D270"/>
      <c r="E270"/>
      <c r="F270"/>
      <c r="G270"/>
      <c r="H270"/>
      <c r="I270"/>
      <c r="J270"/>
      <c r="L270"/>
      <c r="M270"/>
      <c r="N270"/>
      <c r="O270"/>
      <c r="P270"/>
      <c r="Q270"/>
      <c r="R270"/>
      <c r="S270"/>
      <c r="T270"/>
      <c r="U270"/>
      <c r="V270"/>
      <c r="X270"/>
      <c r="Y270"/>
      <c r="Z270" s="209"/>
      <c r="AD270"/>
      <c r="AE270"/>
    </row>
    <row r="271" spans="1:31" s="27" customFormat="1" x14ac:dyDescent="0.25">
      <c r="A271"/>
      <c r="B271"/>
      <c r="C271"/>
      <c r="D271"/>
      <c r="E271"/>
      <c r="F271"/>
      <c r="G271"/>
      <c r="H271"/>
      <c r="I271"/>
      <c r="J271"/>
      <c r="L271"/>
      <c r="M271"/>
      <c r="N271"/>
      <c r="O271"/>
      <c r="P271"/>
      <c r="Q271"/>
      <c r="R271"/>
      <c r="S271"/>
      <c r="T271"/>
      <c r="U271"/>
      <c r="V271"/>
      <c r="X271"/>
      <c r="Y271"/>
      <c r="Z271" s="209"/>
      <c r="AD271"/>
      <c r="AE271"/>
    </row>
    <row r="272" spans="1:31" s="27" customFormat="1" x14ac:dyDescent="0.25">
      <c r="A272"/>
      <c r="B272"/>
      <c r="C272"/>
      <c r="D272"/>
      <c r="E272"/>
      <c r="F272"/>
      <c r="G272"/>
      <c r="H272"/>
      <c r="I272"/>
      <c r="J272"/>
      <c r="L272"/>
      <c r="M272"/>
      <c r="N272"/>
      <c r="O272"/>
      <c r="P272"/>
      <c r="Q272"/>
      <c r="R272"/>
      <c r="S272"/>
      <c r="T272"/>
      <c r="U272"/>
      <c r="V272"/>
      <c r="X272"/>
      <c r="Y272"/>
      <c r="Z272" s="209"/>
      <c r="AD272"/>
      <c r="AE272"/>
    </row>
    <row r="273" spans="1:31" s="27" customFormat="1" x14ac:dyDescent="0.25">
      <c r="A273"/>
      <c r="B273"/>
      <c r="C273"/>
      <c r="D273"/>
      <c r="E273"/>
      <c r="F273"/>
      <c r="G273"/>
      <c r="H273"/>
      <c r="I273"/>
      <c r="J273"/>
      <c r="L273"/>
      <c r="M273"/>
      <c r="N273"/>
      <c r="O273"/>
      <c r="P273"/>
      <c r="Q273"/>
      <c r="R273"/>
      <c r="S273"/>
      <c r="T273"/>
      <c r="U273"/>
      <c r="V273"/>
      <c r="X273"/>
      <c r="Y273"/>
      <c r="Z273" s="209"/>
      <c r="AD273"/>
      <c r="AE273"/>
    </row>
    <row r="274" spans="1:31" s="27" customFormat="1" x14ac:dyDescent="0.25">
      <c r="A274"/>
      <c r="B274"/>
      <c r="C274"/>
      <c r="D274"/>
      <c r="E274"/>
      <c r="F274"/>
      <c r="G274"/>
      <c r="H274"/>
      <c r="I274"/>
      <c r="J274"/>
      <c r="L274"/>
      <c r="M274"/>
      <c r="N274"/>
      <c r="O274"/>
      <c r="P274"/>
      <c r="Q274"/>
      <c r="R274"/>
      <c r="S274"/>
      <c r="T274"/>
      <c r="U274"/>
      <c r="V274"/>
      <c r="X274"/>
      <c r="Y274"/>
      <c r="Z274" s="209"/>
      <c r="AD274"/>
      <c r="AE274"/>
    </row>
    <row r="275" spans="1:31" s="27" customFormat="1" x14ac:dyDescent="0.25">
      <c r="A275"/>
      <c r="B275"/>
      <c r="C275"/>
      <c r="D275"/>
      <c r="E275"/>
      <c r="F275"/>
      <c r="G275"/>
      <c r="H275"/>
      <c r="I275"/>
      <c r="J275"/>
      <c r="L275"/>
      <c r="M275"/>
      <c r="N275"/>
      <c r="O275"/>
      <c r="P275"/>
      <c r="Q275"/>
      <c r="R275"/>
      <c r="S275"/>
      <c r="T275"/>
      <c r="U275"/>
      <c r="V275"/>
      <c r="X275"/>
      <c r="Y275"/>
      <c r="Z275" s="209"/>
      <c r="AD275"/>
      <c r="AE275"/>
    </row>
    <row r="276" spans="1:31" s="27" customFormat="1" x14ac:dyDescent="0.25">
      <c r="A276"/>
      <c r="B276"/>
      <c r="C276"/>
      <c r="D276"/>
      <c r="E276"/>
      <c r="F276"/>
      <c r="G276"/>
      <c r="H276"/>
      <c r="I276"/>
      <c r="J276"/>
      <c r="L276"/>
      <c r="M276"/>
      <c r="N276"/>
      <c r="O276"/>
      <c r="P276"/>
      <c r="Q276"/>
      <c r="R276"/>
      <c r="S276"/>
      <c r="T276"/>
      <c r="U276"/>
      <c r="V276"/>
      <c r="X276"/>
      <c r="Y276"/>
      <c r="Z276" s="209"/>
      <c r="AD276"/>
      <c r="AE276"/>
    </row>
    <row r="277" spans="1:31" s="27" customFormat="1" x14ac:dyDescent="0.25">
      <c r="A277"/>
      <c r="B277"/>
      <c r="C277"/>
      <c r="D277"/>
      <c r="E277"/>
      <c r="F277"/>
      <c r="G277"/>
      <c r="H277"/>
      <c r="I277"/>
      <c r="J277"/>
      <c r="L277"/>
      <c r="M277"/>
      <c r="N277"/>
      <c r="O277"/>
      <c r="P277"/>
      <c r="Q277"/>
      <c r="R277"/>
      <c r="S277"/>
      <c r="T277"/>
      <c r="U277"/>
      <c r="V277"/>
      <c r="X277"/>
      <c r="Y277"/>
      <c r="Z277" s="209"/>
      <c r="AD277"/>
      <c r="AE277"/>
    </row>
    <row r="278" spans="1:31" s="27" customFormat="1" x14ac:dyDescent="0.25">
      <c r="A278"/>
      <c r="B278"/>
      <c r="C278"/>
      <c r="D278"/>
      <c r="E278"/>
      <c r="F278"/>
      <c r="G278"/>
      <c r="H278"/>
      <c r="I278"/>
      <c r="J278"/>
      <c r="L278"/>
      <c r="M278"/>
      <c r="N278"/>
      <c r="O278"/>
      <c r="P278"/>
      <c r="Q278"/>
      <c r="R278"/>
      <c r="S278"/>
      <c r="T278"/>
      <c r="U278"/>
      <c r="V278"/>
      <c r="X278"/>
      <c r="Y278"/>
      <c r="Z278" s="209"/>
      <c r="AD278"/>
      <c r="AE278"/>
    </row>
    <row r="279" spans="1:31" s="27" customFormat="1" x14ac:dyDescent="0.25">
      <c r="A279"/>
      <c r="B279"/>
      <c r="C279"/>
      <c r="D279"/>
      <c r="E279"/>
      <c r="F279"/>
      <c r="G279"/>
      <c r="H279"/>
      <c r="I279"/>
      <c r="J279"/>
      <c r="L279"/>
      <c r="M279"/>
      <c r="N279"/>
      <c r="O279"/>
      <c r="P279"/>
      <c r="Q279"/>
      <c r="R279"/>
      <c r="S279"/>
      <c r="T279"/>
      <c r="U279"/>
      <c r="V279"/>
      <c r="X279"/>
      <c r="Y279"/>
      <c r="Z279" s="209"/>
      <c r="AD279"/>
      <c r="AE279"/>
    </row>
    <row r="280" spans="1:31" s="27" customFormat="1" x14ac:dyDescent="0.25">
      <c r="A280"/>
      <c r="B280"/>
      <c r="C280"/>
      <c r="D280"/>
      <c r="E280"/>
      <c r="F280"/>
      <c r="G280"/>
      <c r="H280"/>
      <c r="I280"/>
      <c r="J280"/>
      <c r="L280"/>
      <c r="M280"/>
      <c r="N280"/>
      <c r="O280"/>
      <c r="P280"/>
      <c r="Q280"/>
      <c r="R280"/>
      <c r="S280"/>
      <c r="T280"/>
      <c r="U280"/>
      <c r="V280"/>
      <c r="X280"/>
      <c r="Y280"/>
      <c r="Z280" s="209"/>
      <c r="AD280"/>
      <c r="AE280"/>
    </row>
    <row r="281" spans="1:31" s="27" customFormat="1" x14ac:dyDescent="0.25">
      <c r="A281"/>
      <c r="B281"/>
      <c r="C281"/>
      <c r="D281"/>
      <c r="E281"/>
      <c r="F281"/>
      <c r="G281"/>
      <c r="H281"/>
      <c r="I281"/>
      <c r="J281"/>
      <c r="L281"/>
      <c r="M281"/>
      <c r="N281"/>
      <c r="O281"/>
      <c r="P281"/>
      <c r="Q281"/>
      <c r="R281"/>
      <c r="S281"/>
      <c r="T281"/>
      <c r="U281"/>
      <c r="V281"/>
      <c r="X281"/>
      <c r="Y281"/>
      <c r="Z281" s="209"/>
      <c r="AD281"/>
      <c r="AE281"/>
    </row>
    <row r="282" spans="1:31" s="27" customFormat="1" x14ac:dyDescent="0.25">
      <c r="A282"/>
      <c r="B282"/>
      <c r="C282"/>
      <c r="D282"/>
      <c r="E282"/>
      <c r="F282"/>
      <c r="G282"/>
      <c r="H282"/>
      <c r="I282"/>
      <c r="J282"/>
      <c r="L282"/>
      <c r="M282"/>
      <c r="N282"/>
      <c r="O282"/>
      <c r="P282"/>
      <c r="Q282"/>
      <c r="R282"/>
      <c r="S282"/>
      <c r="T282"/>
      <c r="U282"/>
      <c r="V282"/>
      <c r="X282"/>
      <c r="Y282"/>
      <c r="Z282" s="209"/>
      <c r="AD282"/>
      <c r="AE282"/>
    </row>
    <row r="283" spans="1:31" s="27" customFormat="1" x14ac:dyDescent="0.25">
      <c r="A283"/>
      <c r="B283"/>
      <c r="C283"/>
      <c r="D283"/>
      <c r="E283"/>
      <c r="F283"/>
      <c r="G283"/>
      <c r="H283"/>
      <c r="I283"/>
      <c r="J283"/>
      <c r="L283"/>
      <c r="M283"/>
      <c r="N283"/>
      <c r="O283"/>
      <c r="P283"/>
      <c r="Q283"/>
      <c r="R283"/>
      <c r="S283"/>
      <c r="T283"/>
      <c r="U283"/>
      <c r="V283"/>
      <c r="X283"/>
      <c r="Y283"/>
      <c r="Z283" s="209"/>
      <c r="AD283"/>
      <c r="AE283"/>
    </row>
    <row r="284" spans="1:31" s="27" customFormat="1" x14ac:dyDescent="0.25">
      <c r="A284"/>
      <c r="B284"/>
      <c r="C284"/>
      <c r="D284"/>
      <c r="E284"/>
      <c r="F284"/>
      <c r="G284"/>
      <c r="H284"/>
      <c r="I284"/>
      <c r="J284"/>
      <c r="L284"/>
      <c r="M284"/>
      <c r="N284"/>
      <c r="O284"/>
      <c r="P284"/>
      <c r="Q284"/>
      <c r="R284"/>
      <c r="S284"/>
      <c r="T284"/>
      <c r="U284"/>
      <c r="V284"/>
      <c r="X284"/>
      <c r="Y284"/>
      <c r="Z284" s="209"/>
      <c r="AD284"/>
      <c r="AE284"/>
    </row>
    <row r="285" spans="1:31" s="27" customFormat="1" x14ac:dyDescent="0.25">
      <c r="A285"/>
      <c r="B285"/>
      <c r="C285"/>
      <c r="D285"/>
      <c r="E285"/>
      <c r="F285"/>
      <c r="G285"/>
      <c r="H285"/>
      <c r="I285"/>
      <c r="J285"/>
      <c r="L285"/>
      <c r="M285"/>
      <c r="N285"/>
      <c r="O285"/>
      <c r="P285"/>
      <c r="Q285"/>
      <c r="R285"/>
      <c r="S285"/>
      <c r="T285"/>
      <c r="U285"/>
      <c r="V285"/>
      <c r="X285"/>
      <c r="Y285"/>
      <c r="Z285" s="209"/>
      <c r="AD285"/>
      <c r="AE285"/>
    </row>
    <row r="286" spans="1:31" s="27" customFormat="1" x14ac:dyDescent="0.25">
      <c r="A286"/>
      <c r="B286"/>
      <c r="C286"/>
      <c r="D286"/>
      <c r="E286"/>
      <c r="F286"/>
      <c r="G286"/>
      <c r="H286"/>
      <c r="I286"/>
      <c r="J286"/>
      <c r="L286"/>
      <c r="M286"/>
      <c r="N286"/>
      <c r="O286"/>
      <c r="P286"/>
      <c r="Q286"/>
      <c r="R286"/>
      <c r="S286"/>
      <c r="T286"/>
      <c r="U286"/>
      <c r="V286"/>
      <c r="X286"/>
      <c r="Y286"/>
      <c r="Z286" s="209"/>
      <c r="AD286"/>
      <c r="AE286"/>
    </row>
    <row r="287" spans="1:31" s="27" customFormat="1" x14ac:dyDescent="0.25">
      <c r="A287"/>
      <c r="B287"/>
      <c r="C287"/>
      <c r="D287"/>
      <c r="E287"/>
      <c r="F287"/>
      <c r="G287"/>
      <c r="H287"/>
      <c r="I287"/>
      <c r="J287"/>
      <c r="L287"/>
      <c r="M287"/>
      <c r="N287"/>
      <c r="O287"/>
      <c r="P287"/>
      <c r="Q287"/>
      <c r="R287"/>
      <c r="S287"/>
      <c r="T287"/>
      <c r="U287"/>
      <c r="V287"/>
      <c r="X287"/>
      <c r="Y287"/>
      <c r="Z287" s="209"/>
      <c r="AD287"/>
      <c r="AE287"/>
    </row>
    <row r="288" spans="1:31" s="27" customFormat="1" x14ac:dyDescent="0.25">
      <c r="A288"/>
      <c r="B288"/>
      <c r="C288"/>
      <c r="D288"/>
      <c r="E288"/>
      <c r="F288"/>
      <c r="G288"/>
      <c r="H288"/>
      <c r="I288"/>
      <c r="J288"/>
      <c r="L288"/>
      <c r="M288"/>
      <c r="N288"/>
      <c r="O288"/>
      <c r="P288"/>
      <c r="Q288"/>
      <c r="R288"/>
      <c r="S288"/>
      <c r="T288"/>
      <c r="U288"/>
      <c r="V288"/>
      <c r="X288"/>
      <c r="Y288"/>
      <c r="Z288" s="209"/>
      <c r="AD288"/>
      <c r="AE288"/>
    </row>
    <row r="289" spans="1:31" s="27" customFormat="1" x14ac:dyDescent="0.25">
      <c r="A289"/>
      <c r="B289"/>
      <c r="C289"/>
      <c r="D289"/>
      <c r="E289"/>
      <c r="F289"/>
      <c r="G289"/>
      <c r="H289"/>
      <c r="I289"/>
      <c r="J289"/>
      <c r="L289"/>
      <c r="M289"/>
      <c r="N289"/>
      <c r="O289"/>
      <c r="P289"/>
      <c r="Q289"/>
      <c r="R289"/>
      <c r="S289"/>
      <c r="T289"/>
      <c r="U289"/>
      <c r="V289"/>
      <c r="X289"/>
      <c r="Y289"/>
      <c r="Z289" s="209"/>
      <c r="AD289"/>
      <c r="AE289"/>
    </row>
    <row r="290" spans="1:31" s="27" customFormat="1" x14ac:dyDescent="0.25">
      <c r="A290"/>
      <c r="B290"/>
      <c r="C290"/>
      <c r="D290"/>
      <c r="E290"/>
      <c r="F290"/>
      <c r="G290"/>
      <c r="H290"/>
      <c r="I290"/>
      <c r="J290"/>
      <c r="L290"/>
      <c r="M290"/>
      <c r="N290"/>
      <c r="O290"/>
      <c r="P290"/>
      <c r="Q290"/>
      <c r="R290"/>
      <c r="S290"/>
      <c r="T290"/>
      <c r="U290"/>
      <c r="V290"/>
      <c r="X290"/>
      <c r="Y290"/>
      <c r="Z290" s="209"/>
      <c r="AD290"/>
      <c r="AE290"/>
    </row>
    <row r="291" spans="1:31" s="27" customFormat="1" x14ac:dyDescent="0.25">
      <c r="A291"/>
      <c r="B291"/>
      <c r="C291"/>
      <c r="D291"/>
      <c r="E291"/>
      <c r="F291"/>
      <c r="G291"/>
      <c r="H291"/>
      <c r="I291"/>
      <c r="J291"/>
      <c r="L291"/>
      <c r="M291"/>
      <c r="N291"/>
      <c r="O291"/>
      <c r="P291"/>
      <c r="Q291"/>
      <c r="R291"/>
      <c r="S291"/>
      <c r="T291"/>
      <c r="U291"/>
      <c r="V291"/>
      <c r="X291"/>
      <c r="Y291"/>
      <c r="Z291" s="209"/>
      <c r="AD291"/>
      <c r="AE291"/>
    </row>
    <row r="292" spans="1:31" s="27" customFormat="1" x14ac:dyDescent="0.25">
      <c r="A292"/>
      <c r="B292"/>
      <c r="C292"/>
      <c r="D292"/>
      <c r="E292"/>
      <c r="F292"/>
      <c r="G292"/>
      <c r="H292"/>
      <c r="I292"/>
      <c r="J292"/>
      <c r="L292"/>
      <c r="M292"/>
      <c r="N292"/>
      <c r="O292"/>
      <c r="P292"/>
      <c r="Q292"/>
      <c r="R292"/>
      <c r="S292"/>
      <c r="T292"/>
      <c r="U292"/>
      <c r="V292"/>
      <c r="X292"/>
      <c r="Y292"/>
      <c r="Z292" s="209"/>
      <c r="AD292"/>
      <c r="AE292"/>
    </row>
    <row r="293" spans="1:31" s="27" customFormat="1" x14ac:dyDescent="0.25">
      <c r="A293"/>
      <c r="B293"/>
      <c r="C293"/>
      <c r="D293"/>
      <c r="E293"/>
      <c r="F293"/>
      <c r="G293"/>
      <c r="H293"/>
      <c r="I293"/>
      <c r="J293"/>
      <c r="L293"/>
      <c r="M293"/>
      <c r="N293"/>
      <c r="O293"/>
      <c r="P293"/>
      <c r="Q293"/>
      <c r="R293"/>
      <c r="S293"/>
      <c r="T293"/>
      <c r="U293"/>
      <c r="V293"/>
      <c r="X293"/>
      <c r="Y293"/>
      <c r="Z293" s="209"/>
      <c r="AD293"/>
      <c r="AE293"/>
    </row>
    <row r="294" spans="1:31" s="27" customFormat="1" x14ac:dyDescent="0.25">
      <c r="A294"/>
      <c r="B294"/>
      <c r="C294"/>
      <c r="D294"/>
      <c r="E294"/>
      <c r="F294"/>
      <c r="G294"/>
      <c r="H294"/>
      <c r="I294"/>
      <c r="J294"/>
      <c r="L294"/>
      <c r="M294"/>
      <c r="N294"/>
      <c r="O294"/>
      <c r="P294"/>
      <c r="Q294"/>
      <c r="R294"/>
      <c r="S294"/>
      <c r="T294"/>
      <c r="U294"/>
      <c r="V294"/>
      <c r="X294"/>
      <c r="Y294"/>
      <c r="Z294" s="209"/>
      <c r="AD294"/>
      <c r="AE294"/>
    </row>
    <row r="295" spans="1:31" s="27" customFormat="1" x14ac:dyDescent="0.25">
      <c r="A295"/>
      <c r="B295"/>
      <c r="C295"/>
      <c r="D295"/>
      <c r="E295"/>
      <c r="F295"/>
      <c r="G295"/>
      <c r="H295"/>
      <c r="I295"/>
      <c r="J295"/>
      <c r="L295"/>
      <c r="M295"/>
      <c r="N295"/>
      <c r="O295"/>
      <c r="P295"/>
      <c r="Q295"/>
      <c r="R295"/>
      <c r="S295"/>
      <c r="T295"/>
      <c r="U295"/>
      <c r="V295"/>
      <c r="X295"/>
      <c r="Y295"/>
      <c r="Z295" s="209"/>
      <c r="AD295"/>
      <c r="AE295"/>
    </row>
    <row r="296" spans="1:31" s="27" customFormat="1" x14ac:dyDescent="0.25">
      <c r="A296"/>
      <c r="B296"/>
      <c r="C296"/>
      <c r="D296"/>
      <c r="E296"/>
      <c r="F296"/>
      <c r="G296"/>
      <c r="H296"/>
      <c r="I296"/>
      <c r="J296"/>
      <c r="L296"/>
      <c r="M296"/>
      <c r="N296"/>
      <c r="O296"/>
      <c r="P296"/>
      <c r="Q296"/>
      <c r="R296"/>
      <c r="S296"/>
      <c r="T296"/>
      <c r="U296"/>
      <c r="V296"/>
      <c r="X296"/>
      <c r="Y296"/>
      <c r="Z296" s="209"/>
      <c r="AD296"/>
      <c r="AE296"/>
    </row>
    <row r="297" spans="1:31" s="27" customFormat="1" x14ac:dyDescent="0.25">
      <c r="A297"/>
      <c r="B297"/>
      <c r="C297"/>
      <c r="D297"/>
      <c r="E297"/>
      <c r="F297"/>
      <c r="G297"/>
      <c r="H297"/>
      <c r="I297"/>
      <c r="J297"/>
      <c r="L297"/>
      <c r="M297"/>
      <c r="N297"/>
      <c r="O297"/>
      <c r="P297"/>
      <c r="Q297"/>
      <c r="R297"/>
      <c r="S297"/>
      <c r="T297"/>
      <c r="U297"/>
      <c r="V297"/>
      <c r="X297"/>
      <c r="Y297"/>
      <c r="Z297" s="209"/>
      <c r="AD297"/>
      <c r="AE297"/>
    </row>
    <row r="298" spans="1:31" s="27" customFormat="1" x14ac:dyDescent="0.25">
      <c r="A298"/>
      <c r="B298"/>
      <c r="C298"/>
      <c r="D298"/>
      <c r="E298"/>
      <c r="F298"/>
      <c r="G298"/>
      <c r="H298"/>
      <c r="I298"/>
      <c r="J298"/>
      <c r="L298"/>
      <c r="M298"/>
      <c r="N298"/>
      <c r="O298"/>
      <c r="P298"/>
      <c r="Q298"/>
      <c r="R298"/>
      <c r="S298"/>
      <c r="T298"/>
      <c r="U298"/>
      <c r="V298"/>
      <c r="X298"/>
      <c r="Y298"/>
      <c r="Z298" s="209"/>
      <c r="AD298"/>
      <c r="AE298"/>
    </row>
    <row r="299" spans="1:31" s="27" customFormat="1" x14ac:dyDescent="0.25">
      <c r="A299"/>
      <c r="B299"/>
      <c r="C299"/>
      <c r="D299"/>
      <c r="E299"/>
      <c r="F299"/>
      <c r="G299"/>
      <c r="H299"/>
      <c r="I299"/>
      <c r="J299"/>
      <c r="L299"/>
      <c r="M299"/>
      <c r="N299"/>
      <c r="O299"/>
      <c r="P299"/>
      <c r="Q299"/>
      <c r="R299"/>
      <c r="S299"/>
      <c r="T299"/>
      <c r="U299"/>
      <c r="V299"/>
      <c r="X299"/>
      <c r="Y299"/>
      <c r="Z299" s="209"/>
      <c r="AD299"/>
      <c r="AE299"/>
    </row>
    <row r="300" spans="1:31" s="27" customFormat="1" x14ac:dyDescent="0.25">
      <c r="A300"/>
      <c r="B300"/>
      <c r="C300"/>
      <c r="D300"/>
      <c r="E300"/>
      <c r="F300"/>
      <c r="G300"/>
      <c r="H300"/>
      <c r="I300"/>
      <c r="J300"/>
      <c r="L300"/>
      <c r="M300"/>
      <c r="N300"/>
      <c r="O300"/>
      <c r="P300"/>
      <c r="Q300"/>
      <c r="R300"/>
      <c r="S300"/>
      <c r="T300"/>
      <c r="U300"/>
      <c r="V300"/>
      <c r="X300"/>
      <c r="Y300"/>
      <c r="Z300" s="209"/>
      <c r="AD300"/>
      <c r="AE300"/>
    </row>
    <row r="301" spans="1:31" s="27" customFormat="1" x14ac:dyDescent="0.25">
      <c r="A301"/>
      <c r="B301"/>
      <c r="C301"/>
      <c r="D301"/>
      <c r="E301"/>
      <c r="F301"/>
      <c r="G301"/>
      <c r="H301"/>
      <c r="I301"/>
      <c r="J301"/>
      <c r="L301"/>
      <c r="M301"/>
      <c r="N301"/>
      <c r="O301"/>
      <c r="P301"/>
      <c r="Q301"/>
      <c r="R301"/>
      <c r="S301"/>
      <c r="T301"/>
      <c r="U301"/>
      <c r="V301"/>
      <c r="X301"/>
      <c r="Y301"/>
      <c r="Z301" s="209"/>
      <c r="AD301"/>
      <c r="AE301"/>
    </row>
    <row r="302" spans="1:31" s="27" customFormat="1" x14ac:dyDescent="0.25">
      <c r="A302"/>
      <c r="B302"/>
      <c r="C302"/>
      <c r="D302"/>
      <c r="E302"/>
      <c r="F302"/>
      <c r="G302"/>
      <c r="H302"/>
      <c r="I302"/>
      <c r="J302"/>
      <c r="L302"/>
      <c r="M302"/>
      <c r="N302"/>
      <c r="O302"/>
      <c r="P302"/>
      <c r="Q302"/>
      <c r="R302"/>
      <c r="S302"/>
      <c r="T302"/>
      <c r="U302"/>
      <c r="V302"/>
      <c r="X302"/>
      <c r="Y302"/>
      <c r="Z302" s="209"/>
      <c r="AD302"/>
      <c r="AE302"/>
    </row>
    <row r="303" spans="1:31" s="27" customFormat="1" x14ac:dyDescent="0.25">
      <c r="A303"/>
      <c r="B303"/>
      <c r="C303"/>
      <c r="D303"/>
      <c r="E303"/>
      <c r="F303"/>
      <c r="G303"/>
      <c r="H303"/>
      <c r="I303"/>
      <c r="J303"/>
      <c r="L303"/>
      <c r="M303"/>
      <c r="N303"/>
      <c r="O303"/>
      <c r="P303"/>
      <c r="Q303"/>
      <c r="R303"/>
      <c r="S303"/>
      <c r="T303"/>
      <c r="U303"/>
      <c r="V303"/>
      <c r="X303"/>
      <c r="Y303"/>
      <c r="Z303" s="209"/>
      <c r="AD303"/>
      <c r="AE303"/>
    </row>
    <row r="304" spans="1:31" s="27" customFormat="1" x14ac:dyDescent="0.25">
      <c r="A304"/>
      <c r="B304"/>
      <c r="C304"/>
      <c r="D304"/>
      <c r="E304"/>
      <c r="F304"/>
      <c r="G304"/>
      <c r="H304"/>
      <c r="I304"/>
      <c r="J304"/>
      <c r="L304"/>
      <c r="M304"/>
      <c r="N304"/>
      <c r="O304"/>
      <c r="P304"/>
      <c r="Q304"/>
      <c r="R304"/>
      <c r="S304"/>
      <c r="T304"/>
      <c r="U304"/>
      <c r="V304"/>
      <c r="X304"/>
      <c r="Y304"/>
      <c r="Z304" s="209"/>
      <c r="AD304"/>
      <c r="AE304"/>
    </row>
    <row r="305" spans="1:31" s="27" customFormat="1" x14ac:dyDescent="0.25">
      <c r="A305"/>
      <c r="B305"/>
      <c r="C305"/>
      <c r="D305"/>
      <c r="E305"/>
      <c r="F305"/>
      <c r="G305"/>
      <c r="H305"/>
      <c r="I305"/>
      <c r="J305"/>
      <c r="L305"/>
      <c r="M305"/>
      <c r="N305"/>
      <c r="O305"/>
      <c r="P305"/>
      <c r="Q305"/>
      <c r="R305"/>
      <c r="S305"/>
      <c r="T305"/>
      <c r="U305"/>
      <c r="V305"/>
      <c r="X305"/>
      <c r="Y305"/>
      <c r="Z305" s="209"/>
      <c r="AD305"/>
      <c r="AE305"/>
    </row>
    <row r="306" spans="1:31" s="27" customFormat="1" x14ac:dyDescent="0.25">
      <c r="A306"/>
      <c r="B306"/>
      <c r="C306"/>
      <c r="D306"/>
      <c r="E306"/>
      <c r="F306"/>
      <c r="G306"/>
      <c r="H306"/>
      <c r="I306"/>
      <c r="J306"/>
      <c r="L306"/>
      <c r="M306"/>
      <c r="N306"/>
      <c r="O306"/>
      <c r="P306"/>
      <c r="Q306"/>
      <c r="R306"/>
      <c r="S306"/>
      <c r="T306"/>
      <c r="U306"/>
      <c r="V306"/>
      <c r="X306"/>
      <c r="Y306"/>
      <c r="Z306" s="209"/>
      <c r="AD306"/>
      <c r="AE306"/>
    </row>
    <row r="307" spans="1:31" s="27" customFormat="1" x14ac:dyDescent="0.25">
      <c r="A307"/>
      <c r="B307"/>
      <c r="C307"/>
      <c r="D307"/>
      <c r="E307"/>
      <c r="F307"/>
      <c r="G307"/>
      <c r="H307"/>
      <c r="I307"/>
      <c r="J307"/>
      <c r="L307"/>
      <c r="M307"/>
      <c r="N307"/>
      <c r="O307"/>
      <c r="P307"/>
      <c r="Q307"/>
      <c r="R307"/>
      <c r="S307"/>
      <c r="T307"/>
      <c r="U307"/>
      <c r="V307"/>
      <c r="X307"/>
      <c r="Y307"/>
      <c r="Z307" s="209"/>
      <c r="AD307"/>
      <c r="AE307"/>
    </row>
    <row r="308" spans="1:31" s="27" customFormat="1" x14ac:dyDescent="0.25">
      <c r="A308"/>
      <c r="B308"/>
      <c r="C308"/>
      <c r="D308"/>
      <c r="E308"/>
      <c r="F308"/>
      <c r="G308"/>
      <c r="H308"/>
      <c r="I308"/>
      <c r="J308"/>
      <c r="L308"/>
      <c r="M308"/>
      <c r="N308"/>
      <c r="O308"/>
      <c r="P308"/>
      <c r="Q308"/>
      <c r="R308"/>
      <c r="S308"/>
      <c r="T308"/>
      <c r="U308"/>
      <c r="V308"/>
      <c r="X308"/>
      <c r="Y308"/>
      <c r="Z308" s="209"/>
      <c r="AD308"/>
      <c r="AE308"/>
    </row>
    <row r="309" spans="1:31" s="27" customFormat="1" x14ac:dyDescent="0.25">
      <c r="A309"/>
      <c r="B309"/>
      <c r="C309"/>
      <c r="D309"/>
      <c r="E309"/>
      <c r="F309"/>
      <c r="G309"/>
      <c r="H309"/>
      <c r="I309"/>
      <c r="J309"/>
      <c r="L309"/>
      <c r="M309"/>
      <c r="N309"/>
      <c r="O309"/>
      <c r="P309"/>
      <c r="Q309"/>
      <c r="R309"/>
      <c r="S309"/>
      <c r="T309"/>
      <c r="U309"/>
      <c r="V309"/>
      <c r="X309"/>
      <c r="Y309"/>
      <c r="Z309" s="209"/>
      <c r="AD309"/>
      <c r="AE309"/>
    </row>
    <row r="310" spans="1:31" s="27" customFormat="1" x14ac:dyDescent="0.25">
      <c r="A310"/>
      <c r="B310"/>
      <c r="C310"/>
      <c r="D310"/>
      <c r="E310"/>
      <c r="F310"/>
      <c r="G310"/>
      <c r="H310"/>
      <c r="I310"/>
      <c r="J310"/>
      <c r="L310"/>
      <c r="M310"/>
      <c r="N310"/>
      <c r="O310"/>
      <c r="P310"/>
      <c r="Q310"/>
      <c r="R310"/>
      <c r="S310"/>
      <c r="T310"/>
      <c r="U310"/>
      <c r="V310"/>
      <c r="X310"/>
      <c r="Y310"/>
      <c r="Z310" s="209"/>
      <c r="AD310"/>
      <c r="AE310"/>
    </row>
    <row r="311" spans="1:31" s="27" customFormat="1" x14ac:dyDescent="0.25">
      <c r="A311"/>
      <c r="B311"/>
      <c r="C311"/>
      <c r="D311"/>
      <c r="E311"/>
      <c r="F311"/>
      <c r="G311"/>
      <c r="H311"/>
      <c r="I311"/>
      <c r="J311"/>
      <c r="L311"/>
      <c r="M311"/>
      <c r="N311"/>
      <c r="O311"/>
      <c r="P311"/>
      <c r="Q311"/>
      <c r="R311"/>
      <c r="S311"/>
      <c r="T311"/>
      <c r="U311"/>
      <c r="V311"/>
      <c r="X311"/>
      <c r="Y311"/>
      <c r="Z311" s="209"/>
      <c r="AD311"/>
      <c r="AE311"/>
    </row>
    <row r="312" spans="1:31" s="27" customFormat="1" x14ac:dyDescent="0.25">
      <c r="A312"/>
      <c r="B312"/>
      <c r="C312"/>
      <c r="D312"/>
      <c r="E312"/>
      <c r="F312"/>
      <c r="G312"/>
      <c r="H312"/>
      <c r="I312"/>
      <c r="J312"/>
      <c r="L312"/>
      <c r="M312"/>
      <c r="N312"/>
      <c r="O312"/>
      <c r="P312"/>
      <c r="Q312"/>
      <c r="R312"/>
      <c r="S312"/>
      <c r="T312"/>
      <c r="U312"/>
      <c r="V312"/>
      <c r="X312"/>
      <c r="Y312"/>
      <c r="Z312" s="209"/>
      <c r="AD312"/>
      <c r="AE312"/>
    </row>
    <row r="313" spans="1:31" s="27" customFormat="1" x14ac:dyDescent="0.25">
      <c r="A313"/>
      <c r="B313"/>
      <c r="C313"/>
      <c r="D313"/>
      <c r="E313"/>
      <c r="F313"/>
      <c r="G313"/>
      <c r="H313"/>
      <c r="I313"/>
      <c r="J313"/>
      <c r="L313"/>
      <c r="M313"/>
      <c r="N313"/>
      <c r="O313"/>
      <c r="P313"/>
      <c r="Q313"/>
      <c r="R313"/>
      <c r="S313"/>
      <c r="T313"/>
      <c r="U313"/>
      <c r="V313"/>
      <c r="X313"/>
      <c r="Y313"/>
      <c r="Z313" s="209"/>
      <c r="AD313"/>
      <c r="AE313"/>
    </row>
    <row r="314" spans="1:31" s="27" customFormat="1" x14ac:dyDescent="0.25">
      <c r="A314"/>
      <c r="B314"/>
      <c r="C314"/>
      <c r="D314"/>
      <c r="E314"/>
      <c r="F314"/>
      <c r="G314"/>
      <c r="H314"/>
      <c r="I314"/>
      <c r="J314"/>
      <c r="L314"/>
      <c r="M314"/>
      <c r="N314"/>
      <c r="O314"/>
      <c r="P314"/>
      <c r="Q314"/>
      <c r="R314"/>
      <c r="S314"/>
      <c r="T314"/>
      <c r="U314"/>
      <c r="V314"/>
      <c r="X314"/>
      <c r="Y314"/>
      <c r="Z314" s="209"/>
      <c r="AD314"/>
      <c r="AE314"/>
    </row>
    <row r="315" spans="1:31" s="27" customFormat="1" x14ac:dyDescent="0.25">
      <c r="A315"/>
      <c r="B315"/>
      <c r="C315"/>
      <c r="D315"/>
      <c r="E315"/>
      <c r="F315"/>
      <c r="G315"/>
      <c r="H315"/>
      <c r="I315"/>
      <c r="J315"/>
      <c r="L315"/>
      <c r="M315"/>
      <c r="N315"/>
      <c r="O315"/>
      <c r="P315"/>
      <c r="Q315"/>
      <c r="R315"/>
      <c r="S315"/>
      <c r="T315"/>
      <c r="U315"/>
      <c r="V315"/>
      <c r="X315"/>
      <c r="Y315"/>
      <c r="Z315" s="209"/>
      <c r="AD315"/>
      <c r="AE315"/>
    </row>
    <row r="316" spans="1:31" s="27" customFormat="1" x14ac:dyDescent="0.25">
      <c r="A316"/>
      <c r="B316"/>
      <c r="C316"/>
      <c r="D316"/>
      <c r="E316"/>
      <c r="F316"/>
      <c r="G316"/>
      <c r="H316"/>
      <c r="I316"/>
      <c r="J316"/>
      <c r="L316"/>
      <c r="M316"/>
      <c r="N316"/>
      <c r="O316"/>
      <c r="P316"/>
      <c r="Q316"/>
      <c r="R316"/>
      <c r="S316"/>
      <c r="T316"/>
      <c r="U316"/>
      <c r="V316"/>
      <c r="X316"/>
      <c r="Y316"/>
      <c r="Z316" s="209"/>
      <c r="AD316"/>
      <c r="AE316"/>
    </row>
    <row r="317" spans="1:31" s="27" customFormat="1" x14ac:dyDescent="0.25">
      <c r="A317"/>
      <c r="B317"/>
      <c r="C317"/>
      <c r="D317"/>
      <c r="E317"/>
      <c r="F317"/>
      <c r="G317"/>
      <c r="H317"/>
      <c r="I317"/>
      <c r="J317"/>
      <c r="L317"/>
      <c r="M317"/>
      <c r="N317"/>
      <c r="O317"/>
      <c r="P317"/>
      <c r="Q317"/>
      <c r="R317"/>
      <c r="S317"/>
      <c r="T317"/>
      <c r="U317"/>
      <c r="V317"/>
      <c r="X317"/>
      <c r="Y317"/>
      <c r="Z317" s="209"/>
      <c r="AD317"/>
      <c r="AE317"/>
    </row>
    <row r="318" spans="1:31" s="27" customFormat="1" x14ac:dyDescent="0.25">
      <c r="A318"/>
      <c r="B318"/>
      <c r="C318"/>
      <c r="D318"/>
      <c r="E318"/>
      <c r="F318"/>
      <c r="G318"/>
      <c r="H318"/>
      <c r="I318"/>
      <c r="J318"/>
      <c r="L318"/>
      <c r="M318"/>
      <c r="N318"/>
      <c r="O318"/>
      <c r="P318"/>
      <c r="Q318"/>
      <c r="R318"/>
      <c r="S318"/>
      <c r="T318"/>
      <c r="U318"/>
      <c r="V318"/>
      <c r="X318"/>
      <c r="Y318"/>
      <c r="Z318" s="209"/>
      <c r="AD318"/>
      <c r="AE318"/>
    </row>
    <row r="319" spans="1:31" s="27" customFormat="1" x14ac:dyDescent="0.25">
      <c r="A319"/>
      <c r="B319"/>
      <c r="C319"/>
      <c r="D319"/>
      <c r="E319"/>
      <c r="F319"/>
      <c r="G319"/>
      <c r="H319"/>
      <c r="I319"/>
      <c r="J319"/>
      <c r="L319"/>
      <c r="M319"/>
      <c r="N319"/>
      <c r="O319"/>
      <c r="P319"/>
      <c r="Q319"/>
      <c r="R319"/>
      <c r="S319"/>
      <c r="T319"/>
      <c r="U319"/>
      <c r="V319"/>
      <c r="X319"/>
      <c r="Y319"/>
      <c r="Z319" s="209"/>
      <c r="AD319"/>
      <c r="AE319"/>
    </row>
    <row r="320" spans="1:31" s="27" customFormat="1" x14ac:dyDescent="0.25">
      <c r="A320"/>
      <c r="B320"/>
      <c r="C320"/>
      <c r="D320"/>
      <c r="E320"/>
      <c r="F320"/>
      <c r="G320"/>
      <c r="H320"/>
      <c r="I320"/>
      <c r="J320"/>
      <c r="L320"/>
      <c r="M320"/>
      <c r="N320"/>
      <c r="O320"/>
      <c r="P320"/>
      <c r="Q320"/>
      <c r="R320"/>
      <c r="S320"/>
      <c r="T320"/>
      <c r="U320"/>
      <c r="V320"/>
      <c r="X320"/>
      <c r="Y320"/>
      <c r="Z320" s="209"/>
      <c r="AD320"/>
      <c r="AE320"/>
    </row>
    <row r="321" spans="1:31" s="27" customFormat="1" x14ac:dyDescent="0.25">
      <c r="A321"/>
      <c r="B321"/>
      <c r="C321"/>
      <c r="D321"/>
      <c r="E321"/>
      <c r="F321"/>
      <c r="G321"/>
      <c r="H321"/>
      <c r="I321"/>
      <c r="J321"/>
      <c r="L321"/>
      <c r="M321"/>
      <c r="N321"/>
      <c r="O321"/>
      <c r="P321"/>
      <c r="Q321"/>
      <c r="R321"/>
      <c r="S321"/>
      <c r="T321"/>
      <c r="U321"/>
      <c r="V321"/>
      <c r="X321"/>
      <c r="Y321"/>
      <c r="Z321"/>
      <c r="AD321"/>
      <c r="AE321"/>
    </row>
    <row r="322" spans="1:31" s="27" customFormat="1" x14ac:dyDescent="0.25">
      <c r="A322"/>
      <c r="B322"/>
      <c r="C322"/>
      <c r="D322"/>
      <c r="E322"/>
      <c r="F322"/>
      <c r="G322"/>
      <c r="H322"/>
      <c r="I322"/>
      <c r="J322"/>
      <c r="L322"/>
      <c r="M322"/>
      <c r="N322"/>
      <c r="O322"/>
      <c r="P322"/>
      <c r="Q322"/>
      <c r="R322"/>
      <c r="S322"/>
      <c r="T322"/>
      <c r="U322"/>
      <c r="V322"/>
      <c r="X322"/>
      <c r="Y322"/>
      <c r="Z322"/>
      <c r="AD322"/>
      <c r="AE322"/>
    </row>
    <row r="323" spans="1:31" s="27" customFormat="1" x14ac:dyDescent="0.25">
      <c r="A323"/>
      <c r="B323"/>
      <c r="C323"/>
      <c r="D323"/>
      <c r="E323"/>
      <c r="F323"/>
      <c r="G323"/>
      <c r="H323"/>
      <c r="I323"/>
      <c r="J323"/>
      <c r="L323"/>
      <c r="M323"/>
      <c r="N323"/>
      <c r="O323"/>
      <c r="P323"/>
      <c r="Q323"/>
      <c r="R323"/>
      <c r="S323"/>
      <c r="T323"/>
      <c r="U323"/>
      <c r="V323"/>
      <c r="X323"/>
      <c r="Y323"/>
      <c r="Z323"/>
      <c r="AD323"/>
      <c r="AE323"/>
    </row>
    <row r="324" spans="1:31" s="27" customFormat="1" x14ac:dyDescent="0.25">
      <c r="A324"/>
      <c r="B324"/>
      <c r="C324"/>
      <c r="D324"/>
      <c r="E324"/>
      <c r="F324"/>
      <c r="G324"/>
      <c r="H324"/>
      <c r="I324"/>
      <c r="J324"/>
      <c r="L324"/>
      <c r="M324"/>
      <c r="N324"/>
      <c r="O324"/>
      <c r="P324"/>
      <c r="Q324"/>
      <c r="R324"/>
      <c r="S324"/>
      <c r="T324"/>
      <c r="U324"/>
      <c r="V324"/>
      <c r="X324"/>
      <c r="Y324"/>
      <c r="Z324"/>
      <c r="AD324"/>
      <c r="AE324"/>
    </row>
    <row r="325" spans="1:31" s="27" customFormat="1" x14ac:dyDescent="0.25">
      <c r="A325"/>
      <c r="B325"/>
      <c r="C325"/>
      <c r="D325"/>
      <c r="E325"/>
      <c r="F325"/>
      <c r="G325"/>
      <c r="H325"/>
      <c r="I325"/>
      <c r="J325"/>
      <c r="L325"/>
      <c r="M325"/>
      <c r="N325"/>
      <c r="O325"/>
      <c r="P325"/>
      <c r="Q325"/>
      <c r="R325"/>
      <c r="S325"/>
      <c r="T325"/>
      <c r="U325"/>
      <c r="V325"/>
      <c r="X325"/>
      <c r="Y325"/>
      <c r="Z325"/>
      <c r="AD325"/>
      <c r="AE325"/>
    </row>
    <row r="326" spans="1:31" s="27" customFormat="1" x14ac:dyDescent="0.25">
      <c r="A326"/>
      <c r="B326"/>
      <c r="C326"/>
      <c r="D326"/>
      <c r="E326"/>
      <c r="F326"/>
      <c r="G326"/>
      <c r="H326"/>
      <c r="I326"/>
      <c r="J326"/>
      <c r="L326"/>
      <c r="M326"/>
      <c r="N326"/>
      <c r="O326"/>
      <c r="P326"/>
      <c r="Q326"/>
      <c r="R326"/>
      <c r="S326"/>
      <c r="T326"/>
      <c r="U326"/>
      <c r="V326"/>
      <c r="X326"/>
      <c r="Y326"/>
      <c r="Z326"/>
      <c r="AD326"/>
      <c r="AE326"/>
    </row>
    <row r="327" spans="1:31" s="27" customFormat="1" x14ac:dyDescent="0.25">
      <c r="A327"/>
      <c r="B327"/>
      <c r="C327"/>
      <c r="D327"/>
      <c r="E327"/>
      <c r="F327"/>
      <c r="G327"/>
      <c r="H327"/>
      <c r="I327"/>
      <c r="J327"/>
      <c r="L327"/>
      <c r="M327"/>
      <c r="N327"/>
      <c r="O327"/>
      <c r="P327"/>
      <c r="Q327"/>
      <c r="R327"/>
      <c r="S327"/>
      <c r="T327"/>
      <c r="U327"/>
      <c r="V327"/>
      <c r="X327"/>
      <c r="Y327"/>
      <c r="Z327"/>
      <c r="AD327"/>
      <c r="AE327"/>
    </row>
    <row r="328" spans="1:31" s="27" customFormat="1" x14ac:dyDescent="0.25">
      <c r="A328"/>
      <c r="B328"/>
      <c r="C328"/>
      <c r="D328"/>
      <c r="E328"/>
      <c r="F328"/>
      <c r="G328"/>
      <c r="H328"/>
      <c r="I328"/>
      <c r="J328"/>
      <c r="L328"/>
      <c r="M328"/>
      <c r="N328"/>
      <c r="O328"/>
      <c r="P328"/>
      <c r="Q328"/>
      <c r="R328"/>
      <c r="S328"/>
      <c r="T328"/>
      <c r="U328"/>
      <c r="V328"/>
      <c r="X328"/>
      <c r="Y328"/>
      <c r="Z328"/>
      <c r="AD328"/>
      <c r="AE328"/>
    </row>
    <row r="329" spans="1:31" s="27" customFormat="1" x14ac:dyDescent="0.25">
      <c r="A329"/>
      <c r="B329"/>
      <c r="C329"/>
      <c r="D329"/>
      <c r="E329"/>
      <c r="F329"/>
      <c r="G329"/>
      <c r="H329"/>
      <c r="I329"/>
      <c r="J329"/>
      <c r="L329"/>
      <c r="M329"/>
      <c r="N329"/>
      <c r="O329"/>
      <c r="P329"/>
      <c r="Q329"/>
      <c r="R329"/>
      <c r="S329"/>
      <c r="T329"/>
      <c r="U329"/>
      <c r="V329"/>
      <c r="X329"/>
      <c r="Y329"/>
      <c r="Z329"/>
      <c r="AD329"/>
      <c r="AE329"/>
    </row>
    <row r="330" spans="1:31" s="27" customFormat="1" x14ac:dyDescent="0.25">
      <c r="A330"/>
      <c r="B330"/>
      <c r="C330"/>
      <c r="D330"/>
      <c r="E330"/>
      <c r="F330"/>
      <c r="G330"/>
      <c r="H330"/>
      <c r="I330"/>
      <c r="J330"/>
      <c r="L330"/>
      <c r="M330"/>
      <c r="N330"/>
      <c r="O330"/>
      <c r="P330"/>
      <c r="Q330"/>
      <c r="R330"/>
      <c r="S330"/>
      <c r="T330"/>
      <c r="U330"/>
      <c r="V330"/>
      <c r="X330"/>
      <c r="Y330"/>
      <c r="Z330"/>
      <c r="AD330"/>
      <c r="AE330"/>
    </row>
  </sheetData>
  <sheetProtection algorithmName="SHA-512" hashValue="oYKQ83zpATVBTIHA3iqqRyrRbDkFZuPT3O0hOjHxTU5sTA0ykGkv95dM800tL92I44TSoCgJTu2/IrwMp+2IVg==" saltValue="IHbuR+A6Urj8a3T1tKGA6w==" spinCount="100000" sheet="1" objects="1" scenarios="1"/>
  <mergeCells count="6">
    <mergeCell ref="A1:AC1"/>
    <mergeCell ref="B5:J5"/>
    <mergeCell ref="N5:V5"/>
    <mergeCell ref="N15:V15"/>
    <mergeCell ref="N16:V16"/>
    <mergeCell ref="A9:XFD9"/>
  </mergeCells>
  <conditionalFormatting sqref="N10:V10">
    <cfRule type="cellIs" dxfId="97" priority="4" operator="equal">
      <formula>$W$10</formula>
    </cfRule>
  </conditionalFormatting>
  <conditionalFormatting sqref="N11:V11">
    <cfRule type="cellIs" dxfId="96" priority="3" operator="equal">
      <formula>$W$11</formula>
    </cfRule>
  </conditionalFormatting>
  <conditionalFormatting sqref="N12:V12">
    <cfRule type="cellIs" dxfId="95" priority="1" operator="equal">
      <formula>$W$12</formula>
    </cfRule>
    <cfRule type="cellIs" dxfId="94" priority="2" operator="equal">
      <formula>$W$12</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121"/>
  <sheetViews>
    <sheetView zoomScale="85" zoomScaleNormal="85" workbookViewId="0">
      <selection activeCell="N3" sqref="N3"/>
    </sheetView>
  </sheetViews>
  <sheetFormatPr baseColWidth="10" defaultRowHeight="15" x14ac:dyDescent="0.25"/>
  <cols>
    <col min="1" max="1" width="16.7109375" style="191"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Mesures_Four!E27</f>
        <v>200°C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M2" s="211" t="s">
        <v>87</v>
      </c>
      <c r="N2" s="44">
        <f>_xlfn.XLOOKUP(INT(SUBSTITUTE(N6,"Connecteur ", "")),Mesures_Four!C40:C48,Mesures_Four!E40:E48)</f>
        <v>0</v>
      </c>
      <c r="O2" s="44">
        <f>_xlfn.XLOOKUP(INT(SUBSTITUTE(O6,"Connecteur ", "")),Mesures_Four!C40:C48,Mesures_Four!E40:E48)</f>
        <v>0</v>
      </c>
      <c r="P2" s="44">
        <f>_xlfn.XLOOKUP(INT(SUBSTITUTE(P6,"Connecteur ", "")),Mesures_Four!C40:C48,Mesures_Four!E40:E48)</f>
        <v>0</v>
      </c>
      <c r="Q2" s="44">
        <f>_xlfn.XLOOKUP(INT(SUBSTITUTE(Q6,"Connecteur ", "")),Mesures_Four!C40:C48,Mesures_Four!E40:E48)</f>
        <v>0</v>
      </c>
      <c r="R2" s="44">
        <f>_xlfn.XLOOKUP(INT(SUBSTITUTE(R6,"Connecteur ", "")),Mesures_Four!C40:C48,Mesures_Four!E40:E48)</f>
        <v>0</v>
      </c>
      <c r="S2" s="44">
        <f>_xlfn.XLOOKUP(INT(SUBSTITUTE(S6,"Connecteur ", "")),Mesures_Four!C40:C48,Mesures_Four!E40:E48)</f>
        <v>0</v>
      </c>
      <c r="T2" s="44">
        <f>_xlfn.XLOOKUP(INT(SUBSTITUTE(T6,"Connecteur ", "")),Mesures_Four!C40:C48,Mesures_Four!E40:E48)</f>
        <v>0</v>
      </c>
      <c r="U2" s="44">
        <f>_xlfn.XLOOKUP(INT(SUBSTITUTE(U6,"Connecteur ", "")),Mesures_Four!C40:C48,Mesures_Four!E40:E48)</f>
        <v>0</v>
      </c>
      <c r="V2" s="44">
        <f>_xlfn.XLOOKUP(INT(SUBSTITUTE(V6,"Connecteur ", "")),Mesures_Four!C40:C48,Mesures_Four!E40:E48)</f>
        <v>0</v>
      </c>
      <c r="W2" s="158"/>
      <c r="X2" s="158"/>
      <c r="Y2" s="158"/>
    </row>
    <row r="3" spans="1:29" x14ac:dyDescent="0.25">
      <c r="M3" s="211" t="s">
        <v>23</v>
      </c>
      <c r="N3" s="44" t="e" cm="1">
        <f t="array" ref="N3">_xlfn.XLOOKUP(INT(SUBSTITUTE(N6,"Connecteur ", "")),INT(Mesures_Four!B28:B36),Mesures_Four!E28:E36)</f>
        <v>#N/A</v>
      </c>
      <c r="O3" s="44" t="e" cm="1">
        <f t="array" ref="O3">_xlfn.XLOOKUP(INT(SUBSTITUTE(O6,"Connecteur ", "")),INT(Mesures_Four!B28:B36),Mesures_Four!E28:E36)</f>
        <v>#N/A</v>
      </c>
      <c r="P3" s="44" t="e" cm="1">
        <f t="array" ref="P3">_xlfn.XLOOKUP(INT(SUBSTITUTE(P6,"Connecteur ", "")),INT(Mesures_Four!B28:B36),Mesures_Four!E28:E36)</f>
        <v>#N/A</v>
      </c>
      <c r="Q3" s="44" t="e" cm="1">
        <f t="array" ref="Q3">_xlfn.XLOOKUP(INT(SUBSTITUTE(Q6,"Connecteur ", "")),INT(Mesures_Four!B28:B36),Mesures_Four!E28:E36)</f>
        <v>#N/A</v>
      </c>
      <c r="R3" s="44" t="e" cm="1">
        <f t="array" ref="R3">_xlfn.XLOOKUP(INT(SUBSTITUTE(R6,"Connecteur ", "")),INT(Mesures_Four!B28:B36),Mesures_Four!E28:E36)</f>
        <v>#N/A</v>
      </c>
      <c r="S3" s="44" t="e" cm="1">
        <f t="array" ref="S3">_xlfn.XLOOKUP(INT(SUBSTITUTE(S6,"Connecteur ", "")),INT(Mesures_Four!B28:B36),Mesures_Four!E28:E36)</f>
        <v>#N/A</v>
      </c>
      <c r="T3" s="44" t="e" cm="1">
        <f t="array" ref="T3">_xlfn.XLOOKUP(INT(SUBSTITUTE(T6,"Connecteur ", "")),INT(Mesures_Four!B28:B36),Mesures_Four!E28:E36)</f>
        <v>#N/A</v>
      </c>
      <c r="U3" s="44" t="e" cm="1">
        <f t="array" ref="U3">_xlfn.XLOOKUP(INT(SUBSTITUTE(U6,"Connecteur ", "")),INT(Mesures_Four!B28:B36),Mesures_Four!E28:E36)</f>
        <v>#N/A</v>
      </c>
      <c r="V3" s="44" t="e" cm="1">
        <f t="array" ref="V3">_xlfn.XLOOKUP(INT(SUBSTITUTE(V6,"Connecteur ", "")),INT(Mesures_Four!B28:B36),Mesures_Four!E28:E36)</f>
        <v>#N/A</v>
      </c>
      <c r="W3" s="158"/>
      <c r="X3" s="158"/>
      <c r="Y3" s="158"/>
    </row>
    <row r="4" spans="1:29" x14ac:dyDescent="0.25">
      <c r="M4" s="23"/>
      <c r="N4" s="210"/>
      <c r="O4" s="210"/>
      <c r="P4" s="210"/>
      <c r="Q4" s="210"/>
      <c r="R4" s="210"/>
      <c r="S4" s="210"/>
      <c r="T4" s="210"/>
      <c r="U4" s="210"/>
      <c r="V4" s="210"/>
      <c r="W4" s="158"/>
      <c r="X4" s="158"/>
      <c r="Y4" s="158"/>
    </row>
    <row r="5" spans="1:29" x14ac:dyDescent="0.25">
      <c r="A5" s="375" t="s">
        <v>330</v>
      </c>
      <c r="B5" s="375"/>
      <c r="C5" s="375"/>
      <c r="D5" s="375"/>
      <c r="E5" s="375"/>
      <c r="F5" s="375"/>
      <c r="G5" s="375"/>
      <c r="H5" s="375"/>
      <c r="I5" s="375"/>
      <c r="J5" s="375"/>
      <c r="M5" s="375" t="s">
        <v>88</v>
      </c>
      <c r="N5" s="375"/>
      <c r="O5" s="375"/>
      <c r="P5" s="375"/>
      <c r="Q5" s="375"/>
      <c r="R5" s="375"/>
      <c r="S5" s="375"/>
      <c r="T5" s="375"/>
      <c r="U5" s="375"/>
      <c r="V5" s="375"/>
      <c r="Z5" s="209"/>
    </row>
    <row r="6" spans="1:29" x14ac:dyDescent="0.25">
      <c r="A6" s="208" t="str" cm="1">
        <f t="array" ref="A6:J7">tab_transfert200[#All]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6" t="str" cm="1">
        <f t="array" ref="N6:V6">tab_transfert200[[#Headers],[Connecteur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tab_four200[[#All],[Consigne T°]]</f>
        <v>Consigne T°</v>
      </c>
      <c r="Z6" s="201" t="str" cm="1">
        <f t="array" ref="Z6:AC7">tab_four200[[#All],[Date/Heure]:[Pt Chaud]]</f>
        <v>Date/Heure</v>
      </c>
      <c r="AA6" s="201" t="str">
        <v>Pt Froid</v>
      </c>
      <c r="AB6" s="201" t="str">
        <v>Regulation</v>
      </c>
      <c r="AC6" s="201" t="str">
        <v>Pt Chaud</v>
      </c>
    </row>
    <row r="7" spans="1:29" ht="15" customHeight="1" x14ac:dyDescent="0.25">
      <c r="A7" s="23">
        <v>0</v>
      </c>
      <c r="B7">
        <v>0</v>
      </c>
      <c r="C7">
        <v>0</v>
      </c>
      <c r="D7">
        <v>0</v>
      </c>
      <c r="E7">
        <v>0</v>
      </c>
      <c r="F7">
        <v>0</v>
      </c>
      <c r="G7">
        <v>0</v>
      </c>
      <c r="H7">
        <v>0</v>
      </c>
      <c r="I7">
        <v>0</v>
      </c>
      <c r="J7">
        <v>0</v>
      </c>
      <c r="K7" s="204"/>
      <c r="M7" s="328" t="s">
        <v>328</v>
      </c>
      <c r="N7" s="205" t="e" cm="1">
        <f t="array" ref="N7:V7">tab_transfert200[[Connecteur 1]:[Connecteur 9]]+N2:V2+N3:V3</f>
        <v>#N/A</v>
      </c>
      <c r="O7" s="205" t="e">
        <v>#N/A</v>
      </c>
      <c r="P7" s="205" t="e">
        <v>#N/A</v>
      </c>
      <c r="Q7" s="205" t="e">
        <v>#N/A</v>
      </c>
      <c r="R7" s="205" t="e">
        <v>#N/A</v>
      </c>
      <c r="S7" s="205" t="e">
        <v>#N/A</v>
      </c>
      <c r="T7" s="205" t="e">
        <v>#N/A</v>
      </c>
      <c r="U7" s="205" t="e">
        <v>#N/A</v>
      </c>
      <c r="V7" s="205" t="e">
        <v>#N/A</v>
      </c>
      <c r="W7" s="202">
        <v>0</v>
      </c>
      <c r="Z7" s="23">
        <v>0</v>
      </c>
      <c r="AA7">
        <v>0</v>
      </c>
      <c r="AB7">
        <v>0</v>
      </c>
      <c r="AC7">
        <v>0</v>
      </c>
    </row>
    <row r="8" spans="1:29" ht="15" customHeight="1" x14ac:dyDescent="0.25">
      <c r="A8" s="23"/>
      <c r="B8"/>
      <c r="C8"/>
      <c r="D8"/>
      <c r="E8"/>
      <c r="F8"/>
      <c r="G8"/>
      <c r="H8"/>
      <c r="I8"/>
      <c r="J8"/>
      <c r="K8" s="204"/>
      <c r="M8" s="327" t="s">
        <v>327</v>
      </c>
      <c r="N8" s="203"/>
      <c r="O8" s="203"/>
      <c r="P8" s="203"/>
      <c r="Q8" s="203"/>
      <c r="R8" s="203"/>
      <c r="S8" s="203"/>
      <c r="T8" s="203"/>
      <c r="U8" s="203"/>
      <c r="V8" s="203"/>
      <c r="W8" s="323"/>
      <c r="Z8" s="23"/>
    </row>
    <row r="9" spans="1:29" ht="15" customHeight="1" x14ac:dyDescent="0.25">
      <c r="A9" s="377"/>
      <c r="B9" s="377"/>
      <c r="C9" s="377"/>
      <c r="D9" s="377"/>
      <c r="E9" s="377"/>
      <c r="F9" s="377"/>
      <c r="G9" s="377"/>
      <c r="H9" s="377"/>
      <c r="I9" s="377"/>
      <c r="J9" s="377"/>
      <c r="K9" s="377"/>
      <c r="L9" s="377"/>
      <c r="M9" s="377"/>
      <c r="N9" s="377"/>
      <c r="O9" s="377"/>
      <c r="P9" s="377"/>
      <c r="Q9" s="377"/>
      <c r="R9" s="377"/>
      <c r="S9" s="377"/>
      <c r="T9" s="377"/>
      <c r="U9" s="377"/>
      <c r="V9" s="377"/>
      <c r="W9" s="377"/>
      <c r="Z9" s="23"/>
    </row>
    <row r="10" spans="1:29" ht="15" customHeight="1" x14ac:dyDescent="0.25">
      <c r="A10" s="23"/>
      <c r="B10"/>
      <c r="C10"/>
      <c r="D10"/>
      <c r="E10"/>
      <c r="F10"/>
      <c r="G10"/>
      <c r="H10"/>
      <c r="I10"/>
      <c r="J10"/>
      <c r="K10" s="204"/>
      <c r="Z10" s="23"/>
    </row>
    <row r="11" spans="1:29" ht="15" customHeight="1" x14ac:dyDescent="0.25">
      <c r="A11" s="23"/>
      <c r="B11"/>
      <c r="C11"/>
      <c r="D11"/>
      <c r="E11"/>
      <c r="F11"/>
      <c r="G11"/>
      <c r="H11"/>
      <c r="I11"/>
      <c r="J11"/>
      <c r="K11" s="204"/>
      <c r="M11" s="91" t="s">
        <v>90</v>
      </c>
      <c r="N11" s="43" t="e">
        <f>MAX(tab_transfert200[Connecteur 1])+N$2+N$3</f>
        <v>#N/A</v>
      </c>
      <c r="O11" s="43" t="e">
        <f>MAX(tab_transfert200[Connecteur 2])+O$2+O$3</f>
        <v>#N/A</v>
      </c>
      <c r="P11" s="43" t="e">
        <f>MAX(tab_transfert200[Connecteur 3])+P$2+P$3</f>
        <v>#N/A</v>
      </c>
      <c r="Q11" s="43" t="e">
        <f>MAX(tab_transfert200[Connecteur 4])+Q$2+Q$3</f>
        <v>#N/A</v>
      </c>
      <c r="R11" s="43" t="e">
        <f>MAX(tab_transfert200[Connecteur 5])+R$2+R$3</f>
        <v>#N/A</v>
      </c>
      <c r="S11" s="43" t="e">
        <f>MAX(tab_transfert200[Connecteur 6])+S$2+S$3</f>
        <v>#N/A</v>
      </c>
      <c r="T11" s="43" t="e">
        <f>MAX(tab_transfert200[Connecteur 7])+T$2+T$3</f>
        <v>#N/A</v>
      </c>
      <c r="U11" s="43" t="e">
        <f>MAX(tab_transfert200[Connecteur 8])+U$2+U$3</f>
        <v>#N/A</v>
      </c>
      <c r="V11" s="43" t="e">
        <f>MAX(tab_transfert200[Connecteur 9])+V$2+V$3</f>
        <v>#N/A</v>
      </c>
      <c r="W11" s="200" t="e">
        <f>MAX(N11:V11)</f>
        <v>#N/A</v>
      </c>
      <c r="Z11" s="23"/>
    </row>
    <row r="12" spans="1:29" ht="15" customHeight="1" x14ac:dyDescent="0.25">
      <c r="A12" s="23"/>
      <c r="B12"/>
      <c r="C12"/>
      <c r="D12"/>
      <c r="E12"/>
      <c r="F12"/>
      <c r="G12"/>
      <c r="H12"/>
      <c r="I12"/>
      <c r="J12"/>
      <c r="K12" s="204"/>
      <c r="M12" s="199" t="s">
        <v>91</v>
      </c>
      <c r="N12" s="198" t="e">
        <f ca="1">MAX(OFFSET(INDEX(tab_transfert200[Connecteur 1],1),COUNT(tab_transfert200[Connecteur 1])-30,0,30))+N$2+N$3</f>
        <v>#REF!</v>
      </c>
      <c r="O12" s="198" t="e">
        <f ca="1">MAX(OFFSET(INDEX(tab_transfert200[Connecteur 2],1),COUNT(tab_transfert200[Connecteur 2])-30,0,30))+O$2+O$3</f>
        <v>#REF!</v>
      </c>
      <c r="P12" s="198" t="e">
        <f ca="1">MAX(OFFSET(INDEX(tab_transfert200[Connecteur 3],1),COUNT(tab_transfert200[Connecteur 3])-30,0,30))+P$2+P$3</f>
        <v>#REF!</v>
      </c>
      <c r="Q12" s="198" t="e">
        <f ca="1">MAX(OFFSET(INDEX(tab_transfert200[Connecteur 4],1),COUNT(tab_transfert200[Connecteur 4])-30,0,30))+Q$2+Q$3</f>
        <v>#REF!</v>
      </c>
      <c r="R12" s="198" t="e">
        <f ca="1">MAX(OFFSET(INDEX(tab_transfert200[Connecteur 5],1),COUNT(tab_transfert200[Connecteur 5])-30,0,30))+R$2+R$3</f>
        <v>#REF!</v>
      </c>
      <c r="S12" s="198" t="e">
        <f ca="1">MAX(OFFSET(INDEX(tab_transfert200[Connecteur 6],1),COUNT(tab_transfert200[Connecteur 6])-30,0,30))+S$2+S$3</f>
        <v>#REF!</v>
      </c>
      <c r="T12" s="198" t="e">
        <f ca="1">MAX(OFFSET(INDEX(tab_transfert200[Connecteur 7],1),COUNT(tab_transfert200[Connecteur 7])-30,0,30))+T$2+T$3</f>
        <v>#REF!</v>
      </c>
      <c r="U12" s="198" t="e">
        <f ca="1">MAX(OFFSET(INDEX(tab_transfert200[Connecteur 8],1),COUNT(tab_transfert200[Connecteur 8])-30,0,30))+U$2+U$3</f>
        <v>#REF!</v>
      </c>
      <c r="V12" s="198" t="e">
        <f ca="1">MAX(OFFSET(INDEX(tab_transfert200[Connecteur 9],1),COUNT(tab_transfert200[Connecteur 9])-30,0,30))+V$2+V$3</f>
        <v>#REF!</v>
      </c>
      <c r="W12" s="200" t="e">
        <f ca="1">MAX(N12:V12)</f>
        <v>#REF!</v>
      </c>
      <c r="Z12" s="23"/>
    </row>
    <row r="13" spans="1:29" ht="15" customHeight="1" x14ac:dyDescent="0.25">
      <c r="A13" s="23"/>
      <c r="B13"/>
      <c r="C13"/>
      <c r="D13"/>
      <c r="E13"/>
      <c r="F13"/>
      <c r="G13"/>
      <c r="H13"/>
      <c r="I13"/>
      <c r="J13"/>
      <c r="K13" s="204"/>
      <c r="M13" s="199" t="s">
        <v>93</v>
      </c>
      <c r="N13" s="198" t="e">
        <f ca="1">MIN(OFFSET(INDEX(tab_transfert200[Connecteur 1],1),COUNT(tab_transfert200[Connecteur 1])-30,0,30))+N$2+N$3</f>
        <v>#REF!</v>
      </c>
      <c r="O13" s="198" t="e">
        <f ca="1">MIN(OFFSET(INDEX(tab_transfert200[Connecteur 2],1),COUNT(tab_transfert200[Connecteur 2])-30,0,30))+O$2+O$3</f>
        <v>#REF!</v>
      </c>
      <c r="P13" s="198" t="e">
        <f ca="1">MIN(OFFSET(INDEX(tab_transfert200[Connecteur 3],1),COUNT(tab_transfert200[Connecteur 3])-30,0,30))+P$2+P$3</f>
        <v>#REF!</v>
      </c>
      <c r="Q13" s="198" t="e">
        <f ca="1">MIN(OFFSET(INDEX(tab_transfert200[Connecteur 4],1),COUNT(tab_transfert200[Connecteur 4])-30,0,30))+Q$2+Q$3</f>
        <v>#REF!</v>
      </c>
      <c r="R13" s="198" t="e">
        <f ca="1">MIN(OFFSET(INDEX(tab_transfert200[Connecteur 5],1),COUNT(tab_transfert200[Connecteur 5])-30,0,30))+R$2+R$3</f>
        <v>#REF!</v>
      </c>
      <c r="S13" s="198" t="e">
        <f ca="1">MIN(OFFSET(INDEX(tab_transfert200[Connecteur 6],1),COUNT(tab_transfert200[Connecteur 6])-30,0,30))+S$2+S$3</f>
        <v>#REF!</v>
      </c>
      <c r="T13" s="198" t="e">
        <f ca="1">MIN(OFFSET(INDEX(tab_transfert200[Connecteur 7],1),COUNT(tab_transfert200[Connecteur 7])-30,0,30))+T$2+T$3</f>
        <v>#REF!</v>
      </c>
      <c r="U13" s="198" t="e">
        <f ca="1">MIN(OFFSET(INDEX(tab_transfert200[Connecteur 8],1),COUNT(tab_transfert200[Connecteur 8])-30,0,30))+U$2+U$3</f>
        <v>#REF!</v>
      </c>
      <c r="V13" s="198" t="e">
        <f ca="1">MIN(OFFSET(INDEX(tab_transfert200[Connecteur 9],1),COUNT(tab_transfert200[Connecteur 9])-30,0,30))+V$2+V$3</f>
        <v>#REF!</v>
      </c>
      <c r="W13" s="200" t="e">
        <f ca="1">MIN(N13:V13)</f>
        <v>#REF!</v>
      </c>
      <c r="Z13" s="23"/>
    </row>
    <row r="14" spans="1:29" ht="15" customHeight="1" x14ac:dyDescent="0.25">
      <c r="A14" s="23"/>
      <c r="B14"/>
      <c r="C14"/>
      <c r="D14"/>
      <c r="E14"/>
      <c r="F14"/>
      <c r="G14"/>
      <c r="H14"/>
      <c r="I14"/>
      <c r="J14"/>
      <c r="K14" s="204"/>
      <c r="M14" s="199" t="s">
        <v>95</v>
      </c>
      <c r="N14" s="198" t="e">
        <f ca="1">AVERAGE(OFFSET(INDEX(tab_transfert200[Connecteur 1],1),COUNT(tab_transfert200[Connecteur 1])-30,0,30))+N$2+N$3</f>
        <v>#REF!</v>
      </c>
      <c r="O14" s="198" t="e">
        <f ca="1">AVERAGE(OFFSET(INDEX(tab_transfert200[Connecteur 2],1),COUNT(tab_transfert200[Connecteur 2])-30,0,30))+O$2+O$3</f>
        <v>#REF!</v>
      </c>
      <c r="P14" s="198" t="e">
        <f ca="1">AVERAGE(OFFSET(INDEX(tab_transfert200[Connecteur 3],1),COUNT(tab_transfert200[Connecteur 3])-30,0,30))+P$2+P$3</f>
        <v>#REF!</v>
      </c>
      <c r="Q14" s="198" t="e">
        <f ca="1">AVERAGE(OFFSET(INDEX(tab_transfert200[Connecteur 4],1),COUNT(tab_transfert200[Connecteur 4])-30,0,30))+Q$2+Q$3</f>
        <v>#REF!</v>
      </c>
      <c r="R14" s="198" t="e">
        <f ca="1">AVERAGE(OFFSET(INDEX(tab_transfert200[Connecteur 5],1),COUNT(tab_transfert200[Connecteur 5])-30,0,30))+R$2+R$3</f>
        <v>#REF!</v>
      </c>
      <c r="S14" s="198" t="e">
        <f ca="1">AVERAGE(OFFSET(INDEX(tab_transfert200[Connecteur 6],1),COUNT(tab_transfert200[Connecteur 6])-30,0,30))+S$2+S$3</f>
        <v>#REF!</v>
      </c>
      <c r="T14" s="198" t="e">
        <f ca="1">AVERAGE(OFFSET(INDEX(tab_transfert200[Connecteur 7],1),COUNT(tab_transfert200[Connecteur 7])-30,0,30))+T$2+T$3</f>
        <v>#REF!</v>
      </c>
      <c r="U14" s="198" t="e">
        <f ca="1">AVERAGE(OFFSET(INDEX(tab_transfert200[Connecteur 8],1),COUNT(tab_transfert200[Connecteur 8])-30,0,30))+U$2+U$3</f>
        <v>#REF!</v>
      </c>
      <c r="V14" s="198" t="e">
        <f ca="1">AVERAGE(OFFSET(INDEX(tab_transfert200[Connecteur 9],1),COUNT(tab_transfert200[Connecteur 9])-30,0,30))+V$2+V$3</f>
        <v>#REF!</v>
      </c>
      <c r="W14" s="27"/>
      <c r="Z14" s="23"/>
    </row>
    <row r="15" spans="1:29" ht="15" customHeight="1" x14ac:dyDescent="0.25">
      <c r="A15" s="23"/>
      <c r="B15"/>
      <c r="C15"/>
      <c r="D15"/>
      <c r="E15"/>
      <c r="F15"/>
      <c r="G15"/>
      <c r="H15"/>
      <c r="I15"/>
      <c r="J15"/>
      <c r="K15" s="204"/>
      <c r="M15" s="91" t="s">
        <v>96</v>
      </c>
      <c r="N15" s="43" t="e">
        <f ca="1">N12-N13</f>
        <v>#REF!</v>
      </c>
      <c r="O15" s="43" t="e">
        <f t="shared" ref="O15:V15" ca="1" si="0">O12-O13</f>
        <v>#REF!</v>
      </c>
      <c r="P15" s="43" t="e">
        <f t="shared" ca="1" si="0"/>
        <v>#REF!</v>
      </c>
      <c r="Q15" s="43" t="e">
        <f t="shared" ca="1" si="0"/>
        <v>#REF!</v>
      </c>
      <c r="R15" s="43" t="e">
        <f t="shared" ca="1" si="0"/>
        <v>#REF!</v>
      </c>
      <c r="S15" s="43" t="e">
        <f t="shared" ca="1" si="0"/>
        <v>#REF!</v>
      </c>
      <c r="T15" s="43" t="e">
        <f t="shared" ca="1" si="0"/>
        <v>#REF!</v>
      </c>
      <c r="U15" s="43" t="e">
        <f t="shared" ca="1" si="0"/>
        <v>#REF!</v>
      </c>
      <c r="V15" s="43" t="e">
        <f t="shared" ca="1" si="0"/>
        <v>#REF!</v>
      </c>
      <c r="W15" s="27"/>
      <c r="Z15" s="23"/>
    </row>
    <row r="16" spans="1:29" ht="15" customHeight="1" x14ac:dyDescent="0.25">
      <c r="A16" s="23"/>
      <c r="B16"/>
      <c r="C16"/>
      <c r="D16"/>
      <c r="E16"/>
      <c r="F16"/>
      <c r="G16"/>
      <c r="H16"/>
      <c r="I16"/>
      <c r="J16"/>
      <c r="K16" s="204"/>
      <c r="M16" s="91" t="s">
        <v>97</v>
      </c>
      <c r="N16" s="376" t="e">
        <f ca="1">ABS(MAX(N12:V12) - MIN(N13:V13))</f>
        <v>#REF!</v>
      </c>
      <c r="O16" s="376"/>
      <c r="P16" s="376"/>
      <c r="Q16" s="376"/>
      <c r="R16" s="376"/>
      <c r="S16" s="376"/>
      <c r="T16" s="376"/>
      <c r="U16" s="376"/>
      <c r="V16" s="376"/>
      <c r="W16" s="44" t="e">
        <f ca="1">N16</f>
        <v>#REF!</v>
      </c>
      <c r="Z16" s="23"/>
    </row>
    <row r="17" spans="1:26" ht="15" customHeight="1" x14ac:dyDescent="0.25">
      <c r="A17" s="23"/>
      <c r="B17"/>
      <c r="C17"/>
      <c r="D17"/>
      <c r="E17"/>
      <c r="F17"/>
      <c r="G17"/>
      <c r="H17"/>
      <c r="I17"/>
      <c r="J17"/>
      <c r="K17" s="204"/>
      <c r="M17" s="91" t="s">
        <v>98</v>
      </c>
      <c r="N17" s="376" t="e">
        <f ca="1">AVERAGE(N14:V14)</f>
        <v>#REF!</v>
      </c>
      <c r="O17" s="376"/>
      <c r="P17" s="376"/>
      <c r="Q17" s="376"/>
      <c r="R17" s="376"/>
      <c r="S17" s="376"/>
      <c r="T17" s="376"/>
      <c r="U17" s="376"/>
      <c r="V17" s="376"/>
      <c r="W17" s="44" t="e">
        <f ca="1">N17</f>
        <v>#REF!</v>
      </c>
      <c r="Z17" s="23"/>
    </row>
    <row r="18" spans="1:26" ht="15" customHeight="1" x14ac:dyDescent="0.25">
      <c r="A18" s="23"/>
      <c r="B18"/>
      <c r="C18"/>
      <c r="D18"/>
      <c r="E18"/>
      <c r="F18"/>
      <c r="G18"/>
      <c r="H18"/>
      <c r="I18"/>
      <c r="J18"/>
      <c r="K18" s="204"/>
      <c r="M18" s="196" t="s">
        <v>326</v>
      </c>
      <c r="N18" s="35" t="str" cm="1">
        <f t="array" ref="N18:V18">tab_transfert200[[#Headers],[Connecteur 1]:[Connecteur 9]]</f>
        <v>Connecteur 1</v>
      </c>
      <c r="O18" s="35" t="str">
        <v>Connecteur 2</v>
      </c>
      <c r="P18" s="35" t="str">
        <v>Connecteur 3</v>
      </c>
      <c r="Q18" s="35" t="str">
        <v>Connecteur 4</v>
      </c>
      <c r="R18" s="35" t="str">
        <v>Connecteur 5</v>
      </c>
      <c r="S18" s="35" t="str">
        <v>Connecteur 6</v>
      </c>
      <c r="T18" s="35" t="str">
        <v>Connecteur 7</v>
      </c>
      <c r="U18" s="35" t="str">
        <v>Connecteur 8</v>
      </c>
      <c r="V18" s="35" t="str">
        <v>Connecteur 9</v>
      </c>
      <c r="W18" s="27"/>
      <c r="Z18" s="23"/>
    </row>
    <row r="19" spans="1:26" ht="15" customHeight="1" x14ac:dyDescent="0.25">
      <c r="A19" s="23"/>
      <c r="B19"/>
      <c r="C19"/>
      <c r="D19"/>
      <c r="E19"/>
      <c r="F19"/>
      <c r="G19"/>
      <c r="H19"/>
      <c r="I19"/>
      <c r="J19"/>
      <c r="K19" s="204"/>
      <c r="M19" s="193" t="s">
        <v>325</v>
      </c>
      <c r="N19" s="195" t="e">
        <f ca="1">_xlfn.STDEV.S(OFFSET(INDEX(tab_transfert200[Connecteur 1],1),COUNT(tab_transfert200[Connecteur 1])-30,0,30))</f>
        <v>#REF!</v>
      </c>
      <c r="O19" s="195" t="e">
        <f ca="1">_xlfn.STDEV.S(OFFSET(INDEX(tab_transfert200[Connecteur 2],1),COUNT(tab_transfert200[Connecteur 2])-30,0,30))</f>
        <v>#REF!</v>
      </c>
      <c r="P19" s="195" t="e">
        <f ca="1">_xlfn.STDEV.S(OFFSET(INDEX(tab_transfert200[Connecteur 3],1),COUNT(tab_transfert200[Connecteur 3])-30,0,30))</f>
        <v>#REF!</v>
      </c>
      <c r="Q19" s="195" t="e">
        <f ca="1">_xlfn.STDEV.S(OFFSET(INDEX(tab_transfert200[Connecteur 4],1),COUNT(tab_transfert200[Connecteur 4])-30,0,30))</f>
        <v>#REF!</v>
      </c>
      <c r="R19" s="195" t="e">
        <f ca="1">_xlfn.STDEV.S(OFFSET(INDEX(tab_transfert200[Connecteur 5],1),COUNT(tab_transfert200[Connecteur 5])-30,0,30))</f>
        <v>#REF!</v>
      </c>
      <c r="S19" s="195" t="e">
        <f ca="1">_xlfn.STDEV.S(OFFSET(INDEX(tab_transfert200[Connecteur 6],1),COUNT(tab_transfert200[Connecteur 6])-30,0,30))</f>
        <v>#REF!</v>
      </c>
      <c r="T19" s="195" t="e">
        <f ca="1">_xlfn.STDEV.S(OFFSET(INDEX(tab_transfert200[Connecteur 7],1),COUNT(tab_transfert200[Connecteur 7])-30,0,30))</f>
        <v>#REF!</v>
      </c>
      <c r="U19" s="195" t="e">
        <f ca="1">_xlfn.STDEV.S(OFFSET(INDEX(tab_transfert200[Connecteur 8],1),COUNT(tab_transfert200[Connecteur 8])-30,0,30))</f>
        <v>#REF!</v>
      </c>
      <c r="V19" s="195" t="e">
        <f ca="1">_xlfn.STDEV.S(OFFSET(INDEX(tab_transfert200[Connecteur 9],1),COUNT(tab_transfert200[Connecteur 9])-30,0,30))</f>
        <v>#REF!</v>
      </c>
      <c r="W19" s="194" t="e">
        <f ca="1">MAX(N19:V19)</f>
        <v>#REF!</v>
      </c>
      <c r="Z19" s="23"/>
    </row>
    <row r="20" spans="1:26" ht="15" customHeight="1" x14ac:dyDescent="0.25">
      <c r="A20" s="23"/>
      <c r="B20"/>
      <c r="C20"/>
      <c r="D20"/>
      <c r="E20"/>
      <c r="F20"/>
      <c r="G20"/>
      <c r="H20"/>
      <c r="I20"/>
      <c r="J20"/>
      <c r="K20" s="204"/>
      <c r="N20" s="27"/>
      <c r="O20" s="27"/>
      <c r="P20" s="27"/>
      <c r="Q20" s="27"/>
      <c r="R20" s="27"/>
      <c r="S20" s="27"/>
      <c r="T20" s="27"/>
      <c r="U20" s="27"/>
      <c r="V20" s="27"/>
      <c r="W20" s="27"/>
      <c r="Z20" s="23"/>
    </row>
    <row r="21" spans="1:26" ht="15" customHeight="1" x14ac:dyDescent="0.25">
      <c r="A21" s="23"/>
      <c r="B21"/>
      <c r="C21"/>
      <c r="D21"/>
      <c r="E21"/>
      <c r="F21"/>
      <c r="G21"/>
      <c r="H21"/>
      <c r="I21"/>
      <c r="J21"/>
      <c r="K21" s="204"/>
      <c r="M21" s="193" t="s">
        <v>324</v>
      </c>
      <c r="N21" s="192" t="e">
        <f ca="1">W12-(OFFSET(INDEX(tab_four200[Consigne T°],1),COUNT(tab_four200[Consigne T°])-30,0,1))</f>
        <v>#REF!</v>
      </c>
      <c r="O21" s="27"/>
      <c r="P21" s="27"/>
      <c r="Q21" s="27"/>
      <c r="R21" s="27"/>
      <c r="S21" s="27"/>
      <c r="T21" s="27"/>
      <c r="U21" s="27"/>
      <c r="V21" s="27"/>
      <c r="W21" s="27"/>
      <c r="Z21" s="23"/>
    </row>
    <row r="22" spans="1:26" ht="15" customHeight="1" x14ac:dyDescent="0.25">
      <c r="A22" s="23"/>
      <c r="B22"/>
      <c r="C22"/>
      <c r="D22"/>
      <c r="E22"/>
      <c r="F22"/>
      <c r="G22"/>
      <c r="H22"/>
      <c r="I22"/>
      <c r="J22"/>
      <c r="K22" s="204"/>
      <c r="M22" s="193" t="s">
        <v>323</v>
      </c>
      <c r="N22" s="192" t="e">
        <f ca="1">W13-(OFFSET(INDEX(tab_four200[Consigne T°],1),COUNT(tab_four200[Consigne T°])-30,0,1))</f>
        <v>#REF!</v>
      </c>
      <c r="O22" s="27"/>
      <c r="P22" s="27"/>
      <c r="Q22" s="27"/>
      <c r="R22" s="27"/>
      <c r="S22" s="27"/>
      <c r="T22" s="27"/>
      <c r="U22" s="27"/>
      <c r="V22" s="27"/>
      <c r="W22" s="27"/>
      <c r="Z22" s="23"/>
    </row>
    <row r="23" spans="1:26" ht="15" customHeight="1" x14ac:dyDescent="0.25">
      <c r="A23" s="23"/>
      <c r="B23"/>
      <c r="C23"/>
      <c r="D23"/>
      <c r="E23"/>
      <c r="F23"/>
      <c r="G23"/>
      <c r="H23"/>
      <c r="I23"/>
      <c r="J23"/>
      <c r="K23" s="204"/>
      <c r="N23" s="27"/>
      <c r="O23" s="27"/>
      <c r="P23" s="27"/>
      <c r="Q23" s="27"/>
      <c r="R23" s="27"/>
      <c r="S23" s="27"/>
      <c r="T23" s="27"/>
      <c r="U23" s="27"/>
      <c r="V23" s="27"/>
      <c r="W23" s="27"/>
      <c r="Z23" s="23"/>
    </row>
    <row r="24" spans="1:26" ht="15" customHeight="1" x14ac:dyDescent="0.25">
      <c r="A24" s="23"/>
      <c r="B24"/>
      <c r="C24"/>
      <c r="D24"/>
      <c r="E24"/>
      <c r="F24"/>
      <c r="G24"/>
      <c r="H24"/>
      <c r="I24"/>
      <c r="J24"/>
      <c r="K24" s="204"/>
      <c r="Z24" s="23"/>
    </row>
    <row r="25" spans="1:26" ht="15" customHeight="1" x14ac:dyDescent="0.25">
      <c r="A25" s="23"/>
      <c r="B25"/>
      <c r="C25"/>
      <c r="D25"/>
      <c r="E25"/>
      <c r="F25"/>
      <c r="G25"/>
      <c r="H25"/>
      <c r="I25"/>
      <c r="J25"/>
      <c r="K25" s="204"/>
      <c r="Z25" s="23"/>
    </row>
    <row r="26" spans="1:26" ht="15" customHeight="1" x14ac:dyDescent="0.25">
      <c r="A26" s="23"/>
      <c r="B26"/>
      <c r="C26"/>
      <c r="D26"/>
      <c r="E26"/>
      <c r="F26"/>
      <c r="G26"/>
      <c r="H26"/>
      <c r="I26"/>
      <c r="J26"/>
      <c r="K26" s="204"/>
      <c r="Z26" s="23"/>
    </row>
    <row r="27" spans="1:26" ht="15" customHeight="1" x14ac:dyDescent="0.25">
      <c r="A27" s="23"/>
      <c r="B27"/>
      <c r="C27"/>
      <c r="D27"/>
      <c r="E27"/>
      <c r="F27"/>
      <c r="G27"/>
      <c r="H27"/>
      <c r="I27"/>
      <c r="J27"/>
      <c r="K27" s="204"/>
      <c r="Z27" s="23"/>
    </row>
    <row r="28" spans="1:26" ht="15" customHeight="1" x14ac:dyDescent="0.25">
      <c r="A28" s="23"/>
      <c r="B28"/>
      <c r="C28"/>
      <c r="D28"/>
      <c r="E28"/>
      <c r="F28"/>
      <c r="G28"/>
      <c r="H28"/>
      <c r="I28"/>
      <c r="J28"/>
      <c r="K28" s="204"/>
      <c r="Z28" s="23"/>
    </row>
    <row r="29" spans="1:26" ht="15" customHeight="1" x14ac:dyDescent="0.25">
      <c r="A29" s="23"/>
      <c r="B29"/>
      <c r="C29"/>
      <c r="D29"/>
      <c r="E29"/>
      <c r="F29"/>
      <c r="G29"/>
      <c r="H29"/>
      <c r="I29"/>
      <c r="J29"/>
      <c r="K29" s="204"/>
      <c r="Z29" s="23"/>
    </row>
    <row r="30" spans="1:26" ht="15" customHeight="1" x14ac:dyDescent="0.25">
      <c r="A30" s="23"/>
      <c r="B30"/>
      <c r="C30"/>
      <c r="D30"/>
      <c r="E30"/>
      <c r="F30"/>
      <c r="G30"/>
      <c r="H30"/>
      <c r="I30"/>
      <c r="J30"/>
      <c r="K30" s="204"/>
      <c r="Z30" s="23"/>
    </row>
    <row r="31" spans="1:26" ht="15" customHeight="1" x14ac:dyDescent="0.25">
      <c r="A31" s="23"/>
      <c r="B31"/>
      <c r="C31"/>
      <c r="D31"/>
      <c r="E31"/>
      <c r="F31"/>
      <c r="G31"/>
      <c r="H31"/>
      <c r="I31"/>
      <c r="J31"/>
      <c r="K31" s="204"/>
      <c r="Z31" s="23"/>
    </row>
    <row r="32" spans="1:26" ht="15" customHeight="1" x14ac:dyDescent="0.25">
      <c r="A32" s="23"/>
      <c r="B32"/>
      <c r="C32"/>
      <c r="D32"/>
      <c r="E32"/>
      <c r="F32"/>
      <c r="G32"/>
      <c r="H32"/>
      <c r="I32"/>
      <c r="J32"/>
      <c r="K32" s="204"/>
      <c r="Z32" s="23"/>
    </row>
    <row r="33" spans="1:26" ht="15" customHeight="1" x14ac:dyDescent="0.25">
      <c r="A33" s="23"/>
      <c r="B33"/>
      <c r="C33"/>
      <c r="D33"/>
      <c r="E33"/>
      <c r="F33"/>
      <c r="G33"/>
      <c r="H33"/>
      <c r="I33"/>
      <c r="J33"/>
      <c r="K33" s="204"/>
      <c r="Z33" s="23"/>
    </row>
    <row r="34" spans="1:26" ht="15" customHeight="1" x14ac:dyDescent="0.25">
      <c r="A34" s="23"/>
      <c r="B34"/>
      <c r="C34"/>
      <c r="D34"/>
      <c r="E34"/>
      <c r="F34"/>
      <c r="G34"/>
      <c r="H34"/>
      <c r="I34"/>
      <c r="J34"/>
      <c r="K34" s="204"/>
      <c r="Z34" s="23"/>
    </row>
    <row r="35" spans="1:26" ht="15" customHeight="1" x14ac:dyDescent="0.25">
      <c r="A35" s="23"/>
      <c r="B35"/>
      <c r="C35"/>
      <c r="D35"/>
      <c r="E35"/>
      <c r="F35"/>
      <c r="G35"/>
      <c r="H35"/>
      <c r="I35"/>
      <c r="J35"/>
      <c r="K35" s="204"/>
      <c r="Z35" s="23"/>
    </row>
    <row r="36" spans="1:26" ht="15" customHeight="1" x14ac:dyDescent="0.25">
      <c r="A36" s="23"/>
      <c r="B36"/>
      <c r="C36"/>
      <c r="D36"/>
      <c r="E36"/>
      <c r="F36"/>
      <c r="G36"/>
      <c r="H36"/>
      <c r="I36"/>
      <c r="J36"/>
      <c r="K36" s="204"/>
      <c r="Z36" s="23"/>
    </row>
    <row r="37" spans="1:26" ht="15" customHeight="1" x14ac:dyDescent="0.25">
      <c r="A37" s="23"/>
      <c r="B37"/>
      <c r="C37"/>
      <c r="D37"/>
      <c r="E37"/>
      <c r="F37"/>
      <c r="G37"/>
      <c r="H37"/>
      <c r="I37"/>
      <c r="J37"/>
      <c r="K37" s="204"/>
      <c r="Z37" s="23"/>
    </row>
    <row r="38" spans="1:26" ht="15" customHeight="1" x14ac:dyDescent="0.25">
      <c r="A38" s="23"/>
      <c r="B38"/>
      <c r="C38"/>
      <c r="D38"/>
      <c r="E38"/>
      <c r="F38"/>
      <c r="G38"/>
      <c r="H38"/>
      <c r="I38"/>
      <c r="J38"/>
      <c r="K38" s="204"/>
      <c r="Z38" s="23"/>
    </row>
    <row r="39" spans="1:26" ht="15" customHeight="1" x14ac:dyDescent="0.25">
      <c r="A39" s="23"/>
      <c r="B39"/>
      <c r="C39"/>
      <c r="D39"/>
      <c r="E39"/>
      <c r="F39"/>
      <c r="G39"/>
      <c r="H39"/>
      <c r="I39"/>
      <c r="J39"/>
      <c r="K39" s="204"/>
      <c r="Z39" s="23"/>
    </row>
    <row r="40" spans="1:26" ht="15" customHeight="1" x14ac:dyDescent="0.25">
      <c r="A40" s="23"/>
      <c r="B40"/>
      <c r="C40"/>
      <c r="D40"/>
      <c r="E40"/>
      <c r="F40"/>
      <c r="G40"/>
      <c r="H40"/>
      <c r="I40"/>
      <c r="J40"/>
      <c r="K40" s="204"/>
      <c r="Z40" s="23"/>
    </row>
    <row r="41" spans="1:26" ht="15" customHeight="1" x14ac:dyDescent="0.25">
      <c r="A41" s="23"/>
      <c r="B41"/>
      <c r="C41"/>
      <c r="D41"/>
      <c r="E41"/>
      <c r="F41"/>
      <c r="G41"/>
      <c r="H41"/>
      <c r="I41"/>
      <c r="J41"/>
      <c r="K41" s="204"/>
      <c r="Z41" s="23"/>
    </row>
    <row r="42" spans="1:26" ht="15" customHeight="1" x14ac:dyDescent="0.25">
      <c r="A42" s="23"/>
      <c r="B42"/>
      <c r="C42"/>
      <c r="D42"/>
      <c r="E42"/>
      <c r="F42"/>
      <c r="G42"/>
      <c r="H42"/>
      <c r="I42"/>
      <c r="J42"/>
      <c r="K42" s="204"/>
      <c r="Z42" s="23"/>
    </row>
    <row r="43" spans="1:26" ht="15" customHeight="1" x14ac:dyDescent="0.25">
      <c r="A43" s="23"/>
      <c r="B43"/>
      <c r="C43"/>
      <c r="D43"/>
      <c r="E43"/>
      <c r="F43"/>
      <c r="G43"/>
      <c r="H43"/>
      <c r="I43"/>
      <c r="J43"/>
      <c r="K43" s="204"/>
      <c r="Z43" s="23"/>
    </row>
    <row r="44" spans="1:26" ht="15" customHeight="1" x14ac:dyDescent="0.25">
      <c r="A44" s="23"/>
      <c r="B44"/>
      <c r="C44"/>
      <c r="D44"/>
      <c r="E44"/>
      <c r="F44"/>
      <c r="G44"/>
      <c r="H44"/>
      <c r="I44"/>
      <c r="J44"/>
      <c r="K44" s="204"/>
      <c r="Z44" s="23"/>
    </row>
    <row r="45" spans="1:26" ht="15" customHeight="1" x14ac:dyDescent="0.25">
      <c r="A45" s="23"/>
      <c r="B45"/>
      <c r="C45"/>
      <c r="D45"/>
      <c r="E45"/>
      <c r="F45"/>
      <c r="G45"/>
      <c r="H45"/>
      <c r="I45"/>
      <c r="J45"/>
      <c r="K45" s="204"/>
      <c r="Z45" s="23"/>
    </row>
    <row r="46" spans="1:26" ht="15" customHeight="1" x14ac:dyDescent="0.25">
      <c r="A46" s="23"/>
      <c r="B46"/>
      <c r="C46"/>
      <c r="D46"/>
      <c r="E46"/>
      <c r="F46"/>
      <c r="G46"/>
      <c r="H46"/>
      <c r="I46"/>
      <c r="J46"/>
      <c r="K46" s="204"/>
      <c r="Z46" s="23"/>
    </row>
    <row r="47" spans="1:26" ht="15" customHeight="1" x14ac:dyDescent="0.25">
      <c r="A47" s="23"/>
      <c r="B47"/>
      <c r="C47"/>
      <c r="D47"/>
      <c r="E47"/>
      <c r="F47"/>
      <c r="G47"/>
      <c r="H47"/>
      <c r="I47"/>
      <c r="J47"/>
      <c r="K47" s="204"/>
      <c r="Z47" s="23"/>
    </row>
    <row r="48" spans="1:26" ht="15" customHeight="1" x14ac:dyDescent="0.25">
      <c r="A48" s="23"/>
      <c r="B48"/>
      <c r="C48"/>
      <c r="D48"/>
      <c r="E48"/>
      <c r="F48"/>
      <c r="G48"/>
      <c r="H48"/>
      <c r="I48"/>
      <c r="J48"/>
      <c r="K48" s="204"/>
      <c r="Z48" s="23"/>
    </row>
    <row r="49" spans="1:26" ht="15" customHeight="1" x14ac:dyDescent="0.25">
      <c r="A49" s="23"/>
      <c r="B49"/>
      <c r="C49"/>
      <c r="D49"/>
      <c r="E49"/>
      <c r="F49"/>
      <c r="G49"/>
      <c r="H49"/>
      <c r="I49"/>
      <c r="J49"/>
      <c r="K49" s="204"/>
      <c r="Z49" s="23"/>
    </row>
    <row r="50" spans="1:26" ht="15" customHeight="1" x14ac:dyDescent="0.25">
      <c r="A50" s="23"/>
      <c r="B50"/>
      <c r="C50"/>
      <c r="D50"/>
      <c r="E50"/>
      <c r="F50"/>
      <c r="G50"/>
      <c r="H50"/>
      <c r="I50"/>
      <c r="J50"/>
      <c r="K50" s="204"/>
      <c r="Z50" s="23"/>
    </row>
    <row r="51" spans="1:26" ht="15" customHeight="1" x14ac:dyDescent="0.25">
      <c r="A51" s="23"/>
      <c r="B51"/>
      <c r="C51"/>
      <c r="D51"/>
      <c r="E51"/>
      <c r="F51"/>
      <c r="G51"/>
      <c r="H51"/>
      <c r="I51"/>
      <c r="J51"/>
      <c r="K51" s="204"/>
      <c r="Z51" s="23"/>
    </row>
    <row r="52" spans="1:26" ht="15" customHeight="1" x14ac:dyDescent="0.25">
      <c r="A52" s="23"/>
      <c r="B52"/>
      <c r="C52"/>
      <c r="D52"/>
      <c r="E52"/>
      <c r="F52"/>
      <c r="G52"/>
      <c r="H52"/>
      <c r="I52"/>
      <c r="J52"/>
      <c r="K52" s="204"/>
      <c r="Z52" s="23"/>
    </row>
    <row r="53" spans="1:26" ht="15" customHeight="1" x14ac:dyDescent="0.25">
      <c r="A53" s="23"/>
      <c r="B53"/>
      <c r="C53"/>
      <c r="D53"/>
      <c r="E53"/>
      <c r="F53"/>
      <c r="G53"/>
      <c r="H53"/>
      <c r="I53"/>
      <c r="J53"/>
      <c r="K53" s="204"/>
      <c r="Z53" s="23"/>
    </row>
    <row r="54" spans="1:26" ht="15" customHeight="1" x14ac:dyDescent="0.25">
      <c r="A54" s="23"/>
      <c r="B54"/>
      <c r="C54"/>
      <c r="D54"/>
      <c r="E54"/>
      <c r="F54"/>
      <c r="G54"/>
      <c r="H54"/>
      <c r="I54"/>
      <c r="J54"/>
      <c r="K54" s="204"/>
      <c r="Z54" s="23"/>
    </row>
    <row r="55" spans="1:26" ht="15" customHeight="1" x14ac:dyDescent="0.25">
      <c r="A55" s="23"/>
      <c r="B55"/>
      <c r="C55"/>
      <c r="D55"/>
      <c r="E55"/>
      <c r="F55"/>
      <c r="G55"/>
      <c r="H55"/>
      <c r="I55"/>
      <c r="J55"/>
      <c r="K55" s="204"/>
      <c r="Z55" s="23"/>
    </row>
    <row r="56" spans="1:26" ht="15" customHeight="1" x14ac:dyDescent="0.25">
      <c r="A56" s="23"/>
      <c r="B56"/>
      <c r="C56"/>
      <c r="D56"/>
      <c r="E56"/>
      <c r="F56"/>
      <c r="G56"/>
      <c r="H56"/>
      <c r="I56"/>
      <c r="J56"/>
      <c r="K56" s="204"/>
      <c r="Z56" s="23"/>
    </row>
    <row r="57" spans="1:26" ht="15" customHeight="1" x14ac:dyDescent="0.25">
      <c r="A57" s="23"/>
      <c r="B57"/>
      <c r="C57"/>
      <c r="D57"/>
      <c r="E57"/>
      <c r="F57"/>
      <c r="G57"/>
      <c r="H57"/>
      <c r="I57"/>
      <c r="J57"/>
      <c r="K57" s="204"/>
      <c r="Z57" s="23"/>
    </row>
    <row r="58" spans="1:26" ht="15" customHeight="1" x14ac:dyDescent="0.25">
      <c r="A58" s="23"/>
      <c r="B58"/>
      <c r="C58"/>
      <c r="D58"/>
      <c r="E58"/>
      <c r="F58"/>
      <c r="G58"/>
      <c r="H58"/>
      <c r="I58"/>
      <c r="J58"/>
      <c r="K58" s="204"/>
      <c r="Z58" s="23"/>
    </row>
    <row r="59" spans="1:26" ht="15" customHeight="1" x14ac:dyDescent="0.25">
      <c r="A59" s="23"/>
      <c r="B59"/>
      <c r="C59"/>
      <c r="D59"/>
      <c r="E59"/>
      <c r="F59"/>
      <c r="G59"/>
      <c r="H59"/>
      <c r="I59"/>
      <c r="J59"/>
      <c r="K59" s="204"/>
      <c r="Z59" s="23"/>
    </row>
    <row r="60" spans="1:26" ht="15" customHeight="1" x14ac:dyDescent="0.25">
      <c r="A60" s="23"/>
      <c r="B60"/>
      <c r="C60"/>
      <c r="D60"/>
      <c r="E60"/>
      <c r="F60"/>
      <c r="G60"/>
      <c r="H60"/>
      <c r="I60"/>
      <c r="J60"/>
      <c r="K60" s="204"/>
      <c r="Z60" s="23"/>
    </row>
    <row r="61" spans="1:26" ht="15" customHeight="1" x14ac:dyDescent="0.25">
      <c r="A61" s="23"/>
      <c r="B61"/>
      <c r="C61"/>
      <c r="D61"/>
      <c r="E61"/>
      <c r="F61"/>
      <c r="G61"/>
      <c r="H61"/>
      <c r="I61"/>
      <c r="J61"/>
      <c r="K61" s="204"/>
      <c r="Z61" s="23"/>
    </row>
    <row r="62" spans="1:26" ht="15" customHeight="1" x14ac:dyDescent="0.25">
      <c r="A62" s="23"/>
      <c r="B62"/>
      <c r="C62"/>
      <c r="D62"/>
      <c r="E62"/>
      <c r="F62"/>
      <c r="G62"/>
      <c r="H62"/>
      <c r="I62"/>
      <c r="J62"/>
      <c r="K62" s="204"/>
      <c r="Z62" s="23"/>
    </row>
    <row r="63" spans="1:26" ht="15" customHeight="1" x14ac:dyDescent="0.25">
      <c r="A63" s="23"/>
      <c r="B63"/>
      <c r="C63"/>
      <c r="D63"/>
      <c r="E63"/>
      <c r="F63"/>
      <c r="G63"/>
      <c r="H63"/>
      <c r="I63"/>
      <c r="J63"/>
      <c r="K63" s="204"/>
      <c r="Z63" s="23"/>
    </row>
    <row r="64" spans="1:26" ht="15" customHeight="1" x14ac:dyDescent="0.25">
      <c r="A64" s="23"/>
      <c r="B64"/>
      <c r="C64"/>
      <c r="D64"/>
      <c r="E64"/>
      <c r="F64"/>
      <c r="G64"/>
      <c r="H64"/>
      <c r="I64"/>
      <c r="J64"/>
      <c r="K64" s="204"/>
      <c r="Z64" s="23"/>
    </row>
    <row r="65" spans="1:26" ht="15" customHeight="1" x14ac:dyDescent="0.25">
      <c r="A65" s="23"/>
      <c r="B65"/>
      <c r="C65"/>
      <c r="D65"/>
      <c r="E65"/>
      <c r="F65"/>
      <c r="G65"/>
      <c r="H65"/>
      <c r="I65"/>
      <c r="J65"/>
      <c r="K65" s="204"/>
      <c r="Z65" s="23"/>
    </row>
    <row r="66" spans="1:26" ht="15" customHeight="1" x14ac:dyDescent="0.25">
      <c r="A66" s="23"/>
      <c r="B66"/>
      <c r="C66"/>
      <c r="D66"/>
      <c r="E66"/>
      <c r="F66"/>
      <c r="G66"/>
      <c r="H66"/>
      <c r="I66"/>
      <c r="J66"/>
      <c r="K66" s="204"/>
      <c r="Z66" s="23"/>
    </row>
    <row r="67" spans="1:26" ht="15" customHeight="1" x14ac:dyDescent="0.25">
      <c r="A67" s="23"/>
      <c r="B67"/>
      <c r="C67"/>
      <c r="D67"/>
      <c r="E67"/>
      <c r="F67"/>
      <c r="G67"/>
      <c r="H67"/>
      <c r="I67"/>
      <c r="J67"/>
      <c r="K67" s="204"/>
      <c r="Z67" s="23"/>
    </row>
    <row r="68" spans="1:26" ht="15" customHeight="1" x14ac:dyDescent="0.25">
      <c r="A68" s="23"/>
      <c r="B68"/>
      <c r="C68"/>
      <c r="D68"/>
      <c r="E68"/>
      <c r="F68"/>
      <c r="G68"/>
      <c r="H68"/>
      <c r="I68"/>
      <c r="J68"/>
      <c r="K68" s="204"/>
      <c r="Z68" s="23"/>
    </row>
    <row r="69" spans="1:26" ht="15" customHeight="1" x14ac:dyDescent="0.25">
      <c r="A69" s="23"/>
      <c r="B69"/>
      <c r="C69"/>
      <c r="D69"/>
      <c r="E69"/>
      <c r="F69"/>
      <c r="G69"/>
      <c r="H69"/>
      <c r="I69"/>
      <c r="J69"/>
      <c r="K69" s="204"/>
      <c r="Z69" s="23"/>
    </row>
    <row r="70" spans="1:26" ht="15" customHeight="1" x14ac:dyDescent="0.25">
      <c r="A70" s="23"/>
      <c r="B70"/>
      <c r="C70"/>
      <c r="D70"/>
      <c r="E70"/>
      <c r="F70"/>
      <c r="G70"/>
      <c r="H70"/>
      <c r="I70"/>
      <c r="J70"/>
      <c r="K70" s="204"/>
      <c r="Z70" s="23"/>
    </row>
    <row r="71" spans="1:26" ht="15" customHeight="1" x14ac:dyDescent="0.25">
      <c r="A71" s="23"/>
      <c r="B71"/>
      <c r="C71"/>
      <c r="D71"/>
      <c r="E71"/>
      <c r="F71"/>
      <c r="G71"/>
      <c r="H71"/>
      <c r="I71"/>
      <c r="J71"/>
      <c r="K71" s="204"/>
      <c r="Z71" s="23"/>
    </row>
    <row r="72" spans="1:26" ht="15" customHeight="1" x14ac:dyDescent="0.25">
      <c r="A72" s="23"/>
      <c r="B72"/>
      <c r="C72"/>
      <c r="D72"/>
      <c r="E72"/>
      <c r="F72"/>
      <c r="G72"/>
      <c r="H72"/>
      <c r="I72"/>
      <c r="J72"/>
      <c r="K72" s="204"/>
      <c r="Z72" s="23"/>
    </row>
    <row r="73" spans="1:26" ht="15" customHeight="1" x14ac:dyDescent="0.25">
      <c r="A73" s="23"/>
      <c r="B73"/>
      <c r="C73"/>
      <c r="D73"/>
      <c r="E73"/>
      <c r="F73"/>
      <c r="G73"/>
      <c r="H73"/>
      <c r="I73"/>
      <c r="J73"/>
      <c r="K73" s="204"/>
      <c r="Z73" s="23"/>
    </row>
    <row r="74" spans="1:26" ht="15" customHeight="1" x14ac:dyDescent="0.25">
      <c r="A74" s="23"/>
      <c r="B74"/>
      <c r="C74"/>
      <c r="D74"/>
      <c r="E74"/>
      <c r="F74"/>
      <c r="G74"/>
      <c r="H74"/>
      <c r="I74"/>
      <c r="J74"/>
      <c r="K74" s="204"/>
      <c r="Z74" s="23"/>
    </row>
    <row r="75" spans="1:26" ht="15" customHeight="1" x14ac:dyDescent="0.25">
      <c r="A75" s="23"/>
      <c r="B75"/>
      <c r="C75"/>
      <c r="D75"/>
      <c r="E75"/>
      <c r="F75"/>
      <c r="G75"/>
      <c r="H75"/>
      <c r="I75"/>
      <c r="J75"/>
      <c r="K75" s="204"/>
      <c r="Z75" s="23"/>
    </row>
    <row r="76" spans="1:26" ht="15" customHeight="1" x14ac:dyDescent="0.25">
      <c r="A76" s="23"/>
      <c r="B76"/>
      <c r="C76"/>
      <c r="D76"/>
      <c r="E76"/>
      <c r="F76"/>
      <c r="G76"/>
      <c r="H76"/>
      <c r="I76"/>
      <c r="J76"/>
      <c r="K76" s="204"/>
      <c r="Z76" s="23"/>
    </row>
    <row r="77" spans="1:26" ht="15" customHeight="1" x14ac:dyDescent="0.25">
      <c r="A77" s="23"/>
      <c r="B77"/>
      <c r="C77"/>
      <c r="D77"/>
      <c r="E77"/>
      <c r="F77"/>
      <c r="G77"/>
      <c r="H77"/>
      <c r="I77"/>
      <c r="J77"/>
      <c r="K77" s="204"/>
      <c r="Z77" s="23"/>
    </row>
    <row r="78" spans="1:26" ht="15" customHeight="1" x14ac:dyDescent="0.25">
      <c r="A78" s="23"/>
      <c r="B78"/>
      <c r="C78"/>
      <c r="D78"/>
      <c r="E78"/>
      <c r="F78"/>
      <c r="G78"/>
      <c r="H78"/>
      <c r="I78"/>
      <c r="J78"/>
      <c r="K78" s="204"/>
      <c r="Z78" s="23"/>
    </row>
    <row r="79" spans="1:26" ht="15" customHeight="1" x14ac:dyDescent="0.25">
      <c r="A79" s="23"/>
      <c r="B79"/>
      <c r="C79"/>
      <c r="D79"/>
      <c r="E79"/>
      <c r="F79"/>
      <c r="G79"/>
      <c r="H79"/>
      <c r="I79"/>
      <c r="J79"/>
      <c r="K79" s="204"/>
      <c r="Z79" s="23"/>
    </row>
    <row r="80" spans="1:26" ht="15" customHeight="1" x14ac:dyDescent="0.25">
      <c r="A80" s="23"/>
      <c r="B80"/>
      <c r="C80"/>
      <c r="D80"/>
      <c r="E80"/>
      <c r="F80"/>
      <c r="G80"/>
      <c r="H80"/>
      <c r="I80"/>
      <c r="J80"/>
      <c r="K80" s="204"/>
      <c r="Z80" s="23"/>
    </row>
    <row r="81" spans="1:26" ht="15" customHeight="1" x14ac:dyDescent="0.25">
      <c r="A81" s="23"/>
      <c r="B81"/>
      <c r="C81"/>
      <c r="D81"/>
      <c r="E81"/>
      <c r="F81"/>
      <c r="G81"/>
      <c r="H81"/>
      <c r="I81"/>
      <c r="J81"/>
      <c r="K81" s="204"/>
      <c r="Z81" s="23"/>
    </row>
    <row r="82" spans="1:26" ht="15" customHeight="1" x14ac:dyDescent="0.25">
      <c r="A82" s="23"/>
      <c r="B82"/>
      <c r="C82"/>
      <c r="D82"/>
      <c r="E82"/>
      <c r="F82"/>
      <c r="G82"/>
      <c r="H82"/>
      <c r="I82"/>
      <c r="J82"/>
      <c r="K82" s="204"/>
      <c r="Z82" s="23"/>
    </row>
    <row r="83" spans="1:26" ht="15" customHeight="1" x14ac:dyDescent="0.25">
      <c r="A83" s="23"/>
      <c r="B83"/>
      <c r="C83"/>
      <c r="D83"/>
      <c r="E83"/>
      <c r="F83"/>
      <c r="G83"/>
      <c r="H83"/>
      <c r="I83"/>
      <c r="J83"/>
      <c r="K83" s="204"/>
      <c r="Z83" s="23"/>
    </row>
    <row r="84" spans="1:26" ht="15" customHeight="1" x14ac:dyDescent="0.25">
      <c r="A84" s="23"/>
      <c r="B84"/>
      <c r="C84"/>
      <c r="D84"/>
      <c r="E84"/>
      <c r="F84"/>
      <c r="G84"/>
      <c r="H84"/>
      <c r="I84"/>
      <c r="J84"/>
      <c r="K84" s="204"/>
      <c r="Z84" s="23"/>
    </row>
    <row r="85" spans="1:26" ht="15" customHeight="1" x14ac:dyDescent="0.25">
      <c r="A85" s="23"/>
      <c r="B85"/>
      <c r="C85"/>
      <c r="D85"/>
      <c r="E85"/>
      <c r="F85"/>
      <c r="G85"/>
      <c r="H85"/>
      <c r="I85"/>
      <c r="J85"/>
      <c r="K85" s="204"/>
      <c r="Z85" s="23"/>
    </row>
    <row r="86" spans="1:26" ht="15" customHeight="1" x14ac:dyDescent="0.25">
      <c r="A86" s="23"/>
      <c r="B86"/>
      <c r="C86"/>
      <c r="D86"/>
      <c r="E86"/>
      <c r="F86"/>
      <c r="G86"/>
      <c r="H86"/>
      <c r="I86"/>
      <c r="J86"/>
      <c r="K86" s="204"/>
      <c r="Z86" s="23"/>
    </row>
    <row r="87" spans="1:26" ht="15" customHeight="1" x14ac:dyDescent="0.25">
      <c r="A87" s="23"/>
      <c r="B87"/>
      <c r="C87"/>
      <c r="D87"/>
      <c r="E87"/>
      <c r="F87"/>
      <c r="G87"/>
      <c r="H87"/>
      <c r="I87"/>
      <c r="J87"/>
      <c r="K87" s="204"/>
      <c r="Z87" s="23"/>
    </row>
    <row r="88" spans="1:26" ht="15" customHeight="1" x14ac:dyDescent="0.25">
      <c r="A88" s="23"/>
      <c r="B88"/>
      <c r="C88"/>
      <c r="D88"/>
      <c r="E88"/>
      <c r="F88"/>
      <c r="G88"/>
      <c r="H88"/>
      <c r="I88"/>
      <c r="J88"/>
      <c r="K88" s="204"/>
      <c r="Z88" s="23"/>
    </row>
    <row r="89" spans="1:26" ht="15" customHeight="1" x14ac:dyDescent="0.25">
      <c r="A89" s="23"/>
      <c r="B89"/>
      <c r="C89"/>
      <c r="D89"/>
      <c r="E89"/>
      <c r="F89"/>
      <c r="G89"/>
      <c r="H89"/>
      <c r="I89"/>
      <c r="J89"/>
      <c r="K89" s="204"/>
      <c r="Z89" s="23"/>
    </row>
    <row r="90" spans="1:26" ht="15" customHeight="1" x14ac:dyDescent="0.25">
      <c r="A90" s="23"/>
      <c r="B90"/>
      <c r="C90"/>
      <c r="D90"/>
      <c r="E90"/>
      <c r="F90"/>
      <c r="G90"/>
      <c r="H90"/>
      <c r="I90"/>
      <c r="J90"/>
      <c r="K90" s="204"/>
      <c r="Z90" s="23"/>
    </row>
    <row r="91" spans="1:26" ht="15" customHeight="1" x14ac:dyDescent="0.25">
      <c r="A91" s="23"/>
      <c r="B91"/>
      <c r="C91"/>
      <c r="D91"/>
      <c r="E91"/>
      <c r="F91"/>
      <c r="G91"/>
      <c r="H91"/>
      <c r="I91"/>
      <c r="J91"/>
      <c r="K91" s="204"/>
      <c r="Z91" s="23"/>
    </row>
    <row r="92" spans="1:26" ht="15" customHeight="1" x14ac:dyDescent="0.25">
      <c r="A92" s="23"/>
      <c r="B92"/>
      <c r="C92"/>
      <c r="D92"/>
      <c r="E92"/>
      <c r="F92"/>
      <c r="G92"/>
      <c r="H92"/>
      <c r="I92"/>
      <c r="J92"/>
      <c r="K92" s="204"/>
      <c r="Z92" s="23"/>
    </row>
    <row r="93" spans="1:26" ht="15" customHeight="1" x14ac:dyDescent="0.25">
      <c r="A93" s="23"/>
      <c r="B93"/>
      <c r="C93"/>
      <c r="D93"/>
      <c r="E93"/>
      <c r="F93"/>
      <c r="G93"/>
      <c r="H93"/>
      <c r="I93"/>
      <c r="J93"/>
      <c r="K93" s="204"/>
      <c r="Z93" s="23"/>
    </row>
    <row r="94" spans="1:26" ht="15" customHeight="1" x14ac:dyDescent="0.25">
      <c r="A94" s="23"/>
      <c r="B94"/>
      <c r="C94"/>
      <c r="D94"/>
      <c r="E94"/>
      <c r="F94"/>
      <c r="G94"/>
      <c r="H94"/>
      <c r="I94"/>
      <c r="J94"/>
      <c r="K94" s="204"/>
      <c r="Z94" s="23"/>
    </row>
    <row r="95" spans="1:26" ht="15" customHeight="1" x14ac:dyDescent="0.25">
      <c r="A95" s="23"/>
      <c r="B95"/>
      <c r="C95"/>
      <c r="D95"/>
      <c r="E95"/>
      <c r="F95"/>
      <c r="G95"/>
      <c r="H95"/>
      <c r="I95"/>
      <c r="J95"/>
      <c r="K95" s="204"/>
      <c r="Z95" s="23"/>
    </row>
    <row r="96" spans="1:26" ht="15" customHeight="1" x14ac:dyDescent="0.25">
      <c r="A96" s="23"/>
      <c r="B96"/>
      <c r="C96"/>
      <c r="D96"/>
      <c r="E96"/>
      <c r="F96"/>
      <c r="G96"/>
      <c r="H96"/>
      <c r="I96"/>
      <c r="J96"/>
      <c r="K96" s="204"/>
      <c r="Z96" s="23"/>
    </row>
    <row r="97" spans="1:29" ht="15" customHeight="1" x14ac:dyDescent="0.25">
      <c r="A97" s="23"/>
      <c r="B97"/>
      <c r="C97"/>
      <c r="D97"/>
      <c r="E97"/>
      <c r="F97"/>
      <c r="G97"/>
      <c r="H97"/>
      <c r="I97"/>
      <c r="J97"/>
      <c r="K97" s="204"/>
      <c r="Z97" s="23"/>
    </row>
    <row r="98" spans="1:29" ht="15" customHeight="1" x14ac:dyDescent="0.25">
      <c r="A98" s="23"/>
      <c r="B98"/>
      <c r="C98"/>
      <c r="D98"/>
      <c r="E98"/>
      <c r="F98"/>
      <c r="G98"/>
      <c r="H98"/>
      <c r="I98"/>
      <c r="J98"/>
      <c r="K98" s="204"/>
      <c r="Z98" s="23"/>
    </row>
    <row r="99" spans="1:29" ht="14.45" customHeight="1" x14ac:dyDescent="0.25">
      <c r="A99" s="23"/>
      <c r="B99"/>
      <c r="C99"/>
      <c r="D99"/>
      <c r="E99"/>
      <c r="F99"/>
      <c r="G99"/>
      <c r="H99"/>
      <c r="I99"/>
      <c r="J99"/>
      <c r="K99" s="204"/>
      <c r="Z99" s="23"/>
    </row>
    <row r="100" spans="1:29" x14ac:dyDescent="0.25">
      <c r="A100" s="145"/>
      <c r="B100" s="145"/>
      <c r="C100" s="145"/>
      <c r="D100" s="145"/>
      <c r="E100" s="145"/>
      <c r="F100" s="145"/>
      <c r="G100" s="145"/>
      <c r="H100" s="145"/>
      <c r="I100" s="145"/>
      <c r="J100" s="145"/>
      <c r="K100" s="145"/>
      <c r="L100" s="145"/>
      <c r="X100" s="145"/>
      <c r="Y100" s="145"/>
      <c r="Z100" s="145"/>
      <c r="AA100" s="145"/>
      <c r="AB100" s="145"/>
      <c r="AC100" s="145"/>
    </row>
    <row r="101" spans="1:29" x14ac:dyDescent="0.25">
      <c r="A101" s="23"/>
      <c r="B101"/>
      <c r="C101"/>
      <c r="D101"/>
      <c r="E101"/>
      <c r="F101"/>
      <c r="G101"/>
      <c r="H101"/>
      <c r="I101"/>
      <c r="J101"/>
      <c r="X101" s="27"/>
      <c r="Z101" s="23"/>
      <c r="AA101" s="201" t="str" cm="1">
        <f t="array" ref="AA101:AC101">AA6:AC6</f>
        <v>Pt Froid</v>
      </c>
      <c r="AB101" s="201" t="str">
        <v>Regulation</v>
      </c>
      <c r="AC101" s="201" t="str">
        <v>Pt Chaud</v>
      </c>
    </row>
    <row r="102" spans="1:29" x14ac:dyDescent="0.25">
      <c r="A102" s="23"/>
      <c r="B102"/>
      <c r="C102"/>
      <c r="D102"/>
      <c r="E102"/>
      <c r="F102"/>
      <c r="G102"/>
      <c r="H102"/>
      <c r="I102"/>
      <c r="J102"/>
      <c r="X102" s="27"/>
      <c r="Z102" s="197" t="s">
        <v>90</v>
      </c>
      <c r="AA102" s="43">
        <f>MAX(tab_four200[Pt Froid])</f>
        <v>0</v>
      </c>
      <c r="AB102" s="43">
        <f>MAX(tab_four200[Regulation])</f>
        <v>0</v>
      </c>
      <c r="AC102" s="43">
        <f>MAX(tab_four200[Pt Chaud])</f>
        <v>0</v>
      </c>
    </row>
    <row r="103" spans="1:29" x14ac:dyDescent="0.25">
      <c r="A103" s="23"/>
      <c r="B103"/>
      <c r="C103"/>
      <c r="D103"/>
      <c r="E103"/>
      <c r="F103"/>
      <c r="G103"/>
      <c r="H103"/>
      <c r="I103"/>
      <c r="J103"/>
      <c r="X103" s="27"/>
      <c r="Z103" s="197" t="s">
        <v>91</v>
      </c>
      <c r="AA103" s="43" t="e">
        <f ca="1">MAX(OFFSET(INDEX(tab_four200[Pt Froid],1),COUNT(tab_four200[Pt Froid])-30,0,30))</f>
        <v>#REF!</v>
      </c>
      <c r="AB103" s="43" t="e">
        <f ca="1">MAX(OFFSET(INDEX(tab_four200[Regulation],1),COUNT(tab_four200[Regulation])-30,0,30))</f>
        <v>#REF!</v>
      </c>
      <c r="AC103" s="43" t="e">
        <f ca="1">MAX(OFFSET(INDEX(tab_four200[Pt Chaud],1),COUNT(tab_four200[Pt Chaud])-30,0,30))</f>
        <v>#REF!</v>
      </c>
    </row>
    <row r="104" spans="1:29" x14ac:dyDescent="0.25">
      <c r="A104" s="23"/>
      <c r="B104"/>
      <c r="C104"/>
      <c r="D104"/>
      <c r="E104"/>
      <c r="F104"/>
      <c r="G104"/>
      <c r="H104"/>
      <c r="I104"/>
      <c r="J104"/>
      <c r="X104" s="27"/>
      <c r="Z104" s="197" t="s">
        <v>93</v>
      </c>
      <c r="AA104" s="43" t="e">
        <f ca="1">MIN(OFFSET(INDEX(tab_four200[Pt Froid],1),COUNT(tab_four200[Pt Froid])-30,0,30))</f>
        <v>#REF!</v>
      </c>
      <c r="AB104" s="43" t="e">
        <f ca="1">MIN(OFFSET(INDEX(tab_four200[Regulation],1),COUNT(tab_four200[Regulation])-30,0,30))</f>
        <v>#REF!</v>
      </c>
      <c r="AC104" s="43" t="e">
        <f ca="1">MIN(OFFSET(INDEX(tab_four200[Pt Chaud],1),COUNT(tab_four200[Pt Chaud])-30,0,30))</f>
        <v>#REF!</v>
      </c>
    </row>
    <row r="105" spans="1:29" x14ac:dyDescent="0.25">
      <c r="A105" s="23"/>
      <c r="B105"/>
      <c r="C105"/>
      <c r="D105"/>
      <c r="E105"/>
      <c r="F105"/>
      <c r="G105"/>
      <c r="H105"/>
      <c r="I105"/>
      <c r="J105"/>
      <c r="X105" s="27"/>
      <c r="Z105" s="197" t="s">
        <v>95</v>
      </c>
      <c r="AA105" s="43" t="e">
        <f ca="1">AVERAGE(OFFSET(INDEX(tab_four200[Pt Froid],1),COUNT(tab_four200[Pt Froid])-30,0,30))</f>
        <v>#REF!</v>
      </c>
      <c r="AB105" s="43" t="e">
        <f ca="1">AVERAGE(OFFSET(INDEX(tab_four200[Regulation],1),COUNT(tab_four200[Regulation])-30,0,30))</f>
        <v>#REF!</v>
      </c>
      <c r="AC105" s="43" t="e">
        <f ca="1">AVERAGE(OFFSET(INDEX(tab_four200[Pt Chaud],1),COUNT(tab_four200[Pt Chaud])-30,0,30))</f>
        <v>#REF!</v>
      </c>
    </row>
    <row r="106" spans="1:29" x14ac:dyDescent="0.25">
      <c r="A106" s="23"/>
      <c r="B106"/>
      <c r="C106"/>
      <c r="D106"/>
      <c r="E106"/>
      <c r="F106"/>
      <c r="G106"/>
      <c r="H106"/>
      <c r="I106"/>
      <c r="J106"/>
      <c r="X106" s="27"/>
    </row>
    <row r="107" spans="1:29" x14ac:dyDescent="0.25">
      <c r="A107" s="23"/>
      <c r="B107"/>
      <c r="C107"/>
      <c r="D107"/>
      <c r="E107"/>
      <c r="F107"/>
      <c r="G107"/>
      <c r="H107"/>
      <c r="I107"/>
      <c r="J107"/>
      <c r="X107" s="27"/>
      <c r="Z107" s="23"/>
    </row>
    <row r="108" spans="1:29" x14ac:dyDescent="0.25">
      <c r="A108" s="23"/>
      <c r="B108"/>
      <c r="C108"/>
      <c r="D108"/>
      <c r="E108"/>
      <c r="F108"/>
      <c r="G108"/>
      <c r="H108"/>
      <c r="I108"/>
      <c r="J108"/>
      <c r="X108" s="27"/>
      <c r="Z108" s="23"/>
    </row>
    <row r="109" spans="1:29" x14ac:dyDescent="0.25">
      <c r="A109" s="23"/>
      <c r="B109"/>
      <c r="C109"/>
      <c r="D109"/>
      <c r="E109"/>
      <c r="F109"/>
      <c r="G109"/>
      <c r="H109"/>
      <c r="I109"/>
      <c r="J109"/>
      <c r="X109" s="27"/>
      <c r="Z109" s="23"/>
    </row>
    <row r="110" spans="1:29" x14ac:dyDescent="0.25">
      <c r="X110" s="27"/>
      <c r="Z110" s="23"/>
    </row>
    <row r="111" spans="1:29" x14ac:dyDescent="0.25">
      <c r="Z111" s="23"/>
    </row>
    <row r="119" spans="8:8" x14ac:dyDescent="0.25">
      <c r="H119"/>
    </row>
    <row r="121" spans="8:8" x14ac:dyDescent="0.25">
      <c r="H121"/>
    </row>
  </sheetData>
  <sheetProtection algorithmName="SHA-512" hashValue="y3U1i3bFDPRZylje9+BUCNIyQrAxYWE4Z6FX5lCzj7u7dPAvDamxbl2m6lhyZQIFnyE247aD84h/WfN3d5UghQ==" saltValue="JEadxqmn0NP6EyFCXEx0Kw==" spinCount="100000" sheet="1" objects="1" scenarios="1"/>
  <mergeCells count="6">
    <mergeCell ref="A1:AC1"/>
    <mergeCell ref="A5:J5"/>
    <mergeCell ref="M5:V5"/>
    <mergeCell ref="N16:V16"/>
    <mergeCell ref="N17:V17"/>
    <mergeCell ref="A9:W9"/>
  </mergeCells>
  <conditionalFormatting sqref="N11:V11">
    <cfRule type="cellIs" dxfId="93" priority="6" operator="equal">
      <formula>$W$11</formula>
    </cfRule>
  </conditionalFormatting>
  <conditionalFormatting sqref="N12:V12">
    <cfRule type="cellIs" dxfId="92" priority="2" operator="equal">
      <formula>$W$12</formula>
    </cfRule>
    <cfRule type="cellIs" dxfId="91" priority="5" operator="equal">
      <formula>#REF!</formula>
    </cfRule>
  </conditionalFormatting>
  <conditionalFormatting sqref="N13:V13">
    <cfRule type="cellIs" dxfId="90" priority="1" operator="equal">
      <formula>$W$13</formula>
    </cfRule>
    <cfRule type="cellIs" dxfId="89" priority="3" operator="equal">
      <formula>#REF!</formula>
    </cfRule>
    <cfRule type="cellIs" dxfId="88"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189"/>
  <sheetViews>
    <sheetView topLeftCell="F1" zoomScaleNormal="100" workbookViewId="0">
      <selection activeCell="N3" sqref="N3"/>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Mesures_Four!F27</f>
        <v>385°C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A2" s="191"/>
      <c r="B2" s="27"/>
      <c r="C2" s="27"/>
      <c r="D2" s="27"/>
      <c r="E2" s="27"/>
      <c r="F2" s="27"/>
      <c r="G2" s="27"/>
      <c r="H2" s="27"/>
      <c r="I2" s="27"/>
      <c r="J2" s="27"/>
      <c r="K2" s="27"/>
      <c r="M2" s="211" t="s">
        <v>87</v>
      </c>
      <c r="N2" s="44">
        <f>_xlfn.XLOOKUP(INT(SUBSTITUTE(N6,"Connecteur ", "")),Mesures_Four!C40:C48,Mesures_Four!F40:F48)</f>
        <v>0</v>
      </c>
      <c r="O2" s="44">
        <f>_xlfn.XLOOKUP(INT(SUBSTITUTE(O6,"Connecteur ", "")),Mesures_Four!C40:C48,Mesures_Four!F40:F48)</f>
        <v>0</v>
      </c>
      <c r="P2" s="44">
        <f>_xlfn.XLOOKUP(INT(SUBSTITUTE(P6,"Connecteur ", "")),Mesures_Four!C40:C48,Mesures_Four!F40:F48)</f>
        <v>0</v>
      </c>
      <c r="Q2" s="44">
        <f>_xlfn.XLOOKUP(INT(SUBSTITUTE(Q6,"Connecteur ", "")),Mesures_Four!C40:C48,Mesures_Four!F40:F48)</f>
        <v>0</v>
      </c>
      <c r="R2" s="44">
        <f>_xlfn.XLOOKUP(INT(SUBSTITUTE(R6,"Connecteur ", "")),Mesures_Four!C40:C48,Mesures_Four!F40:F48)</f>
        <v>0</v>
      </c>
      <c r="S2" s="44">
        <f>_xlfn.XLOOKUP(INT(SUBSTITUTE(S6,"Connecteur ", "")),Mesures_Four!C40:C48,Mesures_Four!F40:F48)</f>
        <v>0</v>
      </c>
      <c r="T2" s="44">
        <f>_xlfn.XLOOKUP(INT(SUBSTITUTE(T6,"Connecteur ", "")),Mesures_Four!C40:C48,Mesures_Four!F40:F48)</f>
        <v>0</v>
      </c>
      <c r="U2" s="44">
        <f>_xlfn.XLOOKUP(INT(SUBSTITUTE(U6,"Connecteur ", "")),Mesures_Four!C40:C48,Mesures_Four!F40:F48)</f>
        <v>0</v>
      </c>
      <c r="V2" s="44">
        <f>_xlfn.XLOOKUP(INT(SUBSTITUTE(V6,"Connecteur ", "")),Mesures_Four!C40:C48,Mesures_Four!F40:F48)</f>
        <v>0</v>
      </c>
      <c r="W2" s="158"/>
      <c r="X2" s="158"/>
      <c r="Y2" s="158"/>
    </row>
    <row r="3" spans="1:29" x14ac:dyDescent="0.25">
      <c r="A3" s="191"/>
      <c r="B3" s="27"/>
      <c r="C3" s="27"/>
      <c r="D3" s="27"/>
      <c r="E3" s="27"/>
      <c r="F3" s="27"/>
      <c r="G3" s="27"/>
      <c r="H3" s="27"/>
      <c r="I3" s="27"/>
      <c r="J3" s="27"/>
      <c r="K3" s="27"/>
      <c r="M3" s="211" t="s">
        <v>23</v>
      </c>
      <c r="N3" s="44" t="e" cm="1">
        <f t="array" ref="N3">_xlfn.XLOOKUP(INT(SUBSTITUTE(N6,"Connecteur ", "")),INT(Mesures_Four!B28:B36),Mesures_Four!F28:F36)</f>
        <v>#N/A</v>
      </c>
      <c r="O3" s="44" t="e" cm="1">
        <f t="array" ref="O3">_xlfn.XLOOKUP(INT(SUBSTITUTE(O6,"Connecteur ", "")),INT(Mesures_Four!B28:B36),Mesures_Four!F28:F36)</f>
        <v>#N/A</v>
      </c>
      <c r="P3" s="44" t="e" cm="1">
        <f t="array" ref="P3">_xlfn.XLOOKUP(INT(SUBSTITUTE(P6,"Connecteur ", "")),INT(Mesures_Four!B28:B36),Mesures_Four!F28:F36)</f>
        <v>#N/A</v>
      </c>
      <c r="Q3" s="44" t="e" cm="1">
        <f t="array" ref="Q3">_xlfn.XLOOKUP(INT(SUBSTITUTE(Q6,"Connecteur ", "")),INT(Mesures_Four!B28:B36),Mesures_Four!F28:F36)</f>
        <v>#N/A</v>
      </c>
      <c r="R3" s="44" t="e" cm="1">
        <f t="array" ref="R3">_xlfn.XLOOKUP(INT(SUBSTITUTE(R6,"Connecteur ", "")),INT(Mesures_Four!B28:B36),Mesures_Four!F28:F36)</f>
        <v>#N/A</v>
      </c>
      <c r="S3" s="44" t="e" cm="1">
        <f t="array" ref="S3">_xlfn.XLOOKUP(INT(SUBSTITUTE(S6,"Connecteur ", "")),INT(Mesures_Four!B28:B36),Mesures_Four!F28:F36)</f>
        <v>#N/A</v>
      </c>
      <c r="T3" s="44" t="e" cm="1">
        <f t="array" ref="T3">_xlfn.XLOOKUP(INT(SUBSTITUTE(T6,"Connecteur ", "")),INT(Mesures_Four!B28:B36),Mesures_Four!F28:F36)</f>
        <v>#N/A</v>
      </c>
      <c r="U3" s="44" t="e" cm="1">
        <f t="array" ref="U3">_xlfn.XLOOKUP(INT(SUBSTITUTE(U6,"Connecteur ", "")),INT(Mesures_Four!B28:B36),Mesures_Four!F28:F36)</f>
        <v>#N/A</v>
      </c>
      <c r="V3" s="44" t="e" cm="1">
        <f t="array" ref="V3">_xlfn.XLOOKUP(INT(SUBSTITUTE(V6,"Connecteur ", "")),INT(Mesures_Four!B28:B36),Mesures_Four!F28:F36)</f>
        <v>#N/A</v>
      </c>
      <c r="W3" s="158"/>
      <c r="X3" s="158"/>
      <c r="Y3" s="158"/>
    </row>
    <row r="4" spans="1:29" x14ac:dyDescent="0.25">
      <c r="A4" s="191"/>
      <c r="B4" s="27"/>
      <c r="C4" s="27"/>
      <c r="D4" s="27"/>
      <c r="E4" s="27"/>
      <c r="F4" s="27"/>
      <c r="G4" s="27"/>
      <c r="H4" s="27"/>
      <c r="I4" s="27"/>
      <c r="J4" s="27"/>
      <c r="K4" s="27"/>
      <c r="M4" s="23"/>
      <c r="N4" s="210"/>
      <c r="O4" s="210"/>
      <c r="P4" s="210"/>
      <c r="Q4" s="210"/>
      <c r="R4" s="210"/>
      <c r="S4" s="210"/>
      <c r="T4" s="210"/>
      <c r="U4" s="210"/>
      <c r="V4" s="210"/>
      <c r="W4" s="158"/>
      <c r="X4" s="158"/>
      <c r="Y4" s="158"/>
    </row>
    <row r="5" spans="1:29" x14ac:dyDescent="0.25">
      <c r="A5" s="375" t="s">
        <v>330</v>
      </c>
      <c r="B5" s="375"/>
      <c r="C5" s="375"/>
      <c r="D5" s="375"/>
      <c r="E5" s="375"/>
      <c r="F5" s="375"/>
      <c r="G5" s="375"/>
      <c r="H5" s="375"/>
      <c r="I5" s="375"/>
      <c r="J5" s="375"/>
      <c r="K5" s="27"/>
      <c r="M5" s="375" t="s">
        <v>88</v>
      </c>
      <c r="N5" s="375"/>
      <c r="O5" s="375"/>
      <c r="P5" s="375"/>
      <c r="Q5" s="375"/>
      <c r="R5" s="375"/>
      <c r="S5" s="375"/>
      <c r="T5" s="375"/>
      <c r="U5" s="375"/>
      <c r="V5" s="375"/>
      <c r="Z5" s="209"/>
    </row>
    <row r="6" spans="1:29" x14ac:dyDescent="0.25">
      <c r="A6" s="208" t="str" cm="1">
        <f t="array" ref="A6:J7">tab_transfert385[#All]</f>
        <v>Date/Heure</v>
      </c>
      <c r="B6" s="207" t="str">
        <v>Connecteur 1</v>
      </c>
      <c r="C6" s="207" t="str">
        <v>Connecteur 2</v>
      </c>
      <c r="D6" s="207" t="str">
        <v>Connecteur 3</v>
      </c>
      <c r="E6" s="207" t="str">
        <v>Connecteur 4</v>
      </c>
      <c r="F6" s="207" t="str">
        <v>Connecteur 5</v>
      </c>
      <c r="G6" s="207" t="str">
        <v>Connecteur 6</v>
      </c>
      <c r="H6" s="207" t="str">
        <v>Connecteur 7</v>
      </c>
      <c r="I6" s="207" t="str">
        <v>Connecteur 8</v>
      </c>
      <c r="J6" s="207" t="str">
        <v>Connecteur 9</v>
      </c>
      <c r="K6" s="207" t="s">
        <v>329</v>
      </c>
      <c r="N6" s="206" t="str" cm="1">
        <f t="array" ref="N6:V6">tab_transfert385[[#Headers],[Connecteur 1]:[Connecteur 9]]</f>
        <v>Connecteur 1</v>
      </c>
      <c r="O6" s="206" t="str">
        <v>Connecteur 2</v>
      </c>
      <c r="P6" s="206" t="str">
        <v>Connecteur 3</v>
      </c>
      <c r="Q6" s="206" t="str">
        <v>Connecteur 4</v>
      </c>
      <c r="R6" s="206" t="str">
        <v>Connecteur 5</v>
      </c>
      <c r="S6" s="206" t="str">
        <v>Connecteur 6</v>
      </c>
      <c r="T6" s="206" t="str">
        <v>Connecteur 7</v>
      </c>
      <c r="U6" s="206" t="str">
        <v>Connecteur 8</v>
      </c>
      <c r="V6" s="206" t="str">
        <v>Connecteur 9</v>
      </c>
      <c r="W6" s="206" t="str" cm="1">
        <f t="array" ref="W6:W7">tab_four385[[#All],[Consigne T°]]</f>
        <v>Consigne T°</v>
      </c>
      <c r="Z6" s="201" t="str" cm="1">
        <f t="array" ref="Z6:AC7">tab_four385[[#All],[Date/Heure]:[Pt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04"/>
      <c r="M7" s="328" t="s">
        <v>328</v>
      </c>
      <c r="N7" s="205" t="e" cm="1">
        <f t="array" ref="N7:V7">tab_transfert385[[Connecteur 1]:[Connecteur 9]]+N2:V2+N3:V3</f>
        <v>#N/A</v>
      </c>
      <c r="O7" s="205" t="e">
        <v>#N/A</v>
      </c>
      <c r="P7" s="205" t="e">
        <v>#N/A</v>
      </c>
      <c r="Q7" s="205" t="e">
        <v>#N/A</v>
      </c>
      <c r="R7" s="205" t="e">
        <v>#N/A</v>
      </c>
      <c r="S7" s="205" t="e">
        <v>#N/A</v>
      </c>
      <c r="T7" s="205" t="e">
        <v>#N/A</v>
      </c>
      <c r="U7" s="205" t="e">
        <v>#N/A</v>
      </c>
      <c r="V7" s="205" t="e">
        <v>#N/A</v>
      </c>
      <c r="W7" s="202">
        <v>0</v>
      </c>
      <c r="Z7" s="23">
        <v>0</v>
      </c>
      <c r="AA7">
        <v>0</v>
      </c>
      <c r="AB7">
        <v>0</v>
      </c>
      <c r="AC7">
        <v>0</v>
      </c>
    </row>
    <row r="8" spans="1:29" ht="14.45" customHeight="1" x14ac:dyDescent="0.25">
      <c r="A8" s="23"/>
      <c r="K8" s="204"/>
      <c r="M8" s="327" t="s">
        <v>327</v>
      </c>
      <c r="N8" s="203"/>
      <c r="O8" s="203"/>
      <c r="P8" s="203"/>
      <c r="Q8" s="203"/>
      <c r="R8" s="203"/>
      <c r="S8" s="203"/>
      <c r="T8" s="203"/>
      <c r="U8" s="203"/>
      <c r="V8" s="203"/>
      <c r="W8" s="323"/>
      <c r="Z8" s="23"/>
    </row>
    <row r="9" spans="1:29" ht="14.45" customHeight="1" x14ac:dyDescent="0.25">
      <c r="A9" s="377"/>
      <c r="B9" s="377"/>
      <c r="C9" s="377"/>
      <c r="D9" s="377"/>
      <c r="E9" s="377"/>
      <c r="F9" s="377"/>
      <c r="G9" s="377"/>
      <c r="H9" s="377"/>
      <c r="I9" s="377"/>
      <c r="J9" s="377"/>
      <c r="K9" s="377"/>
      <c r="L9" s="377"/>
      <c r="M9" s="377"/>
      <c r="N9" s="377"/>
      <c r="O9" s="377"/>
      <c r="P9" s="377"/>
      <c r="Q9" s="377"/>
      <c r="R9" s="377"/>
      <c r="S9" s="377"/>
      <c r="T9" s="377"/>
      <c r="U9" s="377"/>
      <c r="V9" s="377"/>
      <c r="W9" s="377"/>
      <c r="Z9" s="23"/>
    </row>
    <row r="10" spans="1:29" ht="14.45" customHeight="1" x14ac:dyDescent="0.25">
      <c r="A10" s="23"/>
      <c r="K10" s="204"/>
      <c r="Z10" s="23"/>
    </row>
    <row r="11" spans="1:29" ht="14.45" customHeight="1" x14ac:dyDescent="0.25">
      <c r="A11" s="23"/>
      <c r="K11" s="204"/>
      <c r="M11" s="91" t="s">
        <v>90</v>
      </c>
      <c r="N11" s="43" t="e">
        <f>MAX(tab_transfert385[Connecteur 1])+N$2+N$3</f>
        <v>#N/A</v>
      </c>
      <c r="O11" s="43" t="e">
        <f>MAX(tab_transfert385[Connecteur 2])+O$2+O$3</f>
        <v>#N/A</v>
      </c>
      <c r="P11" s="43" t="e">
        <f>MAX(tab_transfert385[Connecteur 3])+P$2+P$3</f>
        <v>#N/A</v>
      </c>
      <c r="Q11" s="43" t="e">
        <f>MAX(tab_transfert385[Connecteur 4])+Q$2+Q$3</f>
        <v>#N/A</v>
      </c>
      <c r="R11" s="43" t="e">
        <f>MAX(tab_transfert385[Connecteur 5])+R$2+R$3</f>
        <v>#N/A</v>
      </c>
      <c r="S11" s="43" t="e">
        <f>MAX(tab_transfert385[Connecteur 6])+S$2+S$3</f>
        <v>#N/A</v>
      </c>
      <c r="T11" s="43" t="e">
        <f>MAX(tab_transfert385[Connecteur 7])+T$2+T$3</f>
        <v>#N/A</v>
      </c>
      <c r="U11" s="43" t="e">
        <f>MAX(tab_transfert385[Connecteur 8])+U$2+U$3</f>
        <v>#N/A</v>
      </c>
      <c r="V11" s="43" t="e">
        <f>MAX(tab_transfert385[Connecteur 9])+V$2+V$3</f>
        <v>#N/A</v>
      </c>
      <c r="W11" s="200" t="e">
        <f>MAX(N11:V11)</f>
        <v>#N/A</v>
      </c>
      <c r="Z11" s="23"/>
    </row>
    <row r="12" spans="1:29" ht="14.45" customHeight="1" x14ac:dyDescent="0.25">
      <c r="A12" s="23"/>
      <c r="K12" s="204"/>
      <c r="M12" s="199" t="s">
        <v>91</v>
      </c>
      <c r="N12" s="198" t="e">
        <f ca="1">MAX(OFFSET(INDEX(tab_transfert385[Connecteur 1],1),COUNT(tab_transfert385[Connecteur 1])-30,0,30))+N$2+N$3</f>
        <v>#REF!</v>
      </c>
      <c r="O12" s="198" t="e">
        <f ca="1">MAX(OFFSET(INDEX(tab_transfert385[Connecteur 2],1),COUNT(tab_transfert385[Connecteur 2])-30,0,30))+O$2+O$3</f>
        <v>#REF!</v>
      </c>
      <c r="P12" s="198" t="e">
        <f ca="1">MAX(OFFSET(INDEX(tab_transfert385[Connecteur 3],1),COUNT(tab_transfert385[Connecteur 3])-30,0,30))+P$2+P$3</f>
        <v>#REF!</v>
      </c>
      <c r="Q12" s="198" t="e">
        <f ca="1">MAX(OFFSET(INDEX(tab_transfert385[Connecteur 4],1),COUNT(tab_transfert385[Connecteur 4])-30,0,30))+Q$2+Q$3</f>
        <v>#REF!</v>
      </c>
      <c r="R12" s="198" t="e">
        <f ca="1">MAX(OFFSET(INDEX(tab_transfert385[Connecteur 5],1),COUNT(tab_transfert385[Connecteur 5])-30,0,30))+R$2+R$3</f>
        <v>#REF!</v>
      </c>
      <c r="S12" s="198" t="e">
        <f ca="1">MAX(OFFSET(INDEX(tab_transfert385[Connecteur 6],1),COUNT(tab_transfert385[Connecteur 6])-30,0,30))+S$2+S$3</f>
        <v>#REF!</v>
      </c>
      <c r="T12" s="198" t="e">
        <f ca="1">MAX(OFFSET(INDEX(tab_transfert385[Connecteur 7],1),COUNT(tab_transfert385[Connecteur 7])-30,0,30))+T$2+T$3</f>
        <v>#REF!</v>
      </c>
      <c r="U12" s="198" t="e">
        <f ca="1">MAX(OFFSET(INDEX(tab_transfert385[Connecteur 8],1),COUNT(tab_transfert385[Connecteur 8])-30,0,30))+U$2+U$3</f>
        <v>#REF!</v>
      </c>
      <c r="V12" s="198" t="e">
        <f ca="1">MAX(OFFSET(INDEX(tab_transfert385[Connecteur 9],1),COUNT(tab_transfert385[Connecteur 9])-30,0,30))+V$2+V$3</f>
        <v>#REF!</v>
      </c>
      <c r="W12" s="200" t="e">
        <f ca="1">MAX(N12:V12)</f>
        <v>#REF!</v>
      </c>
      <c r="Z12" s="23"/>
    </row>
    <row r="13" spans="1:29" ht="14.45" customHeight="1" x14ac:dyDescent="0.25">
      <c r="A13" s="23"/>
      <c r="K13" s="204"/>
      <c r="M13" s="199" t="s">
        <v>93</v>
      </c>
      <c r="N13" s="198" t="e">
        <f ca="1">MIN(OFFSET(INDEX(tab_transfert385[Connecteur 1],1),COUNT(tab_transfert385[Connecteur 1])-30,0,30))+N$2+N$3</f>
        <v>#REF!</v>
      </c>
      <c r="O13" s="198" t="e">
        <f ca="1">MIN(OFFSET(INDEX(tab_transfert385[Connecteur 2],1),COUNT(tab_transfert385[Connecteur 2])-30,0,30))+O$2+O$3</f>
        <v>#REF!</v>
      </c>
      <c r="P13" s="198" t="e">
        <f ca="1">MIN(OFFSET(INDEX(tab_transfert385[Connecteur 3],1),COUNT(tab_transfert385[Connecteur 3])-30,0,30))+P$2+P$3</f>
        <v>#REF!</v>
      </c>
      <c r="Q13" s="198" t="e">
        <f ca="1">MIN(OFFSET(INDEX(tab_transfert385[Connecteur 4],1),COUNT(tab_transfert385[Connecteur 4])-30,0,30))+Q$2+Q$3</f>
        <v>#REF!</v>
      </c>
      <c r="R13" s="198" t="e">
        <f ca="1">MIN(OFFSET(INDEX(tab_transfert385[Connecteur 5],1),COUNT(tab_transfert385[Connecteur 5])-30,0,30))+R$2+R$3</f>
        <v>#REF!</v>
      </c>
      <c r="S13" s="198" t="e">
        <f ca="1">MIN(OFFSET(INDEX(tab_transfert385[Connecteur 6],1),COUNT(tab_transfert385[Connecteur 6])-30,0,30))+S$2+S$3</f>
        <v>#REF!</v>
      </c>
      <c r="T13" s="198" t="e">
        <f ca="1">MIN(OFFSET(INDEX(tab_transfert385[Connecteur 7],1),COUNT(tab_transfert385[Connecteur 7])-30,0,30))+T$2+T$3</f>
        <v>#REF!</v>
      </c>
      <c r="U13" s="198" t="e">
        <f ca="1">MIN(OFFSET(INDEX(tab_transfert385[Connecteur 8],1),COUNT(tab_transfert385[Connecteur 8])-30,0,30))+U$2+U$3</f>
        <v>#REF!</v>
      </c>
      <c r="V13" s="198" t="e">
        <f ca="1">MIN(OFFSET(INDEX(tab_transfert385[Connecteur 9],1),COUNT(tab_transfert385[Connecteur 9])-30,0,30))+V$2+V$3</f>
        <v>#REF!</v>
      </c>
      <c r="W13" s="200" t="e">
        <f ca="1">MIN(N13:V13)</f>
        <v>#REF!</v>
      </c>
      <c r="Z13" s="23"/>
    </row>
    <row r="14" spans="1:29" ht="14.45" customHeight="1" x14ac:dyDescent="0.25">
      <c r="A14" s="23"/>
      <c r="K14" s="204"/>
      <c r="M14" s="199" t="s">
        <v>95</v>
      </c>
      <c r="N14" s="198" t="e">
        <f ca="1">AVERAGE(OFFSET(INDEX(tab_transfert385[Connecteur 1],1),COUNT(tab_transfert385[Connecteur 1])-30,0,30))+N$2+N$3</f>
        <v>#REF!</v>
      </c>
      <c r="O14" s="198" t="e">
        <f ca="1">AVERAGE(OFFSET(INDEX(tab_transfert385[Connecteur 2],1),COUNT(tab_transfert385[Connecteur 2])-30,0,30))+O$2+O$3</f>
        <v>#REF!</v>
      </c>
      <c r="P14" s="198" t="e">
        <f ca="1">AVERAGE(OFFSET(INDEX(tab_transfert385[Connecteur 3],1),COUNT(tab_transfert385[Connecteur 3])-30,0,30))+P$2+P$3</f>
        <v>#REF!</v>
      </c>
      <c r="Q14" s="198" t="e">
        <f ca="1">AVERAGE(OFFSET(INDEX(tab_transfert385[Connecteur 4],1),COUNT(tab_transfert385[Connecteur 4])-30,0,30))+Q$2+Q$3</f>
        <v>#REF!</v>
      </c>
      <c r="R14" s="198" t="e">
        <f ca="1">AVERAGE(OFFSET(INDEX(tab_transfert385[Connecteur 5],1),COUNT(tab_transfert385[Connecteur 5])-30,0,30))+R$2+R$3</f>
        <v>#REF!</v>
      </c>
      <c r="S14" s="198" t="e">
        <f ca="1">AVERAGE(OFFSET(INDEX(tab_transfert385[Connecteur 6],1),COUNT(tab_transfert385[Connecteur 6])-30,0,30))+S$2+S$3</f>
        <v>#REF!</v>
      </c>
      <c r="T14" s="198" t="e">
        <f ca="1">AVERAGE(OFFSET(INDEX(tab_transfert385[Connecteur 7],1),COUNT(tab_transfert385[Connecteur 7])-30,0,30))+T$2+T$3</f>
        <v>#REF!</v>
      </c>
      <c r="U14" s="198" t="e">
        <f ca="1">AVERAGE(OFFSET(INDEX(tab_transfert385[Connecteur 8],1),COUNT(tab_transfert385[Connecteur 8])-30,0,30))+U$2+U$3</f>
        <v>#REF!</v>
      </c>
      <c r="V14" s="198" t="e">
        <f ca="1">AVERAGE(OFFSET(INDEX(tab_transfert385[Connecteur 9],1),COUNT(tab_transfert385[Connecteur 9])-30,0,30))+V$2+V$3</f>
        <v>#REF!</v>
      </c>
      <c r="W14" s="27"/>
      <c r="Z14" s="23"/>
    </row>
    <row r="15" spans="1:29" ht="14.45" customHeight="1" x14ac:dyDescent="0.25">
      <c r="A15" s="23"/>
      <c r="K15" s="204"/>
      <c r="M15" s="91" t="s">
        <v>96</v>
      </c>
      <c r="N15" s="43" t="e">
        <f t="shared" ref="N15:V15" ca="1" si="0">N12-N13</f>
        <v>#REF!</v>
      </c>
      <c r="O15" s="43" t="e">
        <f t="shared" ca="1" si="0"/>
        <v>#REF!</v>
      </c>
      <c r="P15" s="43" t="e">
        <f t="shared" ca="1" si="0"/>
        <v>#REF!</v>
      </c>
      <c r="Q15" s="43" t="e">
        <f t="shared" ca="1" si="0"/>
        <v>#REF!</v>
      </c>
      <c r="R15" s="43" t="e">
        <f t="shared" ca="1" si="0"/>
        <v>#REF!</v>
      </c>
      <c r="S15" s="43" t="e">
        <f t="shared" ca="1" si="0"/>
        <v>#REF!</v>
      </c>
      <c r="T15" s="43" t="e">
        <f t="shared" ca="1" si="0"/>
        <v>#REF!</v>
      </c>
      <c r="U15" s="43" t="e">
        <f t="shared" ca="1" si="0"/>
        <v>#REF!</v>
      </c>
      <c r="V15" s="43" t="e">
        <f t="shared" ca="1" si="0"/>
        <v>#REF!</v>
      </c>
      <c r="W15" s="27"/>
      <c r="Z15" s="23"/>
    </row>
    <row r="16" spans="1:29" ht="14.45" customHeight="1" x14ac:dyDescent="0.25">
      <c r="A16" s="23"/>
      <c r="K16" s="204"/>
      <c r="M16" s="91" t="s">
        <v>97</v>
      </c>
      <c r="N16" s="376" t="e">
        <f ca="1">ABS(MAX(N12:V12) - MIN(N13:V13))</f>
        <v>#REF!</v>
      </c>
      <c r="O16" s="376"/>
      <c r="P16" s="376"/>
      <c r="Q16" s="376"/>
      <c r="R16" s="376"/>
      <c r="S16" s="376"/>
      <c r="T16" s="376"/>
      <c r="U16" s="376"/>
      <c r="V16" s="376"/>
      <c r="W16" s="44" t="e">
        <f ca="1">N16</f>
        <v>#REF!</v>
      </c>
      <c r="Z16" s="23"/>
    </row>
    <row r="17" spans="1:26" ht="14.45" customHeight="1" x14ac:dyDescent="0.25">
      <c r="A17" s="23"/>
      <c r="K17" s="204"/>
      <c r="M17" s="91" t="s">
        <v>98</v>
      </c>
      <c r="N17" s="376" t="e">
        <f ca="1">AVERAGE(N14:V14)</f>
        <v>#REF!</v>
      </c>
      <c r="O17" s="376"/>
      <c r="P17" s="376"/>
      <c r="Q17" s="376"/>
      <c r="R17" s="376"/>
      <c r="S17" s="376"/>
      <c r="T17" s="376"/>
      <c r="U17" s="376"/>
      <c r="V17" s="376"/>
      <c r="W17" s="44" t="e">
        <f ca="1">N17</f>
        <v>#REF!</v>
      </c>
      <c r="Z17" s="23"/>
    </row>
    <row r="18" spans="1:26" ht="14.45" customHeight="1" x14ac:dyDescent="0.25">
      <c r="A18" s="23"/>
      <c r="K18" s="204"/>
      <c r="M18" s="196" t="s">
        <v>326</v>
      </c>
      <c r="N18" s="35" t="str" cm="1">
        <f t="array" ref="N18:V18">tab_transfert385[[#Headers],[Connecteur 1]:[Connecteur 9]]</f>
        <v>Connecteur 1</v>
      </c>
      <c r="O18" s="35" t="str">
        <v>Connecteur 2</v>
      </c>
      <c r="P18" s="35" t="str">
        <v>Connecteur 3</v>
      </c>
      <c r="Q18" s="35" t="str">
        <v>Connecteur 4</v>
      </c>
      <c r="R18" s="35" t="str">
        <v>Connecteur 5</v>
      </c>
      <c r="S18" s="35" t="str">
        <v>Connecteur 6</v>
      </c>
      <c r="T18" s="35" t="str">
        <v>Connecteur 7</v>
      </c>
      <c r="U18" s="35" t="str">
        <v>Connecteur 8</v>
      </c>
      <c r="V18" s="35" t="str">
        <v>Connecteur 9</v>
      </c>
      <c r="W18" s="27"/>
      <c r="Z18" s="23"/>
    </row>
    <row r="19" spans="1:26" ht="14.45" customHeight="1" x14ac:dyDescent="0.25">
      <c r="A19" s="23"/>
      <c r="K19" s="204"/>
      <c r="M19" s="193" t="s">
        <v>325</v>
      </c>
      <c r="N19" s="195" t="e">
        <f ca="1">_xlfn.STDEV.S(OFFSET(INDEX(tab_transfert385[Connecteur 1],1),COUNT(tab_transfert385[Connecteur 1])-30,0,30))</f>
        <v>#REF!</v>
      </c>
      <c r="O19" s="195" t="e">
        <f ca="1">_xlfn.STDEV.S(OFFSET(INDEX(tab_transfert385[Connecteur 2],1),COUNT(tab_transfert385[Connecteur 2])-30,0,30))</f>
        <v>#REF!</v>
      </c>
      <c r="P19" s="195" t="e">
        <f ca="1">_xlfn.STDEV.S(OFFSET(INDEX(tab_transfert385[Connecteur 3],1),COUNT(tab_transfert385[Connecteur 3])-30,0,30))</f>
        <v>#REF!</v>
      </c>
      <c r="Q19" s="195" t="e">
        <f ca="1">_xlfn.STDEV.S(OFFSET(INDEX(tab_transfert385[Connecteur 4],1),COUNT(tab_transfert385[Connecteur 4])-30,0,30))</f>
        <v>#REF!</v>
      </c>
      <c r="R19" s="195" t="e">
        <f ca="1">_xlfn.STDEV.S(OFFSET(INDEX(tab_transfert385[Connecteur 5],1),COUNT(tab_transfert385[Connecteur 5])-30,0,30))</f>
        <v>#REF!</v>
      </c>
      <c r="S19" s="195" t="e">
        <f ca="1">_xlfn.STDEV.S(OFFSET(INDEX(tab_transfert385[Connecteur 6],1),COUNT(tab_transfert385[Connecteur 6])-30,0,30))</f>
        <v>#REF!</v>
      </c>
      <c r="T19" s="195" t="e">
        <f ca="1">_xlfn.STDEV.S(OFFSET(INDEX(tab_transfert385[Connecteur 7],1),COUNT(tab_transfert385[Connecteur 7])-30,0,30))</f>
        <v>#REF!</v>
      </c>
      <c r="U19" s="195" t="e">
        <f ca="1">_xlfn.STDEV.S(OFFSET(INDEX(tab_transfert385[Connecteur 8],1),COUNT(tab_transfert385[Connecteur 8])-30,0,30))</f>
        <v>#REF!</v>
      </c>
      <c r="V19" s="195" t="e">
        <f ca="1">_xlfn.STDEV.S(OFFSET(INDEX(tab_transfert385[Connecteur 9],1),COUNT(tab_transfert385[Connecteur 9])-30,0,30))</f>
        <v>#REF!</v>
      </c>
      <c r="W19" s="194" t="e">
        <f ca="1">MAX(N19:V19)</f>
        <v>#REF!</v>
      </c>
      <c r="Z19" s="23"/>
    </row>
    <row r="20" spans="1:26" ht="14.45" customHeight="1" x14ac:dyDescent="0.25">
      <c r="A20" s="23"/>
      <c r="K20" s="204"/>
      <c r="N20" s="27"/>
      <c r="O20" s="27"/>
      <c r="P20" s="27"/>
      <c r="Q20" s="27"/>
      <c r="R20" s="27"/>
      <c r="S20" s="27"/>
      <c r="T20" s="27"/>
      <c r="U20" s="27"/>
      <c r="V20" s="27"/>
      <c r="W20" s="27"/>
      <c r="Z20" s="23"/>
    </row>
    <row r="21" spans="1:26" ht="14.45" customHeight="1" x14ac:dyDescent="0.25">
      <c r="A21" s="23"/>
      <c r="K21" s="204"/>
      <c r="M21" s="193" t="s">
        <v>324</v>
      </c>
      <c r="N21" s="192" t="e">
        <f ca="1">W12-(OFFSET(INDEX(tab_four385[Consigne T°],1),COUNT(tab_four385[Consigne T°])-29,0,1))</f>
        <v>#REF!</v>
      </c>
      <c r="O21" s="27"/>
      <c r="P21" s="27"/>
      <c r="Q21" s="27"/>
      <c r="R21" s="27"/>
      <c r="S21" s="27"/>
      <c r="T21" s="27"/>
      <c r="U21" s="27"/>
      <c r="V21" s="27"/>
      <c r="W21" s="27"/>
      <c r="Z21" s="23"/>
    </row>
    <row r="22" spans="1:26" ht="14.45" customHeight="1" x14ac:dyDescent="0.25">
      <c r="A22" s="23"/>
      <c r="K22" s="204"/>
      <c r="M22" s="193" t="s">
        <v>323</v>
      </c>
      <c r="N22" s="192" t="e">
        <f ca="1">W13-(OFFSET(INDEX(tab_four385[Consigne T°],1),COUNT(tab_four385[Consigne T°])-29,0,1))</f>
        <v>#REF!</v>
      </c>
      <c r="O22" s="27"/>
      <c r="P22" s="27"/>
      <c r="Q22" s="27"/>
      <c r="R22" s="27"/>
      <c r="S22" s="27"/>
      <c r="T22" s="27"/>
      <c r="U22" s="27"/>
      <c r="V22" s="27"/>
      <c r="W22" s="27"/>
      <c r="Z22" s="23"/>
    </row>
    <row r="23" spans="1:26" ht="14.45" customHeight="1" x14ac:dyDescent="0.25">
      <c r="A23" s="23"/>
      <c r="K23" s="204"/>
      <c r="Z23" s="23"/>
    </row>
    <row r="24" spans="1:26" ht="14.45" customHeight="1" x14ac:dyDescent="0.25">
      <c r="A24" s="23"/>
      <c r="K24" s="204"/>
      <c r="Z24" s="23"/>
    </row>
    <row r="25" spans="1:26" ht="14.45" customHeight="1" x14ac:dyDescent="0.25">
      <c r="A25" s="23"/>
      <c r="K25" s="204"/>
      <c r="Z25" s="23"/>
    </row>
    <row r="26" spans="1:26" ht="14.45" customHeight="1" x14ac:dyDescent="0.25">
      <c r="A26" s="23"/>
      <c r="K26" s="204"/>
      <c r="Z26" s="23"/>
    </row>
    <row r="27" spans="1:26" ht="14.45" customHeight="1" x14ac:dyDescent="0.25">
      <c r="A27" s="23"/>
      <c r="K27" s="204"/>
      <c r="Z27" s="23"/>
    </row>
    <row r="28" spans="1:26" ht="14.45" customHeight="1" x14ac:dyDescent="0.25">
      <c r="A28" s="23"/>
      <c r="K28" s="204"/>
      <c r="Z28" s="23"/>
    </row>
    <row r="29" spans="1:26" ht="14.45" customHeight="1" x14ac:dyDescent="0.25">
      <c r="A29" s="23"/>
      <c r="K29" s="204"/>
      <c r="Z29" s="23"/>
    </row>
    <row r="30" spans="1:26" ht="14.45" customHeight="1" x14ac:dyDescent="0.25">
      <c r="A30" s="23"/>
      <c r="K30" s="204"/>
      <c r="Z30" s="23"/>
    </row>
    <row r="31" spans="1:26" ht="14.45" customHeight="1" x14ac:dyDescent="0.25">
      <c r="A31" s="23"/>
      <c r="K31" s="204"/>
      <c r="Z31" s="23"/>
    </row>
    <row r="32" spans="1:26" ht="14.45" customHeight="1" x14ac:dyDescent="0.25">
      <c r="A32" s="23"/>
      <c r="K32" s="204"/>
      <c r="Z32" s="23"/>
    </row>
    <row r="33" spans="1:26" ht="14.45" customHeight="1" x14ac:dyDescent="0.25">
      <c r="A33" s="23"/>
      <c r="K33" s="204"/>
      <c r="Z33" s="23"/>
    </row>
    <row r="34" spans="1:26" ht="14.45" customHeight="1" x14ac:dyDescent="0.25">
      <c r="A34" s="23"/>
      <c r="K34" s="204"/>
      <c r="Z34" s="23"/>
    </row>
    <row r="35" spans="1:26" ht="14.45" customHeight="1" x14ac:dyDescent="0.25">
      <c r="A35" s="23"/>
      <c r="K35" s="204"/>
      <c r="Z35" s="23"/>
    </row>
    <row r="36" spans="1:26" ht="14.45" customHeight="1" x14ac:dyDescent="0.25">
      <c r="A36" s="23"/>
      <c r="K36" s="204"/>
      <c r="Z36" s="23"/>
    </row>
    <row r="37" spans="1:26" ht="14.45" customHeight="1" x14ac:dyDescent="0.25">
      <c r="A37" s="23"/>
      <c r="K37" s="204"/>
      <c r="Z37" s="23"/>
    </row>
    <row r="38" spans="1:26" ht="14.45" customHeight="1" x14ac:dyDescent="0.25">
      <c r="A38" s="23"/>
      <c r="K38" s="204"/>
      <c r="Z38" s="23"/>
    </row>
    <row r="39" spans="1:26" ht="14.45" customHeight="1" x14ac:dyDescent="0.25">
      <c r="A39" s="23"/>
      <c r="K39" s="204"/>
      <c r="Z39" s="23"/>
    </row>
    <row r="40" spans="1:26" ht="14.45" customHeight="1" x14ac:dyDescent="0.25">
      <c r="A40" s="23"/>
      <c r="K40" s="204"/>
      <c r="Z40" s="23"/>
    </row>
    <row r="41" spans="1:26" ht="14.45" customHeight="1" x14ac:dyDescent="0.25">
      <c r="A41" s="23"/>
      <c r="K41" s="204"/>
      <c r="Z41" s="23"/>
    </row>
    <row r="42" spans="1:26" ht="14.45" customHeight="1" x14ac:dyDescent="0.25">
      <c r="A42" s="23"/>
      <c r="K42" s="204"/>
      <c r="Z42" s="23"/>
    </row>
    <row r="43" spans="1:26" ht="14.45" customHeight="1" x14ac:dyDescent="0.25">
      <c r="A43" s="23"/>
      <c r="K43" s="204"/>
      <c r="Z43" s="23"/>
    </row>
    <row r="44" spans="1:26" ht="14.45" customHeight="1" x14ac:dyDescent="0.25">
      <c r="A44" s="23"/>
      <c r="K44" s="204"/>
      <c r="Z44" s="23"/>
    </row>
    <row r="45" spans="1:26" ht="14.45" customHeight="1" x14ac:dyDescent="0.25">
      <c r="A45" s="23"/>
      <c r="K45" s="204"/>
      <c r="Z45" s="23"/>
    </row>
    <row r="46" spans="1:26" ht="14.45" customHeight="1" x14ac:dyDescent="0.25">
      <c r="A46" s="23"/>
      <c r="K46" s="204"/>
      <c r="Z46" s="23"/>
    </row>
    <row r="47" spans="1:26" ht="14.45" customHeight="1" x14ac:dyDescent="0.25">
      <c r="A47" s="23"/>
      <c r="K47" s="204"/>
      <c r="Z47" s="23"/>
    </row>
    <row r="48" spans="1:26" ht="14.45" customHeight="1" x14ac:dyDescent="0.25">
      <c r="A48" s="23"/>
      <c r="K48" s="204"/>
      <c r="Z48" s="23"/>
    </row>
    <row r="49" spans="1:29" ht="14.45" customHeight="1" x14ac:dyDescent="0.25">
      <c r="A49" s="23"/>
      <c r="K49" s="204"/>
      <c r="Z49" s="23"/>
    </row>
    <row r="50" spans="1:29" ht="14.45" customHeight="1" x14ac:dyDescent="0.25">
      <c r="A50" s="23"/>
      <c r="K50" s="204"/>
      <c r="Z50" s="23"/>
    </row>
    <row r="51" spans="1:29" ht="14.45" customHeight="1" x14ac:dyDescent="0.25">
      <c r="A51" s="23"/>
      <c r="K51" s="204"/>
      <c r="Z51" s="23"/>
    </row>
    <row r="52" spans="1:29" ht="14.45" customHeight="1" x14ac:dyDescent="0.25">
      <c r="A52" s="23"/>
      <c r="K52" s="204"/>
      <c r="Z52" s="23"/>
    </row>
    <row r="53" spans="1:29" ht="14.45" customHeight="1" x14ac:dyDescent="0.25">
      <c r="A53" s="23"/>
      <c r="K53" s="204"/>
      <c r="Z53" s="23"/>
    </row>
    <row r="54" spans="1:29" ht="14.45" customHeight="1" x14ac:dyDescent="0.25">
      <c r="A54" s="23"/>
      <c r="K54" s="204"/>
      <c r="Z54" s="23"/>
    </row>
    <row r="55" spans="1:29" ht="14.45" customHeight="1" x14ac:dyDescent="0.25">
      <c r="A55" s="23"/>
      <c r="K55" s="204"/>
      <c r="Z55" s="23"/>
    </row>
    <row r="56" spans="1:29" ht="14.45" customHeight="1" x14ac:dyDescent="0.25">
      <c r="A56" s="23"/>
      <c r="K56" s="204"/>
      <c r="Z56" s="23"/>
    </row>
    <row r="57" spans="1:29" ht="14.45" customHeight="1" x14ac:dyDescent="0.25">
      <c r="A57" s="23"/>
      <c r="K57" s="204"/>
      <c r="Z57" s="23"/>
    </row>
    <row r="58" spans="1:29" ht="14.45" customHeight="1" x14ac:dyDescent="0.25">
      <c r="A58" s="23"/>
      <c r="K58" s="204"/>
      <c r="Z58" s="23"/>
    </row>
    <row r="59" spans="1:29" ht="14.45" customHeight="1" x14ac:dyDescent="0.25">
      <c r="A59" s="23"/>
      <c r="K59" s="204"/>
      <c r="Z59" s="23"/>
    </row>
    <row r="60" spans="1:29" ht="14.45" customHeight="1" x14ac:dyDescent="0.25">
      <c r="A60" s="23"/>
      <c r="K60" s="204"/>
      <c r="Z60" s="23"/>
    </row>
    <row r="61" spans="1:29" ht="14.45" customHeight="1" x14ac:dyDescent="0.25">
      <c r="A61" s="23"/>
      <c r="K61" s="204"/>
      <c r="Z61" s="23"/>
    </row>
    <row r="62" spans="1:29" ht="14.45" customHeight="1" x14ac:dyDescent="0.25">
      <c r="A62" s="23"/>
      <c r="K62" s="204"/>
      <c r="Z62" s="23"/>
    </row>
    <row r="63" spans="1:29" ht="14.45" customHeight="1" x14ac:dyDescent="0.25">
      <c r="A63" s="145"/>
      <c r="B63" s="145"/>
      <c r="C63" s="145"/>
      <c r="D63" s="145"/>
      <c r="E63" s="145"/>
      <c r="F63" s="145"/>
      <c r="G63" s="145"/>
      <c r="H63" s="145"/>
      <c r="I63" s="145"/>
      <c r="J63" s="145"/>
      <c r="K63" s="145"/>
      <c r="L63" s="145"/>
      <c r="X63" s="145"/>
      <c r="Y63" s="145"/>
      <c r="Z63" s="145"/>
      <c r="AA63" s="145"/>
      <c r="AB63" s="145"/>
      <c r="AC63" s="145"/>
    </row>
    <row r="64" spans="1:29" ht="14.45" customHeight="1" x14ac:dyDescent="0.25">
      <c r="X64" s="27"/>
      <c r="Z64" s="23"/>
      <c r="AA64" s="201" t="str" cm="1">
        <f t="array" ref="AA64:AC64">AA6:AC6</f>
        <v>Pt Froid</v>
      </c>
      <c r="AB64" s="201" t="str">
        <v>Regulation</v>
      </c>
      <c r="AC64" s="201" t="str">
        <v>Pt Chaud</v>
      </c>
    </row>
    <row r="65" spans="1:29" ht="14.45" customHeight="1" x14ac:dyDescent="0.25">
      <c r="X65" s="27"/>
      <c r="Z65" s="197" t="s">
        <v>90</v>
      </c>
      <c r="AA65" s="43">
        <f>MAX(tab_four385[Pt Froid])</f>
        <v>0</v>
      </c>
      <c r="AB65" s="43">
        <f>MAX(tab_four385[Regulation])</f>
        <v>0</v>
      </c>
      <c r="AC65" s="43">
        <f>MAX(tab_four385[Pt Chaud])</f>
        <v>0</v>
      </c>
    </row>
    <row r="66" spans="1:29" ht="14.45" customHeight="1" x14ac:dyDescent="0.25">
      <c r="X66" s="27"/>
      <c r="Z66" s="197" t="s">
        <v>91</v>
      </c>
      <c r="AA66" s="43" t="e">
        <f ca="1">MAX(OFFSET(INDEX(tab_four385[Pt Froid],1),COUNT(tab_four385[Pt Froid])-30,0,30))</f>
        <v>#REF!</v>
      </c>
      <c r="AB66" s="43" t="e">
        <f ca="1">MAX(OFFSET(INDEX(tab_four385[Regulation],1),COUNT(tab_four385[Regulation])-30,0,30))</f>
        <v>#REF!</v>
      </c>
      <c r="AC66" s="43" t="e">
        <f ca="1">MAX(OFFSET(INDEX(tab_four385[Pt Chaud],1),COUNT(tab_four385[Pt Chaud])-30,0,30))</f>
        <v>#REF!</v>
      </c>
    </row>
    <row r="67" spans="1:29" ht="14.45" customHeight="1" x14ac:dyDescent="0.25">
      <c r="X67" s="27"/>
      <c r="Z67" s="197" t="s">
        <v>93</v>
      </c>
      <c r="AA67" s="43" t="e">
        <f ca="1">MIN(OFFSET(INDEX(tab_four385[Pt Froid],1),COUNT(tab_four385[Pt Froid])-30,0,30))</f>
        <v>#REF!</v>
      </c>
      <c r="AB67" s="43" t="e">
        <f ca="1">MIN(OFFSET(INDEX(tab_four385[Regulation],1),COUNT(tab_four385[Regulation])-30,0,30))</f>
        <v>#REF!</v>
      </c>
      <c r="AC67" s="43" t="e">
        <f ca="1">MIN(OFFSET(INDEX(tab_four385[Pt Chaud],1),COUNT(tab_four385[Pt Chaud])-30,0,30))</f>
        <v>#REF!</v>
      </c>
    </row>
    <row r="68" spans="1:29" ht="14.45" customHeight="1" x14ac:dyDescent="0.25">
      <c r="X68" s="27"/>
      <c r="Z68" s="197" t="s">
        <v>95</v>
      </c>
      <c r="AA68" s="43" t="e">
        <f ca="1">AVERAGE(OFFSET(INDEX(tab_four385[Pt Froid],1),COUNT(tab_four385[Pt Froid])-30,0,30))</f>
        <v>#REF!</v>
      </c>
      <c r="AB68" s="43" t="e">
        <f ca="1">AVERAGE(OFFSET(INDEX(tab_four385[Regulation],1),COUNT(tab_four385[Regulation])-30,0,30))</f>
        <v>#REF!</v>
      </c>
      <c r="AC68" s="43" t="e">
        <f ca="1">AVERAGE(OFFSET(INDEX(tab_four385[Pt Chaud],1),COUNT(tab_four385[Pt Chaud])-30,0,30))</f>
        <v>#REF!</v>
      </c>
    </row>
    <row r="69" spans="1:29" ht="14.45" customHeight="1" x14ac:dyDescent="0.25">
      <c r="X69" s="27"/>
    </row>
    <row r="70" spans="1:29" ht="14.45" customHeight="1" x14ac:dyDescent="0.25">
      <c r="X70" s="27"/>
      <c r="Z70" s="23"/>
    </row>
    <row r="71" spans="1:29" x14ac:dyDescent="0.25">
      <c r="X71" s="27"/>
    </row>
    <row r="72" spans="1:29" x14ac:dyDescent="0.25">
      <c r="X72" s="27"/>
    </row>
    <row r="73" spans="1:29" x14ac:dyDescent="0.25">
      <c r="X73" s="27"/>
    </row>
    <row r="76" spans="1:29" x14ac:dyDescent="0.25">
      <c r="A76" s="191"/>
      <c r="B76" s="27"/>
      <c r="C76" s="27"/>
      <c r="D76" s="27"/>
      <c r="E76" s="27"/>
      <c r="F76" s="27"/>
      <c r="G76" s="27"/>
      <c r="H76" s="27"/>
      <c r="I76" s="27"/>
      <c r="J76" s="27"/>
      <c r="K76" s="27"/>
    </row>
    <row r="77" spans="1:29" x14ac:dyDescent="0.25">
      <c r="A77" s="191"/>
      <c r="B77" s="27"/>
      <c r="C77" s="27"/>
      <c r="D77" s="27"/>
      <c r="E77" s="27"/>
      <c r="F77" s="27"/>
      <c r="G77" s="27"/>
      <c r="H77" s="27"/>
      <c r="I77" s="27"/>
      <c r="J77" s="27"/>
      <c r="K77" s="27"/>
    </row>
    <row r="78" spans="1:29" x14ac:dyDescent="0.25">
      <c r="A78" s="191"/>
      <c r="B78" s="27"/>
      <c r="C78" s="27"/>
      <c r="D78" s="27"/>
      <c r="E78" s="27"/>
      <c r="F78" s="27"/>
      <c r="G78" s="27"/>
      <c r="H78" s="27"/>
      <c r="I78" s="27"/>
      <c r="J78" s="27"/>
      <c r="K78" s="27"/>
    </row>
    <row r="79" spans="1:29" x14ac:dyDescent="0.25">
      <c r="A79" s="191"/>
      <c r="B79" s="27"/>
      <c r="C79" s="27"/>
      <c r="D79" s="27"/>
      <c r="E79" s="27"/>
      <c r="F79" s="27"/>
      <c r="G79" s="27"/>
      <c r="H79" s="27"/>
      <c r="I79" s="27"/>
      <c r="J79" s="27"/>
      <c r="K79" s="27"/>
    </row>
    <row r="80" spans="1:29" x14ac:dyDescent="0.25">
      <c r="A80" s="191"/>
      <c r="B80" s="27"/>
      <c r="C80" s="27"/>
      <c r="D80" s="27"/>
      <c r="E80" s="27"/>
      <c r="F80" s="27"/>
      <c r="G80" s="27"/>
      <c r="H80" s="27"/>
      <c r="I80" s="27"/>
      <c r="J80" s="27"/>
      <c r="K80" s="27"/>
    </row>
    <row r="81" spans="1:11" x14ac:dyDescent="0.25">
      <c r="A81" s="191"/>
      <c r="B81" s="27"/>
      <c r="C81" s="27"/>
      <c r="D81" s="27"/>
      <c r="E81" s="27"/>
      <c r="F81" s="27"/>
      <c r="G81" s="27"/>
      <c r="H81" s="27"/>
      <c r="I81" s="27"/>
      <c r="J81" s="27"/>
      <c r="K81" s="27"/>
    </row>
    <row r="82" spans="1:11" x14ac:dyDescent="0.25">
      <c r="A82" s="191"/>
      <c r="B82" s="27"/>
      <c r="C82" s="27"/>
      <c r="D82" s="27"/>
      <c r="E82" s="27"/>
      <c r="F82" s="27"/>
      <c r="G82" s="27"/>
      <c r="I82" s="27"/>
      <c r="J82" s="27"/>
      <c r="K82" s="27"/>
    </row>
    <row r="83" spans="1:11" x14ac:dyDescent="0.25">
      <c r="A83" s="191"/>
      <c r="B83" s="27"/>
      <c r="C83" s="27"/>
      <c r="D83" s="27"/>
      <c r="E83" s="27"/>
      <c r="F83" s="27"/>
      <c r="G83" s="27"/>
      <c r="H83" s="27"/>
      <c r="I83" s="27"/>
      <c r="J83" s="27"/>
      <c r="K83" s="27"/>
    </row>
    <row r="84" spans="1:11" x14ac:dyDescent="0.25">
      <c r="A84" s="191"/>
      <c r="B84" s="27"/>
      <c r="C84" s="27"/>
      <c r="D84" s="27"/>
      <c r="E84" s="27"/>
      <c r="F84" s="27"/>
      <c r="G84" s="27"/>
      <c r="I84" s="27"/>
      <c r="J84" s="27"/>
      <c r="K84" s="27"/>
    </row>
    <row r="85" spans="1:11" x14ac:dyDescent="0.25">
      <c r="A85" s="191"/>
      <c r="B85" s="27"/>
      <c r="C85" s="27"/>
      <c r="D85" s="27"/>
      <c r="E85" s="27"/>
      <c r="F85" s="27"/>
      <c r="G85" s="27"/>
      <c r="H85" s="27"/>
      <c r="I85" s="27"/>
      <c r="J85" s="27"/>
      <c r="K85" s="27"/>
    </row>
    <row r="86" spans="1:11" x14ac:dyDescent="0.25">
      <c r="A86" s="191"/>
      <c r="B86" s="27"/>
      <c r="C86" s="27"/>
      <c r="D86" s="27"/>
      <c r="E86" s="27"/>
      <c r="F86" s="27"/>
      <c r="G86" s="27"/>
      <c r="H86" s="27"/>
      <c r="I86" s="27"/>
      <c r="J86" s="27"/>
      <c r="K86" s="27"/>
    </row>
    <row r="87" spans="1:11" x14ac:dyDescent="0.25">
      <c r="A87" s="191"/>
      <c r="B87" s="27"/>
      <c r="C87" s="27"/>
      <c r="D87" s="27"/>
      <c r="E87" s="27"/>
      <c r="F87" s="27"/>
      <c r="G87" s="27"/>
      <c r="H87" s="27"/>
      <c r="I87" s="27"/>
      <c r="J87" s="27"/>
      <c r="K87" s="27"/>
    </row>
    <row r="88" spans="1:11" x14ac:dyDescent="0.25">
      <c r="A88" s="191"/>
      <c r="B88" s="27"/>
      <c r="C88" s="27"/>
      <c r="D88" s="27"/>
      <c r="E88" s="27"/>
      <c r="F88" s="27"/>
      <c r="G88" s="27"/>
      <c r="H88" s="27"/>
      <c r="I88" s="27"/>
      <c r="J88" s="27"/>
      <c r="K88" s="27"/>
    </row>
    <row r="89" spans="1:11" x14ac:dyDescent="0.25">
      <c r="A89" s="191"/>
      <c r="B89" s="27"/>
      <c r="C89" s="27"/>
      <c r="D89" s="27"/>
      <c r="E89" s="27"/>
      <c r="F89" s="27"/>
      <c r="G89" s="27"/>
      <c r="H89" s="27"/>
      <c r="I89" s="27"/>
      <c r="J89" s="27"/>
      <c r="K89" s="27"/>
    </row>
    <row r="90" spans="1:11" x14ac:dyDescent="0.25">
      <c r="A90" s="191"/>
      <c r="B90" s="27"/>
      <c r="C90" s="27"/>
      <c r="D90" s="27"/>
      <c r="E90" s="27"/>
      <c r="F90" s="27"/>
      <c r="G90" s="27"/>
      <c r="H90" s="27"/>
      <c r="I90" s="27"/>
      <c r="J90" s="27"/>
      <c r="K90" s="27"/>
    </row>
    <row r="91" spans="1:11" x14ac:dyDescent="0.25">
      <c r="A91" s="191"/>
      <c r="B91" s="27"/>
      <c r="C91" s="27"/>
      <c r="D91" s="27"/>
      <c r="E91" s="27"/>
      <c r="F91" s="27"/>
      <c r="G91" s="27"/>
      <c r="H91" s="27"/>
      <c r="I91" s="27"/>
      <c r="J91" s="27"/>
      <c r="K91" s="27"/>
    </row>
    <row r="92" spans="1:11" x14ac:dyDescent="0.25">
      <c r="A92" s="191"/>
      <c r="B92" s="27"/>
      <c r="C92" s="27"/>
      <c r="D92" s="27"/>
      <c r="E92" s="27"/>
      <c r="F92" s="27"/>
      <c r="G92" s="27"/>
      <c r="H92" s="27"/>
      <c r="I92" s="27"/>
      <c r="J92" s="27"/>
      <c r="K92" s="27"/>
    </row>
    <row r="93" spans="1:11" x14ac:dyDescent="0.25">
      <c r="A93" s="191"/>
      <c r="B93" s="27"/>
      <c r="C93" s="27"/>
      <c r="D93" s="27"/>
      <c r="E93" s="27"/>
      <c r="F93" s="27"/>
      <c r="G93" s="27"/>
      <c r="H93" s="27"/>
      <c r="I93" s="27"/>
      <c r="J93" s="27"/>
      <c r="K93" s="27"/>
    </row>
    <row r="94" spans="1:11" x14ac:dyDescent="0.25">
      <c r="A94" s="191"/>
      <c r="B94" s="27"/>
      <c r="C94" s="27"/>
      <c r="D94" s="27"/>
      <c r="E94" s="27"/>
      <c r="F94" s="27"/>
      <c r="G94" s="27"/>
      <c r="H94" s="27"/>
      <c r="I94" s="27"/>
      <c r="J94" s="27"/>
      <c r="K94" s="27"/>
    </row>
    <row r="95" spans="1:11" x14ac:dyDescent="0.25">
      <c r="A95" s="191"/>
      <c r="B95" s="27"/>
      <c r="C95" s="27"/>
      <c r="D95" s="27"/>
      <c r="E95" s="27"/>
      <c r="F95" s="27"/>
      <c r="G95" s="27"/>
      <c r="H95" s="27"/>
      <c r="I95" s="27"/>
      <c r="J95" s="27"/>
      <c r="K95" s="27"/>
    </row>
    <row r="96" spans="1:11" x14ac:dyDescent="0.25">
      <c r="A96" s="191"/>
      <c r="B96" s="27"/>
      <c r="C96" s="27"/>
      <c r="D96" s="27"/>
      <c r="E96" s="27"/>
      <c r="F96" s="27"/>
      <c r="G96" s="27"/>
      <c r="H96" s="27"/>
      <c r="I96" s="27"/>
      <c r="J96" s="27"/>
      <c r="K96" s="27"/>
    </row>
    <row r="97" spans="1:11" x14ac:dyDescent="0.25">
      <c r="A97" s="191"/>
      <c r="B97" s="27"/>
      <c r="C97" s="27"/>
      <c r="D97" s="27"/>
      <c r="E97" s="27"/>
      <c r="F97" s="27"/>
      <c r="G97" s="27"/>
      <c r="H97" s="27"/>
      <c r="I97" s="27"/>
      <c r="J97" s="27"/>
      <c r="K97" s="27"/>
    </row>
    <row r="98" spans="1:11" x14ac:dyDescent="0.25">
      <c r="A98" s="191"/>
      <c r="B98" s="27"/>
      <c r="C98" s="27"/>
      <c r="D98" s="27"/>
      <c r="E98" s="27"/>
      <c r="F98" s="27"/>
      <c r="G98" s="27"/>
      <c r="H98" s="27"/>
      <c r="I98" s="27"/>
      <c r="J98" s="27"/>
      <c r="K98" s="27"/>
    </row>
    <row r="99" spans="1:11" x14ac:dyDescent="0.25">
      <c r="A99" s="191"/>
      <c r="B99" s="27"/>
      <c r="C99" s="27"/>
      <c r="D99" s="27"/>
      <c r="E99" s="27"/>
      <c r="F99" s="27"/>
      <c r="G99" s="27"/>
      <c r="H99" s="27"/>
      <c r="I99" s="27"/>
      <c r="J99" s="27"/>
      <c r="K99" s="27"/>
    </row>
    <row r="100" spans="1:11" x14ac:dyDescent="0.25">
      <c r="A100" s="191"/>
      <c r="B100" s="27"/>
      <c r="C100" s="27"/>
      <c r="D100" s="27"/>
      <c r="E100" s="27"/>
      <c r="F100" s="27"/>
      <c r="G100" s="27"/>
      <c r="H100" s="27"/>
      <c r="I100" s="27"/>
      <c r="J100" s="27"/>
      <c r="K100" s="27"/>
    </row>
    <row r="101" spans="1:11" x14ac:dyDescent="0.25">
      <c r="A101" s="191"/>
      <c r="B101" s="27"/>
      <c r="C101" s="27"/>
      <c r="D101" s="27"/>
      <c r="E101" s="27"/>
      <c r="F101" s="27"/>
      <c r="G101" s="27"/>
      <c r="H101" s="27"/>
      <c r="I101" s="27"/>
      <c r="J101" s="27"/>
      <c r="K101" s="27"/>
    </row>
    <row r="102" spans="1:11" x14ac:dyDescent="0.25">
      <c r="A102" s="191"/>
      <c r="B102" s="27"/>
      <c r="C102" s="27"/>
      <c r="D102" s="27"/>
      <c r="E102" s="27"/>
      <c r="F102" s="27"/>
      <c r="G102" s="27"/>
      <c r="H102" s="27"/>
      <c r="I102" s="27"/>
      <c r="J102" s="27"/>
      <c r="K102" s="27"/>
    </row>
    <row r="103" spans="1:11" x14ac:dyDescent="0.25">
      <c r="A103" s="191"/>
      <c r="B103" s="27"/>
      <c r="C103" s="27"/>
      <c r="D103" s="27"/>
      <c r="E103" s="27"/>
      <c r="F103" s="27"/>
      <c r="G103" s="27"/>
      <c r="H103" s="27"/>
      <c r="I103" s="27"/>
      <c r="J103" s="27"/>
      <c r="K103" s="27"/>
    </row>
    <row r="104" spans="1:11" x14ac:dyDescent="0.25">
      <c r="A104" s="191"/>
      <c r="B104" s="27"/>
      <c r="C104" s="27"/>
      <c r="D104" s="27"/>
      <c r="E104" s="27"/>
      <c r="F104" s="27"/>
      <c r="G104" s="27"/>
      <c r="H104" s="27"/>
      <c r="I104" s="27"/>
      <c r="J104" s="27"/>
      <c r="K104" s="27"/>
    </row>
    <row r="105" spans="1:11" x14ac:dyDescent="0.25">
      <c r="A105" s="191"/>
      <c r="B105" s="27"/>
      <c r="C105" s="27"/>
      <c r="D105" s="27"/>
      <c r="E105" s="27"/>
      <c r="F105" s="27"/>
      <c r="G105" s="27"/>
      <c r="H105" s="27"/>
      <c r="I105" s="27"/>
      <c r="J105" s="27"/>
      <c r="K105" s="27"/>
    </row>
    <row r="106" spans="1:11" x14ac:dyDescent="0.25">
      <c r="A106" s="191"/>
      <c r="B106" s="27"/>
      <c r="C106" s="27"/>
      <c r="D106" s="27"/>
      <c r="E106" s="27"/>
      <c r="F106" s="27"/>
      <c r="G106" s="27"/>
      <c r="H106" s="27"/>
      <c r="I106" s="27"/>
      <c r="J106" s="27"/>
      <c r="K106" s="27"/>
    </row>
    <row r="107" spans="1:11" x14ac:dyDescent="0.25">
      <c r="A107" s="191"/>
      <c r="B107" s="27"/>
      <c r="C107" s="27"/>
      <c r="D107" s="27"/>
      <c r="E107" s="27"/>
      <c r="F107" s="27"/>
      <c r="G107" s="27"/>
      <c r="H107" s="27"/>
      <c r="I107" s="27"/>
      <c r="J107" s="27"/>
      <c r="K107" s="27"/>
    </row>
    <row r="108" spans="1:11" x14ac:dyDescent="0.25">
      <c r="A108" s="191"/>
      <c r="B108" s="27"/>
      <c r="C108" s="27"/>
      <c r="D108" s="27"/>
      <c r="E108" s="27"/>
      <c r="F108" s="27"/>
      <c r="G108" s="27"/>
      <c r="H108" s="27"/>
      <c r="I108" s="27"/>
      <c r="J108" s="27"/>
      <c r="K108" s="27"/>
    </row>
    <row r="109" spans="1:11" x14ac:dyDescent="0.25">
      <c r="A109" s="191"/>
      <c r="B109" s="27"/>
      <c r="C109" s="27"/>
      <c r="D109" s="27"/>
      <c r="E109" s="27"/>
      <c r="F109" s="27"/>
      <c r="G109" s="27"/>
      <c r="H109" s="27"/>
      <c r="I109" s="27"/>
      <c r="J109" s="27"/>
      <c r="K109" s="27"/>
    </row>
    <row r="110" spans="1:11" x14ac:dyDescent="0.25">
      <c r="A110" s="191"/>
      <c r="B110" s="27"/>
      <c r="C110" s="27"/>
      <c r="D110" s="27"/>
      <c r="E110" s="27"/>
      <c r="F110" s="27"/>
      <c r="G110" s="27"/>
      <c r="H110" s="27"/>
      <c r="I110" s="27"/>
      <c r="J110" s="27"/>
      <c r="K110" s="27"/>
    </row>
    <row r="111" spans="1:11" x14ac:dyDescent="0.25">
      <c r="A111" s="191"/>
      <c r="B111" s="27"/>
      <c r="C111" s="27"/>
      <c r="D111" s="27"/>
      <c r="E111" s="27"/>
      <c r="F111" s="27"/>
      <c r="G111" s="27"/>
      <c r="H111" s="27"/>
      <c r="I111" s="27"/>
      <c r="J111" s="27"/>
      <c r="K111" s="27"/>
    </row>
    <row r="112" spans="1:11" x14ac:dyDescent="0.25">
      <c r="A112" s="191"/>
      <c r="B112" s="27"/>
      <c r="C112" s="27"/>
      <c r="D112" s="27"/>
      <c r="E112" s="27"/>
      <c r="F112" s="27"/>
      <c r="G112" s="27"/>
      <c r="H112" s="27"/>
      <c r="I112" s="27"/>
      <c r="J112" s="27"/>
      <c r="K112" s="27"/>
    </row>
    <row r="113" spans="1:11" x14ac:dyDescent="0.25">
      <c r="A113" s="191"/>
      <c r="B113" s="27"/>
      <c r="C113" s="27"/>
      <c r="D113" s="27"/>
      <c r="E113" s="27"/>
      <c r="F113" s="27"/>
      <c r="G113" s="27"/>
      <c r="H113" s="27"/>
      <c r="I113" s="27"/>
      <c r="J113" s="27"/>
      <c r="K113" s="27"/>
    </row>
    <row r="114" spans="1:11" x14ac:dyDescent="0.25">
      <c r="A114" s="191"/>
      <c r="B114" s="27"/>
      <c r="C114" s="27"/>
      <c r="D114" s="27"/>
      <c r="E114" s="27"/>
      <c r="F114" s="27"/>
      <c r="G114" s="27"/>
      <c r="H114" s="27"/>
      <c r="I114" s="27"/>
      <c r="J114" s="27"/>
      <c r="K114" s="27"/>
    </row>
    <row r="115" spans="1:11" x14ac:dyDescent="0.25">
      <c r="A115" s="191"/>
      <c r="B115" s="27"/>
      <c r="C115" s="27"/>
      <c r="D115" s="27"/>
      <c r="E115" s="27"/>
      <c r="F115" s="27"/>
      <c r="G115" s="27"/>
      <c r="H115" s="27"/>
      <c r="I115" s="27"/>
      <c r="J115" s="27"/>
      <c r="K115" s="27"/>
    </row>
    <row r="116" spans="1:11" x14ac:dyDescent="0.25">
      <c r="A116" s="191"/>
      <c r="B116" s="27"/>
      <c r="C116" s="27"/>
      <c r="D116" s="27"/>
      <c r="E116" s="27"/>
      <c r="F116" s="27"/>
      <c r="G116" s="27"/>
      <c r="H116" s="27"/>
      <c r="I116" s="27"/>
      <c r="J116" s="27"/>
      <c r="K116" s="27"/>
    </row>
    <row r="117" spans="1:11" x14ac:dyDescent="0.25">
      <c r="A117" s="191"/>
      <c r="B117" s="27"/>
      <c r="C117" s="27"/>
      <c r="D117" s="27"/>
      <c r="E117" s="27"/>
      <c r="F117" s="27"/>
      <c r="G117" s="27"/>
      <c r="H117" s="27"/>
      <c r="I117" s="27"/>
      <c r="J117" s="27"/>
      <c r="K117" s="27"/>
    </row>
    <row r="118" spans="1:11" x14ac:dyDescent="0.25">
      <c r="A118" s="191"/>
      <c r="B118" s="27"/>
      <c r="C118" s="27"/>
      <c r="D118" s="27"/>
      <c r="E118" s="27"/>
      <c r="F118" s="27"/>
      <c r="G118" s="27"/>
      <c r="H118" s="27"/>
      <c r="I118" s="27"/>
      <c r="J118" s="27"/>
      <c r="K118" s="27"/>
    </row>
    <row r="119" spans="1:11" x14ac:dyDescent="0.25">
      <c r="A119" s="191"/>
      <c r="B119" s="27"/>
      <c r="C119" s="27"/>
      <c r="D119" s="27"/>
      <c r="E119" s="27"/>
      <c r="F119" s="27"/>
      <c r="G119" s="27"/>
      <c r="H119" s="27"/>
      <c r="I119" s="27"/>
      <c r="J119" s="27"/>
      <c r="K119" s="27"/>
    </row>
    <row r="120" spans="1:11" x14ac:dyDescent="0.25">
      <c r="A120" s="191"/>
      <c r="B120" s="27"/>
      <c r="C120" s="27"/>
      <c r="D120" s="27"/>
      <c r="E120" s="27"/>
      <c r="F120" s="27"/>
      <c r="G120" s="27"/>
      <c r="H120" s="27"/>
      <c r="I120" s="27"/>
      <c r="J120" s="27"/>
      <c r="K120" s="27"/>
    </row>
    <row r="121" spans="1:11" x14ac:dyDescent="0.25">
      <c r="A121" s="191"/>
      <c r="B121" s="27"/>
      <c r="C121" s="27"/>
      <c r="D121" s="27"/>
      <c r="E121" s="27"/>
      <c r="F121" s="27"/>
      <c r="G121" s="27"/>
      <c r="H121" s="27"/>
      <c r="I121" s="27"/>
      <c r="J121" s="27"/>
      <c r="K121" s="27"/>
    </row>
    <row r="122" spans="1:11" x14ac:dyDescent="0.25">
      <c r="A122" s="191"/>
      <c r="B122" s="27"/>
      <c r="C122" s="27"/>
      <c r="D122" s="27"/>
      <c r="E122" s="27"/>
      <c r="F122" s="27"/>
      <c r="G122" s="27"/>
      <c r="H122" s="27"/>
      <c r="I122" s="27"/>
      <c r="J122" s="27"/>
      <c r="K122" s="27"/>
    </row>
    <row r="123" spans="1:11" x14ac:dyDescent="0.25">
      <c r="A123" s="191"/>
      <c r="B123" s="27"/>
      <c r="C123" s="27"/>
      <c r="D123" s="27"/>
      <c r="E123" s="27"/>
      <c r="F123" s="27"/>
      <c r="G123" s="27"/>
      <c r="H123" s="27"/>
      <c r="I123" s="27"/>
      <c r="J123" s="27"/>
      <c r="K123" s="27"/>
    </row>
    <row r="124" spans="1:11" x14ac:dyDescent="0.25">
      <c r="A124" s="191"/>
      <c r="B124" s="27"/>
      <c r="C124" s="27"/>
      <c r="D124" s="27"/>
      <c r="E124" s="27"/>
      <c r="F124" s="27"/>
      <c r="G124" s="27"/>
      <c r="H124" s="27"/>
      <c r="I124" s="27"/>
      <c r="J124" s="27"/>
      <c r="K124" s="27"/>
    </row>
    <row r="125" spans="1:11" x14ac:dyDescent="0.25">
      <c r="A125" s="191"/>
      <c r="B125" s="27"/>
      <c r="C125" s="27"/>
      <c r="D125" s="27"/>
      <c r="E125" s="27"/>
      <c r="F125" s="27"/>
      <c r="G125" s="27"/>
      <c r="H125" s="27"/>
      <c r="I125" s="27"/>
      <c r="J125" s="27"/>
      <c r="K125" s="27"/>
    </row>
    <row r="126" spans="1:11" x14ac:dyDescent="0.25">
      <c r="A126" s="191"/>
      <c r="B126" s="27"/>
      <c r="C126" s="27"/>
      <c r="D126" s="27"/>
      <c r="E126" s="27"/>
      <c r="F126" s="27"/>
      <c r="G126" s="27"/>
      <c r="H126" s="27"/>
      <c r="I126" s="27"/>
      <c r="J126" s="27"/>
      <c r="K126" s="27"/>
    </row>
    <row r="127" spans="1:11" x14ac:dyDescent="0.25">
      <c r="A127" s="191"/>
      <c r="B127" s="27"/>
      <c r="C127" s="27"/>
      <c r="D127" s="27"/>
      <c r="E127" s="27"/>
      <c r="F127" s="27"/>
      <c r="G127" s="27"/>
      <c r="H127" s="27"/>
      <c r="I127" s="27"/>
      <c r="J127" s="27"/>
      <c r="K127" s="27"/>
    </row>
    <row r="128" spans="1:11" x14ac:dyDescent="0.25">
      <c r="A128" s="191"/>
      <c r="B128" s="27"/>
      <c r="C128" s="27"/>
      <c r="D128" s="27"/>
      <c r="E128" s="27"/>
      <c r="F128" s="27"/>
      <c r="G128" s="27"/>
      <c r="H128" s="27"/>
      <c r="I128" s="27"/>
      <c r="J128" s="27"/>
      <c r="K128" s="27"/>
    </row>
    <row r="129" spans="1:11" x14ac:dyDescent="0.25">
      <c r="A129" s="191"/>
      <c r="B129" s="27"/>
      <c r="C129" s="27"/>
      <c r="D129" s="27"/>
      <c r="E129" s="27"/>
      <c r="F129" s="27"/>
      <c r="G129" s="27"/>
      <c r="H129" s="27"/>
      <c r="I129" s="27"/>
      <c r="J129" s="27"/>
      <c r="K129" s="27"/>
    </row>
    <row r="130" spans="1:11" x14ac:dyDescent="0.25">
      <c r="A130" s="191"/>
      <c r="B130" s="27"/>
      <c r="C130" s="27"/>
      <c r="D130" s="27"/>
      <c r="E130" s="27"/>
      <c r="F130" s="27"/>
      <c r="G130" s="27"/>
      <c r="H130" s="27"/>
      <c r="I130" s="27"/>
      <c r="J130" s="27"/>
      <c r="K130" s="27"/>
    </row>
    <row r="131" spans="1:11" x14ac:dyDescent="0.25">
      <c r="A131" s="191"/>
      <c r="B131" s="27"/>
      <c r="C131" s="27"/>
      <c r="D131" s="27"/>
      <c r="E131" s="27"/>
      <c r="F131" s="27"/>
      <c r="G131" s="27"/>
      <c r="H131" s="27"/>
      <c r="I131" s="27"/>
      <c r="J131" s="27"/>
      <c r="K131" s="27"/>
    </row>
    <row r="132" spans="1:11" x14ac:dyDescent="0.25">
      <c r="A132" s="191"/>
      <c r="B132" s="27"/>
      <c r="C132" s="27"/>
      <c r="D132" s="27"/>
      <c r="E132" s="27"/>
      <c r="F132" s="27"/>
      <c r="G132" s="27"/>
      <c r="H132" s="27"/>
      <c r="I132" s="27"/>
      <c r="J132" s="27"/>
      <c r="K132" s="27"/>
    </row>
    <row r="133" spans="1:11" x14ac:dyDescent="0.25">
      <c r="A133" s="191"/>
      <c r="B133" s="27"/>
      <c r="C133" s="27"/>
      <c r="D133" s="27"/>
      <c r="E133" s="27"/>
      <c r="F133" s="27"/>
      <c r="G133" s="27"/>
      <c r="H133" s="27"/>
      <c r="I133" s="27"/>
      <c r="J133" s="27"/>
      <c r="K133" s="27"/>
    </row>
    <row r="134" spans="1:11" x14ac:dyDescent="0.25">
      <c r="A134" s="191"/>
      <c r="B134" s="27"/>
      <c r="C134" s="27"/>
      <c r="D134" s="27"/>
      <c r="E134" s="27"/>
      <c r="F134" s="27"/>
      <c r="G134" s="27"/>
      <c r="H134" s="27"/>
      <c r="I134" s="27"/>
      <c r="J134" s="27"/>
      <c r="K134" s="27"/>
    </row>
    <row r="135" spans="1:11" x14ac:dyDescent="0.25">
      <c r="A135" s="191"/>
      <c r="B135" s="27"/>
      <c r="C135" s="27"/>
      <c r="D135" s="27"/>
      <c r="E135" s="27"/>
      <c r="F135" s="27"/>
      <c r="G135" s="27"/>
      <c r="H135" s="27"/>
      <c r="I135" s="27"/>
      <c r="J135" s="27"/>
      <c r="K135" s="27"/>
    </row>
    <row r="136" spans="1:11" x14ac:dyDescent="0.25">
      <c r="A136" s="191"/>
      <c r="B136" s="27"/>
      <c r="C136" s="27"/>
      <c r="D136" s="27"/>
      <c r="E136" s="27"/>
      <c r="F136" s="27"/>
      <c r="G136" s="27"/>
      <c r="H136" s="27"/>
      <c r="I136" s="27"/>
      <c r="J136" s="27"/>
      <c r="K136" s="27"/>
    </row>
    <row r="137" spans="1:11" x14ac:dyDescent="0.25">
      <c r="A137" s="191"/>
      <c r="B137" s="27"/>
      <c r="C137" s="27"/>
      <c r="D137" s="27"/>
      <c r="E137" s="27"/>
      <c r="F137" s="27"/>
      <c r="G137" s="27"/>
      <c r="H137" s="27"/>
      <c r="I137" s="27"/>
      <c r="J137" s="27"/>
      <c r="K137" s="27"/>
    </row>
    <row r="138" spans="1:11" x14ac:dyDescent="0.25">
      <c r="A138" s="191"/>
      <c r="B138" s="27"/>
      <c r="C138" s="27"/>
      <c r="D138" s="27"/>
      <c r="E138" s="27"/>
      <c r="F138" s="27"/>
      <c r="G138" s="27"/>
      <c r="H138" s="27"/>
      <c r="I138" s="27"/>
      <c r="J138" s="27"/>
      <c r="K138" s="27"/>
    </row>
    <row r="139" spans="1:11" x14ac:dyDescent="0.25">
      <c r="A139" s="191"/>
      <c r="B139" s="27"/>
      <c r="C139" s="27"/>
      <c r="D139" s="27"/>
      <c r="E139" s="27"/>
      <c r="F139" s="27"/>
      <c r="G139" s="27"/>
      <c r="H139" s="27"/>
      <c r="I139" s="27"/>
      <c r="J139" s="27"/>
      <c r="K139" s="27"/>
    </row>
    <row r="140" spans="1:11" x14ac:dyDescent="0.25">
      <c r="A140" s="191"/>
      <c r="B140" s="27"/>
      <c r="C140" s="27"/>
      <c r="D140" s="27"/>
      <c r="E140" s="27"/>
      <c r="F140" s="27"/>
      <c r="G140" s="27"/>
      <c r="H140" s="27"/>
      <c r="I140" s="27"/>
      <c r="J140" s="27"/>
      <c r="K140" s="27"/>
    </row>
    <row r="141" spans="1:11" x14ac:dyDescent="0.25">
      <c r="A141" s="191"/>
      <c r="B141" s="27"/>
      <c r="C141" s="27"/>
      <c r="D141" s="27"/>
      <c r="E141" s="27"/>
      <c r="F141" s="27"/>
      <c r="G141" s="27"/>
      <c r="H141" s="27"/>
      <c r="I141" s="27"/>
      <c r="J141" s="27"/>
      <c r="K141" s="27"/>
    </row>
    <row r="142" spans="1:11" x14ac:dyDescent="0.25">
      <c r="A142" s="191"/>
      <c r="B142" s="27"/>
      <c r="C142" s="27"/>
      <c r="D142" s="27"/>
      <c r="E142" s="27"/>
      <c r="F142" s="27"/>
      <c r="G142" s="27"/>
      <c r="H142" s="27"/>
      <c r="I142" s="27"/>
      <c r="J142" s="27"/>
      <c r="K142" s="27"/>
    </row>
    <row r="143" spans="1:11" x14ac:dyDescent="0.25">
      <c r="A143" s="191"/>
      <c r="B143" s="27"/>
      <c r="C143" s="27"/>
      <c r="D143" s="27"/>
      <c r="E143" s="27"/>
      <c r="F143" s="27"/>
      <c r="G143" s="27"/>
      <c r="H143" s="27"/>
      <c r="I143" s="27"/>
      <c r="J143" s="27"/>
      <c r="K143" s="27"/>
    </row>
    <row r="144" spans="1:11" x14ac:dyDescent="0.25">
      <c r="A144" s="191"/>
      <c r="B144" s="27"/>
      <c r="C144" s="27"/>
      <c r="D144" s="27"/>
      <c r="E144" s="27"/>
      <c r="F144" s="27"/>
      <c r="G144" s="27"/>
      <c r="H144" s="27"/>
      <c r="I144" s="27"/>
      <c r="J144" s="27"/>
      <c r="K144" s="27"/>
    </row>
    <row r="145" spans="1:11" x14ac:dyDescent="0.25">
      <c r="A145" s="191"/>
      <c r="B145" s="27"/>
      <c r="C145" s="27"/>
      <c r="D145" s="27"/>
      <c r="E145" s="27"/>
      <c r="F145" s="27"/>
      <c r="G145" s="27"/>
      <c r="H145" s="27"/>
      <c r="I145" s="27"/>
      <c r="J145" s="27"/>
      <c r="K145" s="27"/>
    </row>
    <row r="146" spans="1:11" x14ac:dyDescent="0.25">
      <c r="A146" s="191"/>
      <c r="B146" s="27"/>
      <c r="C146" s="27"/>
      <c r="D146" s="27"/>
      <c r="E146" s="27"/>
      <c r="F146" s="27"/>
      <c r="G146" s="27"/>
      <c r="H146" s="27"/>
      <c r="I146" s="27"/>
      <c r="J146" s="27"/>
      <c r="K146" s="27"/>
    </row>
    <row r="147" spans="1:11" x14ac:dyDescent="0.25">
      <c r="A147" s="191"/>
      <c r="B147" s="27"/>
      <c r="C147" s="27"/>
      <c r="D147" s="27"/>
      <c r="E147" s="27"/>
      <c r="F147" s="27"/>
      <c r="G147" s="27"/>
      <c r="H147" s="27"/>
      <c r="I147" s="27"/>
      <c r="J147" s="27"/>
      <c r="K147" s="27"/>
    </row>
    <row r="148" spans="1:11" x14ac:dyDescent="0.25">
      <c r="A148" s="191"/>
      <c r="B148" s="27"/>
      <c r="C148" s="27"/>
      <c r="D148" s="27"/>
      <c r="E148" s="27"/>
      <c r="F148" s="27"/>
      <c r="G148" s="27"/>
      <c r="H148" s="27"/>
      <c r="I148" s="27"/>
      <c r="J148" s="27"/>
      <c r="K148" s="27"/>
    </row>
    <row r="149" spans="1:11" x14ac:dyDescent="0.25">
      <c r="A149" s="191"/>
      <c r="B149" s="27"/>
      <c r="C149" s="27"/>
      <c r="D149" s="27"/>
      <c r="E149" s="27"/>
      <c r="F149" s="27"/>
      <c r="G149" s="27"/>
      <c r="H149" s="27"/>
      <c r="I149" s="27"/>
      <c r="J149" s="27"/>
      <c r="K149" s="27"/>
    </row>
    <row r="150" spans="1:11" x14ac:dyDescent="0.25">
      <c r="A150" s="191"/>
      <c r="B150" s="27"/>
      <c r="C150" s="27"/>
      <c r="D150" s="27"/>
      <c r="E150" s="27"/>
      <c r="F150" s="27"/>
      <c r="G150" s="27"/>
      <c r="H150" s="27"/>
      <c r="I150" s="27"/>
      <c r="J150" s="27"/>
      <c r="K150" s="27"/>
    </row>
    <row r="151" spans="1:11" x14ac:dyDescent="0.25">
      <c r="A151" s="191"/>
      <c r="B151" s="27"/>
      <c r="C151" s="27"/>
      <c r="D151" s="27"/>
      <c r="E151" s="27"/>
      <c r="F151" s="27"/>
      <c r="G151" s="27"/>
      <c r="H151" s="27"/>
      <c r="I151" s="27"/>
      <c r="J151" s="27"/>
      <c r="K151" s="27"/>
    </row>
    <row r="152" spans="1:11" x14ac:dyDescent="0.25">
      <c r="A152" s="191"/>
      <c r="B152" s="27"/>
      <c r="C152" s="27"/>
      <c r="D152" s="27"/>
      <c r="E152" s="27"/>
      <c r="F152" s="27"/>
      <c r="G152" s="27"/>
      <c r="H152" s="27"/>
      <c r="I152" s="27"/>
      <c r="J152" s="27"/>
      <c r="K152" s="27"/>
    </row>
    <row r="153" spans="1:11" x14ac:dyDescent="0.25">
      <c r="A153" s="191"/>
      <c r="B153" s="27"/>
      <c r="C153" s="27"/>
      <c r="D153" s="27"/>
      <c r="E153" s="27"/>
      <c r="F153" s="27"/>
      <c r="G153" s="27"/>
      <c r="H153" s="27"/>
      <c r="I153" s="27"/>
      <c r="J153" s="27"/>
      <c r="K153" s="27"/>
    </row>
    <row r="154" spans="1:11" x14ac:dyDescent="0.25">
      <c r="A154" s="191"/>
      <c r="B154" s="27"/>
      <c r="C154" s="27"/>
      <c r="D154" s="27"/>
      <c r="E154" s="27"/>
      <c r="F154" s="27"/>
      <c r="G154" s="27"/>
      <c r="H154" s="27"/>
      <c r="I154" s="27"/>
      <c r="J154" s="27"/>
      <c r="K154" s="27"/>
    </row>
    <row r="155" spans="1:11" x14ac:dyDescent="0.25">
      <c r="A155" s="191"/>
      <c r="B155" s="27"/>
      <c r="C155" s="27"/>
      <c r="D155" s="27"/>
      <c r="E155" s="27"/>
      <c r="F155" s="27"/>
      <c r="G155" s="27"/>
      <c r="H155" s="27"/>
      <c r="I155" s="27"/>
      <c r="J155" s="27"/>
      <c r="K155" s="27"/>
    </row>
    <row r="156" spans="1:11" x14ac:dyDescent="0.25">
      <c r="A156" s="191"/>
      <c r="B156" s="27"/>
      <c r="C156" s="27"/>
      <c r="D156" s="27"/>
      <c r="E156" s="27"/>
      <c r="F156" s="27"/>
      <c r="G156" s="27"/>
      <c r="H156" s="27"/>
      <c r="I156" s="27"/>
      <c r="J156" s="27"/>
      <c r="K156" s="27"/>
    </row>
    <row r="157" spans="1:11" x14ac:dyDescent="0.25">
      <c r="A157" s="191"/>
      <c r="B157" s="27"/>
      <c r="C157" s="27"/>
      <c r="D157" s="27"/>
      <c r="E157" s="27"/>
      <c r="F157" s="27"/>
      <c r="G157" s="27"/>
      <c r="H157" s="27"/>
      <c r="I157" s="27"/>
      <c r="J157" s="27"/>
      <c r="K157" s="27"/>
    </row>
    <row r="158" spans="1:11" x14ac:dyDescent="0.25">
      <c r="A158" s="191"/>
      <c r="B158" s="27"/>
      <c r="C158" s="27"/>
      <c r="D158" s="27"/>
      <c r="E158" s="27"/>
      <c r="F158" s="27"/>
      <c r="G158" s="27"/>
      <c r="H158" s="27"/>
      <c r="I158" s="27"/>
      <c r="J158" s="27"/>
      <c r="K158" s="27"/>
    </row>
    <row r="159" spans="1:11" x14ac:dyDescent="0.25">
      <c r="A159" s="191"/>
      <c r="B159" s="27"/>
      <c r="C159" s="27"/>
      <c r="D159" s="27"/>
      <c r="E159" s="27"/>
      <c r="F159" s="27"/>
      <c r="G159" s="27"/>
      <c r="H159" s="27"/>
      <c r="I159" s="27"/>
      <c r="J159" s="27"/>
      <c r="K159" s="27"/>
    </row>
    <row r="160" spans="1:11" x14ac:dyDescent="0.25">
      <c r="A160" s="191"/>
      <c r="B160" s="27"/>
      <c r="C160" s="27"/>
      <c r="D160" s="27"/>
      <c r="E160" s="27"/>
      <c r="F160" s="27"/>
      <c r="G160" s="27"/>
      <c r="H160" s="27"/>
      <c r="I160" s="27"/>
      <c r="J160" s="27"/>
      <c r="K160" s="27"/>
    </row>
    <row r="161" spans="1:11" x14ac:dyDescent="0.25">
      <c r="A161" s="191"/>
      <c r="B161" s="27"/>
      <c r="C161" s="27"/>
      <c r="D161" s="27"/>
      <c r="E161" s="27"/>
      <c r="F161" s="27"/>
      <c r="G161" s="27"/>
      <c r="H161" s="27"/>
      <c r="I161" s="27"/>
      <c r="J161" s="27"/>
      <c r="K161" s="27"/>
    </row>
    <row r="162" spans="1:11" x14ac:dyDescent="0.25">
      <c r="A162" s="191"/>
      <c r="B162" s="27"/>
      <c r="C162" s="27"/>
      <c r="D162" s="27"/>
      <c r="E162" s="27"/>
      <c r="F162" s="27"/>
      <c r="G162" s="27"/>
      <c r="H162" s="27"/>
      <c r="I162" s="27"/>
      <c r="J162" s="27"/>
      <c r="K162" s="27"/>
    </row>
    <row r="163" spans="1:11" x14ac:dyDescent="0.25">
      <c r="A163" s="191"/>
      <c r="B163" s="27"/>
      <c r="C163" s="27"/>
      <c r="D163" s="27"/>
      <c r="E163" s="27"/>
      <c r="F163" s="27"/>
      <c r="G163" s="27"/>
      <c r="H163" s="27"/>
      <c r="I163" s="27"/>
      <c r="J163" s="27"/>
      <c r="K163" s="27"/>
    </row>
    <row r="164" spans="1:11" x14ac:dyDescent="0.25">
      <c r="A164" s="191"/>
      <c r="B164" s="27"/>
      <c r="C164" s="27"/>
      <c r="D164" s="27"/>
      <c r="E164" s="27"/>
      <c r="F164" s="27"/>
      <c r="G164" s="27"/>
      <c r="H164" s="27"/>
      <c r="I164" s="27"/>
      <c r="J164" s="27"/>
      <c r="K164" s="27"/>
    </row>
    <row r="165" spans="1:11" x14ac:dyDescent="0.25">
      <c r="A165" s="191"/>
      <c r="B165" s="27"/>
      <c r="C165" s="27"/>
      <c r="D165" s="27"/>
      <c r="E165" s="27"/>
      <c r="F165" s="27"/>
      <c r="G165" s="27"/>
      <c r="H165" s="27"/>
      <c r="I165" s="27"/>
      <c r="J165" s="27"/>
      <c r="K165" s="27"/>
    </row>
    <row r="166" spans="1:11" x14ac:dyDescent="0.25">
      <c r="A166" s="191"/>
      <c r="B166" s="27"/>
      <c r="C166" s="27"/>
      <c r="D166" s="27"/>
      <c r="E166" s="27"/>
      <c r="F166" s="27"/>
      <c r="G166" s="27"/>
      <c r="H166" s="27"/>
      <c r="I166" s="27"/>
      <c r="J166" s="27"/>
      <c r="K166" s="27"/>
    </row>
    <row r="167" spans="1:11" x14ac:dyDescent="0.25">
      <c r="A167" s="191"/>
      <c r="B167" s="27"/>
      <c r="C167" s="27"/>
      <c r="D167" s="27"/>
      <c r="E167" s="27"/>
      <c r="F167" s="27"/>
      <c r="G167" s="27"/>
      <c r="H167" s="27"/>
      <c r="I167" s="27"/>
      <c r="J167" s="27"/>
      <c r="K167" s="27"/>
    </row>
    <row r="168" spans="1:11" x14ac:dyDescent="0.25">
      <c r="A168" s="191"/>
      <c r="B168" s="27"/>
      <c r="C168" s="27"/>
      <c r="D168" s="27"/>
      <c r="E168" s="27"/>
      <c r="F168" s="27"/>
      <c r="G168" s="27"/>
      <c r="H168" s="27"/>
      <c r="I168" s="27"/>
      <c r="J168" s="27"/>
      <c r="K168" s="27"/>
    </row>
    <row r="169" spans="1:11" x14ac:dyDescent="0.25">
      <c r="A169" s="191"/>
      <c r="B169" s="27"/>
      <c r="C169" s="27"/>
      <c r="D169" s="27"/>
      <c r="E169" s="27"/>
      <c r="F169" s="27"/>
      <c r="G169" s="27"/>
      <c r="H169" s="27"/>
      <c r="I169" s="27"/>
      <c r="J169" s="27"/>
      <c r="K169" s="27"/>
    </row>
    <row r="170" spans="1:11" x14ac:dyDescent="0.25">
      <c r="A170" s="191"/>
      <c r="B170" s="27"/>
      <c r="C170" s="27"/>
      <c r="D170" s="27"/>
      <c r="E170" s="27"/>
      <c r="F170" s="27"/>
      <c r="G170" s="27"/>
      <c r="H170" s="27"/>
      <c r="I170" s="27"/>
      <c r="J170" s="27"/>
      <c r="K170" s="27"/>
    </row>
    <row r="171" spans="1:11" x14ac:dyDescent="0.25">
      <c r="A171" s="191"/>
      <c r="B171" s="27"/>
      <c r="C171" s="27"/>
      <c r="D171" s="27"/>
      <c r="E171" s="27"/>
      <c r="F171" s="27"/>
      <c r="G171" s="27"/>
      <c r="H171" s="27"/>
      <c r="I171" s="27"/>
      <c r="J171" s="27"/>
      <c r="K171" s="27"/>
    </row>
    <row r="172" spans="1:11" x14ac:dyDescent="0.25">
      <c r="A172" s="191"/>
      <c r="B172" s="27"/>
      <c r="C172" s="27"/>
      <c r="D172" s="27"/>
      <c r="E172" s="27"/>
      <c r="F172" s="27"/>
      <c r="G172" s="27"/>
      <c r="H172" s="27"/>
      <c r="I172" s="27"/>
      <c r="J172" s="27"/>
      <c r="K172" s="27"/>
    </row>
    <row r="173" spans="1:11" x14ac:dyDescent="0.25">
      <c r="A173" s="191"/>
      <c r="B173" s="27"/>
      <c r="C173" s="27"/>
      <c r="D173" s="27"/>
      <c r="E173" s="27"/>
      <c r="F173" s="27"/>
      <c r="G173" s="27"/>
      <c r="H173" s="27"/>
      <c r="I173" s="27"/>
      <c r="J173" s="27"/>
      <c r="K173" s="27"/>
    </row>
    <row r="174" spans="1:11" x14ac:dyDescent="0.25">
      <c r="A174" s="191"/>
      <c r="B174" s="27"/>
      <c r="C174" s="27"/>
      <c r="D174" s="27"/>
      <c r="E174" s="27"/>
      <c r="F174" s="27"/>
      <c r="G174" s="27"/>
      <c r="H174" s="27"/>
      <c r="I174" s="27"/>
      <c r="J174" s="27"/>
      <c r="K174" s="27"/>
    </row>
    <row r="175" spans="1:11" x14ac:dyDescent="0.25">
      <c r="A175" s="191"/>
      <c r="B175" s="27"/>
      <c r="C175" s="27"/>
      <c r="D175" s="27"/>
      <c r="E175" s="27"/>
      <c r="F175" s="27"/>
      <c r="G175" s="27"/>
      <c r="H175" s="27"/>
      <c r="I175" s="27"/>
      <c r="J175" s="27"/>
      <c r="K175" s="27"/>
    </row>
    <row r="176" spans="1:11" x14ac:dyDescent="0.25">
      <c r="A176" s="191"/>
      <c r="B176" s="27"/>
      <c r="C176" s="27"/>
      <c r="D176" s="27"/>
      <c r="E176" s="27"/>
      <c r="F176" s="27"/>
      <c r="G176" s="27"/>
      <c r="H176" s="27"/>
      <c r="I176" s="27"/>
      <c r="J176" s="27"/>
      <c r="K176" s="27"/>
    </row>
    <row r="177" spans="1:11" x14ac:dyDescent="0.25">
      <c r="A177" s="191"/>
      <c r="B177" s="27"/>
      <c r="C177" s="27"/>
      <c r="D177" s="27"/>
      <c r="E177" s="27"/>
      <c r="F177" s="27"/>
      <c r="G177" s="27"/>
      <c r="H177" s="27"/>
      <c r="I177" s="27"/>
      <c r="J177" s="27"/>
      <c r="K177" s="27"/>
    </row>
    <row r="178" spans="1:11" x14ac:dyDescent="0.25">
      <c r="A178" s="191"/>
      <c r="B178" s="27"/>
      <c r="C178" s="27"/>
      <c r="D178" s="27"/>
      <c r="E178" s="27"/>
      <c r="F178" s="27"/>
      <c r="G178" s="27"/>
      <c r="H178" s="27"/>
      <c r="I178" s="27"/>
      <c r="J178" s="27"/>
      <c r="K178" s="27"/>
    </row>
    <row r="179" spans="1:11" x14ac:dyDescent="0.25">
      <c r="A179" s="191"/>
      <c r="B179" s="27"/>
      <c r="C179" s="27"/>
      <c r="D179" s="27"/>
      <c r="E179" s="27"/>
      <c r="F179" s="27"/>
      <c r="G179" s="27"/>
      <c r="H179" s="27"/>
      <c r="I179" s="27"/>
      <c r="J179" s="27"/>
      <c r="K179" s="27"/>
    </row>
    <row r="180" spans="1:11" x14ac:dyDescent="0.25">
      <c r="A180" s="191"/>
      <c r="B180" s="27"/>
      <c r="C180" s="27"/>
      <c r="D180" s="27"/>
      <c r="E180" s="27"/>
      <c r="F180" s="27"/>
      <c r="G180" s="27"/>
      <c r="H180" s="27"/>
      <c r="I180" s="27"/>
      <c r="J180" s="27"/>
      <c r="K180" s="27"/>
    </row>
    <row r="181" spans="1:11" x14ac:dyDescent="0.25">
      <c r="A181" s="191"/>
      <c r="B181" s="27"/>
      <c r="C181" s="27"/>
      <c r="D181" s="27"/>
      <c r="E181" s="27"/>
      <c r="F181" s="27"/>
      <c r="G181" s="27"/>
      <c r="H181" s="27"/>
      <c r="I181" s="27"/>
      <c r="J181" s="27"/>
      <c r="K181" s="27"/>
    </row>
    <row r="182" spans="1:11" x14ac:dyDescent="0.25">
      <c r="A182" s="191"/>
      <c r="B182" s="27"/>
      <c r="C182" s="27"/>
      <c r="D182" s="27"/>
      <c r="E182" s="27"/>
      <c r="F182" s="27"/>
      <c r="G182" s="27"/>
      <c r="H182" s="27"/>
      <c r="I182" s="27"/>
      <c r="J182" s="27"/>
      <c r="K182" s="27"/>
    </row>
    <row r="183" spans="1:11" x14ac:dyDescent="0.25">
      <c r="A183" s="191"/>
      <c r="B183" s="27"/>
      <c r="C183" s="27"/>
      <c r="D183" s="27"/>
      <c r="E183" s="27"/>
      <c r="F183" s="27"/>
      <c r="G183" s="27"/>
      <c r="H183" s="27"/>
      <c r="I183" s="27"/>
      <c r="J183" s="27"/>
      <c r="K183" s="27"/>
    </row>
    <row r="184" spans="1:11" x14ac:dyDescent="0.25">
      <c r="A184" s="191"/>
      <c r="B184" s="27"/>
      <c r="C184" s="27"/>
      <c r="D184" s="27"/>
      <c r="E184" s="27"/>
      <c r="F184" s="27"/>
      <c r="G184" s="27"/>
      <c r="H184" s="27"/>
      <c r="I184" s="27"/>
      <c r="J184" s="27"/>
      <c r="K184" s="27"/>
    </row>
    <row r="185" spans="1:11" x14ac:dyDescent="0.25">
      <c r="A185" s="191"/>
      <c r="B185" s="27"/>
      <c r="C185" s="27"/>
      <c r="D185" s="27"/>
      <c r="E185" s="27"/>
      <c r="F185" s="27"/>
      <c r="G185" s="27"/>
      <c r="H185" s="27"/>
      <c r="I185" s="27"/>
      <c r="J185" s="27"/>
      <c r="K185" s="27"/>
    </row>
    <row r="186" spans="1:11" x14ac:dyDescent="0.25">
      <c r="A186" s="191"/>
      <c r="B186" s="27"/>
      <c r="C186" s="27"/>
      <c r="D186" s="27"/>
      <c r="E186" s="27"/>
      <c r="F186" s="27"/>
      <c r="G186" s="27"/>
      <c r="H186" s="27"/>
      <c r="I186" s="27"/>
      <c r="J186" s="27"/>
      <c r="K186" s="27"/>
    </row>
    <row r="187" spans="1:11" x14ac:dyDescent="0.25">
      <c r="A187" s="191"/>
      <c r="B187" s="27"/>
      <c r="C187" s="27"/>
      <c r="D187" s="27"/>
      <c r="E187" s="27"/>
      <c r="F187" s="27"/>
      <c r="G187" s="27"/>
      <c r="H187" s="27"/>
      <c r="I187" s="27"/>
      <c r="J187" s="27"/>
      <c r="K187" s="27"/>
    </row>
    <row r="188" spans="1:11" x14ac:dyDescent="0.25">
      <c r="A188" s="191"/>
      <c r="B188" s="27"/>
      <c r="C188" s="27"/>
      <c r="D188" s="27"/>
      <c r="E188" s="27"/>
      <c r="F188" s="27"/>
      <c r="G188" s="27"/>
      <c r="H188" s="27"/>
      <c r="I188" s="27"/>
      <c r="J188" s="27"/>
      <c r="K188" s="27"/>
    </row>
    <row r="189" spans="1:11" x14ac:dyDescent="0.25">
      <c r="A189" s="191"/>
      <c r="B189" s="27"/>
      <c r="C189" s="27"/>
      <c r="D189" s="27"/>
      <c r="E189" s="27"/>
      <c r="F189" s="27"/>
      <c r="G189" s="27"/>
      <c r="H189" s="27"/>
      <c r="I189" s="27"/>
      <c r="J189" s="27"/>
      <c r="K189" s="27"/>
    </row>
  </sheetData>
  <sheetProtection algorithmName="SHA-512" hashValue="+9cZ3uOWGMIH0xjgm2yolb+V5hyLwhb/88Q1dm60v1uns++MSc6JMQU91cMgjzBchhcZJirUmO4SgqrGglFyoA==" saltValue="8r+dB45nHLM+Vs/h540wUQ==" spinCount="100000" sheet="1" objects="1" scenarios="1"/>
  <mergeCells count="6">
    <mergeCell ref="N17:V17"/>
    <mergeCell ref="A5:J5"/>
    <mergeCell ref="M5:V5"/>
    <mergeCell ref="N16:V16"/>
    <mergeCell ref="A1:AC1"/>
    <mergeCell ref="A9:W9"/>
  </mergeCells>
  <conditionalFormatting sqref="N11:V11">
    <cfRule type="cellIs" dxfId="87" priority="6" operator="equal">
      <formula>$W$11</formula>
    </cfRule>
  </conditionalFormatting>
  <conditionalFormatting sqref="N12:V12">
    <cfRule type="cellIs" dxfId="86" priority="2" operator="equal">
      <formula>$W$12</formula>
    </cfRule>
    <cfRule type="cellIs" dxfId="85" priority="5" operator="equal">
      <formula>#REF!</formula>
    </cfRule>
  </conditionalFormatting>
  <conditionalFormatting sqref="N13:V13">
    <cfRule type="cellIs" dxfId="84" priority="1" operator="equal">
      <formula>$W$13</formula>
    </cfRule>
    <cfRule type="cellIs" dxfId="83" priority="3" operator="equal">
      <formula>#REF!</formula>
    </cfRule>
    <cfRule type="cellIs" dxfId="82" priority="4" operator="equal">
      <formula>#REF!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77"/>
  <sheetViews>
    <sheetView zoomScale="85" zoomScaleNormal="85" workbookViewId="0">
      <selection activeCell="N3" sqref="N3"/>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4" bestFit="1" customWidth="1"/>
    <col min="23" max="23" width="10.7109375" style="134"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78" t="str">
        <f>Mesures_Four!G27</f>
        <v>535°C</v>
      </c>
      <c r="B1" s="379"/>
      <c r="C1" s="379"/>
      <c r="D1" s="379"/>
      <c r="E1" s="379"/>
      <c r="F1" s="379"/>
      <c r="G1" s="379"/>
      <c r="H1" s="379"/>
      <c r="I1" s="379"/>
      <c r="J1" s="379"/>
      <c r="K1" s="379"/>
      <c r="L1" s="379"/>
      <c r="M1" s="379"/>
      <c r="N1" s="379"/>
      <c r="O1" s="379"/>
      <c r="P1" s="379"/>
      <c r="Q1" s="379"/>
      <c r="R1" s="379"/>
      <c r="S1" s="379"/>
      <c r="T1" s="379"/>
      <c r="U1" s="379"/>
      <c r="V1" s="379"/>
      <c r="W1" s="379"/>
      <c r="X1" s="379"/>
      <c r="Y1" s="379"/>
      <c r="Z1" s="379"/>
      <c r="AA1" s="379"/>
      <c r="AB1" s="379"/>
      <c r="AC1" s="379"/>
    </row>
    <row r="2" spans="1:29" x14ac:dyDescent="0.25">
      <c r="A2" s="145"/>
      <c r="B2" s="134"/>
      <c r="C2" s="134"/>
      <c r="D2" s="134"/>
      <c r="E2" s="134"/>
      <c r="F2" s="134"/>
      <c r="G2" s="134"/>
      <c r="H2" s="134"/>
      <c r="I2" s="134"/>
      <c r="J2" s="134"/>
      <c r="M2" s="211" t="s">
        <v>87</v>
      </c>
      <c r="N2" s="44">
        <f>_xlfn.XLOOKUP(INT(SUBSTITUTE(N6,"Connecteur ", "")),Mesures_Four!C40:C48,Mesures_Four!G40:G48)</f>
        <v>0</v>
      </c>
      <c r="O2" s="44">
        <f>_xlfn.XLOOKUP(INT(SUBSTITUTE(O6,"Connecteur ", "")),Mesures_Four!C40:C48,Mesures_Four!G40:G48)</f>
        <v>0</v>
      </c>
      <c r="P2" s="44">
        <f>_xlfn.XLOOKUP(INT(SUBSTITUTE(P6,"Connecteur ", "")),Mesures_Four!C40:C48,Mesures_Four!G40:G48)</f>
        <v>0</v>
      </c>
      <c r="Q2" s="44">
        <f>_xlfn.XLOOKUP(INT(SUBSTITUTE(Q6,"Connecteur ", "")),Mesures_Four!C40:C48,Mesures_Four!G40:G48)</f>
        <v>0</v>
      </c>
      <c r="R2" s="44">
        <f>_xlfn.XLOOKUP(INT(SUBSTITUTE(R6,"Connecteur ", "")),Mesures_Four!C40:C48,Mesures_Four!G40:G48)</f>
        <v>0</v>
      </c>
      <c r="S2" s="44">
        <f>_xlfn.XLOOKUP(INT(SUBSTITUTE(S6,"Connecteur ", "")),Mesures_Four!C40:C48,Mesures_Four!G40:G48)</f>
        <v>0</v>
      </c>
      <c r="T2" s="44">
        <f>_xlfn.XLOOKUP(INT(SUBSTITUTE(T6,"Connecteur ", "")),Mesures_Four!C40:C48,Mesures_Four!G40:G48)</f>
        <v>0</v>
      </c>
      <c r="U2" s="44">
        <f>_xlfn.XLOOKUP(INT(SUBSTITUTE(U6,"Connecteur ", "")),Mesures_Four!C40:C48,Mesures_Four!G40:G48)</f>
        <v>0</v>
      </c>
      <c r="V2" s="44">
        <f>_xlfn.XLOOKUP(INT(SUBSTITUTE(V6,"Connecteur ", "")),Mesures_Four!C40:C48,Mesures_Four!G40:G48)</f>
        <v>0</v>
      </c>
      <c r="W2" s="210"/>
      <c r="X2" s="210"/>
      <c r="Y2" s="158"/>
    </row>
    <row r="3" spans="1:29" x14ac:dyDescent="0.25">
      <c r="B3" s="134"/>
      <c r="C3" s="134"/>
      <c r="D3" s="134"/>
      <c r="E3" s="134"/>
      <c r="F3" s="134"/>
      <c r="G3" s="134"/>
      <c r="H3" s="134"/>
      <c r="I3" s="134"/>
      <c r="J3" s="134"/>
      <c r="M3" s="211" t="s">
        <v>23</v>
      </c>
      <c r="N3" s="44" t="e" cm="1">
        <f t="array" ref="N3">_xlfn.XLOOKUP(INT(SUBSTITUTE(N6,"Connecteur ", "")),INT(Mesures_Four!B28:B36),Mesures_Four!G28:G36)</f>
        <v>#N/A</v>
      </c>
      <c r="O3" s="44" t="e" cm="1">
        <f t="array" ref="O3">_xlfn.XLOOKUP(INT(SUBSTITUTE(O6,"Connecteur ", "")),INT(Mesures_Four!B28:B36),Mesures_Four!G28:G36)</f>
        <v>#N/A</v>
      </c>
      <c r="P3" s="44" t="e" cm="1">
        <f t="array" ref="P3">_xlfn.XLOOKUP(INT(SUBSTITUTE(P6,"Connecteur ", "")),INT(Mesures_Four!B28:B36),Mesures_Four!G28:G36)</f>
        <v>#N/A</v>
      </c>
      <c r="Q3" s="44" t="e" cm="1">
        <f t="array" ref="Q3">_xlfn.XLOOKUP(INT(SUBSTITUTE(Q6,"Connecteur ", "")),INT(Mesures_Four!B28:B36),Mesures_Four!G28:G36)</f>
        <v>#N/A</v>
      </c>
      <c r="R3" s="44" t="e" cm="1">
        <f t="array" ref="R3">_xlfn.XLOOKUP(INT(SUBSTITUTE(R6,"Connecteur ", "")),INT(Mesures_Four!B28:B36),Mesures_Four!G28:G36)</f>
        <v>#N/A</v>
      </c>
      <c r="S3" s="44" t="e" cm="1">
        <f t="array" ref="S3">_xlfn.XLOOKUP(INT(SUBSTITUTE(S6,"Connecteur ", "")),INT(Mesures_Four!B28:B36),Mesures_Four!G28:G36)</f>
        <v>#N/A</v>
      </c>
      <c r="T3" s="44" t="e" cm="1">
        <f t="array" ref="T3">_xlfn.XLOOKUP(INT(SUBSTITUTE(T6,"Connecteur ", "")),INT(Mesures_Four!B28:B36),Mesures_Four!G28:G36)</f>
        <v>#N/A</v>
      </c>
      <c r="U3" s="44" t="e" cm="1">
        <f t="array" ref="U3">_xlfn.XLOOKUP(INT(SUBSTITUTE(U6,"Connecteur ", "")),INT(Mesures_Four!B28:B36),Mesures_Four!G28:G36)</f>
        <v>#N/A</v>
      </c>
      <c r="V3" s="44" t="e" cm="1">
        <f t="array" ref="V3">_xlfn.XLOOKUP(INT(SUBSTITUTE(V6,"Connecteur ", "")),INT(Mesures_Four!B28:B36),Mesures_Four!G28:G36)</f>
        <v>#N/A</v>
      </c>
      <c r="W3" s="210"/>
      <c r="X3" s="158"/>
      <c r="Y3" s="158"/>
    </row>
    <row r="4" spans="1:29" x14ac:dyDescent="0.25">
      <c r="B4" s="134"/>
      <c r="C4" s="134"/>
      <c r="D4" s="134"/>
      <c r="E4" s="134"/>
      <c r="F4" s="134"/>
      <c r="G4" s="134"/>
      <c r="H4" s="134"/>
      <c r="I4" s="134"/>
      <c r="J4" s="134"/>
      <c r="M4" s="23"/>
      <c r="N4" s="210"/>
      <c r="O4" s="210"/>
      <c r="P4" s="210"/>
      <c r="Q4" s="210"/>
      <c r="R4" s="210"/>
      <c r="S4" s="210"/>
      <c r="T4" s="210"/>
      <c r="U4" s="210"/>
      <c r="V4" s="210"/>
      <c r="W4" s="210"/>
      <c r="X4" s="158"/>
      <c r="Y4" s="158"/>
    </row>
    <row r="5" spans="1:29" x14ac:dyDescent="0.25">
      <c r="A5" s="375" t="s">
        <v>330</v>
      </c>
      <c r="B5" s="375"/>
      <c r="C5" s="375"/>
      <c r="D5" s="375"/>
      <c r="E5" s="375"/>
      <c r="F5" s="375"/>
      <c r="G5" s="375"/>
      <c r="H5" s="375"/>
      <c r="I5" s="375"/>
      <c r="J5" s="375"/>
      <c r="M5" s="375" t="s">
        <v>88</v>
      </c>
      <c r="N5" s="375"/>
      <c r="O5" s="375"/>
      <c r="P5" s="375"/>
      <c r="Q5" s="375"/>
      <c r="R5" s="375"/>
      <c r="S5" s="375"/>
      <c r="T5" s="375"/>
      <c r="U5" s="375"/>
      <c r="V5" s="375"/>
      <c r="AA5"/>
      <c r="AB5"/>
      <c r="AC5"/>
    </row>
    <row r="6" spans="1:29" x14ac:dyDescent="0.25">
      <c r="A6" s="214" t="str" cm="1">
        <f t="array" ref="A6:J7">tab_transfert535[#All]</f>
        <v>Date/Heure</v>
      </c>
      <c r="B6" s="201" t="str">
        <v>Connecteur 1</v>
      </c>
      <c r="C6" s="201" t="str">
        <v>Connecteur 2</v>
      </c>
      <c r="D6" s="201" t="str">
        <v>Connecteur 3</v>
      </c>
      <c r="E6" s="201" t="str">
        <v>Connecteur 4</v>
      </c>
      <c r="F6" s="201" t="str">
        <v>Connecteur 5</v>
      </c>
      <c r="G6" s="201" t="str">
        <v>Connecteur 6</v>
      </c>
      <c r="H6" s="201" t="str">
        <v>Connecteur 7</v>
      </c>
      <c r="I6" s="201" t="str">
        <v>Connecteur 8</v>
      </c>
      <c r="J6" s="201" t="str">
        <v>Connecteur 9</v>
      </c>
      <c r="K6" s="201" t="s">
        <v>329</v>
      </c>
      <c r="M6" s="27"/>
      <c r="N6" s="201" t="str" cm="1">
        <f t="array" ref="N6:V6">tab_transfert535[[#Headers],[Connecteur 1]:[Connecteur 9]]</f>
        <v>Connecteur 1</v>
      </c>
      <c r="O6" s="215" t="str">
        <v>Connecteur 2</v>
      </c>
      <c r="P6" s="215" t="str">
        <v>Connecteur 3</v>
      </c>
      <c r="Q6" s="215" t="str">
        <v>Connecteur 4</v>
      </c>
      <c r="R6" s="215" t="str">
        <v>Connecteur 5</v>
      </c>
      <c r="S6" s="215" t="str">
        <v>Connecteur 6</v>
      </c>
      <c r="T6" s="215" t="str">
        <v>Connecteur 7</v>
      </c>
      <c r="U6" s="215" t="str">
        <v>Connecteur 8</v>
      </c>
      <c r="V6" s="215" t="str">
        <v>Connecteur 9</v>
      </c>
      <c r="W6" s="201" t="str" cm="1">
        <f t="array" ref="W6:W7">tab_four535[[#All],[Consigne T°]]</f>
        <v>Consigne T°</v>
      </c>
      <c r="Z6" s="201" t="str" cm="1">
        <f t="array" ref="Z6:AC7">tab_four535[[#All],[Date/Heure]:[Pt Chaud]]</f>
        <v>Date/Heure</v>
      </c>
      <c r="AA6" s="201" t="str">
        <v>Pt Froid</v>
      </c>
      <c r="AB6" s="201" t="str">
        <v>Regulation</v>
      </c>
      <c r="AC6" s="201" t="str">
        <v>Pt Chaud</v>
      </c>
    </row>
    <row r="7" spans="1:29" ht="14.45" customHeight="1" x14ac:dyDescent="0.25">
      <c r="A7" s="23">
        <v>0</v>
      </c>
      <c r="B7">
        <v>0</v>
      </c>
      <c r="C7">
        <v>0</v>
      </c>
      <c r="D7">
        <v>0</v>
      </c>
      <c r="E7">
        <v>0</v>
      </c>
      <c r="F7">
        <v>0</v>
      </c>
      <c r="G7">
        <v>0</v>
      </c>
      <c r="H7">
        <v>0</v>
      </c>
      <c r="I7">
        <v>0</v>
      </c>
      <c r="J7">
        <v>0</v>
      </c>
      <c r="K7" s="216"/>
      <c r="M7" s="328" t="s">
        <v>328</v>
      </c>
      <c r="N7" s="205" t="e" cm="1">
        <f t="array" ref="N7:V7">tab_transfert535[[Connecteur 1]:[Connecteur 9]]+N2:V2+N3:V3</f>
        <v>#N/A</v>
      </c>
      <c r="O7" s="205" t="e">
        <v>#N/A</v>
      </c>
      <c r="P7" s="205" t="e">
        <v>#N/A</v>
      </c>
      <c r="Q7" s="205" t="e">
        <v>#N/A</v>
      </c>
      <c r="R7" s="205" t="e">
        <v>#N/A</v>
      </c>
      <c r="S7" s="205" t="e">
        <v>#N/A</v>
      </c>
      <c r="T7" s="205" t="e">
        <v>#N/A</v>
      </c>
      <c r="U7" s="205" t="e">
        <v>#N/A</v>
      </c>
      <c r="V7" s="205" t="e">
        <v>#N/A</v>
      </c>
      <c r="W7" s="213">
        <v>0</v>
      </c>
      <c r="Z7" s="23">
        <v>0</v>
      </c>
      <c r="AA7">
        <v>0</v>
      </c>
      <c r="AB7">
        <v>0</v>
      </c>
      <c r="AC7">
        <v>0</v>
      </c>
    </row>
    <row r="8" spans="1:29" ht="14.45" customHeight="1" x14ac:dyDescent="0.25">
      <c r="A8" s="23"/>
      <c r="B8"/>
      <c r="C8"/>
      <c r="D8"/>
      <c r="E8"/>
      <c r="F8"/>
      <c r="G8"/>
      <c r="H8"/>
      <c r="I8"/>
      <c r="J8"/>
      <c r="K8" s="216"/>
      <c r="M8" s="327" t="s">
        <v>327</v>
      </c>
      <c r="N8" s="203"/>
      <c r="O8" s="203"/>
      <c r="P8" s="203"/>
      <c r="Q8" s="203"/>
      <c r="R8" s="203"/>
      <c r="S8" s="203"/>
      <c r="T8" s="203"/>
      <c r="U8" s="203"/>
      <c r="V8" s="203"/>
      <c r="W8" s="203"/>
      <c r="Z8" s="23"/>
      <c r="AA8"/>
      <c r="AB8"/>
      <c r="AC8"/>
    </row>
    <row r="9" spans="1:29" ht="14.45" customHeight="1" x14ac:dyDescent="0.25">
      <c r="A9" s="377"/>
      <c r="B9" s="377"/>
      <c r="C9" s="377"/>
      <c r="D9" s="377"/>
      <c r="E9" s="377"/>
      <c r="F9" s="377"/>
      <c r="G9" s="377"/>
      <c r="H9" s="377"/>
      <c r="I9" s="377"/>
      <c r="J9" s="377"/>
      <c r="K9" s="377"/>
      <c r="L9" s="377"/>
      <c r="M9" s="377"/>
      <c r="N9" s="377"/>
      <c r="O9" s="377"/>
      <c r="P9" s="377"/>
      <c r="Q9" s="377"/>
      <c r="R9" s="377"/>
      <c r="S9" s="377"/>
      <c r="T9" s="377"/>
      <c r="U9" s="377"/>
      <c r="V9" s="377"/>
      <c r="W9" s="377"/>
      <c r="Z9" s="23"/>
      <c r="AA9"/>
      <c r="AB9"/>
      <c r="AC9"/>
    </row>
    <row r="10" spans="1:29" ht="14.45" customHeight="1" x14ac:dyDescent="0.25">
      <c r="A10" s="23"/>
      <c r="B10"/>
      <c r="C10"/>
      <c r="D10"/>
      <c r="E10"/>
      <c r="F10"/>
      <c r="G10"/>
      <c r="H10"/>
      <c r="I10"/>
      <c r="J10"/>
      <c r="K10" s="216"/>
      <c r="M10" s="145"/>
      <c r="N10" s="145"/>
      <c r="O10" s="145"/>
      <c r="P10" s="145"/>
      <c r="Q10" s="145"/>
      <c r="R10" s="145"/>
      <c r="S10" s="145"/>
      <c r="T10" s="145"/>
      <c r="U10" s="145"/>
      <c r="V10" s="145"/>
      <c r="W10" s="145"/>
      <c r="Z10" s="23"/>
      <c r="AA10"/>
      <c r="AB10"/>
      <c r="AC10"/>
    </row>
    <row r="11" spans="1:29" ht="14.45" customHeight="1" x14ac:dyDescent="0.25">
      <c r="A11" s="23"/>
      <c r="B11"/>
      <c r="C11"/>
      <c r="D11"/>
      <c r="E11"/>
      <c r="F11"/>
      <c r="G11"/>
      <c r="H11"/>
      <c r="I11"/>
      <c r="J11"/>
      <c r="K11" s="216"/>
      <c r="M11" s="91" t="s">
        <v>90</v>
      </c>
      <c r="N11" s="217" t="e">
        <f>MAX(tab_transfert535[Connecteur 1])+N$2+N$3</f>
        <v>#N/A</v>
      </c>
      <c r="O11" s="217" t="e">
        <f>MAX(tab_transfert535[Connecteur 2])+O$2+O$3</f>
        <v>#N/A</v>
      </c>
      <c r="P11" s="217" t="e">
        <f>MAX(tab_transfert535[Connecteur 3])+P$2+P$3</f>
        <v>#N/A</v>
      </c>
      <c r="Q11" s="217" t="e">
        <f>MAX(tab_transfert535[Connecteur 4])+Q$2+Q$3</f>
        <v>#N/A</v>
      </c>
      <c r="R11" s="217" t="e">
        <f>MAX(tab_transfert535[Connecteur 5])+R$2+R$3</f>
        <v>#N/A</v>
      </c>
      <c r="S11" s="217" t="e">
        <f>MAX(tab_transfert535[Connecteur 6])+S$2+S$3</f>
        <v>#N/A</v>
      </c>
      <c r="T11" s="217" t="e">
        <f>MAX(tab_transfert535[Connecteur 7])+T$2+T$3</f>
        <v>#N/A</v>
      </c>
      <c r="U11" s="217" t="e">
        <f>MAX(tab_transfert535[Connecteur 8])+U$2+U$3</f>
        <v>#N/A</v>
      </c>
      <c r="V11" s="217" t="e">
        <f>MAX(tab_transfert535[Connecteur 9])+V$2+V$3</f>
        <v>#N/A</v>
      </c>
      <c r="W11" s="200" t="e">
        <f>MAX(N11:V11)</f>
        <v>#N/A</v>
      </c>
      <c r="Z11" s="23"/>
      <c r="AA11"/>
      <c r="AB11"/>
      <c r="AC11"/>
    </row>
    <row r="12" spans="1:29" ht="14.45" customHeight="1" x14ac:dyDescent="0.25">
      <c r="A12" s="23"/>
      <c r="B12"/>
      <c r="C12"/>
      <c r="D12"/>
      <c r="E12"/>
      <c r="F12"/>
      <c r="G12"/>
      <c r="H12"/>
      <c r="I12"/>
      <c r="J12"/>
      <c r="K12" s="216"/>
      <c r="M12" s="91" t="s">
        <v>91</v>
      </c>
      <c r="N12" s="217" t="e">
        <f ca="1">MAX(OFFSET(INDEX(tab_transfert535[Connecteur 1],1),COUNT(tab_transfert535[Connecteur 1])-30,0,30))+N$2+N$3</f>
        <v>#REF!</v>
      </c>
      <c r="O12" s="217" t="e">
        <f ca="1">MAX(OFFSET(INDEX(tab_transfert535[Connecteur 2],1),COUNT(tab_transfert535[Connecteur 2])-30,0,30))+O$2+O$3</f>
        <v>#REF!</v>
      </c>
      <c r="P12" s="217" t="e">
        <f ca="1">MAX(OFFSET(INDEX(tab_transfert535[Connecteur 3],1),COUNT(tab_transfert535[Connecteur 3])-30,0,30))+P$2+P$3</f>
        <v>#REF!</v>
      </c>
      <c r="Q12" s="217" t="e">
        <f ca="1">MAX(OFFSET(INDEX(tab_transfert535[Connecteur 4],1),COUNT(tab_transfert535[Connecteur 4])-30,0,30))+Q$2+Q$3</f>
        <v>#REF!</v>
      </c>
      <c r="R12" s="217" t="e">
        <f ca="1">MAX(OFFSET(INDEX(tab_transfert535[Connecteur 5],1),COUNT(tab_transfert535[Connecteur 5])-30,0,30))+R$2+R$3</f>
        <v>#REF!</v>
      </c>
      <c r="S12" s="217" t="e">
        <f ca="1">MAX(OFFSET(INDEX(tab_transfert535[Connecteur 6],1),COUNT(tab_transfert535[Connecteur 6])-30,0,30))+S$2+S$3</f>
        <v>#REF!</v>
      </c>
      <c r="T12" s="217" t="e">
        <f ca="1">MAX(OFFSET(INDEX(tab_transfert535[Connecteur 7],1),COUNT(tab_transfert535[Connecteur 7])-30,0,30))+T$2+T$3</f>
        <v>#REF!</v>
      </c>
      <c r="U12" s="217" t="e">
        <f ca="1">MAX(OFFSET(INDEX(tab_transfert535[Connecteur 8],1),COUNT(tab_transfert535[Connecteur 8])-30,0,30))+U$2+U$3</f>
        <v>#REF!</v>
      </c>
      <c r="V12" s="217" t="e">
        <f ca="1">MAX(OFFSET(INDEX(tab_transfert535[Connecteur 9],1),COUNT(tab_transfert535[Connecteur 9])-30,0,30))+V$2+V$3</f>
        <v>#REF!</v>
      </c>
      <c r="W12" s="200" t="e">
        <f ca="1">MAX(N12:V12)</f>
        <v>#REF!</v>
      </c>
      <c r="Z12" s="23"/>
      <c r="AA12"/>
      <c r="AB12"/>
      <c r="AC12"/>
    </row>
    <row r="13" spans="1:29" ht="14.45" customHeight="1" x14ac:dyDescent="0.25">
      <c r="A13" s="23"/>
      <c r="B13"/>
      <c r="C13"/>
      <c r="D13"/>
      <c r="E13"/>
      <c r="F13"/>
      <c r="G13"/>
      <c r="H13"/>
      <c r="I13"/>
      <c r="J13"/>
      <c r="K13" s="216"/>
      <c r="M13" s="91" t="s">
        <v>93</v>
      </c>
      <c r="N13" s="217" t="e">
        <f ca="1">MIN(OFFSET(INDEX(tab_transfert535[Connecteur 1],1),COUNT(tab_transfert535[Connecteur 1])-30,0,30))+N$2+N$3</f>
        <v>#REF!</v>
      </c>
      <c r="O13" s="217" t="e">
        <f ca="1">MIN(OFFSET(INDEX(tab_transfert535[Connecteur 2],1),COUNT(tab_transfert535[Connecteur 2])-30,0,30))+O$2+O$3</f>
        <v>#REF!</v>
      </c>
      <c r="P13" s="217" t="e">
        <f ca="1">MIN(OFFSET(INDEX(tab_transfert535[Connecteur 3],1),COUNT(tab_transfert535[Connecteur 3])-30,0,30))+P$2+P$3</f>
        <v>#REF!</v>
      </c>
      <c r="Q13" s="217" t="e">
        <f ca="1">MIN(OFFSET(INDEX(tab_transfert535[Connecteur 4],1),COUNT(tab_transfert535[Connecteur 4])-30,0,30))+Q$2+Q$3</f>
        <v>#REF!</v>
      </c>
      <c r="R13" s="217" t="e">
        <f ca="1">MIN(OFFSET(INDEX(tab_transfert535[Connecteur 5],1),COUNT(tab_transfert535[Connecteur 5])-30,0,30))+R$2+R$3</f>
        <v>#REF!</v>
      </c>
      <c r="S13" s="217" t="e">
        <f ca="1">MIN(OFFSET(INDEX(tab_transfert535[Connecteur 6],1),COUNT(tab_transfert535[Connecteur 6])-30,0,30))+S$2+S$3</f>
        <v>#REF!</v>
      </c>
      <c r="T13" s="217" t="e">
        <f ca="1">MIN(OFFSET(INDEX(tab_transfert535[Connecteur 7],1),COUNT(tab_transfert535[Connecteur 7])-30,0,30))+T$2+T$3</f>
        <v>#REF!</v>
      </c>
      <c r="U13" s="217" t="e">
        <f ca="1">MIN(OFFSET(INDEX(tab_transfert535[Connecteur 8],1),COUNT(tab_transfert535[Connecteur 8])-30,0,30))+U$2+U$3</f>
        <v>#REF!</v>
      </c>
      <c r="V13" s="217" t="e">
        <f ca="1">MIN(OFFSET(INDEX(tab_transfert535[Connecteur 9],1),COUNT(tab_transfert535[Connecteur 9])-30,0,30))+V$2+V$3</f>
        <v>#REF!</v>
      </c>
      <c r="W13" s="200" t="e">
        <f ca="1">MIN(N13:V13)</f>
        <v>#REF!</v>
      </c>
      <c r="Z13" s="23"/>
      <c r="AA13"/>
      <c r="AB13"/>
      <c r="AC13"/>
    </row>
    <row r="14" spans="1:29" ht="14.45" customHeight="1" x14ac:dyDescent="0.25">
      <c r="A14" s="23"/>
      <c r="B14"/>
      <c r="C14"/>
      <c r="D14"/>
      <c r="E14"/>
      <c r="F14"/>
      <c r="G14"/>
      <c r="H14"/>
      <c r="I14"/>
      <c r="J14"/>
      <c r="K14" s="216"/>
      <c r="M14" s="91" t="s">
        <v>95</v>
      </c>
      <c r="N14" s="217" t="e">
        <f ca="1">AVERAGE(OFFSET(INDEX(tab_transfert535[Connecteur 1],1),COUNT(tab_transfert535[Connecteur 1])-30,0,30))+N$2+N$3</f>
        <v>#REF!</v>
      </c>
      <c r="O14" s="217" t="e">
        <f ca="1">AVERAGE(OFFSET(INDEX(tab_transfert535[Connecteur 2],1),COUNT(tab_transfert535[Connecteur 2])-30,0,30))+O$2+O$3</f>
        <v>#REF!</v>
      </c>
      <c r="P14" s="217" t="e">
        <f ca="1">AVERAGE(OFFSET(INDEX(tab_transfert535[Connecteur 3],1),COUNT(tab_transfert535[Connecteur 3])-30,0,30))+P$2+P$3</f>
        <v>#REF!</v>
      </c>
      <c r="Q14" s="217" t="e">
        <f ca="1">AVERAGE(OFFSET(INDEX(tab_transfert535[Connecteur 4],1),COUNT(tab_transfert535[Connecteur 4])-30,0,30))+Q$2+Q$3</f>
        <v>#REF!</v>
      </c>
      <c r="R14" s="217" t="e">
        <f ca="1">AVERAGE(OFFSET(INDEX(tab_transfert535[Connecteur 5],1),COUNT(tab_transfert535[Connecteur 5])-30,0,30))+R$2+R$3</f>
        <v>#REF!</v>
      </c>
      <c r="S14" s="217" t="e">
        <f ca="1">AVERAGE(OFFSET(INDEX(tab_transfert535[Connecteur 6],1),COUNT(tab_transfert535[Connecteur 6])-30,0,30))+S$2+S$3</f>
        <v>#REF!</v>
      </c>
      <c r="T14" s="217" t="e">
        <f ca="1">AVERAGE(OFFSET(INDEX(tab_transfert535[Connecteur 7],1),COUNT(tab_transfert535[Connecteur 7])-30,0,30))+T$2+T$3</f>
        <v>#REF!</v>
      </c>
      <c r="U14" s="217" t="e">
        <f ca="1">AVERAGE(OFFSET(INDEX(tab_transfert535[Connecteur 8],1),COUNT(tab_transfert535[Connecteur 8])-30,0,30))+U$2+U$3</f>
        <v>#REF!</v>
      </c>
      <c r="V14" s="217" t="e">
        <f ca="1">AVERAGE(OFFSET(INDEX(tab_transfert535[Connecteur 9],1),COUNT(tab_transfert535[Connecteur 9])-30,0,30))+V$2+V$3</f>
        <v>#REF!</v>
      </c>
      <c r="Z14" s="23"/>
      <c r="AA14"/>
      <c r="AB14"/>
      <c r="AC14"/>
    </row>
    <row r="15" spans="1:29" ht="14.45" customHeight="1" x14ac:dyDescent="0.25">
      <c r="A15" s="23"/>
      <c r="B15"/>
      <c r="C15"/>
      <c r="D15"/>
      <c r="E15"/>
      <c r="F15"/>
      <c r="G15"/>
      <c r="H15"/>
      <c r="I15"/>
      <c r="J15"/>
      <c r="K15" s="216"/>
      <c r="M15" s="91" t="s">
        <v>96</v>
      </c>
      <c r="N15" s="217" t="e">
        <f ca="1">N12-N13</f>
        <v>#REF!</v>
      </c>
      <c r="O15" s="217" t="e">
        <f t="shared" ref="O15:V15" ca="1" si="0">O12-O13</f>
        <v>#REF!</v>
      </c>
      <c r="P15" s="217" t="e">
        <f t="shared" ca="1" si="0"/>
        <v>#REF!</v>
      </c>
      <c r="Q15" s="217" t="e">
        <f t="shared" ca="1" si="0"/>
        <v>#REF!</v>
      </c>
      <c r="R15" s="217" t="e">
        <f t="shared" ca="1" si="0"/>
        <v>#REF!</v>
      </c>
      <c r="S15" s="217" t="e">
        <f t="shared" ca="1" si="0"/>
        <v>#REF!</v>
      </c>
      <c r="T15" s="217" t="e">
        <f t="shared" ca="1" si="0"/>
        <v>#REF!</v>
      </c>
      <c r="U15" s="217" t="e">
        <f t="shared" ca="1" si="0"/>
        <v>#REF!</v>
      </c>
      <c r="V15" s="217" t="e">
        <f t="shared" ca="1" si="0"/>
        <v>#REF!</v>
      </c>
      <c r="Z15" s="23"/>
      <c r="AA15"/>
      <c r="AB15"/>
      <c r="AC15"/>
    </row>
    <row r="16" spans="1:29" ht="14.45" customHeight="1" x14ac:dyDescent="0.25">
      <c r="A16" s="23"/>
      <c r="B16"/>
      <c r="C16"/>
      <c r="D16"/>
      <c r="E16"/>
      <c r="F16"/>
      <c r="G16"/>
      <c r="H16"/>
      <c r="I16"/>
      <c r="J16"/>
      <c r="K16" s="216"/>
      <c r="M16" s="91" t="s">
        <v>97</v>
      </c>
      <c r="N16" s="376" t="e">
        <f ca="1">ABS(MAX(N12:V12) - MIN(N13:V13))</f>
        <v>#REF!</v>
      </c>
      <c r="O16" s="376"/>
      <c r="P16" s="376"/>
      <c r="Q16" s="376"/>
      <c r="R16" s="376"/>
      <c r="S16" s="376"/>
      <c r="T16" s="376"/>
      <c r="U16" s="376"/>
      <c r="V16" s="376"/>
      <c r="W16" s="134" t="e">
        <f ca="1">N16</f>
        <v>#REF!</v>
      </c>
      <c r="Z16" s="23"/>
      <c r="AA16"/>
      <c r="AB16"/>
      <c r="AC16"/>
    </row>
    <row r="17" spans="1:29" ht="14.45" customHeight="1" x14ac:dyDescent="0.25">
      <c r="A17" s="23"/>
      <c r="B17"/>
      <c r="C17"/>
      <c r="D17"/>
      <c r="E17"/>
      <c r="F17"/>
      <c r="G17"/>
      <c r="H17"/>
      <c r="I17"/>
      <c r="J17"/>
      <c r="K17" s="216"/>
      <c r="M17" s="91" t="s">
        <v>98</v>
      </c>
      <c r="N17" s="376" t="e">
        <f ca="1">AVERAGE(N14:V14)</f>
        <v>#REF!</v>
      </c>
      <c r="O17" s="376"/>
      <c r="P17" s="376"/>
      <c r="Q17" s="376"/>
      <c r="R17" s="376"/>
      <c r="S17" s="376"/>
      <c r="T17" s="376"/>
      <c r="U17" s="376"/>
      <c r="V17" s="376"/>
      <c r="W17" s="134" t="e">
        <f ca="1">N17</f>
        <v>#REF!</v>
      </c>
      <c r="Z17" s="23"/>
      <c r="AA17"/>
      <c r="AB17"/>
      <c r="AC17"/>
    </row>
    <row r="18" spans="1:29" ht="14.45" customHeight="1" x14ac:dyDescent="0.25">
      <c r="A18" s="23"/>
      <c r="B18"/>
      <c r="C18"/>
      <c r="D18"/>
      <c r="E18"/>
      <c r="F18"/>
      <c r="G18"/>
      <c r="H18"/>
      <c r="I18"/>
      <c r="J18"/>
      <c r="K18" s="216"/>
      <c r="M18" s="196" t="s">
        <v>326</v>
      </c>
      <c r="N18" s="43" t="str" cm="1">
        <f t="array" ref="N18:V18">tab_transfert535[[#Headers],[Connecteur 1]:[Connecteur 9]]</f>
        <v>Connecteur 1</v>
      </c>
      <c r="O18" s="43" t="str">
        <v>Connecteur 2</v>
      </c>
      <c r="P18" s="43" t="str">
        <v>Connecteur 3</v>
      </c>
      <c r="Q18" s="43" t="str">
        <v>Connecteur 4</v>
      </c>
      <c r="R18" s="43" t="str">
        <v>Connecteur 5</v>
      </c>
      <c r="S18" s="43" t="str">
        <v>Connecteur 6</v>
      </c>
      <c r="T18" s="43" t="str">
        <v>Connecteur 7</v>
      </c>
      <c r="U18" s="43" t="str">
        <v>Connecteur 8</v>
      </c>
      <c r="V18" s="43" t="str">
        <v>Connecteur 9</v>
      </c>
      <c r="Z18" s="23"/>
      <c r="AA18"/>
      <c r="AB18"/>
      <c r="AC18"/>
    </row>
    <row r="19" spans="1:29" ht="14.45" customHeight="1" x14ac:dyDescent="0.25">
      <c r="A19" s="23"/>
      <c r="B19"/>
      <c r="C19"/>
      <c r="D19"/>
      <c r="E19"/>
      <c r="F19"/>
      <c r="G19"/>
      <c r="H19"/>
      <c r="I19"/>
      <c r="J19"/>
      <c r="K19" s="216"/>
      <c r="M19" s="193" t="s">
        <v>325</v>
      </c>
      <c r="N19" s="218" t="e">
        <f ca="1">_xlfn.STDEV.S(OFFSET(INDEX(tab_transfert535[Connecteur 1],1),COUNT(tab_transfert535[Connecteur 1])-30,0,30))</f>
        <v>#REF!</v>
      </c>
      <c r="O19" s="218" t="e">
        <f ca="1">_xlfn.STDEV.S(OFFSET(INDEX(tab_transfert535[Connecteur 2],1),COUNT(tab_transfert535[Connecteur 2])-30,0,30))</f>
        <v>#REF!</v>
      </c>
      <c r="P19" s="218" t="e">
        <f ca="1">_xlfn.STDEV.S(OFFSET(INDEX(tab_transfert535[Connecteur 3],1),COUNT(tab_transfert535[Connecteur 3])-30,0,30))</f>
        <v>#REF!</v>
      </c>
      <c r="Q19" s="218" t="e">
        <f ca="1">_xlfn.STDEV.S(OFFSET(INDEX(tab_transfert535[Connecteur 4],1),COUNT(tab_transfert535[Connecteur 4])-30,0,30))</f>
        <v>#REF!</v>
      </c>
      <c r="R19" s="218" t="e">
        <f ca="1">_xlfn.STDEV.S(OFFSET(INDEX(tab_transfert535[Connecteur 5],1),COUNT(tab_transfert535[Connecteur 5])-30,0,30))</f>
        <v>#REF!</v>
      </c>
      <c r="S19" s="218" t="e">
        <f ca="1">_xlfn.STDEV.S(OFFSET(INDEX(tab_transfert535[Connecteur 6],1),COUNT(tab_transfert535[Connecteur 6])-30,0,30))</f>
        <v>#REF!</v>
      </c>
      <c r="T19" s="218" t="e">
        <f ca="1">_xlfn.STDEV.S(OFFSET(INDEX(tab_transfert535[Connecteur 7],1),COUNT(tab_transfert535[Connecteur 7])-30,0,30))</f>
        <v>#REF!</v>
      </c>
      <c r="U19" s="218" t="e">
        <f ca="1">_xlfn.STDEV.S(OFFSET(INDEX(tab_transfert535[Connecteur 8],1),COUNT(tab_transfert535[Connecteur 8])-30,0,30))</f>
        <v>#REF!</v>
      </c>
      <c r="V19" s="218" t="e">
        <f ca="1">_xlfn.STDEV.S(OFFSET(INDEX(tab_transfert535[Connecteur 9],1),COUNT(tab_transfert535[Connecteur 9])-30,0,30))</f>
        <v>#REF!</v>
      </c>
      <c r="W19" s="194" t="e">
        <f ca="1">MAX(N19:V19)</f>
        <v>#REF!</v>
      </c>
      <c r="Z19" s="23"/>
      <c r="AA19"/>
      <c r="AB19"/>
      <c r="AC19"/>
    </row>
    <row r="20" spans="1:29" ht="14.45" customHeight="1" x14ac:dyDescent="0.25">
      <c r="A20" s="23"/>
      <c r="B20"/>
      <c r="C20"/>
      <c r="D20"/>
      <c r="E20"/>
      <c r="F20"/>
      <c r="G20"/>
      <c r="H20"/>
      <c r="I20"/>
      <c r="J20"/>
      <c r="K20" s="216"/>
      <c r="Z20" s="23"/>
      <c r="AA20"/>
      <c r="AB20"/>
      <c r="AC20"/>
    </row>
    <row r="21" spans="1:29" ht="14.45" customHeight="1" x14ac:dyDescent="0.25">
      <c r="A21" s="23"/>
      <c r="B21"/>
      <c r="C21"/>
      <c r="D21"/>
      <c r="E21"/>
      <c r="F21"/>
      <c r="G21"/>
      <c r="H21"/>
      <c r="I21"/>
      <c r="J21"/>
      <c r="K21" s="216"/>
      <c r="M21" s="193" t="s">
        <v>324</v>
      </c>
      <c r="N21" s="192" t="e">
        <f ca="1">W12-(OFFSET(INDEX(tab_four535[Consigne T°],1),COUNT(tab_four535[Consigne T°])-30,0,1))</f>
        <v>#REF!</v>
      </c>
      <c r="Z21" s="23"/>
      <c r="AA21"/>
      <c r="AB21"/>
      <c r="AC21"/>
    </row>
    <row r="22" spans="1:29" ht="14.45" customHeight="1" x14ac:dyDescent="0.25">
      <c r="A22" s="23"/>
      <c r="B22"/>
      <c r="C22"/>
      <c r="D22"/>
      <c r="E22"/>
      <c r="F22"/>
      <c r="G22"/>
      <c r="H22"/>
      <c r="I22"/>
      <c r="J22"/>
      <c r="K22" s="216"/>
      <c r="M22" s="193" t="s">
        <v>323</v>
      </c>
      <c r="N22" s="192" t="e">
        <f ca="1">W13-(OFFSET(INDEX(tab_four535[Consigne T°],1),COUNT(tab_four535[Consigne T°])-30,0,1))</f>
        <v>#REF!</v>
      </c>
      <c r="Z22" s="23"/>
      <c r="AA22"/>
      <c r="AB22"/>
      <c r="AC22"/>
    </row>
    <row r="23" spans="1:29" ht="14.45" customHeight="1" x14ac:dyDescent="0.25">
      <c r="A23" s="23"/>
      <c r="B23"/>
      <c r="C23"/>
      <c r="D23"/>
      <c r="E23"/>
      <c r="F23"/>
      <c r="G23"/>
      <c r="H23"/>
      <c r="I23"/>
      <c r="J23"/>
      <c r="K23" s="216"/>
      <c r="Z23" s="23"/>
      <c r="AA23"/>
      <c r="AB23"/>
      <c r="AC23"/>
    </row>
    <row r="24" spans="1:29" ht="14.45" customHeight="1" x14ac:dyDescent="0.25">
      <c r="A24" s="23"/>
      <c r="B24"/>
      <c r="C24"/>
      <c r="D24"/>
      <c r="E24"/>
      <c r="F24"/>
      <c r="G24"/>
      <c r="H24"/>
      <c r="I24"/>
      <c r="J24"/>
      <c r="K24" s="216"/>
      <c r="Z24" s="23"/>
      <c r="AA24"/>
      <c r="AB24"/>
      <c r="AC24"/>
    </row>
    <row r="25" spans="1:29" ht="14.45" customHeight="1" x14ac:dyDescent="0.25">
      <c r="A25" s="23"/>
      <c r="B25"/>
      <c r="C25"/>
      <c r="D25"/>
      <c r="E25"/>
      <c r="F25"/>
      <c r="G25"/>
      <c r="H25"/>
      <c r="I25"/>
      <c r="J25"/>
      <c r="K25" s="216"/>
      <c r="Z25" s="23"/>
      <c r="AA25"/>
      <c r="AB25"/>
      <c r="AC25"/>
    </row>
    <row r="26" spans="1:29" ht="14.45" customHeight="1" x14ac:dyDescent="0.25">
      <c r="A26" s="23"/>
      <c r="B26"/>
      <c r="C26"/>
      <c r="D26"/>
      <c r="E26"/>
      <c r="F26"/>
      <c r="G26"/>
      <c r="H26"/>
      <c r="I26"/>
      <c r="J26"/>
      <c r="K26" s="216"/>
      <c r="Z26" s="23"/>
      <c r="AA26"/>
      <c r="AB26"/>
      <c r="AC26"/>
    </row>
    <row r="27" spans="1:29" ht="14.45" customHeight="1" x14ac:dyDescent="0.25">
      <c r="A27" s="23"/>
      <c r="B27"/>
      <c r="C27"/>
      <c r="D27"/>
      <c r="E27"/>
      <c r="F27"/>
      <c r="G27"/>
      <c r="H27"/>
      <c r="I27"/>
      <c r="J27"/>
      <c r="K27" s="216"/>
      <c r="Z27" s="23"/>
      <c r="AA27"/>
      <c r="AB27"/>
      <c r="AC27"/>
    </row>
    <row r="28" spans="1:29" ht="14.45" customHeight="1" x14ac:dyDescent="0.25">
      <c r="A28" s="23"/>
      <c r="B28"/>
      <c r="C28"/>
      <c r="D28"/>
      <c r="E28"/>
      <c r="F28"/>
      <c r="G28"/>
      <c r="H28"/>
      <c r="I28"/>
      <c r="J28"/>
      <c r="K28" s="216"/>
      <c r="Z28" s="23"/>
      <c r="AA28"/>
      <c r="AB28"/>
      <c r="AC28"/>
    </row>
    <row r="29" spans="1:29" ht="14.45" customHeight="1" x14ac:dyDescent="0.25">
      <c r="A29" s="23"/>
      <c r="B29"/>
      <c r="C29"/>
      <c r="D29"/>
      <c r="E29"/>
      <c r="F29"/>
      <c r="G29"/>
      <c r="H29"/>
      <c r="I29"/>
      <c r="J29"/>
      <c r="K29" s="216"/>
      <c r="Z29" s="23"/>
      <c r="AA29"/>
      <c r="AB29"/>
      <c r="AC29"/>
    </row>
    <row r="30" spans="1:29" ht="14.45" customHeight="1" x14ac:dyDescent="0.25">
      <c r="A30" s="23"/>
      <c r="B30"/>
      <c r="C30"/>
      <c r="D30"/>
      <c r="E30"/>
      <c r="F30"/>
      <c r="G30"/>
      <c r="H30"/>
      <c r="I30"/>
      <c r="J30"/>
      <c r="K30" s="216"/>
      <c r="Z30" s="23"/>
      <c r="AA30"/>
      <c r="AB30"/>
      <c r="AC30"/>
    </row>
    <row r="31" spans="1:29" ht="14.45" customHeight="1" x14ac:dyDescent="0.25">
      <c r="A31" s="23"/>
      <c r="B31"/>
      <c r="C31"/>
      <c r="D31"/>
      <c r="E31"/>
      <c r="F31"/>
      <c r="G31"/>
      <c r="H31"/>
      <c r="I31"/>
      <c r="J31"/>
      <c r="K31" s="216"/>
      <c r="Z31" s="23"/>
      <c r="AA31"/>
      <c r="AB31"/>
      <c r="AC31"/>
    </row>
    <row r="32" spans="1:29" ht="14.45" customHeight="1" x14ac:dyDescent="0.25">
      <c r="A32" s="23"/>
      <c r="B32"/>
      <c r="C32"/>
      <c r="D32"/>
      <c r="E32"/>
      <c r="F32"/>
      <c r="G32"/>
      <c r="H32"/>
      <c r="I32"/>
      <c r="J32"/>
      <c r="K32" s="216"/>
      <c r="Z32" s="23"/>
      <c r="AA32"/>
      <c r="AB32"/>
      <c r="AC32"/>
    </row>
    <row r="33" spans="1:29" ht="14.45" customHeight="1" x14ac:dyDescent="0.25">
      <c r="A33" s="23"/>
      <c r="B33"/>
      <c r="C33"/>
      <c r="D33"/>
      <c r="E33"/>
      <c r="F33"/>
      <c r="G33"/>
      <c r="H33"/>
      <c r="I33"/>
      <c r="J33"/>
      <c r="K33" s="216"/>
      <c r="Z33" s="23"/>
      <c r="AA33"/>
      <c r="AB33"/>
      <c r="AC33"/>
    </row>
    <row r="34" spans="1:29" ht="14.45" customHeight="1" x14ac:dyDescent="0.25">
      <c r="A34" s="23"/>
      <c r="B34"/>
      <c r="C34"/>
      <c r="D34"/>
      <c r="E34"/>
      <c r="F34"/>
      <c r="G34"/>
      <c r="H34"/>
      <c r="I34"/>
      <c r="J34"/>
      <c r="K34" s="216"/>
      <c r="Z34" s="23"/>
      <c r="AA34"/>
      <c r="AB34"/>
      <c r="AC34"/>
    </row>
    <row r="35" spans="1:29" ht="14.45" customHeight="1" x14ac:dyDescent="0.25">
      <c r="A35" s="23"/>
      <c r="B35"/>
      <c r="C35"/>
      <c r="D35"/>
      <c r="E35"/>
      <c r="F35"/>
      <c r="G35"/>
      <c r="H35"/>
      <c r="I35"/>
      <c r="J35"/>
      <c r="K35" s="216"/>
      <c r="Z35" s="23"/>
      <c r="AA35"/>
      <c r="AB35"/>
      <c r="AC35"/>
    </row>
    <row r="36" spans="1:29" ht="14.45" customHeight="1" x14ac:dyDescent="0.25">
      <c r="A36" s="23"/>
      <c r="B36"/>
      <c r="C36"/>
      <c r="D36"/>
      <c r="E36"/>
      <c r="F36"/>
      <c r="G36"/>
      <c r="H36"/>
      <c r="I36"/>
      <c r="J36"/>
      <c r="K36" s="216"/>
      <c r="Z36" s="23"/>
      <c r="AA36"/>
      <c r="AB36"/>
      <c r="AC36"/>
    </row>
    <row r="37" spans="1:29" ht="14.45" customHeight="1" x14ac:dyDescent="0.25">
      <c r="A37" s="23"/>
      <c r="B37"/>
      <c r="C37"/>
      <c r="D37"/>
      <c r="E37"/>
      <c r="F37"/>
      <c r="G37"/>
      <c r="H37"/>
      <c r="I37"/>
      <c r="J37"/>
      <c r="K37" s="216"/>
      <c r="Z37" s="23"/>
      <c r="AA37"/>
      <c r="AB37"/>
      <c r="AC37"/>
    </row>
    <row r="38" spans="1:29" ht="14.45" customHeight="1" x14ac:dyDescent="0.25">
      <c r="A38" s="23"/>
      <c r="B38"/>
      <c r="C38"/>
      <c r="D38"/>
      <c r="E38"/>
      <c r="F38"/>
      <c r="G38"/>
      <c r="H38"/>
      <c r="I38"/>
      <c r="J38"/>
      <c r="K38" s="216"/>
      <c r="Z38" s="23"/>
      <c r="AA38"/>
      <c r="AB38"/>
      <c r="AC38"/>
    </row>
    <row r="39" spans="1:29" ht="14.45" customHeight="1" x14ac:dyDescent="0.25">
      <c r="A39" s="23"/>
      <c r="B39"/>
      <c r="C39"/>
      <c r="D39"/>
      <c r="E39"/>
      <c r="F39"/>
      <c r="G39"/>
      <c r="H39"/>
      <c r="I39"/>
      <c r="J39"/>
      <c r="K39" s="216"/>
      <c r="Z39" s="23"/>
      <c r="AA39"/>
      <c r="AB39"/>
      <c r="AC39"/>
    </row>
    <row r="40" spans="1:29" ht="14.45" customHeight="1" x14ac:dyDescent="0.25">
      <c r="A40" s="23"/>
      <c r="B40"/>
      <c r="C40"/>
      <c r="D40"/>
      <c r="E40"/>
      <c r="F40"/>
      <c r="G40"/>
      <c r="H40"/>
      <c r="I40"/>
      <c r="J40"/>
      <c r="K40" s="216"/>
      <c r="Z40" s="23"/>
      <c r="AA40"/>
      <c r="AB40"/>
      <c r="AC40"/>
    </row>
    <row r="41" spans="1:29" ht="14.45" customHeight="1" x14ac:dyDescent="0.25">
      <c r="A41" s="23"/>
      <c r="B41"/>
      <c r="C41"/>
      <c r="D41"/>
      <c r="E41"/>
      <c r="F41"/>
      <c r="G41"/>
      <c r="H41"/>
      <c r="I41"/>
      <c r="J41"/>
      <c r="K41" s="216"/>
      <c r="Z41" s="23"/>
      <c r="AA41"/>
      <c r="AB41"/>
      <c r="AC41"/>
    </row>
    <row r="42" spans="1:29" ht="14.45" customHeight="1" x14ac:dyDescent="0.25">
      <c r="A42" s="23"/>
      <c r="B42"/>
      <c r="C42"/>
      <c r="D42"/>
      <c r="E42"/>
      <c r="F42"/>
      <c r="G42"/>
      <c r="H42"/>
      <c r="I42"/>
      <c r="J42"/>
      <c r="K42" s="216"/>
      <c r="Z42" s="23"/>
      <c r="AA42"/>
      <c r="AB42"/>
      <c r="AC42"/>
    </row>
    <row r="43" spans="1:29" ht="14.45" customHeight="1" x14ac:dyDescent="0.25">
      <c r="A43" s="23"/>
      <c r="B43"/>
      <c r="C43"/>
      <c r="D43"/>
      <c r="E43"/>
      <c r="F43"/>
      <c r="G43"/>
      <c r="H43"/>
      <c r="I43"/>
      <c r="J43"/>
      <c r="K43" s="216"/>
      <c r="Z43" s="23"/>
      <c r="AA43"/>
      <c r="AB43"/>
      <c r="AC43"/>
    </row>
    <row r="44" spans="1:29" ht="14.45" customHeight="1" x14ac:dyDescent="0.25">
      <c r="A44" s="23"/>
      <c r="B44"/>
      <c r="C44"/>
      <c r="D44"/>
      <c r="E44"/>
      <c r="F44"/>
      <c r="G44"/>
      <c r="H44"/>
      <c r="I44"/>
      <c r="J44"/>
      <c r="K44" s="216"/>
      <c r="Z44" s="23"/>
      <c r="AA44"/>
      <c r="AB44"/>
      <c r="AC44"/>
    </row>
    <row r="45" spans="1:29" ht="14.45" customHeight="1" x14ac:dyDescent="0.25">
      <c r="A45" s="23"/>
      <c r="B45"/>
      <c r="C45"/>
      <c r="D45"/>
      <c r="E45"/>
      <c r="F45"/>
      <c r="G45"/>
      <c r="H45"/>
      <c r="I45"/>
      <c r="J45"/>
      <c r="K45" s="216"/>
      <c r="Z45" s="23"/>
      <c r="AA45"/>
      <c r="AB45"/>
      <c r="AC45"/>
    </row>
    <row r="46" spans="1:29" ht="14.45" customHeight="1" x14ac:dyDescent="0.25">
      <c r="A46" s="23"/>
      <c r="B46"/>
      <c r="C46"/>
      <c r="D46"/>
      <c r="E46"/>
      <c r="F46"/>
      <c r="G46"/>
      <c r="H46"/>
      <c r="I46"/>
      <c r="J46"/>
      <c r="K46" s="216"/>
      <c r="Z46" s="23"/>
      <c r="AA46"/>
      <c r="AB46"/>
      <c r="AC46"/>
    </row>
    <row r="47" spans="1:29" ht="14.45" customHeight="1" x14ac:dyDescent="0.25">
      <c r="A47" s="23"/>
      <c r="B47"/>
      <c r="C47"/>
      <c r="D47"/>
      <c r="E47"/>
      <c r="F47"/>
      <c r="G47"/>
      <c r="H47"/>
      <c r="I47"/>
      <c r="J47"/>
      <c r="K47" s="216"/>
      <c r="Z47" s="23"/>
      <c r="AA47"/>
      <c r="AB47"/>
      <c r="AC47"/>
    </row>
    <row r="48" spans="1:29" ht="14.45" customHeight="1" x14ac:dyDescent="0.25">
      <c r="A48" s="23"/>
      <c r="B48"/>
      <c r="C48"/>
      <c r="D48"/>
      <c r="E48"/>
      <c r="F48"/>
      <c r="G48"/>
      <c r="H48"/>
      <c r="I48"/>
      <c r="J48"/>
      <c r="K48" s="216"/>
      <c r="Z48" s="23"/>
      <c r="AA48"/>
      <c r="AB48"/>
      <c r="AC48"/>
    </row>
    <row r="49" spans="1:29" ht="14.45" customHeight="1" x14ac:dyDescent="0.25">
      <c r="A49" s="23"/>
      <c r="B49"/>
      <c r="C49"/>
      <c r="D49"/>
      <c r="E49"/>
      <c r="F49"/>
      <c r="G49"/>
      <c r="H49"/>
      <c r="I49"/>
      <c r="J49"/>
      <c r="K49" s="216"/>
      <c r="Z49" s="23"/>
      <c r="AA49"/>
      <c r="AB49"/>
      <c r="AC49"/>
    </row>
    <row r="50" spans="1:29" ht="14.45" customHeight="1" x14ac:dyDescent="0.25">
      <c r="A50" s="23"/>
      <c r="B50"/>
      <c r="C50"/>
      <c r="D50"/>
      <c r="E50"/>
      <c r="F50"/>
      <c r="G50"/>
      <c r="H50"/>
      <c r="I50"/>
      <c r="J50"/>
      <c r="K50" s="216"/>
      <c r="Z50" s="23"/>
      <c r="AA50"/>
      <c r="AB50"/>
      <c r="AC50"/>
    </row>
    <row r="51" spans="1:29" ht="14.45" customHeight="1" x14ac:dyDescent="0.25">
      <c r="A51" s="23"/>
      <c r="B51"/>
      <c r="C51"/>
      <c r="D51"/>
      <c r="E51"/>
      <c r="F51"/>
      <c r="G51"/>
      <c r="H51"/>
      <c r="I51"/>
      <c r="J51"/>
      <c r="K51" s="216"/>
      <c r="Z51" s="23"/>
      <c r="AA51"/>
      <c r="AB51"/>
      <c r="AC51"/>
    </row>
    <row r="52" spans="1:29" ht="14.45" customHeight="1" x14ac:dyDescent="0.25">
      <c r="A52" s="23"/>
      <c r="B52"/>
      <c r="C52"/>
      <c r="D52"/>
      <c r="E52"/>
      <c r="F52"/>
      <c r="G52"/>
      <c r="H52"/>
      <c r="I52"/>
      <c r="J52"/>
      <c r="K52" s="216"/>
      <c r="Z52" s="23"/>
      <c r="AA52"/>
      <c r="AB52"/>
      <c r="AC52"/>
    </row>
    <row r="53" spans="1:29" ht="14.45" customHeight="1" x14ac:dyDescent="0.25">
      <c r="A53" s="23"/>
      <c r="B53"/>
      <c r="C53"/>
      <c r="D53"/>
      <c r="E53"/>
      <c r="F53"/>
      <c r="G53"/>
      <c r="H53"/>
      <c r="I53"/>
      <c r="J53"/>
      <c r="K53" s="216"/>
      <c r="Z53" s="23"/>
      <c r="AA53"/>
      <c r="AB53"/>
      <c r="AC53"/>
    </row>
    <row r="54" spans="1:29" ht="14.45" customHeight="1" x14ac:dyDescent="0.25">
      <c r="A54" s="23"/>
      <c r="B54"/>
      <c r="C54"/>
      <c r="D54"/>
      <c r="E54"/>
      <c r="F54"/>
      <c r="G54"/>
      <c r="H54"/>
      <c r="I54"/>
      <c r="J54"/>
      <c r="K54" s="216"/>
      <c r="Z54" s="23"/>
      <c r="AA54"/>
      <c r="AB54"/>
      <c r="AC54"/>
    </row>
    <row r="55" spans="1:29" ht="14.45" customHeight="1" x14ac:dyDescent="0.25">
      <c r="A55" s="23"/>
      <c r="B55"/>
      <c r="C55"/>
      <c r="D55"/>
      <c r="E55"/>
      <c r="F55"/>
      <c r="G55"/>
      <c r="H55"/>
      <c r="I55"/>
      <c r="J55"/>
      <c r="K55" s="216"/>
      <c r="Z55" s="23"/>
      <c r="AA55"/>
      <c r="AB55"/>
      <c r="AC55"/>
    </row>
    <row r="56" spans="1:29" ht="14.45" customHeight="1" x14ac:dyDescent="0.25">
      <c r="A56" s="23"/>
      <c r="B56"/>
      <c r="C56"/>
      <c r="D56"/>
      <c r="E56"/>
      <c r="F56"/>
      <c r="G56"/>
      <c r="H56"/>
      <c r="I56"/>
      <c r="J56"/>
      <c r="K56" s="216"/>
      <c r="Z56" s="23"/>
      <c r="AA56"/>
      <c r="AB56"/>
      <c r="AC56"/>
    </row>
    <row r="57" spans="1:29" ht="14.45" customHeight="1" x14ac:dyDescent="0.25">
      <c r="A57" s="23"/>
      <c r="B57"/>
      <c r="C57"/>
      <c r="D57"/>
      <c r="E57"/>
      <c r="F57"/>
      <c r="G57"/>
      <c r="H57"/>
      <c r="I57"/>
      <c r="J57"/>
      <c r="K57" s="216"/>
      <c r="Z57" s="23"/>
      <c r="AA57"/>
      <c r="AB57"/>
      <c r="AC57"/>
    </row>
    <row r="58" spans="1:29" ht="14.45" customHeight="1" x14ac:dyDescent="0.25">
      <c r="A58" s="23"/>
      <c r="B58"/>
      <c r="C58"/>
      <c r="D58"/>
      <c r="E58"/>
      <c r="F58"/>
      <c r="G58"/>
      <c r="H58"/>
      <c r="I58"/>
      <c r="J58"/>
      <c r="K58" s="216"/>
      <c r="Z58" s="23"/>
      <c r="AA58"/>
      <c r="AB58"/>
      <c r="AC58"/>
    </row>
    <row r="59" spans="1:29" ht="14.45" customHeight="1" x14ac:dyDescent="0.25">
      <c r="A59" s="23"/>
      <c r="B59"/>
      <c r="C59"/>
      <c r="D59"/>
      <c r="E59"/>
      <c r="F59"/>
      <c r="G59"/>
      <c r="H59"/>
      <c r="I59"/>
      <c r="J59"/>
      <c r="K59" s="216"/>
      <c r="Z59" s="23"/>
      <c r="AA59"/>
      <c r="AB59"/>
      <c r="AC59"/>
    </row>
    <row r="60" spans="1:29" ht="14.45" customHeight="1" x14ac:dyDescent="0.25">
      <c r="A60" s="23"/>
      <c r="B60"/>
      <c r="C60"/>
      <c r="D60"/>
      <c r="E60"/>
      <c r="F60"/>
      <c r="G60"/>
      <c r="H60"/>
      <c r="I60"/>
      <c r="J60"/>
      <c r="K60" s="216"/>
      <c r="Z60" s="23"/>
      <c r="AA60"/>
      <c r="AB60"/>
      <c r="AC60"/>
    </row>
    <row r="61" spans="1:29" ht="14.45" customHeight="1" x14ac:dyDescent="0.25">
      <c r="A61" s="23"/>
      <c r="B61"/>
      <c r="C61"/>
      <c r="D61"/>
      <c r="E61"/>
      <c r="F61"/>
      <c r="G61"/>
      <c r="H61"/>
      <c r="I61"/>
      <c r="J61"/>
      <c r="K61" s="216"/>
      <c r="Z61" s="23"/>
      <c r="AA61"/>
      <c r="AB61"/>
      <c r="AC61"/>
    </row>
    <row r="62" spans="1:29" ht="14.45" customHeight="1" x14ac:dyDescent="0.25">
      <c r="A62" s="23"/>
      <c r="B62"/>
      <c r="C62"/>
      <c r="D62"/>
      <c r="E62"/>
      <c r="F62"/>
      <c r="G62"/>
      <c r="H62"/>
      <c r="I62"/>
      <c r="J62"/>
      <c r="K62" s="216"/>
      <c r="Z62" s="23"/>
      <c r="AA62"/>
      <c r="AB62"/>
      <c r="AC62"/>
    </row>
    <row r="63" spans="1:29" ht="14.45" customHeight="1" x14ac:dyDescent="0.25">
      <c r="A63" s="23"/>
      <c r="B63"/>
      <c r="C63"/>
      <c r="D63"/>
      <c r="E63"/>
      <c r="F63"/>
      <c r="G63"/>
      <c r="H63"/>
      <c r="I63"/>
      <c r="J63"/>
      <c r="K63" s="216"/>
      <c r="Z63" s="23"/>
      <c r="AA63"/>
      <c r="AB63"/>
      <c r="AC63"/>
    </row>
    <row r="64" spans="1:29" ht="14.45" customHeight="1" x14ac:dyDescent="0.25">
      <c r="A64" s="23"/>
      <c r="B64"/>
      <c r="C64"/>
      <c r="D64"/>
      <c r="E64"/>
      <c r="F64"/>
      <c r="G64"/>
      <c r="H64"/>
      <c r="I64"/>
      <c r="J64"/>
      <c r="K64" s="216"/>
      <c r="Z64" s="23"/>
      <c r="AA64"/>
      <c r="AB64"/>
      <c r="AC64"/>
    </row>
    <row r="65" spans="1:29" ht="14.45" customHeight="1" x14ac:dyDescent="0.25">
      <c r="A65" s="23"/>
      <c r="B65"/>
      <c r="C65"/>
      <c r="D65"/>
      <c r="E65"/>
      <c r="F65"/>
      <c r="G65"/>
      <c r="H65"/>
      <c r="I65"/>
      <c r="J65"/>
      <c r="K65" s="216"/>
      <c r="Z65" s="23"/>
      <c r="AA65"/>
      <c r="AB65"/>
      <c r="AC65"/>
    </row>
    <row r="66" spans="1:29" ht="14.45" customHeight="1" x14ac:dyDescent="0.25">
      <c r="A66" s="145"/>
      <c r="B66" s="145"/>
      <c r="C66" s="145"/>
      <c r="D66" s="145"/>
      <c r="E66" s="145"/>
      <c r="F66" s="145"/>
      <c r="G66" s="145"/>
      <c r="H66" s="145"/>
      <c r="I66" s="145"/>
      <c r="J66" s="145"/>
      <c r="K66" s="145"/>
      <c r="L66" s="145"/>
      <c r="X66" s="145"/>
      <c r="Y66" s="145"/>
      <c r="Z66" s="145"/>
      <c r="AA66" s="145"/>
      <c r="AB66" s="145"/>
      <c r="AC66" s="145"/>
    </row>
    <row r="67" spans="1:29" ht="14.45" customHeight="1" x14ac:dyDescent="0.25">
      <c r="A67" s="145"/>
      <c r="B67" s="145"/>
      <c r="C67" s="145"/>
      <c r="D67" s="145"/>
      <c r="E67" s="145"/>
      <c r="F67" s="145"/>
      <c r="G67" s="145"/>
      <c r="H67" s="145"/>
      <c r="I67" s="145"/>
      <c r="J67" s="145"/>
      <c r="K67" s="145"/>
      <c r="L67" s="145"/>
      <c r="X67" s="145"/>
      <c r="Y67" s="145"/>
      <c r="AA67" s="201" t="str" cm="1">
        <f t="array" ref="AA67:AC67">AA6:AC6</f>
        <v>Pt Froid</v>
      </c>
      <c r="AB67" s="201" t="str">
        <v>Regulation</v>
      </c>
      <c r="AC67" s="201" t="str">
        <v>Pt Chaud</v>
      </c>
    </row>
    <row r="68" spans="1:29" ht="14.45" customHeight="1" x14ac:dyDescent="0.25">
      <c r="A68" s="23"/>
      <c r="B68"/>
      <c r="C68"/>
      <c r="D68"/>
      <c r="E68"/>
      <c r="F68"/>
      <c r="G68"/>
      <c r="H68"/>
      <c r="I68"/>
      <c r="J68"/>
      <c r="K68" s="204"/>
      <c r="Z68" s="197" t="s">
        <v>90</v>
      </c>
      <c r="AA68" s="43">
        <f>MAX(tab_four535[Pt Froid])</f>
        <v>0</v>
      </c>
      <c r="AB68" s="43">
        <f>MAX(tab_four535[Regulation])</f>
        <v>0</v>
      </c>
      <c r="AC68" s="43">
        <f>MAX(tab_four535[Pt Chaud])</f>
        <v>0</v>
      </c>
    </row>
    <row r="69" spans="1:29" ht="14.45" customHeight="1" x14ac:dyDescent="0.25">
      <c r="A69" s="23"/>
      <c r="B69"/>
      <c r="C69"/>
      <c r="D69"/>
      <c r="E69"/>
      <c r="F69"/>
      <c r="G69"/>
      <c r="H69"/>
      <c r="I69"/>
      <c r="J69"/>
      <c r="Z69" s="197" t="s">
        <v>91</v>
      </c>
      <c r="AA69" s="43" t="e">
        <f ca="1">MAX(OFFSET(INDEX(tab_four535[Pt Froid],1),COUNT(tab_four535[Pt Froid])-30,0,30))</f>
        <v>#REF!</v>
      </c>
      <c r="AB69" s="43" t="e">
        <f ca="1">MAX(OFFSET(INDEX(tab_four535[Regulation],1),COUNT(tab_four535[Regulation])-30,0,30))</f>
        <v>#REF!</v>
      </c>
      <c r="AC69" s="43" t="e">
        <f ca="1">MAX(OFFSET(INDEX(tab_four535[Pt Chaud],1),COUNT(tab_four535[Pt Chaud])-30,0,30))</f>
        <v>#REF!</v>
      </c>
    </row>
    <row r="70" spans="1:29" ht="14.45" customHeight="1" x14ac:dyDescent="0.25">
      <c r="A70" s="23"/>
      <c r="B70"/>
      <c r="C70"/>
      <c r="D70"/>
      <c r="E70"/>
      <c r="F70"/>
      <c r="G70"/>
      <c r="H70"/>
      <c r="I70"/>
      <c r="J70"/>
      <c r="Z70" s="197" t="s">
        <v>93</v>
      </c>
      <c r="AA70" s="43" t="e">
        <f ca="1">MIN(OFFSET(INDEX(tab_four535[Pt Froid],1),COUNT(tab_four535[Pt Froid])-30,0,30))</f>
        <v>#REF!</v>
      </c>
      <c r="AB70" s="43" t="e">
        <f ca="1">MIN(OFFSET(INDEX(tab_four535[Regulation],1),COUNT(tab_four535[Regulation])-30,0,30))</f>
        <v>#REF!</v>
      </c>
      <c r="AC70" s="43" t="e">
        <f ca="1">MIN(OFFSET(INDEX(tab_four535[Pt Chaud],1),COUNT(tab_four535[Pt Chaud])-30,0,30))</f>
        <v>#REF!</v>
      </c>
    </row>
    <row r="71" spans="1:29" ht="14.45" customHeight="1" x14ac:dyDescent="0.25">
      <c r="A71" s="23"/>
      <c r="B71"/>
      <c r="C71"/>
      <c r="D71"/>
      <c r="E71"/>
      <c r="F71"/>
      <c r="G71"/>
      <c r="H71"/>
      <c r="I71"/>
      <c r="J71"/>
      <c r="Z71" s="197" t="s">
        <v>95</v>
      </c>
      <c r="AA71" s="43" t="e">
        <f ca="1">AVERAGE(OFFSET(INDEX(tab_four535[Pt Froid],1),COUNT(tab_four535[Pt Froid])-30,0,30))</f>
        <v>#REF!</v>
      </c>
      <c r="AB71" s="43" t="e">
        <f ca="1">AVERAGE(OFFSET(INDEX(tab_four535[Regulation],1),COUNT(tab_four535[Regulation])-30,0,30))</f>
        <v>#REF!</v>
      </c>
      <c r="AC71" s="43" t="e">
        <f ca="1">AVERAGE(OFFSET(INDEX(tab_four535[Pt Chaud],1),COUNT(tab_four535[Pt Chaud])-30,0,30))</f>
        <v>#REF!</v>
      </c>
    </row>
    <row r="72" spans="1:29" ht="14.45" customHeight="1" x14ac:dyDescent="0.25">
      <c r="A72" s="23"/>
      <c r="B72"/>
      <c r="C72"/>
      <c r="D72"/>
      <c r="E72"/>
      <c r="F72"/>
      <c r="G72"/>
      <c r="H72"/>
      <c r="I72"/>
      <c r="J72"/>
    </row>
    <row r="73" spans="1:29" ht="14.45" customHeight="1" x14ac:dyDescent="0.25">
      <c r="A73" s="23"/>
      <c r="B73"/>
      <c r="C73"/>
      <c r="D73"/>
      <c r="E73"/>
      <c r="F73"/>
      <c r="G73"/>
      <c r="H73"/>
      <c r="I73"/>
      <c r="J73"/>
    </row>
    <row r="74" spans="1:29" x14ac:dyDescent="0.25">
      <c r="A74" s="23"/>
      <c r="B74"/>
      <c r="C74"/>
      <c r="D74"/>
      <c r="E74"/>
      <c r="F74"/>
      <c r="G74"/>
      <c r="H74"/>
      <c r="I74"/>
      <c r="J74"/>
    </row>
    <row r="76" spans="1:29" x14ac:dyDescent="0.25">
      <c r="J76"/>
    </row>
    <row r="77" spans="1:29" x14ac:dyDescent="0.25">
      <c r="J77"/>
    </row>
  </sheetData>
  <sheetProtection algorithmName="SHA-512" hashValue="n4ZWymNGpE9Md8MZjtZXqsvS7RnOA1ApowRJb7t2miGEzV+X4w8rh8L+FLwAUSwBKHlDZyDegJqgLDZyzQ9KEQ==" saltValue="yaKjFkxQi30OWwfugvBX3g==" spinCount="100000" sheet="1" objects="1" scenarios="1"/>
  <mergeCells count="6">
    <mergeCell ref="A1:AC1"/>
    <mergeCell ref="A5:J5"/>
    <mergeCell ref="M5:V5"/>
    <mergeCell ref="N16:V16"/>
    <mergeCell ref="N17:V17"/>
    <mergeCell ref="A9:W9"/>
  </mergeCells>
  <conditionalFormatting sqref="N11:V11">
    <cfRule type="cellIs" dxfId="81" priority="6" operator="equal">
      <formula>#REF!</formula>
    </cfRule>
  </conditionalFormatting>
  <conditionalFormatting sqref="N12:V12">
    <cfRule type="cellIs" dxfId="80" priority="2" operator="equal">
      <formula>$W$12</formula>
    </cfRule>
    <cfRule type="cellIs" dxfId="79" priority="5" operator="equal">
      <formula>#REF!</formula>
    </cfRule>
  </conditionalFormatting>
  <conditionalFormatting sqref="N13:V13">
    <cfRule type="cellIs" dxfId="78" priority="1" operator="equal">
      <formula>$W$13</formula>
    </cfRule>
    <cfRule type="cellIs" dxfId="77" priority="3" operator="equal">
      <formula>#REF!</formula>
    </cfRule>
    <cfRule type="cellIs" dxfId="76" priority="4" operator="equal">
      <formula>#REF!</formula>
    </cfRule>
  </conditionalFormatting>
  <conditionalFormatting sqref="N11:V11">
    <cfRule type="cellIs" dxfId="75" priority="7" operator="equal">
      <formula>$W$11</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view="pageBreakPreview" topLeftCell="A136" zoomScale="70" zoomScaleNormal="70" zoomScaleSheetLayoutView="70" zoomScalePageLayoutView="85" workbookViewId="0">
      <selection activeCell="E88" sqref="E88"/>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437" t="s">
        <v>331</v>
      </c>
      <c r="C5" s="437"/>
      <c r="D5" s="437"/>
      <c r="E5" s="437"/>
      <c r="F5" s="437"/>
      <c r="G5" s="437"/>
      <c r="H5" s="220"/>
      <c r="I5" s="219"/>
    </row>
    <row r="6" spans="2:9" ht="15.75" customHeight="1" x14ac:dyDescent="0.4">
      <c r="B6" s="219"/>
      <c r="C6" s="219"/>
      <c r="D6" s="219"/>
      <c r="E6" s="219"/>
      <c r="F6" s="219"/>
      <c r="G6" s="219"/>
    </row>
    <row r="7" spans="2:9" ht="15.75" customHeight="1" x14ac:dyDescent="0.25"/>
    <row r="8" spans="2:9" ht="21" x14ac:dyDescent="0.25">
      <c r="C8" s="438" t="s">
        <v>138</v>
      </c>
      <c r="D8" s="438"/>
      <c r="E8" s="439" t="str">
        <f>IF(D11&lt;&gt;"",+D11,"")</f>
        <v/>
      </c>
      <c r="F8" s="439"/>
    </row>
    <row r="9" spans="2:9" ht="15.75" customHeight="1" x14ac:dyDescent="0.25">
      <c r="C9" s="89"/>
      <c r="D9" s="89"/>
      <c r="E9" s="90"/>
      <c r="F9" s="90"/>
    </row>
    <row r="10" spans="2:9" ht="15.75" customHeight="1" x14ac:dyDescent="0.25"/>
    <row r="11" spans="2:9" ht="15.75" x14ac:dyDescent="0.25">
      <c r="C11" s="221" t="s">
        <v>332</v>
      </c>
      <c r="D11" s="222" t="str">
        <f>IF(+Mesures_Four!B6&lt;&gt;"",Mesures_Four!B6,"")</f>
        <v/>
      </c>
      <c r="F11" s="223" t="s">
        <v>333</v>
      </c>
      <c r="G11" s="97" t="s">
        <v>334</v>
      </c>
    </row>
    <row r="12" spans="2:9" ht="15.75" x14ac:dyDescent="0.25">
      <c r="C12" s="96" t="s">
        <v>335</v>
      </c>
      <c r="D12" s="224" t="str">
        <f>IF(ISTEXT(Mesures_Four!B7),Mesures_Four!B7,"")</f>
        <v/>
      </c>
      <c r="F12" t="s">
        <v>336</v>
      </c>
      <c r="G12" s="225" t="str">
        <f>IF(Mesures_Four!B5="","",Mesures_Four!B5)</f>
        <v/>
      </c>
    </row>
    <row r="13" spans="2:9" ht="15.75" x14ac:dyDescent="0.25">
      <c r="C13" s="96"/>
      <c r="D13" s="224" t="str">
        <f>IF(ISTEXT(Mesures_Four!B8),Mesures_Four!B8,"")</f>
        <v/>
      </c>
    </row>
    <row r="14" spans="2:9" ht="15.75" x14ac:dyDescent="0.25">
      <c r="C14" s="96"/>
      <c r="D14" s="224" t="str">
        <f>IF(ISTEXT(Mesures_Four!B9),Mesures_Four!B9,"")</f>
        <v/>
      </c>
    </row>
    <row r="15" spans="2:9" ht="15.75" x14ac:dyDescent="0.25">
      <c r="C15" s="96"/>
      <c r="D15" s="97"/>
      <c r="F15" s="96" t="s">
        <v>337</v>
      </c>
      <c r="G15" s="226" t="str">
        <f>IF(ISTEXT(Mesures_Four!B12),Mesures_Four!B12,"")</f>
        <v/>
      </c>
    </row>
    <row r="16" spans="2:9" ht="15.75" x14ac:dyDescent="0.25">
      <c r="C16" s="96"/>
      <c r="D16" s="97"/>
    </row>
    <row r="17" spans="1:9" ht="15.75" x14ac:dyDescent="0.25">
      <c r="C17" s="221" t="s">
        <v>338</v>
      </c>
      <c r="D17" s="222" t="str">
        <f>IF(+Mesures_Four!B11&lt;&gt;"",Mesures_Four!B11,"")</f>
        <v/>
      </c>
    </row>
    <row r="18" spans="1:9" ht="15.75" x14ac:dyDescent="0.25">
      <c r="C18" s="96" t="s">
        <v>339</v>
      </c>
      <c r="D18" s="224" t="str">
        <f>IF(ISTEXT(Mesures_Four!B10),Mesures_Four!B10,"")</f>
        <v/>
      </c>
    </row>
    <row r="19" spans="1:9" ht="15.75" x14ac:dyDescent="0.25">
      <c r="C19" s="96"/>
      <c r="D19" s="97"/>
    </row>
    <row r="20" spans="1:9" ht="15.75" x14ac:dyDescent="0.25">
      <c r="C20" s="96"/>
      <c r="D20" s="97"/>
    </row>
    <row r="21" spans="1:9" ht="15.75" x14ac:dyDescent="0.25">
      <c r="C21" s="96"/>
      <c r="D21" s="97"/>
    </row>
    <row r="22" spans="1:9" ht="15.75" x14ac:dyDescent="0.25">
      <c r="C22" s="96"/>
      <c r="D22" s="97"/>
    </row>
    <row r="23" spans="1:9" ht="15.75" x14ac:dyDescent="0.25">
      <c r="C23" s="96"/>
      <c r="D23" s="97"/>
    </row>
    <row r="24" spans="1:9" ht="15.75" x14ac:dyDescent="0.25">
      <c r="C24" s="96"/>
      <c r="D24" s="97"/>
    </row>
    <row r="25" spans="1:9" ht="15.75" x14ac:dyDescent="0.25">
      <c r="C25" s="96"/>
      <c r="D25" s="97"/>
    </row>
    <row r="26" spans="1:9" ht="15.75" x14ac:dyDescent="0.25">
      <c r="C26" s="96"/>
      <c r="D26" s="97"/>
    </row>
    <row r="27" spans="1:9" ht="15.75" x14ac:dyDescent="0.25">
      <c r="C27" s="96"/>
      <c r="D27" s="97"/>
    </row>
    <row r="28" spans="1:9" ht="15.75" x14ac:dyDescent="0.25">
      <c r="C28" s="96"/>
      <c r="D28" s="97"/>
    </row>
    <row r="29" spans="1:9" ht="15.75" x14ac:dyDescent="0.25">
      <c r="C29" s="96"/>
      <c r="D29" s="97"/>
    </row>
    <row r="30" spans="1:9" ht="18.75" customHeight="1" x14ac:dyDescent="0.25">
      <c r="A30" s="436" t="s">
        <v>340</v>
      </c>
      <c r="B30" s="436"/>
      <c r="C30" s="436"/>
      <c r="D30" s="436"/>
      <c r="E30" s="436"/>
      <c r="F30" s="436"/>
      <c r="G30" s="436"/>
      <c r="H30" s="436"/>
      <c r="I30" s="436"/>
    </row>
    <row r="31" spans="1:9" ht="15.75" customHeight="1" x14ac:dyDescent="0.25">
      <c r="A31" s="436"/>
      <c r="B31" s="436"/>
      <c r="C31" s="436"/>
      <c r="D31" s="436"/>
      <c r="E31" s="436"/>
      <c r="F31" s="436"/>
      <c r="G31" s="436"/>
      <c r="H31" s="436"/>
      <c r="I31" s="436"/>
    </row>
    <row r="32" spans="1:9" ht="15" customHeight="1" x14ac:dyDescent="0.25">
      <c r="A32" s="436"/>
      <c r="B32" s="436"/>
      <c r="C32" s="436"/>
      <c r="D32" s="436"/>
      <c r="E32" s="436"/>
      <c r="F32" s="436"/>
      <c r="G32" s="436"/>
      <c r="H32" s="436"/>
      <c r="I32" s="436"/>
    </row>
    <row r="33" spans="1:9" ht="15" customHeight="1" x14ac:dyDescent="0.25">
      <c r="A33" s="436"/>
      <c r="B33" s="436"/>
      <c r="C33" s="436"/>
      <c r="D33" s="436"/>
      <c r="E33" s="436"/>
      <c r="F33" s="436"/>
      <c r="G33" s="436"/>
      <c r="H33" s="436"/>
      <c r="I33" s="436"/>
    </row>
    <row r="34" spans="1:9" ht="15" customHeight="1" x14ac:dyDescent="0.25">
      <c r="A34" s="436"/>
      <c r="B34" s="436"/>
      <c r="C34" s="436"/>
      <c r="D34" s="436"/>
      <c r="E34" s="436"/>
      <c r="F34" s="436"/>
      <c r="G34" s="436"/>
      <c r="H34" s="436"/>
      <c r="I34" s="436"/>
    </row>
    <row r="35" spans="1:9" ht="15" customHeight="1" x14ac:dyDescent="0.25">
      <c r="A35" s="436"/>
      <c r="B35" s="436"/>
      <c r="C35" s="436"/>
      <c r="D35" s="436"/>
      <c r="E35" s="436"/>
      <c r="F35" s="436"/>
      <c r="G35" s="436"/>
      <c r="H35" s="436"/>
      <c r="I35" s="436"/>
    </row>
    <row r="36" spans="1:9" ht="15" customHeight="1" x14ac:dyDescent="0.25">
      <c r="A36" s="436"/>
      <c r="B36" s="436"/>
      <c r="C36" s="436"/>
      <c r="D36" s="436"/>
      <c r="E36" s="436"/>
      <c r="F36" s="436"/>
      <c r="G36" s="436"/>
      <c r="H36" s="436"/>
      <c r="I36" s="436"/>
    </row>
    <row r="37" spans="1:9" ht="15" customHeight="1" x14ac:dyDescent="0.25">
      <c r="A37" s="436"/>
      <c r="B37" s="436"/>
      <c r="C37" s="436"/>
      <c r="D37" s="436"/>
      <c r="E37" s="436"/>
      <c r="F37" s="436"/>
      <c r="G37" s="436"/>
      <c r="H37" s="436"/>
      <c r="I37" s="436"/>
    </row>
    <row r="38" spans="1:9" ht="15" customHeight="1" x14ac:dyDescent="0.25">
      <c r="A38" s="436"/>
      <c r="B38" s="436"/>
      <c r="C38" s="436"/>
      <c r="D38" s="436"/>
      <c r="E38" s="436"/>
      <c r="F38" s="436"/>
      <c r="G38" s="436"/>
      <c r="H38" s="436"/>
      <c r="I38" s="436"/>
    </row>
    <row r="39" spans="1:9" ht="15" customHeight="1" x14ac:dyDescent="0.25">
      <c r="A39" s="436"/>
      <c r="B39" s="436"/>
      <c r="C39" s="436"/>
      <c r="D39" s="436"/>
      <c r="E39" s="436"/>
      <c r="F39" s="436"/>
      <c r="G39" s="436"/>
      <c r="H39" s="436"/>
      <c r="I39" s="436"/>
    </row>
    <row r="40" spans="1:9" ht="15" customHeight="1" x14ac:dyDescent="0.25">
      <c r="A40" s="436"/>
      <c r="B40" s="436"/>
      <c r="C40" s="436"/>
      <c r="D40" s="436"/>
      <c r="E40" s="436"/>
      <c r="F40" s="436"/>
      <c r="G40" s="436"/>
      <c r="H40" s="436"/>
      <c r="I40" s="436"/>
    </row>
    <row r="41" spans="1:9" ht="15" customHeight="1" x14ac:dyDescent="0.25">
      <c r="A41" s="436"/>
      <c r="B41" s="436"/>
      <c r="C41" s="436"/>
      <c r="D41" s="436"/>
      <c r="E41" s="436"/>
      <c r="F41" s="436"/>
      <c r="G41" s="436"/>
      <c r="H41" s="436"/>
      <c r="I41" s="436"/>
    </row>
    <row r="42" spans="1:9" ht="15" customHeight="1" x14ac:dyDescent="0.25">
      <c r="A42" s="436"/>
      <c r="B42" s="436"/>
      <c r="C42" s="436"/>
      <c r="D42" s="436"/>
      <c r="E42" s="436"/>
      <c r="F42" s="436"/>
      <c r="G42" s="436"/>
      <c r="H42" s="436"/>
      <c r="I42" s="436"/>
    </row>
    <row r="43" spans="1:9" ht="15" customHeight="1" x14ac:dyDescent="0.25">
      <c r="A43" s="436"/>
      <c r="B43" s="436"/>
      <c r="C43" s="436"/>
      <c r="D43" s="436"/>
      <c r="E43" s="436"/>
      <c r="F43" s="436"/>
      <c r="G43" s="436"/>
      <c r="H43" s="436"/>
      <c r="I43" s="436"/>
    </row>
    <row r="44" spans="1:9" ht="15" customHeight="1" x14ac:dyDescent="0.25">
      <c r="A44" s="436"/>
      <c r="B44" s="436"/>
      <c r="C44" s="436"/>
      <c r="D44" s="436"/>
      <c r="E44" s="436"/>
      <c r="F44" s="436"/>
      <c r="G44" s="436"/>
      <c r="H44" s="436"/>
      <c r="I44" s="436"/>
    </row>
    <row r="45" spans="1:9" ht="15" customHeight="1" x14ac:dyDescent="0.25">
      <c r="A45" s="436"/>
      <c r="B45" s="436"/>
      <c r="C45" s="436"/>
      <c r="D45" s="436"/>
      <c r="E45" s="436"/>
      <c r="F45" s="436"/>
      <c r="G45" s="436"/>
      <c r="H45" s="436"/>
      <c r="I45" s="436"/>
    </row>
    <row r="46" spans="1:9" ht="15" customHeight="1" x14ac:dyDescent="0.25">
      <c r="A46" s="436"/>
      <c r="B46" s="436"/>
      <c r="C46" s="436"/>
      <c r="D46" s="436"/>
      <c r="E46" s="436"/>
      <c r="F46" s="436"/>
      <c r="G46" s="436"/>
      <c r="H46" s="436"/>
      <c r="I46" s="436"/>
    </row>
    <row r="47" spans="1:9" ht="15" customHeight="1" x14ac:dyDescent="0.25">
      <c r="A47" s="436"/>
      <c r="B47" s="436"/>
      <c r="C47" s="436"/>
      <c r="D47" s="436"/>
      <c r="E47" s="436"/>
      <c r="F47" s="436"/>
      <c r="G47" s="436"/>
      <c r="H47" s="436"/>
      <c r="I47" s="436"/>
    </row>
    <row r="48" spans="1:9" ht="15" customHeight="1" x14ac:dyDescent="0.25">
      <c r="C48" s="165"/>
      <c r="D48" s="165"/>
      <c r="E48" s="165"/>
      <c r="F48" s="165"/>
      <c r="G48" s="165"/>
    </row>
    <row r="49" spans="2:7" ht="15" customHeight="1" x14ac:dyDescent="0.25">
      <c r="C49" s="165"/>
      <c r="D49" s="165"/>
      <c r="E49" s="165"/>
      <c r="F49" s="165"/>
      <c r="G49" s="165"/>
    </row>
    <row r="50" spans="2:7" ht="15" customHeight="1" x14ac:dyDescent="0.25">
      <c r="C50" s="165"/>
      <c r="D50" s="165"/>
      <c r="E50" s="165"/>
      <c r="F50" s="165"/>
      <c r="G50" s="165"/>
    </row>
    <row r="51" spans="2:7" ht="15" customHeight="1" x14ac:dyDescent="0.25">
      <c r="C51" s="165"/>
      <c r="D51" s="165"/>
      <c r="E51" s="165"/>
      <c r="F51" s="165"/>
      <c r="G51" s="165"/>
    </row>
    <row r="52" spans="2:7" ht="15" customHeight="1" x14ac:dyDescent="0.25">
      <c r="C52" s="165"/>
      <c r="D52" s="165"/>
      <c r="E52" s="165"/>
      <c r="F52" s="165"/>
      <c r="G52" s="165"/>
    </row>
    <row r="53" spans="2:7" ht="15" customHeight="1" x14ac:dyDescent="0.25">
      <c r="B53" s="163" t="s">
        <v>249</v>
      </c>
      <c r="C53" s="164"/>
      <c r="E53" s="165"/>
      <c r="F53" s="165"/>
      <c r="G53" s="165"/>
    </row>
    <row r="54" spans="2:7" ht="15" customHeight="1" x14ac:dyDescent="0.25">
      <c r="C54" s="165"/>
      <c r="D54" s="165"/>
      <c r="E54" s="165"/>
      <c r="F54" s="165"/>
      <c r="G54" s="165"/>
    </row>
    <row r="55" spans="2:7" ht="18.75" x14ac:dyDescent="0.25">
      <c r="B55" s="440" t="s">
        <v>250</v>
      </c>
      <c r="C55" s="440"/>
      <c r="D55" s="165"/>
      <c r="E55" s="165"/>
      <c r="F55" s="166" t="s">
        <v>251</v>
      </c>
      <c r="G55" s="165"/>
    </row>
    <row r="56" spans="2:7" ht="15" customHeight="1" x14ac:dyDescent="0.25">
      <c r="B56" s="436" t="s">
        <v>252</v>
      </c>
      <c r="C56" s="436"/>
      <c r="D56" s="157" t="s">
        <v>341</v>
      </c>
      <c r="E56" s="165"/>
      <c r="F56" s="165" t="s">
        <v>254</v>
      </c>
      <c r="G56" s="165" t="s">
        <v>342</v>
      </c>
    </row>
    <row r="57" spans="2:7" ht="15" customHeight="1" x14ac:dyDescent="0.25">
      <c r="B57" s="436" t="s">
        <v>255</v>
      </c>
      <c r="C57" s="436"/>
      <c r="D57" s="157" t="s">
        <v>343</v>
      </c>
      <c r="E57" s="165"/>
      <c r="F57" s="165" t="s">
        <v>257</v>
      </c>
      <c r="G57" s="165" t="s">
        <v>344</v>
      </c>
    </row>
    <row r="58" spans="2:7" ht="15" customHeight="1" x14ac:dyDescent="0.25">
      <c r="B58" s="436" t="s">
        <v>258</v>
      </c>
      <c r="C58" s="436"/>
      <c r="D58" s="157" t="s">
        <v>345</v>
      </c>
      <c r="E58" s="165"/>
      <c r="F58" s="165" t="s">
        <v>260</v>
      </c>
      <c r="G58" s="165" t="s">
        <v>346</v>
      </c>
    </row>
    <row r="59" spans="2:7" ht="15" customHeight="1" x14ac:dyDescent="0.25">
      <c r="B59" s="436" t="s">
        <v>261</v>
      </c>
      <c r="C59" s="436"/>
      <c r="D59" s="157" t="s">
        <v>347</v>
      </c>
      <c r="E59" s="165"/>
      <c r="F59" s="165"/>
      <c r="G59" s="165"/>
    </row>
    <row r="60" spans="2:7" ht="15" customHeight="1" x14ac:dyDescent="0.25">
      <c r="B60" s="436" t="s">
        <v>262</v>
      </c>
      <c r="C60" s="436"/>
      <c r="D60" s="167">
        <v>42634</v>
      </c>
      <c r="E60" s="165"/>
      <c r="F60" s="165"/>
      <c r="G60" s="165"/>
    </row>
    <row r="61" spans="2:7" ht="15" customHeight="1" x14ac:dyDescent="0.25">
      <c r="B61" s="436" t="s">
        <v>263</v>
      </c>
      <c r="C61" s="436"/>
      <c r="D61" s="157" t="s">
        <v>348</v>
      </c>
      <c r="E61" s="165"/>
      <c r="F61" s="165"/>
      <c r="G61" s="165"/>
    </row>
    <row r="62" spans="2:7" ht="15" customHeight="1" x14ac:dyDescent="0.25">
      <c r="B62" s="436" t="s">
        <v>265</v>
      </c>
      <c r="C62" s="436"/>
      <c r="D62" s="157" t="s">
        <v>266</v>
      </c>
      <c r="E62" s="165"/>
      <c r="F62" s="165"/>
      <c r="G62" s="165"/>
    </row>
    <row r="63" spans="2:7" ht="15" customHeight="1" x14ac:dyDescent="0.25">
      <c r="B63" s="436" t="s">
        <v>267</v>
      </c>
      <c r="C63" s="436"/>
      <c r="D63" s="157" t="s">
        <v>349</v>
      </c>
      <c r="E63" s="165"/>
      <c r="F63" s="165"/>
      <c r="G63" s="165"/>
    </row>
    <row r="64" spans="2:7" ht="15" customHeight="1" x14ac:dyDescent="0.25">
      <c r="D64" s="165"/>
      <c r="E64" s="165"/>
      <c r="F64" s="165"/>
      <c r="G64" s="165"/>
    </row>
    <row r="65" spans="2:7" ht="15" customHeight="1" x14ac:dyDescent="0.25">
      <c r="B65" s="165"/>
      <c r="C65" s="165"/>
      <c r="D65" s="165"/>
      <c r="E65" s="165"/>
      <c r="F65" s="165"/>
      <c r="G65" s="165"/>
    </row>
    <row r="66" spans="2:7" ht="15" customHeight="1" x14ac:dyDescent="0.25">
      <c r="B66" s="165"/>
      <c r="C66" s="165"/>
      <c r="D66" s="165"/>
      <c r="E66" s="165"/>
      <c r="F66" s="165"/>
      <c r="G66" s="165"/>
    </row>
    <row r="67" spans="2:7" ht="15" customHeight="1" x14ac:dyDescent="0.25">
      <c r="B67" s="165"/>
      <c r="C67" s="165"/>
      <c r="D67" s="165"/>
      <c r="E67" s="165"/>
      <c r="F67" s="165"/>
      <c r="G67" s="165"/>
    </row>
    <row r="68" spans="2:7" ht="15" customHeight="1" x14ac:dyDescent="0.25">
      <c r="B68" s="165"/>
      <c r="C68" s="165"/>
      <c r="D68" s="165"/>
      <c r="E68" s="165"/>
      <c r="F68" s="165"/>
      <c r="G68" s="165"/>
    </row>
    <row r="69" spans="2:7" ht="15" customHeight="1" x14ac:dyDescent="0.25">
      <c r="C69" s="157"/>
      <c r="D69" s="157"/>
      <c r="E69" s="165"/>
      <c r="F69" s="157"/>
      <c r="G69" s="157"/>
    </row>
    <row r="70" spans="2:7" ht="18.75" x14ac:dyDescent="0.25">
      <c r="B70" s="227" t="s">
        <v>268</v>
      </c>
    </row>
    <row r="72" spans="2:7" ht="15" customHeight="1" x14ac:dyDescent="0.25">
      <c r="B72" s="88" t="s">
        <v>350</v>
      </c>
      <c r="D72" s="228"/>
      <c r="E72" s="228"/>
    </row>
    <row r="73" spans="2:7" x14ac:dyDescent="0.25">
      <c r="C73" s="229" t="s">
        <v>351</v>
      </c>
      <c r="D73" s="169" t="str">
        <f>Mesures_Four!C53</f>
        <v>JO1854/1C</v>
      </c>
      <c r="E73" s="170">
        <f>Mesures_Four!E53</f>
        <v>42901</v>
      </c>
    </row>
    <row r="74" spans="2:7" x14ac:dyDescent="0.25">
      <c r="C74" s="168" t="s">
        <v>352</v>
      </c>
      <c r="D74" s="169" t="str">
        <f>Mesures_Four!C54</f>
        <v>CF26299-A-001</v>
      </c>
      <c r="E74" s="170">
        <f>Mesures_Four!E54</f>
        <v>44785</v>
      </c>
    </row>
    <row r="75" spans="2:7" x14ac:dyDescent="0.25">
      <c r="C75" s="168" t="s">
        <v>269</v>
      </c>
      <c r="D75" s="169" t="str">
        <f>Mesures_Four!C55</f>
        <v>CF27160-A-001</v>
      </c>
      <c r="E75" s="170">
        <f>Mesures_Four!E55</f>
        <v>44865</v>
      </c>
    </row>
    <row r="76" spans="2:7" x14ac:dyDescent="0.25">
      <c r="C76" s="88"/>
      <c r="D76" s="88"/>
      <c r="E76" s="88"/>
    </row>
    <row r="77" spans="2:7" x14ac:dyDescent="0.25">
      <c r="B77" s="88" t="s">
        <v>353</v>
      </c>
      <c r="D77" s="88"/>
      <c r="E77" s="88"/>
    </row>
    <row r="78" spans="2:7" x14ac:dyDescent="0.25">
      <c r="C78" s="88"/>
      <c r="D78" s="88"/>
      <c r="E78" s="88"/>
    </row>
    <row r="79" spans="2:7" x14ac:dyDescent="0.25">
      <c r="C79" s="88"/>
      <c r="D79" s="88"/>
      <c r="E79" s="88"/>
    </row>
    <row r="80" spans="2:7" x14ac:dyDescent="0.25">
      <c r="B80" s="171" t="s">
        <v>271</v>
      </c>
      <c r="D80" s="88"/>
      <c r="E80" s="88"/>
    </row>
    <row r="81" spans="2:5" x14ac:dyDescent="0.25">
      <c r="B81" s="172" t="s">
        <v>272</v>
      </c>
      <c r="C81" s="172">
        <v>1500</v>
      </c>
      <c r="D81" s="88"/>
      <c r="E81" s="88"/>
    </row>
    <row r="82" spans="2:5" x14ac:dyDescent="0.25">
      <c r="B82" s="172" t="s">
        <v>273</v>
      </c>
      <c r="C82" s="173">
        <v>1500</v>
      </c>
      <c r="D82" s="88"/>
      <c r="E82" s="88"/>
    </row>
    <row r="83" spans="2:5" x14ac:dyDescent="0.25">
      <c r="B83" s="172" t="s">
        <v>274</v>
      </c>
      <c r="C83" s="172">
        <v>3500</v>
      </c>
      <c r="D83" s="88"/>
      <c r="E83" s="88"/>
    </row>
    <row r="84" spans="2:5" x14ac:dyDescent="0.25">
      <c r="B84" s="173" t="s">
        <v>275</v>
      </c>
      <c r="C84" s="172">
        <f>+C81*C82*C83*10^-6</f>
        <v>7875</v>
      </c>
      <c r="D84" s="88"/>
      <c r="E84" s="88"/>
    </row>
    <row r="85" spans="2:5" x14ac:dyDescent="0.25">
      <c r="B85" s="88"/>
      <c r="D85" s="88"/>
      <c r="E85" s="88"/>
    </row>
    <row r="86" spans="2:5" x14ac:dyDescent="0.25">
      <c r="B86" s="171" t="s">
        <v>276</v>
      </c>
      <c r="D86" s="88"/>
      <c r="E86" s="88"/>
    </row>
    <row r="87" spans="2:5" x14ac:dyDescent="0.25">
      <c r="B87" s="172" t="s">
        <v>272</v>
      </c>
      <c r="C87" s="172">
        <v>1100</v>
      </c>
      <c r="D87" s="88"/>
      <c r="E87" s="88"/>
    </row>
    <row r="88" spans="2:5" x14ac:dyDescent="0.25">
      <c r="B88" s="172" t="s">
        <v>273</v>
      </c>
      <c r="C88" s="172">
        <v>1100</v>
      </c>
      <c r="D88" s="88"/>
      <c r="E88" s="88"/>
    </row>
    <row r="89" spans="2:5" x14ac:dyDescent="0.25">
      <c r="B89" s="172" t="s">
        <v>274</v>
      </c>
      <c r="C89" s="172">
        <v>3400</v>
      </c>
      <c r="D89" s="88"/>
      <c r="E89" s="88"/>
    </row>
    <row r="90" spans="2:5" x14ac:dyDescent="0.25">
      <c r="B90" s="173" t="s">
        <v>275</v>
      </c>
      <c r="C90" s="172">
        <f>+C87*C88*C89*10^-6</f>
        <v>4114</v>
      </c>
      <c r="D90" s="88"/>
      <c r="E90" s="88"/>
    </row>
    <row r="91" spans="2:5" x14ac:dyDescent="0.25">
      <c r="C91" s="88"/>
      <c r="D91" s="88"/>
      <c r="E91" s="88"/>
    </row>
    <row r="92" spans="2:5" x14ac:dyDescent="0.25">
      <c r="C92" s="88"/>
    </row>
    <row r="93" spans="2:5" x14ac:dyDescent="0.25">
      <c r="C93" s="88"/>
    </row>
    <row r="94" spans="2:5" x14ac:dyDescent="0.25">
      <c r="C94" s="88"/>
    </row>
    <row r="98" spans="2:9" ht="18.75" x14ac:dyDescent="0.3">
      <c r="B98" s="230" t="s">
        <v>354</v>
      </c>
    </row>
    <row r="100" spans="2:9" ht="18.75" x14ac:dyDescent="0.3">
      <c r="C100" s="231" t="s">
        <v>355</v>
      </c>
      <c r="F100" s="231" t="s">
        <v>356</v>
      </c>
    </row>
    <row r="102" spans="2:9" x14ac:dyDescent="0.25">
      <c r="C102" s="232" t="s">
        <v>252</v>
      </c>
      <c r="D102" s="98" t="s">
        <v>357</v>
      </c>
      <c r="E102" s="98"/>
      <c r="F102" s="233" t="s">
        <v>358</v>
      </c>
      <c r="G102" s="98" t="s">
        <v>359</v>
      </c>
    </row>
    <row r="103" spans="2:9" x14ac:dyDescent="0.25">
      <c r="C103" s="232" t="s">
        <v>360</v>
      </c>
      <c r="D103" s="234" t="s">
        <v>361</v>
      </c>
      <c r="E103" s="98"/>
      <c r="F103" s="233" t="s">
        <v>362</v>
      </c>
      <c r="G103" s="98" t="s">
        <v>183</v>
      </c>
    </row>
    <row r="104" spans="2:9" x14ac:dyDescent="0.25">
      <c r="C104" s="232" t="s">
        <v>363</v>
      </c>
      <c r="D104" s="98" t="s">
        <v>364</v>
      </c>
      <c r="E104" s="98"/>
      <c r="F104" s="233" t="s">
        <v>365</v>
      </c>
      <c r="G104" s="235" t="str">
        <f>IF(+Mesures_Four!C16&lt;&gt;"",Mesures_Four!C16,"")</f>
        <v>PL1707000191-0817-PL3 Z19</v>
      </c>
    </row>
    <row r="105" spans="2:9" x14ac:dyDescent="0.25">
      <c r="C105" s="236" t="s">
        <v>366</v>
      </c>
      <c r="D105" s="98">
        <v>9</v>
      </c>
      <c r="F105" s="233" t="s">
        <v>367</v>
      </c>
      <c r="G105" s="237" t="str">
        <f>IF(+Mesures_Four!D16&lt;&gt;"",Mesures_Four!D16,"CC MANQUANT")</f>
        <v>CC MANQUANT</v>
      </c>
    </row>
    <row r="106" spans="2:9" x14ac:dyDescent="0.25">
      <c r="C106" s="232" t="s">
        <v>258</v>
      </c>
      <c r="D106" s="98" t="s">
        <v>368</v>
      </c>
      <c r="E106" s="98" t="str">
        <f>IF(+Mesures_Four!C18&lt;&gt;"","sonde TUS deuxième lot","")</f>
        <v/>
      </c>
      <c r="F106" s="233" t="s">
        <v>369</v>
      </c>
      <c r="G106" s="238" t="str">
        <f>IF(+Mesures_Four!E16&lt;&gt;"",Mesures_Four!E16,"")</f>
        <v/>
      </c>
    </row>
    <row r="107" spans="2:9" x14ac:dyDescent="0.25">
      <c r="C107" s="232" t="s">
        <v>370</v>
      </c>
      <c r="D107" s="225" t="str">
        <f>IF(+Mesures_Four!C17&lt;&gt;"",Mesures_Four!C17,"N°SERIE MANQUANT")</f>
        <v>N°SERIE MANQUANT</v>
      </c>
      <c r="E107" s="225" t="str">
        <f>IF(+Mesures_Four!C18&lt;&gt;"",Mesures_Four!C18,"")</f>
        <v/>
      </c>
      <c r="F107" s="233" t="s">
        <v>371</v>
      </c>
      <c r="G107" s="98">
        <v>3</v>
      </c>
      <c r="I107" s="107"/>
    </row>
    <row r="108" spans="2:9" x14ac:dyDescent="0.25">
      <c r="C108" s="232" t="s">
        <v>367</v>
      </c>
      <c r="D108" s="237" t="str">
        <f>IF(+Mesures_Four!D17&lt;&gt;"",Mesures_Four!D17,"CC MANQUANT")</f>
        <v>CC MANQUANT</v>
      </c>
      <c r="E108" s="237" t="str">
        <f>IF(+Mesures_Four!D18&lt;&gt;"",Mesures_Four!D18,"")</f>
        <v/>
      </c>
      <c r="F108" s="239" t="s">
        <v>372</v>
      </c>
      <c r="G108" s="240" t="str">
        <f>+IF(G106&lt;&gt;"",EDATE(G106,G107),"")</f>
        <v/>
      </c>
    </row>
    <row r="109" spans="2:9" x14ac:dyDescent="0.25">
      <c r="C109" s="232" t="s">
        <v>369</v>
      </c>
      <c r="D109" s="238" t="str">
        <f>IF(+Mesures_Four!E17&lt;&gt;"",Mesures_Four!E17,"")</f>
        <v/>
      </c>
      <c r="E109" s="238" t="str">
        <f>IF(+Mesures_Four!E18&lt;&gt;"",Mesures_Four!E18,"")</f>
        <v/>
      </c>
    </row>
    <row r="110" spans="2:9" x14ac:dyDescent="0.25">
      <c r="C110" s="232" t="s">
        <v>373</v>
      </c>
      <c r="D110" s="238" t="str">
        <f>IF(+Mesures_Four!F17&lt;&gt;"",Mesures_Four!F17,"")</f>
        <v/>
      </c>
      <c r="E110" s="238" t="str">
        <f>IF(+Mesures_Four!F18&lt;&gt;"",Mesures_Four!F18,"")</f>
        <v/>
      </c>
    </row>
    <row r="111" spans="2:9" x14ac:dyDescent="0.25">
      <c r="C111" s="232" t="s">
        <v>374</v>
      </c>
      <c r="D111" s="98">
        <v>3</v>
      </c>
      <c r="E111" s="98" t="str">
        <f>IF(+Mesures_Four!C18&lt;&gt;"","3","")</f>
        <v/>
      </c>
    </row>
    <row r="112" spans="2:9" x14ac:dyDescent="0.25">
      <c r="C112" s="232" t="s">
        <v>375</v>
      </c>
      <c r="D112" s="240" t="str">
        <f>IF(D110&lt;&gt;"",EDATE(D110,D111),"")</f>
        <v/>
      </c>
      <c r="E112" s="240" t="str">
        <f>IF(E110&lt;&gt;"",EDATE(E110,E111),"")</f>
        <v/>
      </c>
    </row>
    <row r="113" spans="2:8" x14ac:dyDescent="0.25">
      <c r="C113" s="232"/>
    </row>
    <row r="114" spans="2:8" x14ac:dyDescent="0.25">
      <c r="E114" s="241"/>
      <c r="F114" s="241"/>
      <c r="G114" s="241"/>
    </row>
    <row r="115" spans="2:8" x14ac:dyDescent="0.25">
      <c r="B115" s="242" t="s">
        <v>376</v>
      </c>
      <c r="D115" s="241"/>
      <c r="E115" s="241"/>
      <c r="F115" s="241"/>
      <c r="G115" s="241"/>
    </row>
    <row r="116" spans="2:8" x14ac:dyDescent="0.25">
      <c r="B116" s="441" t="str">
        <f>IF(+Mesures_Four!B58&lt;&gt;"",Mesures_Four!B58,"")</f>
        <v/>
      </c>
      <c r="C116" s="441"/>
      <c r="D116" s="441"/>
      <c r="E116" s="441"/>
      <c r="F116" s="441"/>
      <c r="G116" s="441"/>
      <c r="H116" s="441"/>
    </row>
    <row r="117" spans="2:8" x14ac:dyDescent="0.25">
      <c r="B117" s="441"/>
      <c r="C117" s="441"/>
      <c r="D117" s="441"/>
      <c r="E117" s="441"/>
      <c r="F117" s="441"/>
      <c r="G117" s="441"/>
      <c r="H117" s="441"/>
    </row>
    <row r="119" spans="2:8" ht="18.75" customHeight="1" x14ac:dyDescent="0.3">
      <c r="B119" s="230" t="s">
        <v>377</v>
      </c>
    </row>
    <row r="120" spans="2:8" ht="15" customHeight="1" x14ac:dyDescent="0.25"/>
    <row r="121" spans="2:8" ht="15" customHeight="1" x14ac:dyDescent="0.25">
      <c r="B121" s="442" t="s">
        <v>378</v>
      </c>
      <c r="C121" s="442"/>
      <c r="D121" s="442"/>
      <c r="E121" s="442"/>
      <c r="F121" s="442"/>
      <c r="G121" s="442"/>
      <c r="H121" s="442"/>
    </row>
    <row r="122" spans="2:8" ht="15" customHeight="1" x14ac:dyDescent="0.25">
      <c r="B122" s="442"/>
      <c r="C122" s="442"/>
      <c r="D122" s="442"/>
      <c r="E122" s="442"/>
      <c r="F122" s="442"/>
      <c r="G122" s="442"/>
      <c r="H122" s="442"/>
    </row>
    <row r="123" spans="2:8" ht="15" customHeight="1" x14ac:dyDescent="0.25">
      <c r="B123" s="442"/>
      <c r="C123" s="442"/>
      <c r="D123" s="442"/>
      <c r="E123" s="442"/>
      <c r="F123" s="442"/>
      <c r="G123" s="442"/>
      <c r="H123" s="442"/>
    </row>
    <row r="124" spans="2:8" ht="15" customHeight="1" x14ac:dyDescent="0.25">
      <c r="B124" s="442"/>
      <c r="C124" s="442"/>
      <c r="D124" s="442"/>
      <c r="E124" s="442"/>
      <c r="F124" s="442"/>
      <c r="G124" s="442"/>
      <c r="H124" s="442"/>
    </row>
    <row r="125" spans="2:8" ht="15" customHeight="1" x14ac:dyDescent="0.25">
      <c r="B125" s="442"/>
      <c r="C125" s="442"/>
      <c r="D125" s="442"/>
      <c r="E125" s="442"/>
      <c r="F125" s="442"/>
      <c r="G125" s="442"/>
      <c r="H125" s="442"/>
    </row>
    <row r="126" spans="2:8" ht="15" customHeight="1" x14ac:dyDescent="0.25">
      <c r="B126" s="442"/>
      <c r="C126" s="442"/>
      <c r="D126" s="442"/>
      <c r="E126" s="442"/>
      <c r="F126" s="442"/>
      <c r="G126" s="442"/>
      <c r="H126" s="442"/>
    </row>
    <row r="127" spans="2:8" ht="15" customHeight="1" x14ac:dyDescent="0.25">
      <c r="B127" s="442"/>
      <c r="C127" s="442"/>
      <c r="D127" s="442"/>
      <c r="E127" s="442"/>
      <c r="F127" s="442"/>
      <c r="G127" s="442"/>
      <c r="H127" s="442"/>
    </row>
    <row r="128" spans="2:8" ht="15" customHeight="1" x14ac:dyDescent="0.25">
      <c r="B128" s="442"/>
      <c r="C128" s="442"/>
      <c r="D128" s="442"/>
      <c r="E128" s="442"/>
      <c r="F128" s="442"/>
      <c r="G128" s="442"/>
      <c r="H128" s="442"/>
    </row>
    <row r="129" spans="2:8" ht="15" customHeight="1" x14ac:dyDescent="0.25">
      <c r="B129" s="442"/>
      <c r="C129" s="442"/>
      <c r="D129" s="442"/>
      <c r="E129" s="442"/>
      <c r="F129" s="442"/>
      <c r="G129" s="442"/>
      <c r="H129" s="442"/>
    </row>
    <row r="130" spans="2:8" ht="15" customHeight="1" x14ac:dyDescent="0.25">
      <c r="B130" s="442"/>
      <c r="C130" s="442"/>
      <c r="D130" s="442"/>
      <c r="E130" s="442"/>
      <c r="F130" s="442"/>
      <c r="G130" s="442"/>
      <c r="H130" s="442"/>
    </row>
    <row r="131" spans="2:8" ht="15" customHeight="1" x14ac:dyDescent="0.25">
      <c r="B131" s="442"/>
      <c r="C131" s="442"/>
      <c r="D131" s="442"/>
      <c r="E131" s="442"/>
      <c r="F131" s="442"/>
      <c r="G131" s="442"/>
      <c r="H131" s="442"/>
    </row>
    <row r="132" spans="2:8" ht="15" customHeight="1" x14ac:dyDescent="0.25">
      <c r="B132" s="442"/>
      <c r="C132" s="442"/>
      <c r="D132" s="442"/>
      <c r="E132" s="442"/>
      <c r="F132" s="442"/>
      <c r="G132" s="442"/>
      <c r="H132" s="442"/>
    </row>
    <row r="133" spans="2:8" ht="15" customHeight="1" x14ac:dyDescent="0.25">
      <c r="B133" s="442"/>
      <c r="C133" s="442"/>
      <c r="D133" s="442"/>
      <c r="E133" s="442"/>
      <c r="F133" s="442"/>
      <c r="G133" s="442"/>
      <c r="H133" s="442"/>
    </row>
    <row r="134" spans="2:8" ht="15" customHeight="1" x14ac:dyDescent="0.25">
      <c r="B134" s="442"/>
      <c r="C134" s="442"/>
      <c r="D134" s="442"/>
      <c r="E134" s="442"/>
      <c r="F134" s="442"/>
      <c r="G134" s="442"/>
      <c r="H134" s="442"/>
    </row>
    <row r="135" spans="2:8" ht="15" customHeight="1" x14ac:dyDescent="0.25">
      <c r="B135" s="442"/>
      <c r="C135" s="442"/>
      <c r="D135" s="442"/>
      <c r="E135" s="442"/>
      <c r="F135" s="442"/>
      <c r="G135" s="442"/>
      <c r="H135" s="442"/>
    </row>
    <row r="136" spans="2:8" ht="15" customHeight="1" x14ac:dyDescent="0.25">
      <c r="B136" s="243"/>
      <c r="C136" s="243"/>
      <c r="D136" s="243"/>
      <c r="E136" s="243"/>
      <c r="F136" s="243"/>
      <c r="G136" s="243"/>
      <c r="H136" s="243"/>
    </row>
    <row r="137" spans="2:8" ht="15" customHeight="1" x14ac:dyDescent="0.25">
      <c r="B137" s="243"/>
      <c r="C137" s="243"/>
      <c r="D137" s="243"/>
      <c r="E137" s="243"/>
      <c r="F137" s="243"/>
      <c r="G137" s="243"/>
      <c r="H137" s="243"/>
    </row>
    <row r="138" spans="2:8" x14ac:dyDescent="0.25">
      <c r="C138" s="228"/>
      <c r="D138" s="228"/>
      <c r="E138" s="228"/>
      <c r="F138" s="228"/>
      <c r="G138" s="228"/>
    </row>
    <row r="142" spans="2:8" ht="18.75" x14ac:dyDescent="0.3">
      <c r="B142" s="230" t="s">
        <v>379</v>
      </c>
    </row>
    <row r="146" spans="2:4" x14ac:dyDescent="0.25">
      <c r="B146" s="35" t="s">
        <v>380</v>
      </c>
      <c r="C146" s="244" t="s">
        <v>381</v>
      </c>
      <c r="D146" s="244" t="s">
        <v>382</v>
      </c>
    </row>
    <row r="147" spans="2:4" x14ac:dyDescent="0.25">
      <c r="B147" s="35" t="str">
        <f>SUBSTITUTE(Mesures_Four!A28,"Emplacement ","")</f>
        <v>1</v>
      </c>
      <c r="C147" s="314">
        <f>Mesures_Four!B28</f>
        <v>0</v>
      </c>
      <c r="D147" s="315">
        <f>Mesures_Four!C28</f>
        <v>0</v>
      </c>
    </row>
    <row r="148" spans="2:4" x14ac:dyDescent="0.25">
      <c r="B148" s="35" t="str">
        <f>SUBSTITUTE(Mesures_Four!A29,"Emplacement ","")</f>
        <v>2</v>
      </c>
      <c r="C148" s="314">
        <f>Mesures_Four!B29</f>
        <v>0</v>
      </c>
      <c r="D148" s="315">
        <f>Mesures_Four!C29</f>
        <v>0</v>
      </c>
    </row>
    <row r="149" spans="2:4" x14ac:dyDescent="0.25">
      <c r="B149" s="35" t="str">
        <f>SUBSTITUTE(Mesures_Four!A30,"Emplacement ","")</f>
        <v>3</v>
      </c>
      <c r="C149" s="314">
        <f>Mesures_Four!B30</f>
        <v>0</v>
      </c>
      <c r="D149" s="315">
        <f>Mesures_Four!C30</f>
        <v>0</v>
      </c>
    </row>
    <row r="150" spans="2:4" x14ac:dyDescent="0.25">
      <c r="B150" s="35" t="str">
        <f>SUBSTITUTE(Mesures_Four!A31,"Emplacement ","")</f>
        <v>4</v>
      </c>
      <c r="C150" s="314">
        <f>Mesures_Four!B31</f>
        <v>0</v>
      </c>
      <c r="D150" s="315">
        <f>Mesures_Four!C31</f>
        <v>0</v>
      </c>
    </row>
    <row r="151" spans="2:4" x14ac:dyDescent="0.25">
      <c r="B151" s="35" t="str">
        <f>SUBSTITUTE(Mesures_Four!A32,"Emplacement ","")</f>
        <v>5</v>
      </c>
      <c r="C151" s="314">
        <f>Mesures_Four!B32</f>
        <v>0</v>
      </c>
      <c r="D151" s="315">
        <f>Mesures_Four!C32</f>
        <v>0</v>
      </c>
    </row>
    <row r="152" spans="2:4" x14ac:dyDescent="0.25">
      <c r="B152" s="35" t="str">
        <f>SUBSTITUTE(Mesures_Four!A33,"Emplacement ","")</f>
        <v>6</v>
      </c>
      <c r="C152" s="314">
        <f>Mesures_Four!B33</f>
        <v>0</v>
      </c>
      <c r="D152" s="315">
        <f>Mesures_Four!C33</f>
        <v>0</v>
      </c>
    </row>
    <row r="153" spans="2:4" x14ac:dyDescent="0.25">
      <c r="B153" s="35" t="str">
        <f>SUBSTITUTE(Mesures_Four!A34,"Emplacement ","")</f>
        <v>7</v>
      </c>
      <c r="C153" s="314">
        <f>Mesures_Four!B34</f>
        <v>0</v>
      </c>
      <c r="D153" s="315">
        <f>Mesures_Four!C34</f>
        <v>0</v>
      </c>
    </row>
    <row r="154" spans="2:4" x14ac:dyDescent="0.25">
      <c r="B154" s="35" t="str">
        <f>SUBSTITUTE(Mesures_Four!A35,"Emplacement ","")</f>
        <v>8</v>
      </c>
      <c r="C154" s="314">
        <f>Mesures_Four!B35</f>
        <v>0</v>
      </c>
      <c r="D154" s="315">
        <f>Mesures_Four!C35</f>
        <v>0</v>
      </c>
    </row>
    <row r="155" spans="2:4" x14ac:dyDescent="0.25">
      <c r="B155" s="35" t="str">
        <f>SUBSTITUTE(Mesures_Four!A36,"Emplacement ","")</f>
        <v>9</v>
      </c>
      <c r="C155" s="314">
        <f>Mesures_Four!B36</f>
        <v>0</v>
      </c>
      <c r="D155" s="315">
        <f>Mesures_Four!C36</f>
        <v>0</v>
      </c>
    </row>
    <row r="178" spans="2:6" ht="18.75" x14ac:dyDescent="0.3">
      <c r="B178" s="230" t="str">
        <f>_xlfn.CONCAT("6- Résultats et exploitations des résultats à ",B181)</f>
        <v>6- Résultats et exploitations des résultats à 80°C</v>
      </c>
    </row>
    <row r="180" spans="2:6" x14ac:dyDescent="0.25">
      <c r="B180" s="245" t="s">
        <v>237</v>
      </c>
      <c r="C180" s="245" t="s">
        <v>383</v>
      </c>
      <c r="E180" s="245" t="s">
        <v>384</v>
      </c>
      <c r="F180" s="245" t="s">
        <v>385</v>
      </c>
    </row>
    <row r="181" spans="2:6" x14ac:dyDescent="0.25">
      <c r="B181" s="246" t="str">
        <f>Mesures_Four!D27</f>
        <v>80°C</v>
      </c>
      <c r="C181" s="247" t="str">
        <f>_xlfn.CONCAT("± ",Mesures_Four!F21,"°C")</f>
        <v>± 3°C</v>
      </c>
      <c r="E181" s="246" t="s">
        <v>386</v>
      </c>
      <c r="F181" s="129">
        <f>Mesures_Four!C21</f>
        <v>-0.6</v>
      </c>
    </row>
    <row r="182" spans="2:6" x14ac:dyDescent="0.25">
      <c r="E182" s="246" t="s">
        <v>387</v>
      </c>
      <c r="F182" s="129">
        <f>Mesures_Four!D21</f>
        <v>-0.27</v>
      </c>
    </row>
    <row r="183" spans="2:6" x14ac:dyDescent="0.25">
      <c r="B183" s="245" t="s">
        <v>388</v>
      </c>
      <c r="C183" s="245" t="s">
        <v>389</v>
      </c>
      <c r="E183" s="246" t="s">
        <v>390</v>
      </c>
      <c r="F183" s="129">
        <f>Mesures_Four!E21</f>
        <v>0.5</v>
      </c>
    </row>
    <row r="184" spans="2:6" x14ac:dyDescent="0.25">
      <c r="B184" s="248">
        <f>INDEX(tab_four80[Date/Heure],1)</f>
        <v>0</v>
      </c>
      <c r="C184" s="248">
        <f ca="1">OFFSET(INDEX(tab_four80[Date/Heure],1),COUNTA(tab_four80[Date/Heure])+COUNTBLANK(tab_four80[Date/Heure])-1,0,1)</f>
        <v>0</v>
      </c>
    </row>
    <row r="186" spans="2:6" ht="18.75" x14ac:dyDescent="0.3">
      <c r="B186" s="230" t="s">
        <v>391</v>
      </c>
    </row>
    <row r="188" spans="2:6" x14ac:dyDescent="0.25">
      <c r="C188" s="245" t="s">
        <v>392</v>
      </c>
      <c r="D188" s="245" t="s">
        <v>393</v>
      </c>
      <c r="E188" s="245" t="s">
        <v>394</v>
      </c>
      <c r="F188" s="245" t="s">
        <v>395</v>
      </c>
    </row>
    <row r="189" spans="2:6" x14ac:dyDescent="0.25">
      <c r="C189" s="246" t="s">
        <v>396</v>
      </c>
      <c r="D189" s="249" t="e">
        <f ca="1">'80°C'!AB183</f>
        <v>#REF!</v>
      </c>
      <c r="E189" s="249" t="e">
        <f ca="1">'80°C'!AB184</f>
        <v>#REF!</v>
      </c>
      <c r="F189" s="249" t="e">
        <f ca="1">'80°C'!AB185</f>
        <v>#REF!</v>
      </c>
    </row>
    <row r="190" spans="2:6" x14ac:dyDescent="0.25">
      <c r="C190" s="246" t="s">
        <v>397</v>
      </c>
      <c r="D190" s="249" t="e">
        <f ca="1">'80°C'!AC183</f>
        <v>#REF!</v>
      </c>
      <c r="E190" s="249" t="e">
        <f ca="1">'80°C'!AC184</f>
        <v>#REF!</v>
      </c>
      <c r="F190" s="249" t="e">
        <f ca="1">'80°C'!AC185</f>
        <v>#REF!</v>
      </c>
    </row>
    <row r="191" spans="2:6" x14ac:dyDescent="0.25">
      <c r="C191" s="246" t="s">
        <v>398</v>
      </c>
      <c r="D191" s="249" t="e">
        <f ca="1">'80°C'!AA183</f>
        <v>#REF!</v>
      </c>
      <c r="E191" s="249" t="e">
        <f ca="1">'80°C'!AA184</f>
        <v>#REF!</v>
      </c>
      <c r="F191" s="249" t="e">
        <f ca="1">'80°C'!AA185</f>
        <v>#REF!</v>
      </c>
    </row>
    <row r="193" spans="2:5" ht="18.75" x14ac:dyDescent="0.3">
      <c r="B193" s="230" t="s">
        <v>399</v>
      </c>
    </row>
    <row r="195" spans="2:5" x14ac:dyDescent="0.25">
      <c r="B195" s="423" t="s">
        <v>295</v>
      </c>
      <c r="C195" s="423"/>
      <c r="D195" s="245" t="s">
        <v>400</v>
      </c>
      <c r="E195" s="245" t="s">
        <v>401</v>
      </c>
    </row>
    <row r="196" spans="2:5" x14ac:dyDescent="0.25">
      <c r="B196" s="432" t="s">
        <v>402</v>
      </c>
      <c r="C196" s="432"/>
      <c r="D196" s="250" t="str">
        <f>B181</f>
        <v>80°C</v>
      </c>
      <c r="E196" s="250" t="s">
        <v>200</v>
      </c>
    </row>
    <row r="197" spans="2:5" x14ac:dyDescent="0.25">
      <c r="B197" s="432" t="s">
        <v>201</v>
      </c>
      <c r="C197" s="432"/>
      <c r="D197" s="250" t="str">
        <f>B181</f>
        <v>80°C</v>
      </c>
      <c r="E197" s="250" t="s">
        <v>200</v>
      </c>
    </row>
    <row r="198" spans="2:5" x14ac:dyDescent="0.25">
      <c r="B198" s="432" t="s">
        <v>403</v>
      </c>
      <c r="C198" s="432"/>
      <c r="D198" s="249" t="e">
        <f>'80°C'!W10</f>
        <v>#N/A</v>
      </c>
      <c r="E198" s="251" t="e">
        <f>VLOOKUP(SUBSTITUTE(HLOOKUP(D198,'80°C'!$N10:$V$17,8,FALSE),"Connecteur ",""),Mesures_Four!B28:C36,2,FALSE)</f>
        <v>#N/A</v>
      </c>
    </row>
    <row r="199" spans="2:5" ht="30" customHeight="1" x14ac:dyDescent="0.25">
      <c r="B199" s="433" t="s">
        <v>404</v>
      </c>
      <c r="C199" s="433"/>
      <c r="D199" s="249" t="e">
        <f ca="1">'80°C'!W11</f>
        <v>#REF!</v>
      </c>
      <c r="E199" s="251" t="e">
        <f ca="1">VLOOKUP(SUBSTITUTE(HLOOKUP(D199,'80°C'!$N11:$V$17,7,FALSE),"Connecteur ",""),Mesures_Four!B28:C36,2,FALSE)</f>
        <v>#REF!</v>
      </c>
    </row>
    <row r="200" spans="2:5" ht="30" customHeight="1" x14ac:dyDescent="0.25">
      <c r="B200" s="433" t="s">
        <v>405</v>
      </c>
      <c r="C200" s="433"/>
      <c r="D200" s="249" t="e">
        <f ca="1">'80°C'!W12</f>
        <v>#REF!</v>
      </c>
      <c r="E200" s="251" t="e">
        <f ca="1">VLOOKUP(SUBSTITUTE(HLOOKUP(D200,'80°C'!$N12:$V$17,6,FALSE),"Connecteur ",""),Mesures_Four!B28:C36,2,FALSE)</f>
        <v>#REF!</v>
      </c>
    </row>
    <row r="201" spans="2:5" ht="30" customHeight="1" x14ac:dyDescent="0.25">
      <c r="B201" s="433" t="s">
        <v>406</v>
      </c>
      <c r="C201" s="433"/>
      <c r="D201" s="249" t="e">
        <f ca="1">'80°C'!W16</f>
        <v>#REF!</v>
      </c>
      <c r="E201" s="250" t="s">
        <v>200</v>
      </c>
    </row>
    <row r="209" spans="2:8" ht="18.75" x14ac:dyDescent="0.3">
      <c r="B209" s="230" t="s">
        <v>407</v>
      </c>
    </row>
    <row r="210" spans="2:8" ht="18.75" x14ac:dyDescent="0.3">
      <c r="B210" s="230"/>
    </row>
    <row r="211" spans="2:8" x14ac:dyDescent="0.25">
      <c r="B211" s="434" t="s">
        <v>408</v>
      </c>
      <c r="C211" s="434" t="s">
        <v>401</v>
      </c>
      <c r="D211" s="423" t="s">
        <v>409</v>
      </c>
      <c r="E211" s="423"/>
      <c r="F211" s="423"/>
      <c r="G211" s="423"/>
      <c r="H211" s="245" t="s">
        <v>328</v>
      </c>
    </row>
    <row r="212" spans="2:8" x14ac:dyDescent="0.25">
      <c r="B212" s="435"/>
      <c r="C212" s="435"/>
      <c r="D212" s="246" t="s">
        <v>410</v>
      </c>
      <c r="E212" s="246" t="s">
        <v>411</v>
      </c>
      <c r="F212" s="246" t="s">
        <v>211</v>
      </c>
      <c r="G212" s="246" t="s">
        <v>212</v>
      </c>
      <c r="H212" s="246" t="s">
        <v>412</v>
      </c>
    </row>
    <row r="213" spans="2:8" x14ac:dyDescent="0.25">
      <c r="B213" s="252" t="s">
        <v>413</v>
      </c>
      <c r="C213" s="246" t="e">
        <f>VLOOKUP($B213,$C$147:$D$155,2,FALSE)</f>
        <v>#N/A</v>
      </c>
      <c r="D213" s="249" t="e">
        <f ca="1">'80°C'!N11</f>
        <v>#REF!</v>
      </c>
      <c r="E213" s="249" t="e">
        <f ca="1">'80°C'!N12</f>
        <v>#REF!</v>
      </c>
      <c r="F213" s="249" t="e">
        <f ca="1">'80°C'!N13</f>
        <v>#REF!</v>
      </c>
      <c r="G213" s="249" t="e">
        <f t="shared" ref="G213:G221" ca="1" si="0">D213-E213</f>
        <v>#REF!</v>
      </c>
      <c r="H213" s="249" t="e">
        <f>'80°C'!N10</f>
        <v>#N/A</v>
      </c>
    </row>
    <row r="214" spans="2:8" x14ac:dyDescent="0.25">
      <c r="B214" s="252" t="s">
        <v>414</v>
      </c>
      <c r="C214" s="246" t="e">
        <f t="shared" ref="C214:C221" si="1">VLOOKUP($B214,$C$147:$D$155,2,FALSE)</f>
        <v>#N/A</v>
      </c>
      <c r="D214" s="249" t="e">
        <f ca="1">'80°C'!O11</f>
        <v>#REF!</v>
      </c>
      <c r="E214" s="249" t="e">
        <f ca="1">'80°C'!O12</f>
        <v>#REF!</v>
      </c>
      <c r="F214" s="249" t="e">
        <f ca="1">'80°C'!O13</f>
        <v>#REF!</v>
      </c>
      <c r="G214" s="249" t="e">
        <f t="shared" ca="1" si="0"/>
        <v>#REF!</v>
      </c>
      <c r="H214" s="249" t="e">
        <f>'80°C'!O10</f>
        <v>#N/A</v>
      </c>
    </row>
    <row r="215" spans="2:8" x14ac:dyDescent="0.25">
      <c r="B215" s="252" t="s">
        <v>415</v>
      </c>
      <c r="C215" s="246" t="e">
        <f t="shared" si="1"/>
        <v>#N/A</v>
      </c>
      <c r="D215" s="249" t="e">
        <f ca="1">'80°C'!P11</f>
        <v>#REF!</v>
      </c>
      <c r="E215" s="249" t="e">
        <f ca="1">'80°C'!P12</f>
        <v>#REF!</v>
      </c>
      <c r="F215" s="249" t="e">
        <f ca="1">'80°C'!P13</f>
        <v>#REF!</v>
      </c>
      <c r="G215" s="249" t="e">
        <f t="shared" ca="1" si="0"/>
        <v>#REF!</v>
      </c>
      <c r="H215" s="249" t="e">
        <f>'80°C'!P10</f>
        <v>#N/A</v>
      </c>
    </row>
    <row r="216" spans="2:8" x14ac:dyDescent="0.25">
      <c r="B216" s="252" t="s">
        <v>416</v>
      </c>
      <c r="C216" s="246" t="e">
        <f t="shared" si="1"/>
        <v>#N/A</v>
      </c>
      <c r="D216" s="249" t="e">
        <f ca="1">'80°C'!Q11</f>
        <v>#REF!</v>
      </c>
      <c r="E216" s="249" t="e">
        <f ca="1">'80°C'!Q12</f>
        <v>#REF!</v>
      </c>
      <c r="F216" s="249" t="e">
        <f ca="1">'80°C'!Q13</f>
        <v>#REF!</v>
      </c>
      <c r="G216" s="249" t="e">
        <f t="shared" ca="1" si="0"/>
        <v>#REF!</v>
      </c>
      <c r="H216" s="249" t="e">
        <f>'80°C'!Q10</f>
        <v>#N/A</v>
      </c>
    </row>
    <row r="217" spans="2:8" x14ac:dyDescent="0.25">
      <c r="B217" s="252" t="s">
        <v>417</v>
      </c>
      <c r="C217" s="246" t="e">
        <f t="shared" si="1"/>
        <v>#N/A</v>
      </c>
      <c r="D217" s="249" t="e">
        <f ca="1">'80°C'!R11</f>
        <v>#REF!</v>
      </c>
      <c r="E217" s="249" t="e">
        <f ca="1">'80°C'!R12</f>
        <v>#REF!</v>
      </c>
      <c r="F217" s="249" t="e">
        <f ca="1">'80°C'!R13</f>
        <v>#REF!</v>
      </c>
      <c r="G217" s="249" t="e">
        <f t="shared" ca="1" si="0"/>
        <v>#REF!</v>
      </c>
      <c r="H217" s="249" t="e">
        <f>'80°C'!R10</f>
        <v>#N/A</v>
      </c>
    </row>
    <row r="218" spans="2:8" x14ac:dyDescent="0.25">
      <c r="B218" s="252" t="s">
        <v>418</v>
      </c>
      <c r="C218" s="246" t="e">
        <f t="shared" si="1"/>
        <v>#N/A</v>
      </c>
      <c r="D218" s="249" t="e">
        <f ca="1">'80°C'!S11</f>
        <v>#REF!</v>
      </c>
      <c r="E218" s="249" t="e">
        <f ca="1">'80°C'!S12</f>
        <v>#REF!</v>
      </c>
      <c r="F218" s="249" t="e">
        <f ca="1">'80°C'!S13</f>
        <v>#REF!</v>
      </c>
      <c r="G218" s="249" t="e">
        <f t="shared" ca="1" si="0"/>
        <v>#REF!</v>
      </c>
      <c r="H218" s="249" t="e">
        <f>'80°C'!S10</f>
        <v>#N/A</v>
      </c>
    </row>
    <row r="219" spans="2:8" x14ac:dyDescent="0.25">
      <c r="B219" s="252" t="s">
        <v>419</v>
      </c>
      <c r="C219" s="246" t="e">
        <f t="shared" si="1"/>
        <v>#N/A</v>
      </c>
      <c r="D219" s="249" t="e">
        <f ca="1">'80°C'!T11</f>
        <v>#REF!</v>
      </c>
      <c r="E219" s="249" t="e">
        <f ca="1">'80°C'!T12</f>
        <v>#REF!</v>
      </c>
      <c r="F219" s="249" t="e">
        <f ca="1">'80°C'!T13</f>
        <v>#REF!</v>
      </c>
      <c r="G219" s="249" t="e">
        <f t="shared" ca="1" si="0"/>
        <v>#REF!</v>
      </c>
      <c r="H219" s="249" t="e">
        <f>'80°C'!T10</f>
        <v>#N/A</v>
      </c>
    </row>
    <row r="220" spans="2:8" x14ac:dyDescent="0.25">
      <c r="B220" s="252" t="s">
        <v>420</v>
      </c>
      <c r="C220" s="246" t="e">
        <f t="shared" si="1"/>
        <v>#N/A</v>
      </c>
      <c r="D220" s="249" t="e">
        <f ca="1">'80°C'!U11</f>
        <v>#REF!</v>
      </c>
      <c r="E220" s="249" t="e">
        <f ca="1">'80°C'!U12</f>
        <v>#REF!</v>
      </c>
      <c r="F220" s="249" t="e">
        <f ca="1">'80°C'!U13</f>
        <v>#REF!</v>
      </c>
      <c r="G220" s="249" t="e">
        <f t="shared" ca="1" si="0"/>
        <v>#REF!</v>
      </c>
      <c r="H220" s="249" t="e">
        <f>'80°C'!U10</f>
        <v>#N/A</v>
      </c>
    </row>
    <row r="221" spans="2:8" x14ac:dyDescent="0.25">
      <c r="B221" s="252" t="s">
        <v>421</v>
      </c>
      <c r="C221" s="246" t="e">
        <f t="shared" si="1"/>
        <v>#N/A</v>
      </c>
      <c r="D221" s="249" t="e">
        <f ca="1">'80°C'!V11</f>
        <v>#REF!</v>
      </c>
      <c r="E221" s="249" t="e">
        <f ca="1">'80°C'!V12</f>
        <v>#REF!</v>
      </c>
      <c r="F221" s="249" t="e">
        <f ca="1">'80°C'!V13</f>
        <v>#REF!</v>
      </c>
      <c r="G221" s="249" t="e">
        <f t="shared" ca="1" si="0"/>
        <v>#REF!</v>
      </c>
      <c r="H221" s="249" t="e">
        <f>'80°C'!V10</f>
        <v>#N/A</v>
      </c>
    </row>
    <row r="223" spans="2:8" ht="18.75" x14ac:dyDescent="0.3">
      <c r="B223" s="230" t="s">
        <v>422</v>
      </c>
    </row>
    <row r="252" spans="2:6" ht="18.75" x14ac:dyDescent="0.3">
      <c r="B252" s="230" t="s">
        <v>423</v>
      </c>
    </row>
    <row r="253" spans="2:6" ht="18.75" x14ac:dyDescent="0.3">
      <c r="B253" s="230"/>
      <c r="C253" s="419" t="s">
        <v>424</v>
      </c>
      <c r="D253" s="419"/>
      <c r="E253" s="419"/>
      <c r="F253" s="419"/>
    </row>
    <row r="254" spans="2:6" ht="28.9" customHeight="1" x14ac:dyDescent="0.25">
      <c r="C254" s="415" t="str">
        <f>_xlfn.CONCAT("Dépassement de la consigne durant la phase de montée ou de maintien en température (&gt; ",B181,")")</f>
        <v>Dépassement de la consigne durant la phase de montée ou de maintien en température (&gt; 80°C)</v>
      </c>
      <c r="D254" s="415"/>
      <c r="E254" s="416" t="e">
        <f>IF('80°C'!W10-Mesures_Four!B21&gt;0,'80°C'!W10-Mesures_Four!B21,"PAS DE DÉPASSEMENT")</f>
        <v>#N/A</v>
      </c>
      <c r="F254" s="420"/>
    </row>
    <row r="255" spans="2:6" ht="18.75" x14ac:dyDescent="0.3">
      <c r="B255" s="230"/>
      <c r="C255" s="413" t="str">
        <f>_xlfn.CONCAT("Dépassement supérieur à la tolérance maximale (",C181,")")</f>
        <v>Dépassement supérieur à la tolérance maximale (± 3°C)</v>
      </c>
      <c r="D255" s="413"/>
      <c r="E255" s="422" t="e">
        <f>IF(OR(E254="PAS DE DÉPASSEMENT",E254&lt;=Mesures_Four!F21),"NON","OUI")</f>
        <v>#N/A</v>
      </c>
      <c r="F255" s="422"/>
    </row>
    <row r="257" spans="2:7" x14ac:dyDescent="0.25">
      <c r="C257" s="419" t="s">
        <v>425</v>
      </c>
      <c r="D257" s="419"/>
      <c r="E257" s="419"/>
      <c r="F257" s="419"/>
    </row>
    <row r="258" spans="2:7" ht="28.9" customHeight="1" x14ac:dyDescent="0.25">
      <c r="C258" s="415" t="s">
        <v>426</v>
      </c>
      <c r="D258" s="415"/>
      <c r="E258" s="416" t="e">
        <f ca="1">'80°C'!N21</f>
        <v>#REF!</v>
      </c>
      <c r="F258" s="416"/>
    </row>
    <row r="259" spans="2:7" ht="28.9" customHeight="1" x14ac:dyDescent="0.25">
      <c r="C259" s="415" t="s">
        <v>427</v>
      </c>
      <c r="D259" s="415"/>
      <c r="E259" s="416" t="e">
        <f ca="1">'80°C'!N20</f>
        <v>#REF!</v>
      </c>
      <c r="F259" s="416"/>
    </row>
    <row r="260" spans="2:7" x14ac:dyDescent="0.25">
      <c r="C260" s="411" t="s">
        <v>428</v>
      </c>
      <c r="D260" s="411"/>
      <c r="E260" s="417" t="e">
        <f ca="1">'80°C'!N15</f>
        <v>#REF!</v>
      </c>
      <c r="F260" s="418"/>
    </row>
    <row r="261" spans="2:7" x14ac:dyDescent="0.25">
      <c r="C261" s="411" t="s">
        <v>429</v>
      </c>
      <c r="D261" s="411"/>
      <c r="E261" s="412">
        <f>Mesures_Four!G21</f>
        <v>6</v>
      </c>
      <c r="F261" s="412"/>
    </row>
    <row r="262" spans="2:7" x14ac:dyDescent="0.25">
      <c r="C262" s="413" t="s">
        <v>430</v>
      </c>
      <c r="D262" s="413"/>
      <c r="E262" s="414" t="e">
        <f ca="1">IF(AND(ABS(E258)&lt;=E261/2,(ABS(E259)&lt;=E261/2)),"CONFORME","NON CONFORME")</f>
        <v>#REF!</v>
      </c>
      <c r="F262" s="414"/>
    </row>
    <row r="264" spans="2:7" x14ac:dyDescent="0.25">
      <c r="C264" s="423" t="s">
        <v>431</v>
      </c>
      <c r="D264" s="423"/>
      <c r="E264" s="245" t="s">
        <v>390</v>
      </c>
      <c r="F264" s="245" t="s">
        <v>387</v>
      </c>
    </row>
    <row r="265" spans="2:7" ht="28.9" customHeight="1" x14ac:dyDescent="0.25">
      <c r="B265" s="253" t="s">
        <v>432</v>
      </c>
      <c r="C265" s="406" t="s">
        <v>433</v>
      </c>
      <c r="D265" s="407"/>
      <c r="E265" s="153" t="e">
        <f ca="1">IF(ABS(E258)&lt;Mesures_Four!F21/2,"OUI","NON")</f>
        <v>#REF!</v>
      </c>
      <c r="F265" s="153" t="e">
        <f ca="1">IF(ABS(E259)&lt;Mesures_Four!F21/2,"OUI","NON")</f>
        <v>#REF!</v>
      </c>
    </row>
    <row r="266" spans="2:7" ht="28.9" customHeight="1" x14ac:dyDescent="0.25">
      <c r="B266" s="405" t="s">
        <v>434</v>
      </c>
      <c r="C266" s="406" t="s">
        <v>435</v>
      </c>
      <c r="D266" s="407"/>
      <c r="E266" s="153" t="e">
        <f ca="1">IF(ABS('80°C'!AA184-'80°C'!W12)&lt;1.1,"OUI","NON")</f>
        <v>#REF!</v>
      </c>
      <c r="F266" s="153" t="s">
        <v>200</v>
      </c>
    </row>
    <row r="267" spans="2:7" ht="28.9" customHeight="1" x14ac:dyDescent="0.25">
      <c r="B267" s="405"/>
      <c r="C267" s="406" t="s">
        <v>436</v>
      </c>
      <c r="D267" s="407"/>
      <c r="E267" s="153" t="s">
        <v>200</v>
      </c>
      <c r="F267" s="153" t="e">
        <f ca="1">IF(ABS('80°C'!AC183-'80°C'!W11)&lt;1.1,"OUI","NON")</f>
        <v>#REF!</v>
      </c>
    </row>
    <row r="268" spans="2:7" ht="28.9" customHeight="1" x14ac:dyDescent="0.25">
      <c r="C268" s="427" t="s">
        <v>437</v>
      </c>
      <c r="D268" s="427"/>
      <c r="E268" s="153" t="e">
        <f ca="1">IF(E265="OUI","NON",IF(E266="OUI","NON","OUI"))</f>
        <v>#REF!</v>
      </c>
      <c r="F268" s="153" t="e">
        <f ca="1">IF(F265="OUI","NON",IF(F267="OUI","NON","OUI"))</f>
        <v>#REF!</v>
      </c>
    </row>
    <row r="269" spans="2:7" x14ac:dyDescent="0.25">
      <c r="C269" s="206"/>
      <c r="D269" s="206"/>
    </row>
    <row r="270" spans="2:7" ht="18.75" x14ac:dyDescent="0.25">
      <c r="B270" s="409" t="str">
        <f>_xlfn.CONCAT("A ",B181,", avec une consigne à ",B181,", le four est ")</f>
        <v xml:space="preserve">A 80°C, avec une consigne à 80°C, le four est </v>
      </c>
      <c r="C270" s="409"/>
      <c r="D270" s="409"/>
      <c r="E270" s="254" t="e">
        <f ca="1">IF(AND(E255="NON",E262="CONFORME"),"CONFORME","NON CONFORME")</f>
        <v>#N/A</v>
      </c>
      <c r="F270" s="410" t="str">
        <f>_xlfn.CONCAT("à la tolérance requise de ± ",Mesures_Four!F21,"°C")</f>
        <v>à la tolérance requise de ± 3°C</v>
      </c>
      <c r="G270" s="410"/>
    </row>
    <row r="278" spans="2:6" ht="18.75" x14ac:dyDescent="0.3">
      <c r="B278" s="230" t="str">
        <f>_xlfn.CONCAT("6- Résultats et exploitations des résultats à ",B281)</f>
        <v>6- Résultats et exploitations des résultats à 200°C</v>
      </c>
    </row>
    <row r="280" spans="2:6" x14ac:dyDescent="0.25">
      <c r="B280" s="245" t="s">
        <v>237</v>
      </c>
      <c r="C280" s="245" t="s">
        <v>383</v>
      </c>
      <c r="E280" s="245" t="s">
        <v>384</v>
      </c>
      <c r="F280" s="245" t="s">
        <v>385</v>
      </c>
    </row>
    <row r="281" spans="2:6" x14ac:dyDescent="0.25">
      <c r="B281" s="246" t="str">
        <f>Mesures_Four!E27</f>
        <v>200°C</v>
      </c>
      <c r="C281" s="247" t="str">
        <f>_xlfn.CONCAT("± ",Mesures_Four!F22,"°C")</f>
        <v>± 3°C</v>
      </c>
      <c r="E281" s="246" t="s">
        <v>386</v>
      </c>
      <c r="F281" s="129">
        <f>Mesures_Four!C22</f>
        <v>-0.6</v>
      </c>
    </row>
    <row r="282" spans="2:6" x14ac:dyDescent="0.25">
      <c r="E282" s="246" t="s">
        <v>387</v>
      </c>
      <c r="F282" s="129">
        <f>Mesures_Four!D22</f>
        <v>-0.27</v>
      </c>
    </row>
    <row r="283" spans="2:6" x14ac:dyDescent="0.25">
      <c r="B283" s="245" t="s">
        <v>388</v>
      </c>
      <c r="C283" s="245" t="s">
        <v>389</v>
      </c>
      <c r="E283" s="246" t="s">
        <v>390</v>
      </c>
      <c r="F283" s="129">
        <f>Mesures_Four!E22</f>
        <v>0.5</v>
      </c>
    </row>
    <row r="284" spans="2:6" x14ac:dyDescent="0.25">
      <c r="B284" s="248">
        <f>INDEX(tab_four200[Date/Heure],1)</f>
        <v>0</v>
      </c>
      <c r="C284" s="248">
        <f ca="1">OFFSET(INDEX(tab_four200[Date/Heure],1),COUNTA(tab_four200[Date/Heure])+COUNTBLANK(tab_four200[Date/Heure])-1,0,1)</f>
        <v>0</v>
      </c>
    </row>
    <row r="286" spans="2:6" ht="18.75" x14ac:dyDescent="0.3">
      <c r="B286" s="230" t="s">
        <v>391</v>
      </c>
    </row>
    <row r="288" spans="2:6" x14ac:dyDescent="0.25">
      <c r="C288" s="245" t="s">
        <v>392</v>
      </c>
      <c r="D288" s="245" t="s">
        <v>393</v>
      </c>
      <c r="E288" s="245" t="s">
        <v>394</v>
      </c>
      <c r="F288" s="245" t="s">
        <v>395</v>
      </c>
    </row>
    <row r="289" spans="2:6" x14ac:dyDescent="0.25">
      <c r="C289" s="246" t="s">
        <v>396</v>
      </c>
      <c r="D289" s="249" t="e">
        <f ca="1">'200°C'!AB103</f>
        <v>#REF!</v>
      </c>
      <c r="E289" s="249" t="e">
        <f ca="1">'200°C'!AB104</f>
        <v>#REF!</v>
      </c>
      <c r="F289" s="249" t="e">
        <f ca="1">'200°C'!AB105</f>
        <v>#REF!</v>
      </c>
    </row>
    <row r="290" spans="2:6" x14ac:dyDescent="0.25">
      <c r="C290" s="246" t="s">
        <v>397</v>
      </c>
      <c r="D290" s="249" t="e">
        <f ca="1">'200°C'!AC103</f>
        <v>#REF!</v>
      </c>
      <c r="E290" s="249" t="e">
        <f ca="1">'200°C'!AC104</f>
        <v>#REF!</v>
      </c>
      <c r="F290" s="249" t="e">
        <f ca="1">'200°C'!AC105</f>
        <v>#REF!</v>
      </c>
    </row>
    <row r="291" spans="2:6" x14ac:dyDescent="0.25">
      <c r="C291" s="246" t="s">
        <v>398</v>
      </c>
      <c r="D291" s="249" t="e">
        <f ca="1">'200°C'!AA103</f>
        <v>#REF!</v>
      </c>
      <c r="E291" s="249" t="e">
        <f ca="1">'200°C'!AA104</f>
        <v>#REF!</v>
      </c>
      <c r="F291" s="249" t="e">
        <f ca="1">'200°C'!AA105</f>
        <v>#REF!</v>
      </c>
    </row>
    <row r="293" spans="2:6" ht="18.75" x14ac:dyDescent="0.3">
      <c r="B293" s="230" t="s">
        <v>399</v>
      </c>
    </row>
    <row r="295" spans="2:6" x14ac:dyDescent="0.25">
      <c r="B295" s="397" t="s">
        <v>295</v>
      </c>
      <c r="C295" s="398"/>
      <c r="D295" s="245" t="s">
        <v>400</v>
      </c>
      <c r="E295" s="245" t="s">
        <v>401</v>
      </c>
    </row>
    <row r="296" spans="2:6" x14ac:dyDescent="0.25">
      <c r="B296" s="425" t="s">
        <v>402</v>
      </c>
      <c r="C296" s="426"/>
      <c r="D296" s="250" t="str">
        <f>B281</f>
        <v>200°C</v>
      </c>
      <c r="E296" s="250" t="s">
        <v>200</v>
      </c>
    </row>
    <row r="297" spans="2:6" x14ac:dyDescent="0.25">
      <c r="B297" s="425" t="s">
        <v>201</v>
      </c>
      <c r="C297" s="426"/>
      <c r="D297" s="250" t="str">
        <f>B281</f>
        <v>200°C</v>
      </c>
      <c r="E297" s="250" t="s">
        <v>200</v>
      </c>
    </row>
    <row r="298" spans="2:6" x14ac:dyDescent="0.25">
      <c r="B298" s="425" t="s">
        <v>403</v>
      </c>
      <c r="C298" s="426"/>
      <c r="D298" s="249" t="e">
        <f>'200°C'!W11</f>
        <v>#N/A</v>
      </c>
      <c r="E298" s="251" t="e">
        <f>VLOOKUP(SUBSTITUTE(HLOOKUP(D298,'200°C'!$N11:$V$18,8,FALSE),"Connecteur ",""),Mesures_Four!B28:C36,2,FALSE)</f>
        <v>#N/A</v>
      </c>
    </row>
    <row r="299" spans="2:6" ht="30" customHeight="1" x14ac:dyDescent="0.25">
      <c r="B299" s="406" t="s">
        <v>404</v>
      </c>
      <c r="C299" s="407"/>
      <c r="D299" s="249" t="e">
        <f ca="1">'200°C'!W12</f>
        <v>#REF!</v>
      </c>
      <c r="E299" s="251" t="e">
        <f ca="1">VLOOKUP(SUBSTITUTE(HLOOKUP(D299,'200°C'!$N12:$V$18,7,FALSE),"Connecteur ",""),Mesures_Four!B28:C36,2,FALSE)</f>
        <v>#REF!</v>
      </c>
    </row>
    <row r="300" spans="2:6" ht="30" customHeight="1" x14ac:dyDescent="0.25">
      <c r="B300" s="406" t="s">
        <v>405</v>
      </c>
      <c r="C300" s="407"/>
      <c r="D300" s="249" t="e">
        <f ca="1">'200°C'!W13</f>
        <v>#REF!</v>
      </c>
      <c r="E300" s="251" t="e">
        <f ca="1">VLOOKUP(SUBSTITUTE(HLOOKUP(D300,'200°C'!$N13:$V$18,6,FALSE),"Connecteur ",""),Mesures_Four!B28:C36,2,FALSE)</f>
        <v>#REF!</v>
      </c>
    </row>
    <row r="301" spans="2:6" ht="30" customHeight="1" x14ac:dyDescent="0.25">
      <c r="B301" s="406" t="s">
        <v>406</v>
      </c>
      <c r="C301" s="407"/>
      <c r="D301" s="249" t="e">
        <f ca="1">'200°C'!W17</f>
        <v>#REF!</v>
      </c>
      <c r="E301" s="250" t="s">
        <v>200</v>
      </c>
    </row>
    <row r="308" spans="2:8" ht="18.75" x14ac:dyDescent="0.3">
      <c r="B308" s="230" t="s">
        <v>407</v>
      </c>
    </row>
    <row r="309" spans="2:8" ht="18.75" x14ac:dyDescent="0.3">
      <c r="B309" s="230"/>
    </row>
    <row r="310" spans="2:8" x14ac:dyDescent="0.25">
      <c r="B310" s="423" t="s">
        <v>408</v>
      </c>
      <c r="C310" s="423" t="s">
        <v>401</v>
      </c>
      <c r="D310" s="397" t="s">
        <v>409</v>
      </c>
      <c r="E310" s="424"/>
      <c r="F310" s="424"/>
      <c r="G310" s="398"/>
      <c r="H310" s="245" t="s">
        <v>328</v>
      </c>
    </row>
    <row r="311" spans="2:8" x14ac:dyDescent="0.25">
      <c r="B311" s="423"/>
      <c r="C311" s="423"/>
      <c r="D311" s="246" t="s">
        <v>410</v>
      </c>
      <c r="E311" s="246" t="s">
        <v>411</v>
      </c>
      <c r="F311" s="246" t="s">
        <v>211</v>
      </c>
      <c r="G311" s="246" t="s">
        <v>212</v>
      </c>
      <c r="H311" s="246" t="s">
        <v>412</v>
      </c>
    </row>
    <row r="312" spans="2:8" x14ac:dyDescent="0.25">
      <c r="B312" s="252" t="s">
        <v>413</v>
      </c>
      <c r="C312" s="246" t="e">
        <f>VLOOKUP($B312,$C$147:$D$155,2,FALSE)</f>
        <v>#N/A</v>
      </c>
      <c r="D312" s="249" t="e">
        <f ca="1">'200°C'!$N$12</f>
        <v>#REF!</v>
      </c>
      <c r="E312" s="249" t="e">
        <f ca="1">'200°C'!$N$13</f>
        <v>#REF!</v>
      </c>
      <c r="F312" s="249" t="e">
        <f ca="1">'200°C'!$N$14</f>
        <v>#REF!</v>
      </c>
      <c r="G312" s="249" t="e">
        <f t="shared" ref="G312:G320" ca="1" si="2">D312-E312</f>
        <v>#REF!</v>
      </c>
      <c r="H312" s="249" t="e">
        <f>'200°C'!$N$11</f>
        <v>#N/A</v>
      </c>
    </row>
    <row r="313" spans="2:8" x14ac:dyDescent="0.25">
      <c r="B313" s="252" t="s">
        <v>414</v>
      </c>
      <c r="C313" s="246" t="e">
        <f t="shared" ref="C313:C320" si="3">VLOOKUP($B313,$C$147:$D$155,2,FALSE)</f>
        <v>#N/A</v>
      </c>
      <c r="D313" s="249" t="e">
        <f ca="1">'200°C'!$O$12</f>
        <v>#REF!</v>
      </c>
      <c r="E313" s="249" t="e">
        <f ca="1">'200°C'!$O$13</f>
        <v>#REF!</v>
      </c>
      <c r="F313" s="249" t="e">
        <f ca="1">'200°C'!$O$14</f>
        <v>#REF!</v>
      </c>
      <c r="G313" s="249" t="e">
        <f t="shared" ca="1" si="2"/>
        <v>#REF!</v>
      </c>
      <c r="H313" s="249" t="e">
        <f>'200°C'!$O$11</f>
        <v>#N/A</v>
      </c>
    </row>
    <row r="314" spans="2:8" x14ac:dyDescent="0.25">
      <c r="B314" s="252" t="s">
        <v>415</v>
      </c>
      <c r="C314" s="246" t="e">
        <f t="shared" si="3"/>
        <v>#N/A</v>
      </c>
      <c r="D314" s="249" t="e">
        <f ca="1">'200°C'!$P$12</f>
        <v>#REF!</v>
      </c>
      <c r="E314" s="249" t="e">
        <f ca="1">'200°C'!$P$13</f>
        <v>#REF!</v>
      </c>
      <c r="F314" s="249" t="e">
        <f ca="1">'200°C'!$P$14</f>
        <v>#REF!</v>
      </c>
      <c r="G314" s="249" t="e">
        <f t="shared" ca="1" si="2"/>
        <v>#REF!</v>
      </c>
      <c r="H314" s="249" t="e">
        <f>'200°C'!$P$11</f>
        <v>#N/A</v>
      </c>
    </row>
    <row r="315" spans="2:8" x14ac:dyDescent="0.25">
      <c r="B315" s="252" t="s">
        <v>416</v>
      </c>
      <c r="C315" s="246" t="e">
        <f t="shared" si="3"/>
        <v>#N/A</v>
      </c>
      <c r="D315" s="249" t="e">
        <f ca="1">'200°C'!$Q$12</f>
        <v>#REF!</v>
      </c>
      <c r="E315" s="249" t="e">
        <f ca="1">'200°C'!$Q$13</f>
        <v>#REF!</v>
      </c>
      <c r="F315" s="249" t="e">
        <f ca="1">'200°C'!$Q$14</f>
        <v>#REF!</v>
      </c>
      <c r="G315" s="249" t="e">
        <f t="shared" ca="1" si="2"/>
        <v>#REF!</v>
      </c>
      <c r="H315" s="249" t="e">
        <f>'200°C'!$Q$11</f>
        <v>#N/A</v>
      </c>
    </row>
    <row r="316" spans="2:8" x14ac:dyDescent="0.25">
      <c r="B316" s="252" t="s">
        <v>417</v>
      </c>
      <c r="C316" s="246" t="e">
        <f t="shared" si="3"/>
        <v>#N/A</v>
      </c>
      <c r="D316" s="249" t="e">
        <f ca="1">'200°C'!$R$12</f>
        <v>#REF!</v>
      </c>
      <c r="E316" s="249" t="e">
        <f ca="1">'200°C'!$R$13</f>
        <v>#REF!</v>
      </c>
      <c r="F316" s="249" t="e">
        <f ca="1">'200°C'!$R$14</f>
        <v>#REF!</v>
      </c>
      <c r="G316" s="249" t="e">
        <f t="shared" ca="1" si="2"/>
        <v>#REF!</v>
      </c>
      <c r="H316" s="249" t="e">
        <f>'200°C'!$R$11</f>
        <v>#N/A</v>
      </c>
    </row>
    <row r="317" spans="2:8" x14ac:dyDescent="0.25">
      <c r="B317" s="252" t="s">
        <v>418</v>
      </c>
      <c r="C317" s="246" t="e">
        <f t="shared" si="3"/>
        <v>#N/A</v>
      </c>
      <c r="D317" s="249" t="e">
        <f ca="1">'200°C'!$S$12</f>
        <v>#REF!</v>
      </c>
      <c r="E317" s="249" t="e">
        <f ca="1">'200°C'!$S$13</f>
        <v>#REF!</v>
      </c>
      <c r="F317" s="249" t="e">
        <f ca="1">'200°C'!$S$14</f>
        <v>#REF!</v>
      </c>
      <c r="G317" s="249" t="e">
        <f t="shared" ca="1" si="2"/>
        <v>#REF!</v>
      </c>
      <c r="H317" s="249" t="e">
        <f>'200°C'!$S$11</f>
        <v>#N/A</v>
      </c>
    </row>
    <row r="318" spans="2:8" x14ac:dyDescent="0.25">
      <c r="B318" s="252" t="s">
        <v>419</v>
      </c>
      <c r="C318" s="246" t="e">
        <f t="shared" si="3"/>
        <v>#N/A</v>
      </c>
      <c r="D318" s="249" t="e">
        <f ca="1">'200°C'!$T$12</f>
        <v>#REF!</v>
      </c>
      <c r="E318" s="249" t="e">
        <f ca="1">'200°C'!$T$13</f>
        <v>#REF!</v>
      </c>
      <c r="F318" s="249" t="e">
        <f ca="1">'200°C'!$T$14</f>
        <v>#REF!</v>
      </c>
      <c r="G318" s="249" t="e">
        <f t="shared" ca="1" si="2"/>
        <v>#REF!</v>
      </c>
      <c r="H318" s="249" t="e">
        <f>'200°C'!$T$11</f>
        <v>#N/A</v>
      </c>
    </row>
    <row r="319" spans="2:8" x14ac:dyDescent="0.25">
      <c r="B319" s="252" t="s">
        <v>420</v>
      </c>
      <c r="C319" s="246" t="e">
        <f t="shared" si="3"/>
        <v>#N/A</v>
      </c>
      <c r="D319" s="249" t="e">
        <f ca="1">'200°C'!$U$12</f>
        <v>#REF!</v>
      </c>
      <c r="E319" s="249" t="e">
        <f ca="1">'200°C'!$U$13</f>
        <v>#REF!</v>
      </c>
      <c r="F319" s="249" t="e">
        <f ca="1">'200°C'!$U$14</f>
        <v>#REF!</v>
      </c>
      <c r="G319" s="249" t="e">
        <f t="shared" ca="1" si="2"/>
        <v>#REF!</v>
      </c>
      <c r="H319" s="249" t="e">
        <f>'200°C'!$U$11</f>
        <v>#N/A</v>
      </c>
    </row>
    <row r="320" spans="2:8" x14ac:dyDescent="0.25">
      <c r="B320" s="252" t="s">
        <v>421</v>
      </c>
      <c r="C320" s="246" t="e">
        <f t="shared" si="3"/>
        <v>#N/A</v>
      </c>
      <c r="D320" s="249" t="e">
        <f ca="1">'200°C'!$V$12</f>
        <v>#REF!</v>
      </c>
      <c r="E320" s="249" t="e">
        <f ca="1">'200°C'!$V$13</f>
        <v>#REF!</v>
      </c>
      <c r="F320" s="249" t="e">
        <f ca="1">'200°C'!$V$14</f>
        <v>#REF!</v>
      </c>
      <c r="G320" s="249" t="e">
        <f t="shared" ca="1" si="2"/>
        <v>#REF!</v>
      </c>
      <c r="H320" s="249" t="e">
        <f>'200°C'!$V$11</f>
        <v>#N/A</v>
      </c>
    </row>
    <row r="322" spans="2:2" ht="18.75" x14ac:dyDescent="0.3">
      <c r="B322" s="230" t="s">
        <v>422</v>
      </c>
    </row>
    <row r="354" spans="2:6" ht="18.75" x14ac:dyDescent="0.3">
      <c r="B354" s="230" t="s">
        <v>423</v>
      </c>
    </row>
    <row r="355" spans="2:6" ht="18.75" x14ac:dyDescent="0.3">
      <c r="B355" s="230"/>
      <c r="C355" s="419" t="s">
        <v>424</v>
      </c>
      <c r="D355" s="419"/>
      <c r="E355" s="419"/>
      <c r="F355" s="419"/>
    </row>
    <row r="356" spans="2:6" ht="28.9" customHeight="1" x14ac:dyDescent="0.25">
      <c r="C356" s="415" t="str">
        <f>_xlfn.CONCAT("Dépassement de la consigne durant la phase de montée ou de maintien en température (&gt; ",B281,")")</f>
        <v>Dépassement de la consigne durant la phase de montée ou de maintien en température (&gt; 200°C)</v>
      </c>
      <c r="D356" s="415"/>
      <c r="E356" s="416" t="e">
        <f>IF('200°C'!W11-Mesures_Four!B22&gt;0,'200°C'!W11-Mesures_Four!B22,"PAS DE DÉPASSEMENT")</f>
        <v>#N/A</v>
      </c>
      <c r="F356" s="420"/>
    </row>
    <row r="357" spans="2:6" x14ac:dyDescent="0.25">
      <c r="C357" s="421" t="str">
        <f>_xlfn.CONCAT("Dépassement supérieur à la tolérance maximale (",C281,")")</f>
        <v>Dépassement supérieur à la tolérance maximale (± 3°C)</v>
      </c>
      <c r="D357" s="421"/>
      <c r="E357" s="422" t="e">
        <f>IF(OR(E356="PAS DE DÉPASSEMENT",E356&lt;=Mesures_Four!F22),"NON","OUI")</f>
        <v>#N/A</v>
      </c>
      <c r="F357" s="422"/>
    </row>
    <row r="359" spans="2:6" x14ac:dyDescent="0.25">
      <c r="C359" s="419" t="s">
        <v>425</v>
      </c>
      <c r="D359" s="419"/>
      <c r="E359" s="419"/>
      <c r="F359" s="419"/>
    </row>
    <row r="360" spans="2:6" ht="28.9" customHeight="1" x14ac:dyDescent="0.25">
      <c r="C360" s="415" t="s">
        <v>426</v>
      </c>
      <c r="D360" s="415"/>
      <c r="E360" s="416" t="e">
        <f ca="1">'200°C'!N22</f>
        <v>#REF!</v>
      </c>
      <c r="F360" s="416"/>
    </row>
    <row r="361" spans="2:6" ht="28.9" customHeight="1" x14ac:dyDescent="0.25">
      <c r="C361" s="415" t="s">
        <v>427</v>
      </c>
      <c r="D361" s="415"/>
      <c r="E361" s="416" t="e">
        <f ca="1">'200°C'!N21</f>
        <v>#REF!</v>
      </c>
      <c r="F361" s="416"/>
    </row>
    <row r="362" spans="2:6" x14ac:dyDescent="0.25">
      <c r="C362" s="411" t="s">
        <v>428</v>
      </c>
      <c r="D362" s="411"/>
      <c r="E362" s="417" t="e">
        <f ca="1">'200°C'!N16</f>
        <v>#REF!</v>
      </c>
      <c r="F362" s="418"/>
    </row>
    <row r="363" spans="2:6" x14ac:dyDescent="0.25">
      <c r="C363" s="411" t="s">
        <v>429</v>
      </c>
      <c r="D363" s="411"/>
      <c r="E363" s="412">
        <f>Mesures_Four!G22</f>
        <v>6</v>
      </c>
      <c r="F363" s="412"/>
    </row>
    <row r="364" spans="2:6" x14ac:dyDescent="0.25">
      <c r="C364" s="413" t="s">
        <v>438</v>
      </c>
      <c r="D364" s="413"/>
      <c r="E364" s="414" t="e">
        <f ca="1">IF(AND(ABS(E360)&lt;=E363/2,(ABS(E361)&lt;=E363/2)),"CONFORME","NON CONFORME")</f>
        <v>#REF!</v>
      </c>
      <c r="F364" s="414"/>
    </row>
    <row r="366" spans="2:6" x14ac:dyDescent="0.25">
      <c r="C366" s="397" t="s">
        <v>431</v>
      </c>
      <c r="D366" s="398"/>
      <c r="E366" s="245" t="s">
        <v>390</v>
      </c>
      <c r="F366" s="245" t="s">
        <v>387</v>
      </c>
    </row>
    <row r="367" spans="2:6" ht="28.9" customHeight="1" x14ac:dyDescent="0.25">
      <c r="B367" s="253" t="s">
        <v>432</v>
      </c>
      <c r="C367" s="406" t="s">
        <v>433</v>
      </c>
      <c r="D367" s="407"/>
      <c r="E367" s="153" t="e">
        <f ca="1">IF(ABS(E360)&lt;Mesures_Four!F22/2,"OUI","NON")</f>
        <v>#REF!</v>
      </c>
      <c r="F367" s="153" t="e">
        <f ca="1">IF(ABS(E361)&lt;Mesures_Four!F22/2,"OUI","NON")</f>
        <v>#REF!</v>
      </c>
    </row>
    <row r="368" spans="2:6" ht="28.9" customHeight="1" x14ac:dyDescent="0.25">
      <c r="B368" s="405" t="s">
        <v>434</v>
      </c>
      <c r="C368" s="406" t="s">
        <v>435</v>
      </c>
      <c r="D368" s="407"/>
      <c r="E368" s="153" t="e">
        <f ca="1">IF(ABS('200°C'!AA104-'200°C'!W13)&lt;1.1,"OUI","NON")</f>
        <v>#REF!</v>
      </c>
      <c r="F368" s="153" t="s">
        <v>200</v>
      </c>
    </row>
    <row r="369" spans="2:7" ht="28.9" customHeight="1" x14ac:dyDescent="0.25">
      <c r="B369" s="405"/>
      <c r="C369" s="406" t="s">
        <v>436</v>
      </c>
      <c r="D369" s="407"/>
      <c r="E369" s="153" t="s">
        <v>200</v>
      </c>
      <c r="F369" s="153" t="e">
        <f ca="1">IF(ABS('200°C'!AC103-'200°C'!W12)&lt;1.1,"OUI","NON")</f>
        <v>#REF!</v>
      </c>
    </row>
    <row r="370" spans="2:7" ht="28.9" customHeight="1" x14ac:dyDescent="0.25">
      <c r="C370" s="427" t="s">
        <v>437</v>
      </c>
      <c r="D370" s="427"/>
      <c r="E370" s="153" t="e">
        <f ca="1">IF(E367="OUI","NON",IF(E368="OUI","NON","OUI"))</f>
        <v>#REF!</v>
      </c>
      <c r="F370" s="153" t="e">
        <f ca="1">IF(F367="OUI","NON",IF(F369="OUI","NON","OUI"))</f>
        <v>#REF!</v>
      </c>
    </row>
    <row r="372" spans="2:7" ht="18.75" x14ac:dyDescent="0.25">
      <c r="B372" s="409" t="str">
        <f>_xlfn.CONCAT("A ",B281,", avec une consigne à ",B281,", le four est ")</f>
        <v xml:space="preserve">A 200°C, avec une consigne à 200°C, le four est </v>
      </c>
      <c r="C372" s="409"/>
      <c r="D372" s="430"/>
      <c r="E372" s="255" t="e">
        <f ca="1">IF(AND(E357="NON",E364="CONFORME"),"CONFORME","NON CONFORME")</f>
        <v>#N/A</v>
      </c>
      <c r="F372" s="431" t="str">
        <f>_xlfn.CONCAT("à la tolérance requise de ± ",Mesures_Four!F22,"°C")</f>
        <v>à la tolérance requise de ± 3°C</v>
      </c>
      <c r="G372" s="410"/>
    </row>
    <row r="380" spans="2:7" ht="18.75" x14ac:dyDescent="0.3">
      <c r="B380" s="230" t="str">
        <f>_xlfn.CONCAT("6- Résultats et exploitations des résultats à ",B383)</f>
        <v>6- Résultats et exploitations des résultats à 385°C</v>
      </c>
    </row>
    <row r="382" spans="2:7" x14ac:dyDescent="0.25">
      <c r="B382" s="245" t="s">
        <v>237</v>
      </c>
      <c r="C382" s="245" t="s">
        <v>383</v>
      </c>
      <c r="E382" s="245" t="s">
        <v>384</v>
      </c>
      <c r="F382" s="245" t="s">
        <v>385</v>
      </c>
    </row>
    <row r="383" spans="2:7" x14ac:dyDescent="0.25">
      <c r="B383" s="246" t="str">
        <f>Mesures_Four!F27</f>
        <v>385°C</v>
      </c>
      <c r="C383" s="247" t="str">
        <f>_xlfn.CONCAT("± ",Mesures_Four!F23,"°C")</f>
        <v>± 5°C</v>
      </c>
      <c r="E383" s="246" t="s">
        <v>386</v>
      </c>
      <c r="F383" s="129">
        <f>Mesures_Four!C23</f>
        <v>-0.6</v>
      </c>
    </row>
    <row r="384" spans="2:7" x14ac:dyDescent="0.25">
      <c r="E384" s="246" t="s">
        <v>387</v>
      </c>
      <c r="F384" s="129">
        <f>Mesures_Four!D23</f>
        <v>-0.27</v>
      </c>
    </row>
    <row r="385" spans="2:6" x14ac:dyDescent="0.25">
      <c r="B385" s="245" t="s">
        <v>388</v>
      </c>
      <c r="C385" s="245" t="s">
        <v>389</v>
      </c>
      <c r="E385" s="246" t="s">
        <v>390</v>
      </c>
      <c r="F385" s="129">
        <f>Mesures_Four!E23</f>
        <v>0.5</v>
      </c>
    </row>
    <row r="386" spans="2:6" x14ac:dyDescent="0.25">
      <c r="B386" s="248">
        <f>INDEX(tab_four385[Date/Heure],1)</f>
        <v>0</v>
      </c>
      <c r="C386" s="248">
        <f ca="1">OFFSET(INDEX(tab_four385[Date/Heure],1),COUNTA(tab_four385[Date/Heure])+COUNTBLANK(tab_four385[Date/Heure])-1,0,1)</f>
        <v>0</v>
      </c>
    </row>
    <row r="388" spans="2:6" ht="18.75" x14ac:dyDescent="0.3">
      <c r="B388" s="230" t="s">
        <v>391</v>
      </c>
    </row>
    <row r="390" spans="2:6" x14ac:dyDescent="0.25">
      <c r="C390" s="245" t="s">
        <v>392</v>
      </c>
      <c r="D390" s="245" t="s">
        <v>393</v>
      </c>
      <c r="E390" s="245" t="s">
        <v>394</v>
      </c>
      <c r="F390" s="245" t="s">
        <v>395</v>
      </c>
    </row>
    <row r="391" spans="2:6" x14ac:dyDescent="0.25">
      <c r="C391" s="246" t="s">
        <v>396</v>
      </c>
      <c r="D391" s="249" t="e">
        <f ca="1">'385°C'!AB66</f>
        <v>#REF!</v>
      </c>
      <c r="E391" s="249" t="e">
        <f ca="1">'385°C'!AB67</f>
        <v>#REF!</v>
      </c>
      <c r="F391" s="249" t="e">
        <f ca="1">'385°C'!AB68</f>
        <v>#REF!</v>
      </c>
    </row>
    <row r="392" spans="2:6" x14ac:dyDescent="0.25">
      <c r="C392" s="246" t="s">
        <v>397</v>
      </c>
      <c r="D392" s="249" t="e">
        <f ca="1">'385°C'!AC66</f>
        <v>#REF!</v>
      </c>
      <c r="E392" s="249" t="e">
        <f ca="1">'385°C'!AC67</f>
        <v>#REF!</v>
      </c>
      <c r="F392" s="249" t="e">
        <f ca="1">'385°C'!AC68</f>
        <v>#REF!</v>
      </c>
    </row>
    <row r="393" spans="2:6" x14ac:dyDescent="0.25">
      <c r="C393" s="246" t="s">
        <v>398</v>
      </c>
      <c r="D393" s="249" t="e">
        <f ca="1">'385°C'!AA66</f>
        <v>#REF!</v>
      </c>
      <c r="E393" s="249" t="e">
        <f ca="1">'385°C'!AA67</f>
        <v>#REF!</v>
      </c>
      <c r="F393" s="249" t="e">
        <f ca="1">'385°C'!AA68</f>
        <v>#REF!</v>
      </c>
    </row>
    <row r="395" spans="2:6" ht="18.75" x14ac:dyDescent="0.3">
      <c r="B395" s="230" t="s">
        <v>399</v>
      </c>
    </row>
    <row r="397" spans="2:6" x14ac:dyDescent="0.25">
      <c r="B397" s="397" t="s">
        <v>295</v>
      </c>
      <c r="C397" s="398"/>
      <c r="D397" s="245" t="s">
        <v>400</v>
      </c>
      <c r="E397" s="245" t="s">
        <v>401</v>
      </c>
    </row>
    <row r="398" spans="2:6" x14ac:dyDescent="0.25">
      <c r="B398" s="425" t="s">
        <v>402</v>
      </c>
      <c r="C398" s="426"/>
      <c r="D398" s="250" t="str">
        <f>B383</f>
        <v>385°C</v>
      </c>
      <c r="E398" s="250" t="s">
        <v>200</v>
      </c>
    </row>
    <row r="399" spans="2:6" x14ac:dyDescent="0.25">
      <c r="B399" s="425" t="s">
        <v>201</v>
      </c>
      <c r="C399" s="426"/>
      <c r="D399" s="250" t="str">
        <f>B383</f>
        <v>385°C</v>
      </c>
      <c r="E399" s="250" t="s">
        <v>200</v>
      </c>
    </row>
    <row r="400" spans="2:6" x14ac:dyDescent="0.25">
      <c r="B400" s="425" t="s">
        <v>403</v>
      </c>
      <c r="C400" s="426"/>
      <c r="D400" s="249" t="e">
        <f>'385°C'!W11</f>
        <v>#N/A</v>
      </c>
      <c r="E400" s="251" t="e">
        <f>VLOOKUP(SUBSTITUTE(HLOOKUP(D400,'385°C'!$N11:$V$18,8,FALSE),"Connecteur ",""),Mesures_Four!B28:C36,2,FALSE)</f>
        <v>#N/A</v>
      </c>
    </row>
    <row r="401" spans="2:8" ht="30" customHeight="1" x14ac:dyDescent="0.25">
      <c r="B401" s="406" t="s">
        <v>404</v>
      </c>
      <c r="C401" s="407"/>
      <c r="D401" s="249" t="e">
        <f ca="1">'385°C'!W12</f>
        <v>#REF!</v>
      </c>
      <c r="E401" s="251" t="e">
        <f ca="1">VLOOKUP(SUBSTITUTE(HLOOKUP(D401,'385°C'!$N12:$V$18,7,FALSE),"Connecteur ",""),Mesures_Four!B28:C36,2,FALSE)</f>
        <v>#REF!</v>
      </c>
      <c r="F401" s="256"/>
    </row>
    <row r="402" spans="2:8" ht="30" customHeight="1" x14ac:dyDescent="0.25">
      <c r="B402" s="406" t="s">
        <v>405</v>
      </c>
      <c r="C402" s="407"/>
      <c r="D402" s="249" t="e">
        <f ca="1">'385°C'!W13</f>
        <v>#REF!</v>
      </c>
      <c r="E402" s="251" t="e">
        <f ca="1">VLOOKUP(SUBSTITUTE(HLOOKUP(D402,'385°C'!$N13:$V$18,6,FALSE),"Connecteur ",""),Mesures_Four!B28:C36,2,FALSE)</f>
        <v>#REF!</v>
      </c>
    </row>
    <row r="403" spans="2:8" ht="30" customHeight="1" x14ac:dyDescent="0.25">
      <c r="B403" s="406" t="s">
        <v>406</v>
      </c>
      <c r="C403" s="407"/>
      <c r="D403" s="249" t="e">
        <f ca="1">'385°C'!W17</f>
        <v>#REF!</v>
      </c>
      <c r="E403" s="250" t="s">
        <v>200</v>
      </c>
    </row>
    <row r="410" spans="2:8" ht="18.75" x14ac:dyDescent="0.3">
      <c r="B410" s="230" t="s">
        <v>407</v>
      </c>
    </row>
    <row r="411" spans="2:8" ht="18.75" x14ac:dyDescent="0.3">
      <c r="B411" s="230"/>
    </row>
    <row r="412" spans="2:8" x14ac:dyDescent="0.25">
      <c r="B412" s="423" t="s">
        <v>408</v>
      </c>
      <c r="C412" s="423" t="s">
        <v>401</v>
      </c>
      <c r="D412" s="397" t="s">
        <v>409</v>
      </c>
      <c r="E412" s="424"/>
      <c r="F412" s="424"/>
      <c r="G412" s="398"/>
      <c r="H412" s="245" t="s">
        <v>328</v>
      </c>
    </row>
    <row r="413" spans="2:8" x14ac:dyDescent="0.25">
      <c r="B413" s="423"/>
      <c r="C413" s="423"/>
      <c r="D413" s="246" t="s">
        <v>410</v>
      </c>
      <c r="E413" s="246" t="s">
        <v>411</v>
      </c>
      <c r="F413" s="246" t="s">
        <v>211</v>
      </c>
      <c r="G413" s="246" t="s">
        <v>212</v>
      </c>
      <c r="H413" s="246" t="s">
        <v>412</v>
      </c>
    </row>
    <row r="414" spans="2:8" x14ac:dyDescent="0.25">
      <c r="B414" s="252" t="s">
        <v>413</v>
      </c>
      <c r="C414" s="246" t="e">
        <f>VLOOKUP($B414,$C$147:$D$155,2,FALSE)</f>
        <v>#N/A</v>
      </c>
      <c r="D414" s="249" t="e">
        <f ca="1">'385°C'!$N$12</f>
        <v>#REF!</v>
      </c>
      <c r="E414" s="249" t="e">
        <f ca="1">'385°C'!$N$13</f>
        <v>#REF!</v>
      </c>
      <c r="F414" s="249" t="e">
        <f ca="1">'385°C'!$N$14</f>
        <v>#REF!</v>
      </c>
      <c r="G414" s="249" t="e">
        <f t="shared" ref="G414:G422" ca="1" si="4">D414-E414</f>
        <v>#REF!</v>
      </c>
      <c r="H414" s="249" t="e">
        <f>'385°C'!$N$11</f>
        <v>#N/A</v>
      </c>
    </row>
    <row r="415" spans="2:8" x14ac:dyDescent="0.25">
      <c r="B415" s="252" t="s">
        <v>414</v>
      </c>
      <c r="C415" s="246" t="e">
        <f t="shared" ref="C415:C422" si="5">VLOOKUP($B415,$C$147:$D$155,2,FALSE)</f>
        <v>#N/A</v>
      </c>
      <c r="D415" s="249" t="e">
        <f ca="1">'385°C'!$O$12</f>
        <v>#REF!</v>
      </c>
      <c r="E415" s="249" t="e">
        <f ca="1">'385°C'!$O$13</f>
        <v>#REF!</v>
      </c>
      <c r="F415" s="249" t="e">
        <f ca="1">'385°C'!$O$14</f>
        <v>#REF!</v>
      </c>
      <c r="G415" s="249" t="e">
        <f t="shared" ca="1" si="4"/>
        <v>#REF!</v>
      </c>
      <c r="H415" s="249" t="e">
        <f>'385°C'!$O$11</f>
        <v>#N/A</v>
      </c>
    </row>
    <row r="416" spans="2:8" x14ac:dyDescent="0.25">
      <c r="B416" s="252" t="s">
        <v>415</v>
      </c>
      <c r="C416" s="246" t="e">
        <f t="shared" si="5"/>
        <v>#N/A</v>
      </c>
      <c r="D416" s="249" t="e">
        <f ca="1">'385°C'!$P$12</f>
        <v>#REF!</v>
      </c>
      <c r="E416" s="249" t="e">
        <f ca="1">'385°C'!$P$13</f>
        <v>#REF!</v>
      </c>
      <c r="F416" s="249" t="e">
        <f ca="1">'385°C'!$P$14</f>
        <v>#REF!</v>
      </c>
      <c r="G416" s="249" t="e">
        <f t="shared" ca="1" si="4"/>
        <v>#REF!</v>
      </c>
      <c r="H416" s="249" t="e">
        <f>'385°C'!$P$11</f>
        <v>#N/A</v>
      </c>
    </row>
    <row r="417" spans="2:8" x14ac:dyDescent="0.25">
      <c r="B417" s="252" t="s">
        <v>416</v>
      </c>
      <c r="C417" s="246" t="e">
        <f t="shared" si="5"/>
        <v>#N/A</v>
      </c>
      <c r="D417" s="249" t="e">
        <f ca="1">'385°C'!$Q$12</f>
        <v>#REF!</v>
      </c>
      <c r="E417" s="249" t="e">
        <f ca="1">'385°C'!$Q$13</f>
        <v>#REF!</v>
      </c>
      <c r="F417" s="249" t="e">
        <f ca="1">'385°C'!$Q$14</f>
        <v>#REF!</v>
      </c>
      <c r="G417" s="249" t="e">
        <f t="shared" ca="1" si="4"/>
        <v>#REF!</v>
      </c>
      <c r="H417" s="249" t="e">
        <f>'385°C'!$Q$11</f>
        <v>#N/A</v>
      </c>
    </row>
    <row r="418" spans="2:8" x14ac:dyDescent="0.25">
      <c r="B418" s="252" t="s">
        <v>417</v>
      </c>
      <c r="C418" s="246" t="e">
        <f t="shared" si="5"/>
        <v>#N/A</v>
      </c>
      <c r="D418" s="249" t="e">
        <f ca="1">'385°C'!$R$12</f>
        <v>#REF!</v>
      </c>
      <c r="E418" s="249" t="e">
        <f ca="1">'385°C'!$R$13</f>
        <v>#REF!</v>
      </c>
      <c r="F418" s="249" t="e">
        <f ca="1">'385°C'!$R$14</f>
        <v>#REF!</v>
      </c>
      <c r="G418" s="249" t="e">
        <f t="shared" ca="1" si="4"/>
        <v>#REF!</v>
      </c>
      <c r="H418" s="249" t="e">
        <f>'385°C'!$R$11</f>
        <v>#N/A</v>
      </c>
    </row>
    <row r="419" spans="2:8" x14ac:dyDescent="0.25">
      <c r="B419" s="252" t="s">
        <v>418</v>
      </c>
      <c r="C419" s="246" t="e">
        <f t="shared" si="5"/>
        <v>#N/A</v>
      </c>
      <c r="D419" s="249" t="e">
        <f ca="1">'385°C'!$S$12</f>
        <v>#REF!</v>
      </c>
      <c r="E419" s="249" t="e">
        <f ca="1">'385°C'!$S$13</f>
        <v>#REF!</v>
      </c>
      <c r="F419" s="249" t="e">
        <f ca="1">'385°C'!$S$14</f>
        <v>#REF!</v>
      </c>
      <c r="G419" s="249" t="e">
        <f t="shared" ca="1" si="4"/>
        <v>#REF!</v>
      </c>
      <c r="H419" s="249" t="e">
        <f>'385°C'!$S$11</f>
        <v>#N/A</v>
      </c>
    </row>
    <row r="420" spans="2:8" x14ac:dyDescent="0.25">
      <c r="B420" s="252" t="s">
        <v>419</v>
      </c>
      <c r="C420" s="246" t="e">
        <f t="shared" si="5"/>
        <v>#N/A</v>
      </c>
      <c r="D420" s="249" t="e">
        <f ca="1">'385°C'!$T$12</f>
        <v>#REF!</v>
      </c>
      <c r="E420" s="249" t="e">
        <f ca="1">'385°C'!$T$13</f>
        <v>#REF!</v>
      </c>
      <c r="F420" s="249" t="e">
        <f ca="1">'385°C'!$T$14</f>
        <v>#REF!</v>
      </c>
      <c r="G420" s="249" t="e">
        <f t="shared" ca="1" si="4"/>
        <v>#REF!</v>
      </c>
      <c r="H420" s="249" t="e">
        <f>'385°C'!$T$11</f>
        <v>#N/A</v>
      </c>
    </row>
    <row r="421" spans="2:8" x14ac:dyDescent="0.25">
      <c r="B421" s="252" t="s">
        <v>420</v>
      </c>
      <c r="C421" s="246" t="e">
        <f t="shared" si="5"/>
        <v>#N/A</v>
      </c>
      <c r="D421" s="249" t="e">
        <f ca="1">'385°C'!$U$12</f>
        <v>#REF!</v>
      </c>
      <c r="E421" s="249" t="e">
        <f ca="1">'385°C'!$U$13</f>
        <v>#REF!</v>
      </c>
      <c r="F421" s="249" t="e">
        <f ca="1">'385°C'!$U$14</f>
        <v>#REF!</v>
      </c>
      <c r="G421" s="249" t="e">
        <f t="shared" ca="1" si="4"/>
        <v>#REF!</v>
      </c>
      <c r="H421" s="249" t="e">
        <f>'385°C'!$U$11</f>
        <v>#N/A</v>
      </c>
    </row>
    <row r="422" spans="2:8" x14ac:dyDescent="0.25">
      <c r="B422" s="252" t="s">
        <v>421</v>
      </c>
      <c r="C422" s="246" t="e">
        <f t="shared" si="5"/>
        <v>#N/A</v>
      </c>
      <c r="D422" s="249" t="e">
        <f ca="1">'385°C'!$V$12</f>
        <v>#REF!</v>
      </c>
      <c r="E422" s="249" t="e">
        <f ca="1">'385°C'!$V$13</f>
        <v>#REF!</v>
      </c>
      <c r="F422" s="249" t="e">
        <f ca="1">'385°C'!$V$14</f>
        <v>#REF!</v>
      </c>
      <c r="G422" s="249" t="e">
        <f t="shared" ca="1" si="4"/>
        <v>#REF!</v>
      </c>
      <c r="H422" s="249" t="e">
        <f>'385°C'!$V$11</f>
        <v>#N/A</v>
      </c>
    </row>
    <row r="424" spans="2:8" ht="18.75" x14ac:dyDescent="0.3">
      <c r="B424" s="230" t="s">
        <v>422</v>
      </c>
    </row>
    <row r="456" spans="2:6" ht="18.75" x14ac:dyDescent="0.3">
      <c r="B456" s="230" t="s">
        <v>423</v>
      </c>
    </row>
    <row r="457" spans="2:6" ht="18.75" x14ac:dyDescent="0.3">
      <c r="B457" s="230"/>
      <c r="C457" s="419" t="s">
        <v>424</v>
      </c>
      <c r="D457" s="419"/>
      <c r="E457" s="419"/>
      <c r="F457" s="419"/>
    </row>
    <row r="458" spans="2:6" ht="28.9" customHeight="1" x14ac:dyDescent="0.25">
      <c r="C458" s="415" t="str">
        <f>_xlfn.CONCAT("Dépassement de la consigne durant la phase de montée ou de maintien en température (&gt; ",B383,")")</f>
        <v>Dépassement de la consigne durant la phase de montée ou de maintien en température (&gt; 385°C)</v>
      </c>
      <c r="D458" s="415"/>
      <c r="E458" s="420" t="e">
        <f>IF('385°C'!W11-Mesures_Four!B23&gt;0,'385°C'!W11-Mesures_Four!B23,"PAS DE DÉPASSEMENT")</f>
        <v>#N/A</v>
      </c>
      <c r="F458" s="420"/>
    </row>
    <row r="459" spans="2:6" x14ac:dyDescent="0.25">
      <c r="C459" s="421" t="str">
        <f>_xlfn.CONCAT("Dépassement supérieur à la tolérance maximale (",C383,")")</f>
        <v>Dépassement supérieur à la tolérance maximale (± 5°C)</v>
      </c>
      <c r="D459" s="421"/>
      <c r="E459" s="422" t="e">
        <f>IF(OR(E458="PAS DE DÉPASSEMENT",E458&lt;=Mesures_Four!F23),"NON","OUI")</f>
        <v>#N/A</v>
      </c>
      <c r="F459" s="422"/>
    </row>
    <row r="461" spans="2:6" x14ac:dyDescent="0.25">
      <c r="C461" s="419" t="s">
        <v>425</v>
      </c>
      <c r="D461" s="419"/>
      <c r="E461" s="419"/>
      <c r="F461" s="419"/>
    </row>
    <row r="462" spans="2:6" ht="28.9" customHeight="1" x14ac:dyDescent="0.25">
      <c r="C462" s="415" t="s">
        <v>426</v>
      </c>
      <c r="D462" s="415"/>
      <c r="E462" s="416" t="e">
        <f ca="1">'385°C'!N22</f>
        <v>#REF!</v>
      </c>
      <c r="F462" s="416"/>
    </row>
    <row r="463" spans="2:6" ht="28.9" customHeight="1" x14ac:dyDescent="0.25">
      <c r="C463" s="415" t="s">
        <v>427</v>
      </c>
      <c r="D463" s="415"/>
      <c r="E463" s="416" t="e">
        <f ca="1">'385°C'!N21</f>
        <v>#REF!</v>
      </c>
      <c r="F463" s="416"/>
    </row>
    <row r="464" spans="2:6" x14ac:dyDescent="0.25">
      <c r="C464" s="411" t="s">
        <v>428</v>
      </c>
      <c r="D464" s="411"/>
      <c r="E464" s="417" t="e">
        <f ca="1">'385°C'!N16</f>
        <v>#REF!</v>
      </c>
      <c r="F464" s="418"/>
    </row>
    <row r="465" spans="2:7" x14ac:dyDescent="0.25">
      <c r="C465" s="411" t="s">
        <v>429</v>
      </c>
      <c r="D465" s="411"/>
      <c r="E465" s="412">
        <f>Mesures_Four!G23</f>
        <v>10</v>
      </c>
      <c r="F465" s="412"/>
    </row>
    <row r="466" spans="2:7" x14ac:dyDescent="0.25">
      <c r="C466" s="413" t="s">
        <v>439</v>
      </c>
      <c r="D466" s="413"/>
      <c r="E466" s="414" t="e">
        <f ca="1">IF(AND(ABS(E462)&lt;=E465/2,(ABS(E463)&lt;=E465/2)),"CONFORME","NON CONFORME")</f>
        <v>#REF!</v>
      </c>
      <c r="F466" s="414"/>
    </row>
    <row r="468" spans="2:7" x14ac:dyDescent="0.25">
      <c r="C468" s="397" t="s">
        <v>431</v>
      </c>
      <c r="D468" s="398"/>
      <c r="E468" s="245" t="s">
        <v>390</v>
      </c>
      <c r="F468" s="245" t="s">
        <v>387</v>
      </c>
    </row>
    <row r="469" spans="2:7" ht="28.9" customHeight="1" x14ac:dyDescent="0.25">
      <c r="B469" s="253" t="s">
        <v>432</v>
      </c>
      <c r="C469" s="406" t="s">
        <v>433</v>
      </c>
      <c r="D469" s="407"/>
      <c r="E469" s="153" t="e">
        <f ca="1">IF(ABS(E462)&lt;Mesures_Four!F23/2,"OUI","NON")</f>
        <v>#REF!</v>
      </c>
      <c r="F469" s="153" t="e">
        <f ca="1">IF(ABS(E463)&lt;Mesures_Four!F23/2,"OUI","NON")</f>
        <v>#REF!</v>
      </c>
    </row>
    <row r="470" spans="2:7" ht="28.9" customHeight="1" x14ac:dyDescent="0.25">
      <c r="B470" s="405" t="s">
        <v>434</v>
      </c>
      <c r="C470" s="406" t="s">
        <v>440</v>
      </c>
      <c r="D470" s="407"/>
      <c r="E470" s="153" t="e">
        <f ca="1">IF(ABS('385°C'!AA67-'385°C'!W13)&lt;1.7,"OUI","NON")</f>
        <v>#REF!</v>
      </c>
      <c r="F470" s="153" t="s">
        <v>200</v>
      </c>
    </row>
    <row r="471" spans="2:7" ht="28.9" customHeight="1" x14ac:dyDescent="0.25">
      <c r="B471" s="405"/>
      <c r="C471" s="406" t="s">
        <v>441</v>
      </c>
      <c r="D471" s="407"/>
      <c r="E471" s="153" t="s">
        <v>200</v>
      </c>
      <c r="F471" s="153" t="e">
        <f ca="1">IF(ABS('385°C'!AC66-'385°C'!W12)&lt;1.7,"OUI","NON")</f>
        <v>#REF!</v>
      </c>
    </row>
    <row r="472" spans="2:7" ht="28.9" customHeight="1" x14ac:dyDescent="0.25">
      <c r="C472" s="427" t="s">
        <v>437</v>
      </c>
      <c r="D472" s="427"/>
      <c r="E472" s="153" t="e">
        <f ca="1">IF(E469="OUI","NON",IF(E470="OUI","NON","OUI"))</f>
        <v>#REF!</v>
      </c>
      <c r="F472" s="153" t="e">
        <f ca="1">IF(F469="OUI","NON",IF(F471="OUI","NON","OUI"))</f>
        <v>#REF!</v>
      </c>
    </row>
    <row r="473" spans="2:7" x14ac:dyDescent="0.25">
      <c r="C473" s="428"/>
      <c r="D473" s="428"/>
      <c r="E473" s="429"/>
      <c r="F473" s="428"/>
    </row>
    <row r="474" spans="2:7" ht="18.75" x14ac:dyDescent="0.25">
      <c r="B474" s="409" t="str">
        <f>_xlfn.CONCAT("A ",B383,", avec une consigne à ",B383,", le four est ")</f>
        <v xml:space="preserve">A 385°C, avec une consigne à 385°C, le four est </v>
      </c>
      <c r="C474" s="409"/>
      <c r="D474" s="409"/>
      <c r="E474" s="254" t="e">
        <f ca="1">IF(AND(E459="NON",E466="CONFORME"),"CONFORME","NON CONFORME")</f>
        <v>#N/A</v>
      </c>
      <c r="F474" s="410" t="str">
        <f>_xlfn.CONCAT("à la tolérance requise de ± ",Mesures_Four!F23,"°C")</f>
        <v>à la tolérance requise de ± 5°C</v>
      </c>
      <c r="G474" s="410"/>
    </row>
    <row r="482" spans="2:6" ht="18.75" x14ac:dyDescent="0.3">
      <c r="B482" s="230" t="str">
        <f>_xlfn.CONCAT("6- Résultats et exploitations des résultats à ",B485)</f>
        <v>6- Résultats et exploitations des résultats à 535°C</v>
      </c>
    </row>
    <row r="484" spans="2:6" x14ac:dyDescent="0.25">
      <c r="B484" s="245" t="s">
        <v>237</v>
      </c>
      <c r="C484" s="245" t="s">
        <v>383</v>
      </c>
      <c r="E484" s="245" t="s">
        <v>384</v>
      </c>
      <c r="F484" s="245" t="s">
        <v>385</v>
      </c>
    </row>
    <row r="485" spans="2:6" x14ac:dyDescent="0.25">
      <c r="B485" s="246" t="str">
        <f>Mesures_Four!G27</f>
        <v>535°C</v>
      </c>
      <c r="C485" s="247" t="str">
        <f>_xlfn.CONCAT("± ",Mesures_Four!F24,"°C")</f>
        <v>± 5°C</v>
      </c>
      <c r="E485" s="246" t="s">
        <v>386</v>
      </c>
      <c r="F485" s="257">
        <f>Mesures_Four!C24</f>
        <v>-0.6</v>
      </c>
    </row>
    <row r="486" spans="2:6" x14ac:dyDescent="0.25">
      <c r="E486" s="246" t="s">
        <v>387</v>
      </c>
      <c r="F486" s="257">
        <f>Mesures_Four!D24</f>
        <v>-0.27</v>
      </c>
    </row>
    <row r="487" spans="2:6" x14ac:dyDescent="0.25">
      <c r="B487" s="245" t="s">
        <v>388</v>
      </c>
      <c r="C487" s="245" t="s">
        <v>389</v>
      </c>
      <c r="E487" s="246" t="s">
        <v>390</v>
      </c>
      <c r="F487" s="257">
        <f>Mesures_Four!E24</f>
        <v>0.5</v>
      </c>
    </row>
    <row r="488" spans="2:6" x14ac:dyDescent="0.25">
      <c r="B488" s="248">
        <f>INDEX(tab_four535[Date/Heure],1)</f>
        <v>0</v>
      </c>
      <c r="C488" s="248">
        <f ca="1">OFFSET(INDEX(tab_four535[Date/Heure],1),COUNTA(tab_four535[Date/Heure])+COUNTBLANK(tab_four535[Date/Heure])-1,0,1)</f>
        <v>0</v>
      </c>
    </row>
    <row r="490" spans="2:6" ht="18.75" x14ac:dyDescent="0.3">
      <c r="B490" s="230" t="s">
        <v>391</v>
      </c>
    </row>
    <row r="492" spans="2:6" x14ac:dyDescent="0.25">
      <c r="C492" s="245" t="s">
        <v>392</v>
      </c>
      <c r="D492" s="245" t="s">
        <v>393</v>
      </c>
      <c r="E492" s="245" t="s">
        <v>394</v>
      </c>
      <c r="F492" s="245" t="s">
        <v>395</v>
      </c>
    </row>
    <row r="493" spans="2:6" x14ac:dyDescent="0.25">
      <c r="C493" s="246" t="s">
        <v>396</v>
      </c>
      <c r="D493" s="249" t="e">
        <f ca="1">'535°C'!AB69</f>
        <v>#REF!</v>
      </c>
      <c r="E493" s="249" t="e">
        <f ca="1">'535°C'!AB70</f>
        <v>#REF!</v>
      </c>
      <c r="F493" s="249" t="e">
        <f ca="1">'535°C'!AB71</f>
        <v>#REF!</v>
      </c>
    </row>
    <row r="494" spans="2:6" x14ac:dyDescent="0.25">
      <c r="C494" s="246" t="s">
        <v>397</v>
      </c>
      <c r="D494" s="249" t="e">
        <f ca="1">'535°C'!AC69</f>
        <v>#REF!</v>
      </c>
      <c r="E494" s="249" t="e">
        <f ca="1">'535°C'!AC70</f>
        <v>#REF!</v>
      </c>
      <c r="F494" s="249" t="e">
        <f ca="1">'535°C'!AC71</f>
        <v>#REF!</v>
      </c>
    </row>
    <row r="495" spans="2:6" x14ac:dyDescent="0.25">
      <c r="C495" s="246" t="s">
        <v>398</v>
      </c>
      <c r="D495" s="249" t="e">
        <f ca="1">'535°C'!AA69</f>
        <v>#REF!</v>
      </c>
      <c r="E495" s="249" t="e">
        <f ca="1">'535°C'!AA70</f>
        <v>#REF!</v>
      </c>
      <c r="F495" s="249" t="e">
        <f ca="1">'535°C'!AA71</f>
        <v>#REF!</v>
      </c>
    </row>
    <row r="497" spans="2:5" ht="18.75" x14ac:dyDescent="0.3">
      <c r="B497" s="230" t="s">
        <v>399</v>
      </c>
    </row>
    <row r="499" spans="2:5" x14ac:dyDescent="0.25">
      <c r="B499" s="397" t="s">
        <v>295</v>
      </c>
      <c r="C499" s="398"/>
      <c r="D499" s="245" t="s">
        <v>400</v>
      </c>
      <c r="E499" s="245" t="s">
        <v>401</v>
      </c>
    </row>
    <row r="500" spans="2:5" x14ac:dyDescent="0.25">
      <c r="B500" s="425" t="s">
        <v>402</v>
      </c>
      <c r="C500" s="426"/>
      <c r="D500" s="250" t="str">
        <f>B485</f>
        <v>535°C</v>
      </c>
      <c r="E500" s="250" t="s">
        <v>200</v>
      </c>
    </row>
    <row r="501" spans="2:5" x14ac:dyDescent="0.25">
      <c r="B501" s="425" t="s">
        <v>201</v>
      </c>
      <c r="C501" s="426"/>
      <c r="D501" s="250" t="str">
        <f>B485</f>
        <v>535°C</v>
      </c>
      <c r="E501" s="250" t="s">
        <v>200</v>
      </c>
    </row>
    <row r="502" spans="2:5" ht="15" customHeight="1" x14ac:dyDescent="0.25">
      <c r="B502" s="425" t="s">
        <v>403</v>
      </c>
      <c r="C502" s="426"/>
      <c r="D502" s="249" t="e">
        <f>'535°C'!W11</f>
        <v>#N/A</v>
      </c>
      <c r="E502" s="251" t="e">
        <f>VLOOKUP(SUBSTITUTE(HLOOKUP(D502,'535°C'!$N11:$V$18,8,FALSE),"Connecteur ",""),Mesures_Four!B28:C36,2,FALSE)</f>
        <v>#N/A</v>
      </c>
    </row>
    <row r="503" spans="2:5" ht="30" customHeight="1" x14ac:dyDescent="0.25">
      <c r="B503" s="406" t="s">
        <v>404</v>
      </c>
      <c r="C503" s="407"/>
      <c r="D503" s="249" t="e">
        <f ca="1">'535°C'!W12</f>
        <v>#REF!</v>
      </c>
      <c r="E503" s="251" t="e">
        <f ca="1">VLOOKUP(SUBSTITUTE(HLOOKUP(D503,'535°C'!$N12:$V$18,7,FALSE),"Connecteur ",""),Mesures_Four!B28:C36,2,FALSE)</f>
        <v>#REF!</v>
      </c>
    </row>
    <row r="504" spans="2:5" ht="30" customHeight="1" x14ac:dyDescent="0.25">
      <c r="B504" s="406" t="s">
        <v>405</v>
      </c>
      <c r="C504" s="407"/>
      <c r="D504" s="249" t="e">
        <f ca="1">'535°C'!W13</f>
        <v>#REF!</v>
      </c>
      <c r="E504" s="251" t="e">
        <f ca="1">VLOOKUP(SUBSTITUTE(HLOOKUP(D504,'535°C'!$N13:$V$18,6,FALSE),"Connecteur ",""),Mesures_Four!B28:C36,2,FALSE)</f>
        <v>#REF!</v>
      </c>
    </row>
    <row r="505" spans="2:5" ht="30" customHeight="1" x14ac:dyDescent="0.25">
      <c r="B505" s="406" t="s">
        <v>406</v>
      </c>
      <c r="C505" s="407"/>
      <c r="D505" s="249" t="e">
        <f ca="1">'535°C'!W17</f>
        <v>#REF!</v>
      </c>
      <c r="E505" s="250" t="s">
        <v>200</v>
      </c>
    </row>
    <row r="512" spans="2:5" ht="18.75" x14ac:dyDescent="0.3">
      <c r="B512" s="230" t="s">
        <v>407</v>
      </c>
    </row>
    <row r="513" spans="2:8" ht="18.75" x14ac:dyDescent="0.3">
      <c r="B513" s="230"/>
    </row>
    <row r="514" spans="2:8" x14ac:dyDescent="0.25">
      <c r="B514" s="423" t="s">
        <v>408</v>
      </c>
      <c r="C514" s="423" t="s">
        <v>401</v>
      </c>
      <c r="D514" s="397" t="s">
        <v>409</v>
      </c>
      <c r="E514" s="424"/>
      <c r="F514" s="424"/>
      <c r="G514" s="398"/>
      <c r="H514" s="245" t="s">
        <v>328</v>
      </c>
    </row>
    <row r="515" spans="2:8" x14ac:dyDescent="0.25">
      <c r="B515" s="423"/>
      <c r="C515" s="423"/>
      <c r="D515" s="246" t="s">
        <v>410</v>
      </c>
      <c r="E515" s="246" t="s">
        <v>411</v>
      </c>
      <c r="F515" s="246" t="s">
        <v>211</v>
      </c>
      <c r="G515" s="246" t="s">
        <v>212</v>
      </c>
      <c r="H515" s="246" t="s">
        <v>412</v>
      </c>
    </row>
    <row r="516" spans="2:8" x14ac:dyDescent="0.25">
      <c r="B516" s="252" t="s">
        <v>413</v>
      </c>
      <c r="C516" s="246" t="e">
        <f>VLOOKUP($B516,$C$147:$D$155,2,FALSE)</f>
        <v>#N/A</v>
      </c>
      <c r="D516" s="249" t="e">
        <f ca="1">'535°C'!N12</f>
        <v>#REF!</v>
      </c>
      <c r="E516" s="249" t="e">
        <f ca="1">'535°C'!N13</f>
        <v>#REF!</v>
      </c>
      <c r="F516" s="249" t="e">
        <f ca="1">'535°C'!N14</f>
        <v>#REF!</v>
      </c>
      <c r="G516" s="249" t="e">
        <f t="shared" ref="G516:G524" ca="1" si="6">D516-E516</f>
        <v>#REF!</v>
      </c>
      <c r="H516" s="249" t="e">
        <f>'535°C'!N11</f>
        <v>#N/A</v>
      </c>
    </row>
    <row r="517" spans="2:8" x14ac:dyDescent="0.25">
      <c r="B517" s="252" t="s">
        <v>414</v>
      </c>
      <c r="C517" s="246" t="e">
        <f t="shared" ref="C517:C524" si="7">VLOOKUP($B517,$C$147:$D$155,2,FALSE)</f>
        <v>#N/A</v>
      </c>
      <c r="D517" s="249" t="e">
        <f ca="1">'535°C'!O12</f>
        <v>#REF!</v>
      </c>
      <c r="E517" s="249" t="e">
        <f ca="1">'535°C'!O13</f>
        <v>#REF!</v>
      </c>
      <c r="F517" s="249" t="e">
        <f ca="1">'535°C'!O14</f>
        <v>#REF!</v>
      </c>
      <c r="G517" s="249" t="e">
        <f t="shared" ca="1" si="6"/>
        <v>#REF!</v>
      </c>
      <c r="H517" s="249" t="e">
        <f>'535°C'!O11</f>
        <v>#N/A</v>
      </c>
    </row>
    <row r="518" spans="2:8" x14ac:dyDescent="0.25">
      <c r="B518" s="252" t="s">
        <v>415</v>
      </c>
      <c r="C518" s="246" t="e">
        <f t="shared" si="7"/>
        <v>#N/A</v>
      </c>
      <c r="D518" s="249" t="e">
        <f ca="1">'535°C'!P12</f>
        <v>#REF!</v>
      </c>
      <c r="E518" s="249" t="e">
        <f ca="1">'535°C'!P13</f>
        <v>#REF!</v>
      </c>
      <c r="F518" s="249" t="e">
        <f ca="1">'535°C'!P14</f>
        <v>#REF!</v>
      </c>
      <c r="G518" s="249" t="e">
        <f t="shared" ca="1" si="6"/>
        <v>#REF!</v>
      </c>
      <c r="H518" s="249" t="e">
        <f>'535°C'!P11</f>
        <v>#N/A</v>
      </c>
    </row>
    <row r="519" spans="2:8" x14ac:dyDescent="0.25">
      <c r="B519" s="252" t="s">
        <v>416</v>
      </c>
      <c r="C519" s="246" t="e">
        <f t="shared" si="7"/>
        <v>#N/A</v>
      </c>
      <c r="D519" s="249" t="e">
        <f ca="1">'535°C'!Q12</f>
        <v>#REF!</v>
      </c>
      <c r="E519" s="249" t="e">
        <f ca="1">'535°C'!Q13</f>
        <v>#REF!</v>
      </c>
      <c r="F519" s="249" t="e">
        <f ca="1">'535°C'!Q14</f>
        <v>#REF!</v>
      </c>
      <c r="G519" s="249" t="e">
        <f t="shared" ca="1" si="6"/>
        <v>#REF!</v>
      </c>
      <c r="H519" s="249" t="e">
        <f>'535°C'!Q11</f>
        <v>#N/A</v>
      </c>
    </row>
    <row r="520" spans="2:8" x14ac:dyDescent="0.25">
      <c r="B520" s="252" t="s">
        <v>417</v>
      </c>
      <c r="C520" s="246" t="e">
        <f t="shared" si="7"/>
        <v>#N/A</v>
      </c>
      <c r="D520" s="249" t="e">
        <f ca="1">'535°C'!R12</f>
        <v>#REF!</v>
      </c>
      <c r="E520" s="249" t="e">
        <f ca="1">'535°C'!R13</f>
        <v>#REF!</v>
      </c>
      <c r="F520" s="249" t="e">
        <f ca="1">'535°C'!R14</f>
        <v>#REF!</v>
      </c>
      <c r="G520" s="249" t="e">
        <f t="shared" ca="1" si="6"/>
        <v>#REF!</v>
      </c>
      <c r="H520" s="249" t="e">
        <f>'535°C'!R11</f>
        <v>#N/A</v>
      </c>
    </row>
    <row r="521" spans="2:8" x14ac:dyDescent="0.25">
      <c r="B521" s="252" t="s">
        <v>418</v>
      </c>
      <c r="C521" s="246" t="e">
        <f t="shared" si="7"/>
        <v>#N/A</v>
      </c>
      <c r="D521" s="249" t="e">
        <f ca="1">'535°C'!S12</f>
        <v>#REF!</v>
      </c>
      <c r="E521" s="249" t="e">
        <f ca="1">'535°C'!S13</f>
        <v>#REF!</v>
      </c>
      <c r="F521" s="249" t="e">
        <f ca="1">'535°C'!S14</f>
        <v>#REF!</v>
      </c>
      <c r="G521" s="249" t="e">
        <f t="shared" ca="1" si="6"/>
        <v>#REF!</v>
      </c>
      <c r="H521" s="249" t="e">
        <f>'535°C'!S11</f>
        <v>#N/A</v>
      </c>
    </row>
    <row r="522" spans="2:8" x14ac:dyDescent="0.25">
      <c r="B522" s="252" t="s">
        <v>419</v>
      </c>
      <c r="C522" s="246" t="e">
        <f t="shared" si="7"/>
        <v>#N/A</v>
      </c>
      <c r="D522" s="249" t="e">
        <f ca="1">'535°C'!T12</f>
        <v>#REF!</v>
      </c>
      <c r="E522" s="249" t="e">
        <f ca="1">'535°C'!T13</f>
        <v>#REF!</v>
      </c>
      <c r="F522" s="249" t="e">
        <f ca="1">'535°C'!T14</f>
        <v>#REF!</v>
      </c>
      <c r="G522" s="249" t="e">
        <f t="shared" ca="1" si="6"/>
        <v>#REF!</v>
      </c>
      <c r="H522" s="249" t="e">
        <f>'535°C'!T11</f>
        <v>#N/A</v>
      </c>
    </row>
    <row r="523" spans="2:8" x14ac:dyDescent="0.25">
      <c r="B523" s="252" t="s">
        <v>420</v>
      </c>
      <c r="C523" s="246" t="e">
        <f t="shared" si="7"/>
        <v>#N/A</v>
      </c>
      <c r="D523" s="249" t="e">
        <f ca="1">'535°C'!U12</f>
        <v>#REF!</v>
      </c>
      <c r="E523" s="249" t="e">
        <f ca="1">'535°C'!U13</f>
        <v>#REF!</v>
      </c>
      <c r="F523" s="249" t="e">
        <f ca="1">'535°C'!U14</f>
        <v>#REF!</v>
      </c>
      <c r="G523" s="249" t="e">
        <f t="shared" ca="1" si="6"/>
        <v>#REF!</v>
      </c>
      <c r="H523" s="249" t="e">
        <f>'535°C'!U11</f>
        <v>#N/A</v>
      </c>
    </row>
    <row r="524" spans="2:8" x14ac:dyDescent="0.25">
      <c r="B524" s="252" t="s">
        <v>421</v>
      </c>
      <c r="C524" s="246" t="e">
        <f t="shared" si="7"/>
        <v>#N/A</v>
      </c>
      <c r="D524" s="249" t="e">
        <f ca="1">'535°C'!V12</f>
        <v>#REF!</v>
      </c>
      <c r="E524" s="249" t="e">
        <f ca="1">'535°C'!V13</f>
        <v>#REF!</v>
      </c>
      <c r="F524" s="249" t="e">
        <f ca="1">'535°C'!V14</f>
        <v>#REF!</v>
      </c>
      <c r="G524" s="249" t="e">
        <f t="shared" ca="1" si="6"/>
        <v>#REF!</v>
      </c>
      <c r="H524" s="249" t="e">
        <f>'535°C'!V11</f>
        <v>#N/A</v>
      </c>
    </row>
    <row r="526" spans="2:8" ht="18.75" x14ac:dyDescent="0.3">
      <c r="B526" s="230" t="s">
        <v>422</v>
      </c>
    </row>
    <row r="557" spans="2:6" ht="18.75" x14ac:dyDescent="0.3">
      <c r="B557" s="230" t="s">
        <v>423</v>
      </c>
    </row>
    <row r="558" spans="2:6" ht="18.75" x14ac:dyDescent="0.3">
      <c r="B558" s="230"/>
      <c r="C558" s="419" t="s">
        <v>424</v>
      </c>
      <c r="D558" s="419"/>
      <c r="E558" s="419"/>
      <c r="F558" s="419"/>
    </row>
    <row r="559" spans="2:6" ht="28.9" customHeight="1" x14ac:dyDescent="0.25">
      <c r="C559" s="415" t="str">
        <f>_xlfn.CONCAT("Dépassement de la consigne durant la phase de montée ou de maintien en température (&gt; ",B485,")")</f>
        <v>Dépassement de la consigne durant la phase de montée ou de maintien en température (&gt; 535°C)</v>
      </c>
      <c r="D559" s="415"/>
      <c r="E559" s="420" t="e">
        <f>IF('535°C'!W11-Mesures_Four!B24&gt;0,'535°C'!W11-Mesures_Four!B24,"PAS DE DÉPASSEMENT")</f>
        <v>#N/A</v>
      </c>
      <c r="F559" s="420"/>
    </row>
    <row r="560" spans="2:6" x14ac:dyDescent="0.25">
      <c r="C560" s="421" t="str">
        <f>_xlfn.CONCAT("Dépassement supérieur à la tolérance maximale (",C485,")")</f>
        <v>Dépassement supérieur à la tolérance maximale (± 5°C)</v>
      </c>
      <c r="D560" s="421"/>
      <c r="E560" s="422" t="e">
        <f>IF(OR(E559="PAS DE DÉPASSEMENT",E559&lt;=Mesures_Four!F24),"NON","OUI")</f>
        <v>#N/A</v>
      </c>
      <c r="F560" s="422"/>
    </row>
    <row r="562" spans="2:7" x14ac:dyDescent="0.25">
      <c r="C562" s="402" t="s">
        <v>425</v>
      </c>
      <c r="D562" s="403"/>
      <c r="E562" s="403"/>
      <c r="F562" s="404"/>
    </row>
    <row r="563" spans="2:7" ht="28.9" customHeight="1" x14ac:dyDescent="0.25">
      <c r="C563" s="415" t="s">
        <v>442</v>
      </c>
      <c r="D563" s="415"/>
      <c r="E563" s="416" t="e">
        <f ca="1">'535°C'!N22</f>
        <v>#REF!</v>
      </c>
      <c r="F563" s="416"/>
    </row>
    <row r="564" spans="2:7" ht="28.9" customHeight="1" x14ac:dyDescent="0.25">
      <c r="C564" s="415" t="s">
        <v>443</v>
      </c>
      <c r="D564" s="415"/>
      <c r="E564" s="416" t="e">
        <f ca="1">'535°C'!N21</f>
        <v>#REF!</v>
      </c>
      <c r="F564" s="416"/>
    </row>
    <row r="565" spans="2:7" x14ac:dyDescent="0.25">
      <c r="C565" s="411" t="s">
        <v>428</v>
      </c>
      <c r="D565" s="411"/>
      <c r="E565" s="417" t="e">
        <f ca="1">'535°C'!N16</f>
        <v>#REF!</v>
      </c>
      <c r="F565" s="418"/>
    </row>
    <row r="566" spans="2:7" x14ac:dyDescent="0.25">
      <c r="C566" s="411" t="s">
        <v>429</v>
      </c>
      <c r="D566" s="411"/>
      <c r="E566" s="412">
        <f>Mesures_Four!G24</f>
        <v>10</v>
      </c>
      <c r="F566" s="412"/>
    </row>
    <row r="567" spans="2:7" x14ac:dyDescent="0.25">
      <c r="C567" s="413" t="s">
        <v>444</v>
      </c>
      <c r="D567" s="413"/>
      <c r="E567" s="414" t="e">
        <f ca="1">IF(AND(ABS(E563)&lt;=E566/2,(ABS(E564)&lt;=E566/2)),"CONFORME","NON CONFORME")</f>
        <v>#REF!</v>
      </c>
      <c r="F567" s="414"/>
    </row>
    <row r="569" spans="2:7" x14ac:dyDescent="0.25">
      <c r="C569" s="397" t="s">
        <v>431</v>
      </c>
      <c r="D569" s="398"/>
      <c r="E569" s="245" t="s">
        <v>445</v>
      </c>
      <c r="F569" s="245" t="s">
        <v>446</v>
      </c>
    </row>
    <row r="570" spans="2:7" ht="28.9" customHeight="1" x14ac:dyDescent="0.25">
      <c r="B570" s="253" t="s">
        <v>432</v>
      </c>
      <c r="C570" s="406" t="s">
        <v>433</v>
      </c>
      <c r="D570" s="407"/>
      <c r="E570" s="153" t="e">
        <f ca="1">IF(ABS(E563)&lt;Mesures_Four!F24/2,"OUI","NON")</f>
        <v>#REF!</v>
      </c>
      <c r="F570" s="153" t="e">
        <f ca="1">IF(ABS(E564)&lt;Mesures_Four!F24/2,"OUI","NON")</f>
        <v>#REF!</v>
      </c>
    </row>
    <row r="571" spans="2:7" ht="28.9" customHeight="1" x14ac:dyDescent="0.25">
      <c r="B571" s="405" t="s">
        <v>434</v>
      </c>
      <c r="C571" s="406" t="s">
        <v>440</v>
      </c>
      <c r="D571" s="407"/>
      <c r="E571" s="153" t="e">
        <f ca="1">IF(ABS('535°C'!AA70-'535°C'!W13)&lt;1.7,"OUI","NON")</f>
        <v>#REF!</v>
      </c>
      <c r="F571" s="153" t="s">
        <v>200</v>
      </c>
    </row>
    <row r="572" spans="2:7" ht="28.9" customHeight="1" x14ac:dyDescent="0.25">
      <c r="B572" s="405"/>
      <c r="C572" s="406" t="s">
        <v>441</v>
      </c>
      <c r="D572" s="407"/>
      <c r="E572" s="153" t="s">
        <v>200</v>
      </c>
      <c r="F572" s="153" t="e">
        <f ca="1">IF(ABS('535°C'!AC69-'535°C'!W12)&lt;1.7,"OUI","NON")</f>
        <v>#REF!</v>
      </c>
    </row>
    <row r="573" spans="2:7" ht="28.9" customHeight="1" x14ac:dyDescent="0.25">
      <c r="C573" s="408" t="s">
        <v>437</v>
      </c>
      <c r="D573" s="408"/>
      <c r="E573" s="258" t="e">
        <f ca="1">IF(E570="OUI","NON",IF(E571="OUI","NON","OUI"))</f>
        <v>#REF!</v>
      </c>
      <c r="F573" s="258" t="e">
        <f ca="1">IF(F570="OUI","NON",IF(F572="OUI","NON","OUI"))</f>
        <v>#REF!</v>
      </c>
    </row>
    <row r="575" spans="2:7" ht="18.75" x14ac:dyDescent="0.25">
      <c r="B575" s="409" t="str">
        <f>_xlfn.CONCAT("A ",B485,", avec une consigne à ",B485,", le four est ")</f>
        <v xml:space="preserve">A 535°C, avec une consigne à 535°C, le four est </v>
      </c>
      <c r="C575" s="409"/>
      <c r="D575" s="409"/>
      <c r="E575" s="254" t="e">
        <f ca="1">IF(AND(E560="NON",E567="CONFORME"),"CONFORME","NON CONFORME")</f>
        <v>#N/A</v>
      </c>
      <c r="F575" s="410" t="str">
        <f>_xlfn.CONCAT("à la tolérance requise de ± ",Mesures_Four!F24,"°C")</f>
        <v>à la tolérance requise de ± 5°C</v>
      </c>
      <c r="G575" s="410"/>
    </row>
    <row r="582" spans="1:11" ht="18.75" x14ac:dyDescent="0.3">
      <c r="B582" s="230" t="s">
        <v>447</v>
      </c>
    </row>
    <row r="583" spans="1:11" ht="18.75" x14ac:dyDescent="0.3">
      <c r="B583" s="230"/>
    </row>
    <row r="584" spans="1:11" ht="18.75" customHeight="1" x14ac:dyDescent="0.25">
      <c r="A584" s="402" t="s">
        <v>448</v>
      </c>
      <c r="B584" s="403"/>
      <c r="C584" s="404"/>
      <c r="D584" s="245" t="str">
        <f>B181</f>
        <v>80°C</v>
      </c>
      <c r="E584" s="245" t="str">
        <f>B281</f>
        <v>200°C</v>
      </c>
      <c r="F584" s="245" t="str">
        <f>B383</f>
        <v>385°C</v>
      </c>
      <c r="G584" s="245" t="str">
        <f>B485</f>
        <v>535°C</v>
      </c>
    </row>
    <row r="585" spans="1:11" x14ac:dyDescent="0.25">
      <c r="A585" s="392" t="s">
        <v>449</v>
      </c>
      <c r="B585" s="393"/>
      <c r="C585" s="394"/>
      <c r="D585" s="259" t="e">
        <f ca="1">OFFSET(INDEX(tab_four80[Consigne T°],1),COUNT(tab_four80[Consigne T°])-30,0,1)</f>
        <v>#REF!</v>
      </c>
      <c r="E585" s="259" t="e">
        <f ca="1">OFFSET(INDEX(tab_four200[Consigne T°],1),COUNT(tab_four200[Consigne T°])-30,0,1)</f>
        <v>#REF!</v>
      </c>
      <c r="F585" s="259" t="e">
        <f ca="1">OFFSET(INDEX(tab_four385[Consigne T°],1),COUNT(tab_four385[Consigne T°])-30,0,1)</f>
        <v>#REF!</v>
      </c>
      <c r="G585" s="260" t="e">
        <f ca="1">OFFSET(INDEX(tab_four535[Consigne T°],1),COUNT(tab_four535[Consigne T°])-30,0,1)</f>
        <v>#REF!</v>
      </c>
    </row>
    <row r="586" spans="1:11" ht="28.9" customHeight="1" x14ac:dyDescent="0.25">
      <c r="A586" s="399" t="s">
        <v>450</v>
      </c>
      <c r="B586" s="400"/>
      <c r="C586" s="401"/>
      <c r="D586" s="249" t="e">
        <f>E254</f>
        <v>#N/A</v>
      </c>
      <c r="E586" s="249" t="e">
        <f>E356</f>
        <v>#N/A</v>
      </c>
      <c r="F586" s="249" t="e">
        <f>E458</f>
        <v>#N/A</v>
      </c>
      <c r="G586" s="249" t="e">
        <f>E559</f>
        <v>#N/A</v>
      </c>
    </row>
    <row r="587" spans="1:11" x14ac:dyDescent="0.25">
      <c r="A587" s="392" t="s">
        <v>451</v>
      </c>
      <c r="B587" s="393"/>
      <c r="C587" s="394"/>
      <c r="D587" s="261">
        <f>Mesures_Four!F21</f>
        <v>3</v>
      </c>
      <c r="E587" s="261">
        <f>Mesures_Four!F22</f>
        <v>3</v>
      </c>
      <c r="F587" s="261">
        <f>Mesures_Four!F23</f>
        <v>5</v>
      </c>
      <c r="G587" s="261">
        <f>Mesures_Four!F24</f>
        <v>5</v>
      </c>
    </row>
    <row r="588" spans="1:11" ht="18.75" x14ac:dyDescent="0.3">
      <c r="A588" s="392" t="s">
        <v>452</v>
      </c>
      <c r="B588" s="393"/>
      <c r="C588" s="394"/>
      <c r="D588" s="262" t="e">
        <f>E255</f>
        <v>#N/A</v>
      </c>
      <c r="E588" s="262" t="e">
        <f>E357</f>
        <v>#N/A</v>
      </c>
      <c r="F588" s="262" t="e">
        <f>E459</f>
        <v>#N/A</v>
      </c>
      <c r="G588" s="262" t="e">
        <f>E560</f>
        <v>#N/A</v>
      </c>
    </row>
    <row r="589" spans="1:11" x14ac:dyDescent="0.25">
      <c r="A589" s="392" t="s">
        <v>453</v>
      </c>
      <c r="B589" s="393"/>
      <c r="C589" s="394"/>
      <c r="D589" s="258">
        <v>1</v>
      </c>
      <c r="E589" s="258">
        <v>1</v>
      </c>
      <c r="F589" s="153">
        <v>2</v>
      </c>
      <c r="G589" s="258">
        <v>2</v>
      </c>
    </row>
    <row r="590" spans="1:11" ht="31.15" customHeight="1" x14ac:dyDescent="0.25">
      <c r="A590" s="399" t="s">
        <v>426</v>
      </c>
      <c r="B590" s="400"/>
      <c r="C590" s="401"/>
      <c r="D590" s="260" t="e">
        <f ca="1">E258</f>
        <v>#REF!</v>
      </c>
      <c r="E590" s="260" t="e">
        <f ca="1">E360</f>
        <v>#REF!</v>
      </c>
      <c r="F590" s="152" t="e">
        <f ca="1">E462</f>
        <v>#REF!</v>
      </c>
      <c r="G590" s="260" t="e">
        <f ca="1">E563</f>
        <v>#REF!</v>
      </c>
      <c r="K590" s="263"/>
    </row>
    <row r="591" spans="1:11" ht="31.15" customHeight="1" x14ac:dyDescent="0.25">
      <c r="A591" s="399" t="s">
        <v>427</v>
      </c>
      <c r="B591" s="400"/>
      <c r="C591" s="401"/>
      <c r="D591" s="260" t="e">
        <f ca="1">E259</f>
        <v>#REF!</v>
      </c>
      <c r="E591" s="260" t="e">
        <f ca="1">E361</f>
        <v>#REF!</v>
      </c>
      <c r="F591" s="152" t="e">
        <f ca="1">E463</f>
        <v>#REF!</v>
      </c>
      <c r="G591" s="260" t="e">
        <f ca="1">E564</f>
        <v>#REF!</v>
      </c>
      <c r="K591" s="263"/>
    </row>
    <row r="592" spans="1:11" x14ac:dyDescent="0.25">
      <c r="A592" s="392" t="s">
        <v>454</v>
      </c>
      <c r="B592" s="393"/>
      <c r="C592" s="394"/>
      <c r="D592" s="260" t="e">
        <f ca="1">E260</f>
        <v>#REF!</v>
      </c>
      <c r="E592" s="260" t="e">
        <f ca="1">E362</f>
        <v>#REF!</v>
      </c>
      <c r="F592" s="152" t="e">
        <f ca="1">E464</f>
        <v>#REF!</v>
      </c>
      <c r="G592" s="260" t="e">
        <f ca="1">E565</f>
        <v>#REF!</v>
      </c>
    </row>
    <row r="593" spans="1:8" ht="18.75" x14ac:dyDescent="0.25">
      <c r="A593" s="392" t="s">
        <v>219</v>
      </c>
      <c r="B593" s="393"/>
      <c r="C593" s="394"/>
      <c r="D593" s="264" t="e">
        <f ca="1">E262</f>
        <v>#REF!</v>
      </c>
      <c r="E593" s="264" t="e">
        <f ca="1">E364</f>
        <v>#REF!</v>
      </c>
      <c r="F593" s="264" t="e">
        <f ca="1">E466</f>
        <v>#REF!</v>
      </c>
      <c r="G593" s="264" t="e">
        <f ca="1">E567</f>
        <v>#REF!</v>
      </c>
    </row>
    <row r="594" spans="1:8" ht="18.75" x14ac:dyDescent="0.3">
      <c r="B594" s="230"/>
    </row>
    <row r="595" spans="1:8" x14ac:dyDescent="0.25">
      <c r="A595" s="402" t="s">
        <v>431</v>
      </c>
      <c r="B595" s="403"/>
      <c r="C595" s="404"/>
      <c r="D595" s="397" t="s">
        <v>390</v>
      </c>
      <c r="E595" s="398"/>
      <c r="F595" s="397" t="s">
        <v>387</v>
      </c>
      <c r="G595" s="398"/>
    </row>
    <row r="596" spans="1:8" x14ac:dyDescent="0.25">
      <c r="A596" s="392" t="s">
        <v>455</v>
      </c>
      <c r="B596" s="393"/>
      <c r="C596" s="394"/>
      <c r="D596" s="395" t="e">
        <f ca="1">E268</f>
        <v>#REF!</v>
      </c>
      <c r="E596" s="396"/>
      <c r="F596" s="395" t="e">
        <f ca="1">F268</f>
        <v>#REF!</v>
      </c>
      <c r="G596" s="396"/>
    </row>
    <row r="597" spans="1:8" x14ac:dyDescent="0.25">
      <c r="A597" s="392" t="s">
        <v>456</v>
      </c>
      <c r="B597" s="393"/>
      <c r="C597" s="394"/>
      <c r="D597" s="395" t="e">
        <f ca="1">E370</f>
        <v>#REF!</v>
      </c>
      <c r="E597" s="396"/>
      <c r="F597" s="395" t="e">
        <f ca="1">F370</f>
        <v>#REF!</v>
      </c>
      <c r="G597" s="396"/>
    </row>
    <row r="598" spans="1:8" x14ac:dyDescent="0.25">
      <c r="A598" s="392" t="s">
        <v>457</v>
      </c>
      <c r="B598" s="393"/>
      <c r="C598" s="394"/>
      <c r="D598" s="395" t="e">
        <f ca="1">E472</f>
        <v>#REF!</v>
      </c>
      <c r="E598" s="396"/>
      <c r="F598" s="395" t="e">
        <f ca="1">F472</f>
        <v>#REF!</v>
      </c>
      <c r="G598" s="396"/>
    </row>
    <row r="599" spans="1:8" x14ac:dyDescent="0.25">
      <c r="A599" s="392" t="s">
        <v>458</v>
      </c>
      <c r="B599" s="393"/>
      <c r="C599" s="394"/>
      <c r="D599" s="395" t="e">
        <f ca="1">E573</f>
        <v>#REF!</v>
      </c>
      <c r="E599" s="396"/>
      <c r="F599" s="395" t="e">
        <f ca="1">F573</f>
        <v>#REF!</v>
      </c>
      <c r="G599" s="396"/>
    </row>
    <row r="600" spans="1:8" ht="18.75" x14ac:dyDescent="0.3">
      <c r="A600" s="384" t="s">
        <v>459</v>
      </c>
      <c r="B600" s="385"/>
      <c r="C600" s="386"/>
      <c r="D600" s="387" t="e">
        <f ca="1">IF(AND(E268="NON",E370="NON",E472="NON",E573="NON"),"NON","OUI")</f>
        <v>#REF!</v>
      </c>
      <c r="E600" s="387"/>
      <c r="F600" s="388" t="e">
        <f ca="1">IF(AND(F268="NON",F370="NON",F472="NON",F573="NON"),"NON","OUI")</f>
        <v>#REF!</v>
      </c>
      <c r="G600" s="389"/>
    </row>
    <row r="601" spans="1:8" ht="18.75" x14ac:dyDescent="0.3">
      <c r="B601" s="230"/>
    </row>
    <row r="602" spans="1:8" ht="18.75" x14ac:dyDescent="0.25">
      <c r="A602" s="265" t="s">
        <v>460</v>
      </c>
      <c r="B602" s="390" t="str">
        <f>D57</f>
        <v>THERMIDOR</v>
      </c>
      <c r="C602" s="390"/>
      <c r="D602" s="266" t="s">
        <v>461</v>
      </c>
      <c r="E602" s="267" t="e">
        <f ca="1">IF(AND(D588="NON",E588="NON",F588="NON",G588="NON",D593="CONFORME",E593="CONFORME",F593="CONFORME",G593="CONFORME"),"CONFORME","Non CONFORME")</f>
        <v>#N/A</v>
      </c>
      <c r="F602" s="391" t="s">
        <v>462</v>
      </c>
      <c r="G602" s="391"/>
      <c r="H602" s="268" t="s">
        <v>463</v>
      </c>
    </row>
    <row r="604" spans="1:8" x14ac:dyDescent="0.25">
      <c r="B604" t="s">
        <v>464</v>
      </c>
    </row>
    <row r="605" spans="1:8" x14ac:dyDescent="0.25">
      <c r="C605" s="380" t="s">
        <v>465</v>
      </c>
      <c r="D605" s="380"/>
      <c r="E605" s="380"/>
    </row>
    <row r="606" spans="1:8" x14ac:dyDescent="0.25">
      <c r="C606" s="380" t="s">
        <v>466</v>
      </c>
      <c r="D606" s="380"/>
      <c r="E606" s="380"/>
    </row>
    <row r="607" spans="1:8" x14ac:dyDescent="0.25">
      <c r="C607" s="381" t="s">
        <v>467</v>
      </c>
      <c r="D607" s="381"/>
      <c r="E607" s="381"/>
    </row>
    <row r="608" spans="1:8" x14ac:dyDescent="0.25">
      <c r="C608" s="381"/>
      <c r="D608" s="381"/>
      <c r="E608" s="381"/>
    </row>
    <row r="609" spans="2:8" ht="14.45" customHeight="1" x14ac:dyDescent="0.25">
      <c r="C609" s="381" t="s">
        <v>468</v>
      </c>
      <c r="D609" s="381"/>
      <c r="E609" s="381"/>
    </row>
    <row r="610" spans="2:8" x14ac:dyDescent="0.25">
      <c r="C610" s="381"/>
      <c r="D610" s="381"/>
      <c r="E610" s="381"/>
    </row>
    <row r="612" spans="2:8" ht="14.45" customHeight="1" x14ac:dyDescent="0.25">
      <c r="B612" s="382" t="e">
        <f ca="1">IF(E602&lt;&gt;"CONFORME","ECHEC DE TUS : LA TUS DEVRA DONC ÊTRE RÉALISÉE TOUS LES MOIS JUSQU’À CE QUE 4 TUS CONSÉCUTIVES SOIENT CONFORMES","")</f>
        <v>#N/A</v>
      </c>
      <c r="C612" s="382"/>
      <c r="D612" s="382"/>
      <c r="E612" s="382"/>
      <c r="G612" s="334" t="s">
        <v>469</v>
      </c>
      <c r="H612" s="383" t="str">
        <f>IF(D11&lt;&gt;"",D11,"")</f>
        <v/>
      </c>
    </row>
    <row r="613" spans="2:8" ht="14.45" customHeight="1" x14ac:dyDescent="0.25">
      <c r="B613" s="382"/>
      <c r="C613" s="382"/>
      <c r="D613" s="382"/>
      <c r="E613" s="382"/>
      <c r="G613" s="334"/>
      <c r="H613" s="334"/>
    </row>
    <row r="614" spans="2:8" ht="14.45" customHeight="1" x14ac:dyDescent="0.25">
      <c r="B614" s="382"/>
      <c r="C614" s="382"/>
      <c r="D614" s="382"/>
      <c r="E614" s="382"/>
      <c r="G614" s="334" t="s">
        <v>470</v>
      </c>
      <c r="H614" s="383" t="str">
        <f>+IF(D11&lt;&gt;"",EDATE(D11,3),"")</f>
        <v/>
      </c>
    </row>
    <row r="615" spans="2:8" ht="14.45" customHeight="1" x14ac:dyDescent="0.25">
      <c r="B615" s="382"/>
      <c r="C615" s="382"/>
      <c r="D615" s="382"/>
      <c r="E615" s="382"/>
      <c r="G615" s="334"/>
      <c r="H615" s="334"/>
    </row>
  </sheetData>
  <sheetProtection algorithmName="SHA-512" hashValue="kRSjJmCN3UpOUc50nhwFYXrC8XNkulsr2T9vF0A5Svlbp11pJaN81TfI7NkWvkeArSnSwfYQn8eKQuDo1yC+Lw==" saltValue="QzccvJU0NuRpJE1ZCicmxg==" spinCount="100000" sheet="1" objects="1" scenarios="1" selectLockedCells="1" selectUnlockedCells="1"/>
  <mergeCells count="192">
    <mergeCell ref="B5:G5"/>
    <mergeCell ref="C8:D8"/>
    <mergeCell ref="E8:F8"/>
    <mergeCell ref="A30:I47"/>
    <mergeCell ref="B55:C55"/>
    <mergeCell ref="B56:C56"/>
    <mergeCell ref="B63:C63"/>
    <mergeCell ref="B116:H117"/>
    <mergeCell ref="B121:H135"/>
    <mergeCell ref="B195:C195"/>
    <mergeCell ref="B196:C196"/>
    <mergeCell ref="B197:C197"/>
    <mergeCell ref="B57:C57"/>
    <mergeCell ref="B58:C58"/>
    <mergeCell ref="B59:C59"/>
    <mergeCell ref="B60:C60"/>
    <mergeCell ref="B61:C61"/>
    <mergeCell ref="B62:C62"/>
    <mergeCell ref="D211:G211"/>
    <mergeCell ref="C253:F253"/>
    <mergeCell ref="C254:D254"/>
    <mergeCell ref="E254:F254"/>
    <mergeCell ref="C255:D255"/>
    <mergeCell ref="E255:F255"/>
    <mergeCell ref="B198:C198"/>
    <mergeCell ref="B199:C199"/>
    <mergeCell ref="B200:C200"/>
    <mergeCell ref="B201:C201"/>
    <mergeCell ref="B211:B212"/>
    <mergeCell ref="C211:C212"/>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B295:C295"/>
    <mergeCell ref="B296:C296"/>
    <mergeCell ref="B297:C297"/>
    <mergeCell ref="B298:C298"/>
    <mergeCell ref="B299:C299"/>
    <mergeCell ref="B300:C300"/>
    <mergeCell ref="B266:B267"/>
    <mergeCell ref="C266:D266"/>
    <mergeCell ref="C267:D267"/>
    <mergeCell ref="C268:D268"/>
    <mergeCell ref="B270:D270"/>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C366:D366"/>
    <mergeCell ref="C367:D367"/>
    <mergeCell ref="B368:B369"/>
    <mergeCell ref="C368:D368"/>
    <mergeCell ref="C369:D369"/>
    <mergeCell ref="C370:D370"/>
    <mergeCell ref="C362:D362"/>
    <mergeCell ref="E362:F362"/>
    <mergeCell ref="C363:D363"/>
    <mergeCell ref="E363:F363"/>
    <mergeCell ref="C364:D364"/>
    <mergeCell ref="E364:F364"/>
    <mergeCell ref="B401:C401"/>
    <mergeCell ref="B402:C402"/>
    <mergeCell ref="B403:C403"/>
    <mergeCell ref="B412:B413"/>
    <mergeCell ref="C412:C413"/>
    <mergeCell ref="D412:G412"/>
    <mergeCell ref="B372:D372"/>
    <mergeCell ref="F372:G372"/>
    <mergeCell ref="B397:C397"/>
    <mergeCell ref="B398:C398"/>
    <mergeCell ref="B399:C399"/>
    <mergeCell ref="B400:C400"/>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70:B471"/>
    <mergeCell ref="C470:D470"/>
    <mergeCell ref="C471:D471"/>
    <mergeCell ref="C472:D472"/>
    <mergeCell ref="C473:D473"/>
    <mergeCell ref="E473:F473"/>
    <mergeCell ref="C465:D465"/>
    <mergeCell ref="E465:F465"/>
    <mergeCell ref="C466:D466"/>
    <mergeCell ref="E466:F466"/>
    <mergeCell ref="C468:D468"/>
    <mergeCell ref="C469:D469"/>
    <mergeCell ref="B503:C503"/>
    <mergeCell ref="B504:C504"/>
    <mergeCell ref="B505:C505"/>
    <mergeCell ref="B514:B515"/>
    <mergeCell ref="C514:C515"/>
    <mergeCell ref="D514:G514"/>
    <mergeCell ref="B474:D474"/>
    <mergeCell ref="F474:G474"/>
    <mergeCell ref="B499:C499"/>
    <mergeCell ref="B500:C500"/>
    <mergeCell ref="B501:C501"/>
    <mergeCell ref="B502:C502"/>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71:B572"/>
    <mergeCell ref="C571:D571"/>
    <mergeCell ref="C572:D572"/>
    <mergeCell ref="C573:D573"/>
    <mergeCell ref="B575:D575"/>
    <mergeCell ref="F575:G575"/>
    <mergeCell ref="C566:D566"/>
    <mergeCell ref="E566:F566"/>
    <mergeCell ref="C567:D567"/>
    <mergeCell ref="E567:F567"/>
    <mergeCell ref="C569:D569"/>
    <mergeCell ref="C570:D570"/>
    <mergeCell ref="A590:C590"/>
    <mergeCell ref="A591:C591"/>
    <mergeCell ref="A592:C592"/>
    <mergeCell ref="A593:C593"/>
    <mergeCell ref="A595:C595"/>
    <mergeCell ref="D595:E595"/>
    <mergeCell ref="A584:C584"/>
    <mergeCell ref="A585:C585"/>
    <mergeCell ref="A586:C586"/>
    <mergeCell ref="A587:C587"/>
    <mergeCell ref="A588:C588"/>
    <mergeCell ref="A589:C589"/>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s>
  <conditionalFormatting sqref="E270 E372 E474 E575">
    <cfRule type="cellIs" dxfId="74" priority="9" operator="equal">
      <formula>"CONFORME"</formula>
    </cfRule>
  </conditionalFormatting>
  <conditionalFormatting sqref="E255:F255 E357:F357 E459:F459 E560:F560">
    <cfRule type="cellIs" dxfId="73" priority="7" operator="equal">
      <formula>"NON"</formula>
    </cfRule>
  </conditionalFormatting>
  <conditionalFormatting sqref="E262:F262 E364:F364 E466:F466 E567:F567">
    <cfRule type="cellIs" dxfId="72" priority="6" operator="equal">
      <formula>"CONFORME"</formula>
    </cfRule>
  </conditionalFormatting>
  <conditionalFormatting sqref="D593:G593">
    <cfRule type="cellIs" dxfId="71" priority="5" operator="equal">
      <formula>"CONFORME"</formula>
    </cfRule>
  </conditionalFormatting>
  <conditionalFormatting sqref="E602">
    <cfRule type="cellIs" dxfId="70" priority="4" operator="equal">
      <formula>"CONFORME"</formula>
    </cfRule>
  </conditionalFormatting>
  <conditionalFormatting sqref="D600:G600">
    <cfRule type="cellIs" dxfId="69" priority="3" operator="equal">
      <formula>"NON"</formula>
    </cfRule>
  </conditionalFormatting>
  <conditionalFormatting sqref="B612:E615">
    <cfRule type="cellIs" dxfId="68" priority="2" operator="notEqual">
      <formula>""</formula>
    </cfRule>
  </conditionalFormatting>
  <conditionalFormatting sqref="D588:G588">
    <cfRule type="cellIs" dxfId="67"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O du 07-02-2024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2"/>
  <sheetViews>
    <sheetView zoomScaleNormal="100" workbookViewId="0">
      <selection activeCell="D6" sqref="D6"/>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5"/>
      <c r="B1" s="1"/>
      <c r="C1" s="1"/>
      <c r="D1" s="1"/>
      <c r="E1" s="1"/>
      <c r="F1" s="1"/>
      <c r="G1" s="1"/>
      <c r="H1" s="1"/>
      <c r="I1" s="1"/>
      <c r="J1" s="1"/>
      <c r="K1" s="1"/>
      <c r="L1" s="1"/>
      <c r="M1" s="1"/>
      <c r="N1" s="1"/>
      <c r="O1" s="1"/>
    </row>
    <row r="2" spans="1:16" ht="15" customHeight="1" x14ac:dyDescent="0.25">
      <c r="A2" s="1"/>
      <c r="B2" s="445" t="s">
        <v>536</v>
      </c>
      <c r="C2" s="446"/>
      <c r="D2" s="446"/>
      <c r="E2" s="446"/>
      <c r="F2" s="446"/>
      <c r="G2" s="446"/>
      <c r="H2" s="446"/>
      <c r="I2" s="446"/>
      <c r="J2" s="446"/>
      <c r="K2" s="446"/>
      <c r="L2" s="1"/>
      <c r="M2" s="1"/>
      <c r="N2" s="1"/>
      <c r="O2" s="1"/>
    </row>
    <row r="3" spans="1:16" ht="63.75" customHeight="1" x14ac:dyDescent="0.25">
      <c r="A3" s="1"/>
      <c r="B3" s="446"/>
      <c r="C3" s="446"/>
      <c r="D3" s="446"/>
      <c r="E3" s="446"/>
      <c r="F3" s="446"/>
      <c r="G3" s="446"/>
      <c r="H3" s="446"/>
      <c r="I3" s="446"/>
      <c r="J3" s="446"/>
      <c r="K3" s="446"/>
      <c r="L3" s="1"/>
      <c r="M3" s="1"/>
      <c r="N3" s="1"/>
      <c r="O3" s="1"/>
    </row>
    <row r="4" spans="1:16" ht="70.5" customHeight="1" x14ac:dyDescent="0.25">
      <c r="A4" s="1"/>
      <c r="B4" s="2"/>
      <c r="C4" s="2"/>
      <c r="D4" s="2"/>
      <c r="E4" s="2"/>
      <c r="F4" s="2"/>
      <c r="G4" s="2"/>
      <c r="H4" s="2"/>
      <c r="I4" s="2"/>
      <c r="J4" s="2"/>
      <c r="K4" s="2"/>
      <c r="L4" s="1"/>
      <c r="M4" s="1"/>
      <c r="N4" s="1"/>
      <c r="O4" s="1"/>
    </row>
    <row r="5" spans="1:16" ht="18.75" customHeight="1" x14ac:dyDescent="0.25">
      <c r="A5" s="447" t="s">
        <v>537</v>
      </c>
      <c r="B5" s="447"/>
      <c r="C5" s="447"/>
      <c r="D5" s="162" t="str">
        <f>Choose_TUS!L2 &amp; "(PV/ SAT de la cabine de ressuage BCH)"</f>
        <v>IMP 472 ind O du 07-02-2024 (PV/ SAT de la cabine de ressuage BCH)</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7</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538</v>
      </c>
      <c r="C20" s="3" t="s">
        <v>31</v>
      </c>
      <c r="D20" s="1"/>
      <c r="E20" s="1"/>
      <c r="F20" s="1"/>
      <c r="G20" s="1"/>
      <c r="H20" s="1"/>
      <c r="I20" s="1"/>
      <c r="J20" s="1"/>
      <c r="K20" s="1"/>
      <c r="L20" s="1"/>
      <c r="M20" s="1"/>
      <c r="N20" s="1"/>
      <c r="O20" s="1"/>
    </row>
    <row r="21" spans="1:15" x14ac:dyDescent="0.25">
      <c r="A21" s="3" t="s">
        <v>8</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6" x14ac:dyDescent="0.25">
      <c r="A33" s="19">
        <v>10</v>
      </c>
      <c r="B33" s="11"/>
      <c r="C33" s="11"/>
      <c r="D33" s="174"/>
      <c r="E33" s="174"/>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x14ac:dyDescent="0.25">
      <c r="A38" s="1"/>
      <c r="B38" s="1"/>
      <c r="C38" s="1"/>
      <c r="D38" s="1"/>
      <c r="E38" s="1"/>
      <c r="F38" s="1"/>
      <c r="G38" s="1"/>
      <c r="H38" s="1"/>
      <c r="I38" s="1"/>
      <c r="J38" s="1"/>
      <c r="K38" s="1"/>
      <c r="L38" s="1"/>
      <c r="M38" s="1"/>
      <c r="N38" s="1"/>
      <c r="O38" s="1"/>
    </row>
    <row r="39" spans="1:16" ht="26.25" x14ac:dyDescent="0.25">
      <c r="A39" s="1"/>
      <c r="B39" s="448" t="s">
        <v>13</v>
      </c>
      <c r="C39" s="448"/>
      <c r="D39" s="1"/>
      <c r="E39" s="1"/>
      <c r="F39" s="1"/>
      <c r="G39" s="1"/>
      <c r="H39" s="1"/>
      <c r="I39" s="1"/>
      <c r="J39" s="1"/>
      <c r="K39" s="1"/>
      <c r="L39" s="448" t="s">
        <v>30</v>
      </c>
      <c r="M39" s="448"/>
      <c r="N39" s="1"/>
      <c r="O39" s="1"/>
    </row>
    <row r="40" spans="1:16" x14ac:dyDescent="0.25">
      <c r="A40" s="1"/>
      <c r="B40" s="1"/>
      <c r="C40" s="1"/>
      <c r="D40" s="1"/>
      <c r="E40" s="1"/>
      <c r="F40" s="1"/>
      <c r="G40" s="1"/>
      <c r="H40" s="1"/>
      <c r="I40" s="1"/>
      <c r="J40" s="1"/>
      <c r="K40" s="1"/>
      <c r="L40" s="1"/>
      <c r="M40" s="1"/>
      <c r="N40" s="1"/>
      <c r="O40" s="1"/>
    </row>
    <row r="41" spans="1:16" x14ac:dyDescent="0.25">
      <c r="A41" s="447" t="s">
        <v>10</v>
      </c>
      <c r="B41" s="447"/>
      <c r="C41" s="449"/>
      <c r="D41" s="449"/>
      <c r="E41" s="449"/>
      <c r="F41" s="450"/>
      <c r="G41" s="1"/>
      <c r="H41" s="1"/>
      <c r="I41" s="1"/>
      <c r="J41" s="1"/>
      <c r="K41" s="443" t="s">
        <v>26</v>
      </c>
      <c r="L41" s="454"/>
      <c r="M41" s="454"/>
      <c r="N41" s="454"/>
      <c r="O41" s="454"/>
      <c r="P41" s="444"/>
    </row>
    <row r="42" spans="1:16" ht="45" x14ac:dyDescent="0.25">
      <c r="A42" s="447"/>
      <c r="B42" s="447"/>
      <c r="C42" s="3" t="s">
        <v>15</v>
      </c>
      <c r="D42" s="20" t="s">
        <v>17</v>
      </c>
      <c r="E42" s="20" t="s">
        <v>24</v>
      </c>
      <c r="F42" s="20" t="s">
        <v>25</v>
      </c>
      <c r="G42" s="1"/>
      <c r="H42" s="1"/>
      <c r="I42" s="1"/>
      <c r="J42" s="1"/>
      <c r="K42" s="451"/>
      <c r="L42" s="451"/>
      <c r="M42" s="177" t="s">
        <v>32</v>
      </c>
      <c r="N42" s="177" t="s">
        <v>34</v>
      </c>
      <c r="O42" s="177" t="s">
        <v>35</v>
      </c>
      <c r="P42" s="3" t="s">
        <v>15</v>
      </c>
    </row>
    <row r="43" spans="1:16" x14ac:dyDescent="0.25">
      <c r="A43" s="443" t="str">
        <f>CONCATENATE("Sonde ", B24)</f>
        <v xml:space="preserve">Sonde </v>
      </c>
      <c r="B43" s="444"/>
      <c r="C43" s="10"/>
      <c r="D43" s="10"/>
      <c r="E43" s="10"/>
      <c r="F43" s="10"/>
      <c r="G43" s="1"/>
      <c r="H43" s="1"/>
      <c r="I43" s="1"/>
      <c r="J43" s="1"/>
      <c r="K43" s="452" t="s">
        <v>27</v>
      </c>
      <c r="L43" s="453"/>
      <c r="M43" s="10"/>
      <c r="N43" s="10"/>
      <c r="O43" s="10"/>
      <c r="P43" s="10"/>
    </row>
    <row r="44" spans="1:16" x14ac:dyDescent="0.25">
      <c r="A44" s="443" t="str">
        <f t="shared" ref="A44:A52" si="0">"Sonde " &amp; B25</f>
        <v xml:space="preserve">Sonde </v>
      </c>
      <c r="B44" s="444"/>
      <c r="C44" s="10"/>
      <c r="D44" s="10"/>
      <c r="E44" s="10"/>
      <c r="F44" s="10"/>
      <c r="G44" s="1"/>
      <c r="H44" s="1"/>
      <c r="I44" s="1"/>
      <c r="J44" s="1"/>
      <c r="K44" s="1"/>
      <c r="L44" s="1"/>
      <c r="M44" s="1"/>
      <c r="N44" s="1"/>
      <c r="O44" s="1"/>
    </row>
    <row r="45" spans="1:16" x14ac:dyDescent="0.25">
      <c r="A45" s="443" t="str">
        <f t="shared" si="0"/>
        <v xml:space="preserve">Sonde </v>
      </c>
      <c r="B45" s="444"/>
      <c r="C45" s="10"/>
      <c r="D45" s="10"/>
      <c r="E45" s="10"/>
      <c r="F45" s="10"/>
      <c r="G45" s="1"/>
      <c r="H45" s="1"/>
      <c r="I45" s="1"/>
      <c r="J45" s="1"/>
      <c r="K45" s="1"/>
      <c r="L45" s="1"/>
      <c r="M45" s="1"/>
      <c r="N45" s="1"/>
      <c r="O45" s="1"/>
    </row>
    <row r="46" spans="1:16" x14ac:dyDescent="0.25">
      <c r="A46" s="443" t="str">
        <f t="shared" si="0"/>
        <v xml:space="preserve">Sonde </v>
      </c>
      <c r="B46" s="444"/>
      <c r="C46" s="10"/>
      <c r="D46" s="10"/>
      <c r="E46" s="10"/>
      <c r="F46" s="10"/>
      <c r="G46" s="1"/>
      <c r="H46" s="1"/>
      <c r="I46" s="1"/>
      <c r="J46" s="1"/>
      <c r="K46" s="1"/>
      <c r="L46" s="1"/>
      <c r="M46" s="1"/>
      <c r="N46" s="1"/>
      <c r="O46" s="1"/>
    </row>
    <row r="47" spans="1:16" ht="26.25" x14ac:dyDescent="0.25">
      <c r="A47" s="443" t="str">
        <f t="shared" si="0"/>
        <v xml:space="preserve">Sonde </v>
      </c>
      <c r="B47" s="444"/>
      <c r="C47" s="10"/>
      <c r="D47" s="10"/>
      <c r="E47" s="10"/>
      <c r="F47" s="10"/>
      <c r="G47" s="1"/>
      <c r="H47" s="1"/>
      <c r="I47" s="1"/>
      <c r="J47" s="1"/>
      <c r="K47" s="1"/>
      <c r="L47" s="448" t="s">
        <v>31</v>
      </c>
      <c r="M47" s="448"/>
      <c r="N47" s="1"/>
      <c r="O47" s="1"/>
    </row>
    <row r="48" spans="1:16" ht="45" x14ac:dyDescent="0.25">
      <c r="A48" s="443" t="str">
        <f t="shared" si="0"/>
        <v xml:space="preserve">Sonde </v>
      </c>
      <c r="B48" s="444"/>
      <c r="C48" s="10"/>
      <c r="D48" s="10"/>
      <c r="E48" s="10"/>
      <c r="F48" s="10"/>
      <c r="G48" s="1"/>
      <c r="H48" s="1"/>
      <c r="I48" s="1"/>
      <c r="J48" s="1"/>
      <c r="K48" s="1"/>
      <c r="L48" s="1"/>
      <c r="M48" s="21" t="s">
        <v>33</v>
      </c>
      <c r="N48" s="21" t="s">
        <v>15</v>
      </c>
      <c r="O48" s="21" t="s">
        <v>302</v>
      </c>
    </row>
    <row r="49" spans="1:15" x14ac:dyDescent="0.25">
      <c r="A49" s="443" t="str">
        <f t="shared" si="0"/>
        <v xml:space="preserve">Sonde </v>
      </c>
      <c r="B49" s="444"/>
      <c r="C49" s="10"/>
      <c r="D49" s="10"/>
      <c r="E49" s="10"/>
      <c r="F49" s="10"/>
      <c r="G49" s="1"/>
      <c r="H49" s="1"/>
      <c r="I49" s="1"/>
      <c r="J49" s="1"/>
      <c r="K49" s="455" t="s">
        <v>298</v>
      </c>
      <c r="L49" s="455"/>
      <c r="M49" s="10"/>
      <c r="N49" s="10"/>
      <c r="O49" s="10"/>
    </row>
    <row r="50" spans="1:15" x14ac:dyDescent="0.25">
      <c r="A50" s="443" t="str">
        <f t="shared" si="0"/>
        <v xml:space="preserve">Sonde </v>
      </c>
      <c r="B50" s="444"/>
      <c r="C50" s="10"/>
      <c r="D50" s="10"/>
      <c r="E50" s="10"/>
      <c r="F50" s="10"/>
      <c r="G50" s="1"/>
      <c r="H50" s="1"/>
      <c r="I50" s="1"/>
      <c r="J50" s="1"/>
    </row>
    <row r="51" spans="1:15" x14ac:dyDescent="0.25">
      <c r="A51" s="443" t="str">
        <f t="shared" si="0"/>
        <v xml:space="preserve">Sonde </v>
      </c>
      <c r="B51" s="444"/>
      <c r="C51" s="10"/>
      <c r="D51" s="10"/>
      <c r="E51" s="10"/>
      <c r="F51" s="10"/>
      <c r="G51" s="1"/>
      <c r="H51" s="1"/>
      <c r="I51" s="1"/>
      <c r="J51" s="1"/>
    </row>
    <row r="52" spans="1:15" x14ac:dyDescent="0.25">
      <c r="A52" s="443" t="str">
        <f t="shared" si="0"/>
        <v xml:space="preserve">Sonde </v>
      </c>
      <c r="B52" s="444"/>
      <c r="C52" s="10"/>
      <c r="D52" s="10"/>
      <c r="E52" s="10"/>
      <c r="F52" s="10"/>
      <c r="G52" s="1"/>
      <c r="H52" s="1"/>
      <c r="I52" s="1"/>
      <c r="J52" s="1"/>
      <c r="K52" s="1"/>
      <c r="L52" s="1"/>
      <c r="M52" s="1"/>
      <c r="N52" s="1"/>
      <c r="O52" s="1"/>
    </row>
  </sheetData>
  <sheetProtection algorithmName="SHA-512" hashValue="qTP682MpZ9JuS2oQ16cQsAGI8kf+BtcV9NbMum4PtW6esiVPoGpyH1DWTRuOIH6+j+yxZk6nnsL+NqHS5m+FFA==" saltValue="Tf/0dUfWQlcUyh8p3qr3Zw==" spinCount="100000" sheet="1" objects="1" scenarios="1"/>
  <protectedRanges>
    <protectedRange sqref="C11" name="Donnees controleur_8"/>
  </protectedRanges>
  <mergeCells count="33">
    <mergeCell ref="A52:B52"/>
    <mergeCell ref="A48:B48"/>
    <mergeCell ref="A49:B49"/>
    <mergeCell ref="K49:L49"/>
    <mergeCell ref="A50:B50"/>
    <mergeCell ref="A51:B51"/>
    <mergeCell ref="A47:B47"/>
    <mergeCell ref="L47:M47"/>
    <mergeCell ref="A16:B16"/>
    <mergeCell ref="B39:C39"/>
    <mergeCell ref="L39:M39"/>
    <mergeCell ref="A41:F41"/>
    <mergeCell ref="A42:B42"/>
    <mergeCell ref="K42:L42"/>
    <mergeCell ref="A43:B43"/>
    <mergeCell ref="K43:L43"/>
    <mergeCell ref="A44:B44"/>
    <mergeCell ref="A45:B45"/>
    <mergeCell ref="A46:B46"/>
    <mergeCell ref="K41:P41"/>
    <mergeCell ref="A15:B15"/>
    <mergeCell ref="B2:K3"/>
    <mergeCell ref="A6:C6"/>
    <mergeCell ref="A8:B8"/>
    <mergeCell ref="E8:F8"/>
    <mergeCell ref="A9:B9"/>
    <mergeCell ref="E9:F9"/>
    <mergeCell ref="A11:B11"/>
    <mergeCell ref="E11:F11"/>
    <mergeCell ref="A12:B12"/>
    <mergeCell ref="E12:F12"/>
    <mergeCell ref="E13:F13"/>
    <mergeCell ref="A5:C5"/>
  </mergeCells>
  <conditionalFormatting sqref="A41:K41 P42:P43 A52:O52 A50:J51 A42:O49 A1:O19 B20:O20 A21:O40">
    <cfRule type="expression" dxfId="66" priority="1">
      <formula>AND(NOT(CELL("protege", A1)), A1="")</formula>
    </cfRule>
  </conditionalFormatting>
  <dataValidations count="3">
    <dataValidation type="list" allowBlank="1" showInputMessage="1" showErrorMessage="1" sqref="C11" xr:uid="{5A57B2CE-EC73-49F8-8E04-3E39BF674A2B}">
      <formula1>"BCH , LV"</formula1>
    </dataValidation>
    <dataValidation type="list" showInputMessage="1" showErrorMessage="1" sqref="D17:D18" xr:uid="{27D9CD64-D2FA-45FD-86BE-4765942660FF}">
      <formula1>$C$16:$C$18</formula1>
    </dataValidation>
    <dataValidation type="list" showErrorMessage="1" promptTitle="Périodicité" prompt="Veuillez choisir" sqref="C16" xr:uid="{22719636-8374-4843-B418-FDEEA9F1DE48}">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4" r:id="rId3" name="Button 2">
              <controlPr defaultSize="0" print="0" autoFill="0" autoPict="0" macro="[0]!Realisation_TUS_Ressuage_BCH">
                <anchor moveWithCells="1" sizeWithCells="1">
                  <from>
                    <xdr:col>8</xdr:col>
                    <xdr:colOff>466725</xdr:colOff>
                    <xdr:row>5</xdr:row>
                    <xdr:rowOff>9525</xdr:rowOff>
                  </from>
                  <to>
                    <xdr:col>12</xdr:col>
                    <xdr:colOff>619125</xdr:colOff>
                    <xdr:row>10</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2"/>
  <sheetViews>
    <sheetView workbookViewId="0">
      <selection activeCell="D4" sqref="D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row>
  </sheetData>
  <sheetProtection algorithmName="SHA-512" hashValue="l+pR/riTtehUY10j4pL0JDiPDVkx7aaHL0dGDxwNntXUW/e+yjFh6mf0Ij3o/+TflTjivqqb6ue02rGYcHgKNw==" saltValue="epLEPqObrjkTBOpObGTagw=="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25"/>
  <sheetViews>
    <sheetView topLeftCell="A43" workbookViewId="0">
      <selection activeCell="P89" sqref="P89"/>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6" t="str">
        <f>Mesures_Ressuage_BCH!B18 &amp; "°C"</f>
        <v>°C</v>
      </c>
      <c r="B1" s="456"/>
      <c r="C1" s="456"/>
      <c r="D1" s="456"/>
      <c r="E1" s="456"/>
      <c r="F1" s="456"/>
      <c r="G1" s="456"/>
      <c r="H1" s="456"/>
      <c r="I1" s="456"/>
      <c r="J1" s="456"/>
      <c r="K1" s="456"/>
      <c r="L1" s="456"/>
      <c r="M1" s="456"/>
      <c r="N1" s="456"/>
      <c r="O1" s="456"/>
      <c r="P1" s="456"/>
      <c r="Q1" s="456"/>
    </row>
    <row r="2" spans="1:17" s="27" customFormat="1" x14ac:dyDescent="0.25">
      <c r="A2" s="456"/>
      <c r="B2" s="456"/>
      <c r="C2" s="456"/>
      <c r="D2" s="456"/>
      <c r="E2" s="456"/>
      <c r="F2" s="456"/>
      <c r="G2" s="456"/>
      <c r="H2" s="456"/>
      <c r="I2" s="456"/>
      <c r="J2" s="456"/>
      <c r="K2" s="456"/>
      <c r="L2" s="456"/>
      <c r="M2" s="456"/>
      <c r="N2" s="456"/>
      <c r="O2" s="456"/>
      <c r="P2" s="456"/>
      <c r="Q2" s="456"/>
    </row>
    <row r="3" spans="1:17" s="27" customFormat="1" x14ac:dyDescent="0.25">
      <c r="A3" s="456"/>
      <c r="B3" s="456"/>
      <c r="C3" s="456"/>
      <c r="D3" s="456"/>
      <c r="E3" s="456"/>
      <c r="F3" s="456"/>
      <c r="G3" s="456"/>
      <c r="H3" s="456"/>
      <c r="I3" s="456"/>
      <c r="J3" s="456"/>
      <c r="K3" s="456"/>
      <c r="L3" s="456"/>
      <c r="M3" s="456"/>
      <c r="N3" s="456"/>
      <c r="O3" s="456"/>
      <c r="P3" s="456"/>
      <c r="Q3" s="456"/>
    </row>
    <row r="4" spans="1:17" s="27" customFormat="1" x14ac:dyDescent="0.25">
      <c r="N4" s="33"/>
    </row>
    <row r="5" spans="1:17" s="27" customFormat="1" x14ac:dyDescent="0.25">
      <c r="B5" s="34" t="s">
        <v>23</v>
      </c>
      <c r="C5" s="35" t="e">
        <f>_xlfn.XLOOKUP(INT(SUBSTITUTE(C14,"Connecteur ","")),Mesures_Ressuage_BCH!C24:C33,Mesures_Ressuage_BCH!D24:D33)</f>
        <v>#N/A</v>
      </c>
      <c r="D5" s="35" t="e">
        <f>_xlfn.XLOOKUP(INT(SUBSTITUTE(D14,"Connecteur ","")),Mesures_Ressuage_BCH!C24:C33,Mesures_Ressuage_BCH!D24:D33)</f>
        <v>#N/A</v>
      </c>
      <c r="E5" s="35" t="e">
        <f>_xlfn.XLOOKUP(INT(SUBSTITUTE(E14,"Connecteur ","")),Mesures_Ressuage_BCH!C24:C33,Mesures_Ressuage_BCH!D24:D33)</f>
        <v>#N/A</v>
      </c>
      <c r="F5" s="35" t="e">
        <f>_xlfn.XLOOKUP(INT(SUBSTITUTE(F14,"Connecteur ","")),Mesures_Ressuage_BCH!C24:C33,Mesures_Ressuage_BCH!D24:D33)</f>
        <v>#N/A</v>
      </c>
      <c r="G5" s="35" t="e">
        <f>_xlfn.XLOOKUP(INT(SUBSTITUTE(G14,"Connecteur ","")),Mesures_Ressuage_BCH!C24:C33,Mesures_Ressuage_BCH!D24:D33)</f>
        <v>#N/A</v>
      </c>
      <c r="H5" s="35" t="e">
        <f>_xlfn.XLOOKUP(INT(SUBSTITUTE(H14,"Connecteur ","")),Mesures_Ressuage_BCH!C24:C33,Mesures_Ressuage_BCH!D24:D33)</f>
        <v>#N/A</v>
      </c>
      <c r="I5" s="35" t="e">
        <f>_xlfn.XLOOKUP(INT(SUBSTITUTE(I14,"Connecteur ","")),Mesures_Ressuage_BCH!C24:C33,Mesures_Ressuage_BCH!D24:D33)</f>
        <v>#N/A</v>
      </c>
      <c r="J5" s="35" t="e">
        <f>_xlfn.XLOOKUP(INT(SUBSTITUTE(J14,"Connecteur ","")),Mesures_Ressuage_BCH!C24:C33,Mesures_Ressuage_BCH!D24:D33)</f>
        <v>#N/A</v>
      </c>
      <c r="K5" s="35" t="e">
        <f>_xlfn.XLOOKUP(INT(SUBSTITUTE(K14,"Connecteur ","")),Mesures_Ressuage_BCH!C24:C33,Mesures_Ressuage_BCH!D24:D33)</f>
        <v>#N/A</v>
      </c>
      <c r="L5" s="35" t="e">
        <f>_xlfn.XLOOKUP(INT(SUBSTITUTE(L14,"Connecteur ","")),Mesures_Ressuage_BCH!C24:C33,Mesures_Ressuage_BCH!D24:D33)</f>
        <v>#N/A</v>
      </c>
      <c r="N5" s="33"/>
    </row>
    <row r="6" spans="1:17" s="27" customFormat="1" x14ac:dyDescent="0.25">
      <c r="B6" s="34" t="s">
        <v>87</v>
      </c>
      <c r="C6" s="35" t="e">
        <f>_xlfn.XLOOKUP(INT(SUBSTITUTE(C14,"Connecteur ","")),Mesures_Ressuage_BCH!C24:C33,Mesures_Ressuage_BCH!E24:E33)</f>
        <v>#N/A</v>
      </c>
      <c r="D6" s="35" t="e">
        <f>_xlfn.XLOOKUP(INT(SUBSTITUTE(D14,"Connecteur ","")),Mesures_Ressuage_BCH!C24:C33,Mesures_Ressuage_BCH!E24:E33)</f>
        <v>#N/A</v>
      </c>
      <c r="E6" s="35" t="e">
        <f>_xlfn.XLOOKUP(INT(SUBSTITUTE(E14,"Connecteur ","")),Mesures_Ressuage_BCH!C24:C33,Mesures_Ressuage_BCH!E24:E33)</f>
        <v>#N/A</v>
      </c>
      <c r="F6" s="35" t="e">
        <f>_xlfn.XLOOKUP(INT(SUBSTITUTE(F14,"Connecteur ","")),Mesures_Ressuage_BCH!C24:C33,Mesures_Ressuage_BCH!E24:E33)</f>
        <v>#N/A</v>
      </c>
      <c r="G6" s="35" t="e">
        <f>_xlfn.XLOOKUP(INT(SUBSTITUTE(G14,"Connecteur ","")),Mesures_Ressuage_BCH!C24:C33,Mesures_Ressuage_BCH!E24:E33)</f>
        <v>#N/A</v>
      </c>
      <c r="H6" s="35" t="e">
        <f>_xlfn.XLOOKUP(INT(SUBSTITUTE(H14,"Connecteur ","")),Mesures_Ressuage_BCH!C24:C33,Mesures_Ressuage_BCH!E24:E33)</f>
        <v>#N/A</v>
      </c>
      <c r="I6" s="35" t="e">
        <f>_xlfn.XLOOKUP(INT(SUBSTITUTE(I14,"Connecteur ","")),Mesures_Ressuage_BCH!C24:C33,Mesures_Ressuage_BCH!E24:E33)</f>
        <v>#N/A</v>
      </c>
      <c r="J6" s="35" t="e">
        <f>_xlfn.XLOOKUP(INT(SUBSTITUTE(J14,"Connecteur ","")),Mesures_Ressuage_BCH!C24:C33,Mesures_Ressuage_BCH!E24:E33)</f>
        <v>#N/A</v>
      </c>
      <c r="K6" s="35" t="e">
        <f>_xlfn.XLOOKUP(INT(SUBSTITUTE(K14,"Connecteur ","")),Mesures_Ressuage_BCH!C24:C33,Mesures_Ressuage_BCH!E24:E33)</f>
        <v>#N/A</v>
      </c>
      <c r="L6" s="35" t="e">
        <f>_xlfn.XLOOKUP(INT(SUBSTITUTE(L14,"Connecteur ","")),Mesures_Ressuage_BCH!C24:C33,Mesures_Ressuage_BCH!E24:E33)</f>
        <v>#N/A</v>
      </c>
      <c r="N6" s="33"/>
    </row>
    <row r="7" spans="1:17" s="27" customFormat="1" x14ac:dyDescent="0.25">
      <c r="N7" s="33"/>
    </row>
    <row r="8" spans="1:17" s="27" customFormat="1" x14ac:dyDescent="0.25">
      <c r="N8" s="33"/>
    </row>
    <row r="9" spans="1:17" s="27" customFormat="1" x14ac:dyDescent="0.25">
      <c r="A9" s="352" t="s">
        <v>88</v>
      </c>
      <c r="B9" s="352"/>
      <c r="C9" s="352"/>
      <c r="D9" s="352"/>
      <c r="E9" s="352"/>
      <c r="F9" s="352"/>
      <c r="G9" s="352"/>
      <c r="H9" s="352"/>
      <c r="I9" s="352"/>
      <c r="J9" s="352"/>
      <c r="K9" s="352"/>
      <c r="L9" s="352"/>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143" t="s">
        <v>89</v>
      </c>
      <c r="B11" s="37" cm="1">
        <f t="array" ref="B11:L11">Valeurs_Brutes_Ressuage_BCH[]</f>
        <v>0</v>
      </c>
      <c r="C11" s="38">
        <v>0</v>
      </c>
      <c r="D11" s="38">
        <v>0</v>
      </c>
      <c r="E11" s="38">
        <v>0</v>
      </c>
      <c r="F11" s="38">
        <v>0</v>
      </c>
      <c r="G11" s="38">
        <v>0</v>
      </c>
      <c r="H11" s="38">
        <v>0</v>
      </c>
      <c r="I11" s="38">
        <v>0</v>
      </c>
      <c r="J11" s="38">
        <v>0</v>
      </c>
      <c r="K11" s="38">
        <v>0</v>
      </c>
      <c r="L11" s="38">
        <v>0</v>
      </c>
      <c r="N11" s="33"/>
    </row>
    <row r="12" spans="1:17" s="27" customFormat="1" ht="13.5" customHeight="1" x14ac:dyDescent="0.25">
      <c r="A12" s="142" t="s">
        <v>89</v>
      </c>
      <c r="B12" s="39"/>
      <c r="C12" s="40"/>
      <c r="D12" s="40"/>
      <c r="E12" s="40"/>
      <c r="F12" s="40"/>
      <c r="G12" s="40"/>
      <c r="H12" s="40"/>
      <c r="I12" s="40"/>
      <c r="J12" s="40"/>
      <c r="K12" s="40"/>
      <c r="L12" s="40"/>
      <c r="N12" s="33"/>
    </row>
    <row r="13" spans="1:17" s="457" customFormat="1" x14ac:dyDescent="0.25"/>
    <row r="14" spans="1:17" s="27" customFormat="1" x14ac:dyDescent="0.25">
      <c r="C14" s="41" t="str" cm="1">
        <f t="array" ref="C14:L14">C10:L10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N14" s="33"/>
    </row>
    <row r="15" spans="1:17" s="27" customFormat="1" x14ac:dyDescent="0.25">
      <c r="B15" s="42" t="s">
        <v>90</v>
      </c>
      <c r="C15" s="43" t="e" cm="1">
        <f t="array" ref="C15">MAX(Valeurs_Brutes_Ressuage_BCH[Connecteur 1]+Ressuage_BCH!C5+Ressuage_BCH!C6)</f>
        <v>#N/A</v>
      </c>
      <c r="D15" s="43" t="e" cm="1">
        <f t="array" ref="D15">MAX(Valeurs_Brutes_Ressuage_BCH[Connecteur 2]+Ressuage_BCH!D5+Ressuage_BCH!D6)</f>
        <v>#N/A</v>
      </c>
      <c r="E15" s="43" t="e" cm="1">
        <f t="array" ref="E15">MAX(Valeurs_Brutes_Ressuage_BCH[Connecteur 3]+Ressuage_BCH!E5+Ressuage_BCH!E6)</f>
        <v>#N/A</v>
      </c>
      <c r="F15" s="43" t="e" cm="1">
        <f t="array" ref="F15">MAX(Valeurs_Brutes_Ressuage_BCH[Connecteur 4]+Ressuage_BCH!F5+Ressuage_BCH!F6)</f>
        <v>#N/A</v>
      </c>
      <c r="G15" s="43" t="e" cm="1">
        <f t="array" ref="G15">MAX(Valeurs_Brutes_Ressuage_BCH[Connecteur 5]+Ressuage_BCH!G5+Ressuage_BCH!G6)</f>
        <v>#N/A</v>
      </c>
      <c r="H15" s="43" t="e" cm="1">
        <f t="array" ref="H15">MAX(Valeurs_Brutes_Ressuage_BCH[Connecteur 6]+Ressuage_BCH!H5+Ressuage_BCH!H6)</f>
        <v>#N/A</v>
      </c>
      <c r="I15" s="43" t="e" cm="1">
        <f t="array" ref="I15">MAX(Valeurs_Brutes_Ressuage_BCH[Connecteur 7]+Ressuage_BCH!I5+Ressuage_BCH!I6)</f>
        <v>#N/A</v>
      </c>
      <c r="J15" s="43" t="e" cm="1">
        <f t="array" ref="J15">MAX(Valeurs_Brutes_Ressuage_BCH[Connecteur 8]+Ressuage_BCH!J5+Ressuage_BCH!J6)</f>
        <v>#N/A</v>
      </c>
      <c r="K15" s="43" t="e" cm="1">
        <f t="array" ref="K15">MAX(Valeurs_Brutes_Ressuage_BCH[Connecteur 9]+Ressuage_BCH!K5+Ressuage_BCH!K6)</f>
        <v>#N/A</v>
      </c>
      <c r="L15" s="43" t="e" cm="1">
        <f t="array" ref="L15">MAX(Valeurs_Brutes_Ressuage_BCH[Connecteur 10]+Ressuage_BCH!L5+Ressuage_BCH!L6)</f>
        <v>#N/A</v>
      </c>
      <c r="M15" s="48">
        <f>P15+Mesures_Ressuage_BCH!B21</f>
        <v>0</v>
      </c>
      <c r="N15" s="33"/>
      <c r="O15" s="36" t="s">
        <v>7</v>
      </c>
      <c r="P15" s="48">
        <f>Mesures_Ressuage_BCH!B18</f>
        <v>0</v>
      </c>
    </row>
    <row r="16" spans="1:17" s="27" customFormat="1" x14ac:dyDescent="0.25">
      <c r="B16" s="42" t="s">
        <v>91</v>
      </c>
      <c r="C16" s="43" t="e">
        <f ca="1">MAX(OFFSET(INDEX(Valeurs_Brutes_Ressuage_BCH[Connecteur 1],1),COUNT(Valeurs_Brutes_Ressuage_BCH[Connecteur 1])-30,0,30))+C5+C6</f>
        <v>#REF!</v>
      </c>
      <c r="D16" s="43" t="e">
        <f ca="1">MAX(OFFSET(INDEX(Valeurs_Brutes_Ressuage_BCH[Connecteur 2],1),COUNT(Valeurs_Brutes_Ressuage_BCH[Connecteur 2])-30,0,30))+D5+D6</f>
        <v>#REF!</v>
      </c>
      <c r="E16" s="43" t="e">
        <f ca="1">MAX(OFFSET(INDEX(Valeurs_Brutes_Ressuage_BCH[Connecteur 3],1),COUNT(Valeurs_Brutes_Ressuage_BCH[Connecteur 3])-30,0,30))+E5+E6</f>
        <v>#REF!</v>
      </c>
      <c r="F16" s="43" t="e">
        <f ca="1">MAX(OFFSET(INDEX(Valeurs_Brutes_Ressuage_BCH[Connecteur 4],1),COUNT(Valeurs_Brutes_Ressuage_BCH[Connecteur 4])-30,0,30))+F5+F6</f>
        <v>#REF!</v>
      </c>
      <c r="G16" s="43" t="e">
        <f ca="1">MAX(OFFSET(INDEX(Valeurs_Brutes_Ressuage_BCH[Connecteur 5],1),COUNT(Valeurs_Brutes_Ressuage_BCH[Connecteur 5])-30,0,30))+G5+G6</f>
        <v>#REF!</v>
      </c>
      <c r="H16" s="43" t="e">
        <f ca="1">MAX(OFFSET(INDEX(Valeurs_Brutes_Ressuage_BCH[Connecteur 6],1),COUNT(Valeurs_Brutes_Ressuage_BCH[Connecteur 6])-30,0,30))+H5+H6</f>
        <v>#REF!</v>
      </c>
      <c r="I16" s="43" t="e">
        <f ca="1">MAX(OFFSET(INDEX(Valeurs_Brutes_Ressuage_BCH[Connecteur 7],1),COUNT(Valeurs_Brutes_Ressuage_BCH[Connecteur 7])-30,0,30))+I5+I6</f>
        <v>#REF!</v>
      </c>
      <c r="J16" s="43" t="e">
        <f ca="1">MAX(OFFSET(INDEX(Valeurs_Brutes_Ressuage_BCH[Connecteur 8],1),COUNT(Valeurs_Brutes_Ressuage_BCH[Connecteur 8])-30,0,30))+J5+J6</f>
        <v>#REF!</v>
      </c>
      <c r="K16" s="43" t="e">
        <f ca="1">MAX(OFFSET(INDEX(Valeurs_Brutes_Ressuage_BCH[Connecteur 9],1),COUNT(Valeurs_Brutes_Ressuage_BCH[Connecteur 9])-30,0,30))+K5+K6</f>
        <v>#REF!</v>
      </c>
      <c r="L16" s="43" t="e">
        <f ca="1">MAX(OFFSET(INDEX(Valeurs_Brutes_Ressuage_BCH[Connecteur 10],1),COUNT(Valeurs_Brutes_Ressuage_BCH[Connecteur 10])-30,0,30))+L5+L6</f>
        <v>#REF!</v>
      </c>
      <c r="M16" s="48">
        <f>P15+Mesures_Ressuage_BCH!B21</f>
        <v>0</v>
      </c>
      <c r="N16" s="33"/>
      <c r="O16" s="36" t="s">
        <v>92</v>
      </c>
      <c r="P16" s="35" t="str">
        <f>"+" &amp; Mesures_Ressuage_BCH!B21 &amp; "°C"</f>
        <v>+°C</v>
      </c>
    </row>
    <row r="17" spans="2:16" s="27" customFormat="1" x14ac:dyDescent="0.25">
      <c r="B17" s="42" t="s">
        <v>93</v>
      </c>
      <c r="C17" s="43" t="e">
        <f ca="1">MIN(OFFSET(INDEX(Valeurs_Brutes_Ressuage_BCH[Connecteur 1],1),COUNT(Valeurs_Brutes_Ressuage_BCH[Connecteur 1])-30,0,30))+C5+C6</f>
        <v>#REF!</v>
      </c>
      <c r="D17" s="43" t="e">
        <f ca="1">MIN(OFFSET(INDEX(Valeurs_Brutes_Ressuage_BCH[Connecteur 2],1),COUNT(Valeurs_Brutes_Ressuage_BCH[Connecteur 2])-30,0,30))+D5+D6</f>
        <v>#REF!</v>
      </c>
      <c r="E17" s="43" t="e">
        <f ca="1">MIN(OFFSET(INDEX(Valeurs_Brutes_Ressuage_BCH[Connecteur 3],1),COUNT(Valeurs_Brutes_Ressuage_BCH[Connecteur 3])-30,0,30))+E5+E6</f>
        <v>#REF!</v>
      </c>
      <c r="F17" s="43" t="e">
        <f ca="1">MIN(OFFSET(INDEX(Valeurs_Brutes_Ressuage_BCH[Connecteur 4],1),COUNT(Valeurs_Brutes_Ressuage_BCH[Connecteur 4])-30,0,30))+F5+F6</f>
        <v>#REF!</v>
      </c>
      <c r="G17" s="43" t="e">
        <f ca="1">MIN(OFFSET(INDEX(Valeurs_Brutes_Ressuage_BCH[Connecteur 5],1),COUNT(Valeurs_Brutes_Ressuage_BCH[Connecteur 5])-30,0,30))+G5+G6</f>
        <v>#REF!</v>
      </c>
      <c r="H17" s="43" t="e">
        <f ca="1">MIN(OFFSET(INDEX(Valeurs_Brutes_Ressuage_BCH[Connecteur 6],1),COUNT(Valeurs_Brutes_Ressuage_BCH[Connecteur 6])-30,0,30))+H5+H6</f>
        <v>#REF!</v>
      </c>
      <c r="I17" s="43" t="e">
        <f ca="1">MIN(OFFSET(INDEX(Valeurs_Brutes_Ressuage_BCH[Connecteur 7],1),COUNT(Valeurs_Brutes_Ressuage_BCH[Connecteur 7])-30,0,30))+I5+I6</f>
        <v>#REF!</v>
      </c>
      <c r="J17" s="43" t="e">
        <f ca="1">MIN(OFFSET(INDEX(Valeurs_Brutes_Ressuage_BCH[Connecteur 8],1),COUNT(Valeurs_Brutes_Ressuage_BCH[Connecteur 8])-30,0,30))+J5+J6</f>
        <v>#REF!</v>
      </c>
      <c r="K17" s="43" t="e">
        <f ca="1">MIN(OFFSET(INDEX(Valeurs_Brutes_Ressuage_BCH[Connecteur 9],1),COUNT(Valeurs_Brutes_Ressuage_BCH[Connecteur 9])-30,0,30))+K5+K6</f>
        <v>#REF!</v>
      </c>
      <c r="L17" s="43" t="e">
        <f ca="1">MIN(OFFSET(INDEX(Valeurs_Brutes_Ressuage_BCH[Connecteur 10],1),COUNT(Valeurs_Brutes_Ressuage_BCH[Connecteur 10])-30,0,30))+L5+L6</f>
        <v>#REF!</v>
      </c>
      <c r="M17" s="48">
        <f>P15 - Mesures_Ressuage_BCH!B21</f>
        <v>0</v>
      </c>
      <c r="N17" s="33"/>
      <c r="O17" s="36" t="s">
        <v>94</v>
      </c>
      <c r="P17" s="35" t="str">
        <f>"-" &amp; Mesures_Ressuage_BCH!B21 &amp; "°C"</f>
        <v>-°C</v>
      </c>
    </row>
    <row r="18" spans="2:16" s="27" customFormat="1" x14ac:dyDescent="0.25">
      <c r="B18" s="42" t="s">
        <v>95</v>
      </c>
      <c r="C18" s="43" t="e">
        <f ca="1">AVERAGE(OFFSET(INDEX(Valeurs_Brutes_Ressuage_BCH[Connecteur 1],1),COUNT(Valeurs_Brutes_Ressuage_BCH[Connecteur 1])-30,0,30))+C5+C6</f>
        <v>#REF!</v>
      </c>
      <c r="D18" s="43" t="e">
        <f ca="1">AVERAGE(OFFSET(INDEX(Valeurs_Brutes_Ressuage_BCH[Connecteur 2],1),COUNT(Valeurs_Brutes_Ressuage_BCH[Connecteur 2])-30,0,30))+D5+D6</f>
        <v>#REF!</v>
      </c>
      <c r="E18" s="43" t="e">
        <f ca="1">AVERAGE(OFFSET(INDEX(Valeurs_Brutes_Ressuage_BCH[Connecteur 3],1),COUNT(Valeurs_Brutes_Ressuage_BCH[Connecteur 3])-30,0,30))+E5+E6</f>
        <v>#REF!</v>
      </c>
      <c r="F18" s="43" t="e">
        <f ca="1">AVERAGE(OFFSET(INDEX(Valeurs_Brutes_Ressuage_BCH[Connecteur 4],1),COUNT(Valeurs_Brutes_Ressuage_BCH[Connecteur 4])-30,0,30))+F5+F6</f>
        <v>#REF!</v>
      </c>
      <c r="G18" s="43" t="e">
        <f ca="1">AVERAGE(OFFSET(INDEX(Valeurs_Brutes_Ressuage_BCH[Connecteur 5],1),COUNT(Valeurs_Brutes_Ressuage_BCH[Connecteur 5])-30,0,30))+G5+G6</f>
        <v>#REF!</v>
      </c>
      <c r="H18" s="43" t="e">
        <f ca="1">AVERAGE(OFFSET(INDEX(Valeurs_Brutes_Ressuage_BCH[Connecteur 6],1),COUNT(Valeurs_Brutes_Ressuage_BCH[Connecteur 6])-30,0,30))+H5+H6</f>
        <v>#REF!</v>
      </c>
      <c r="I18" s="43" t="e">
        <f ca="1">AVERAGE(OFFSET(INDEX(Valeurs_Brutes_Ressuage_BCH[Connecteur 7],1),COUNT(Valeurs_Brutes_Ressuage_BCH[Connecteur 7])-30,0,30))+I5+I6</f>
        <v>#REF!</v>
      </c>
      <c r="J18" s="43" t="e">
        <f ca="1">AVERAGE(OFFSET(INDEX(Valeurs_Brutes_Ressuage_BCH[Connecteur 8],1),COUNT(Valeurs_Brutes_Ressuage_BCH[Connecteur 8])-30,0,30))+J5+J6</f>
        <v>#REF!</v>
      </c>
      <c r="K18" s="43" t="e">
        <f ca="1">AVERAGE(OFFSET(INDEX(Valeurs_Brutes_Ressuage_BCH[Connecteur 9],1),COUNT(Valeurs_Brutes_Ressuage_BCH[Connecteur 9])-30,0,30))+K5+K6</f>
        <v>#REF!</v>
      </c>
      <c r="L18" s="43" t="e">
        <f ca="1">AVERAGE(OFFSET(INDEX(Valeurs_Brutes_Ressuage_BCH[Connecteur 10],1),COUNT(Valeurs_Brutes_Ressuage_BCH[Connecteur 10])-30,0,30))+L5+L6</f>
        <v>#REF!</v>
      </c>
      <c r="M18" s="44"/>
      <c r="N18" s="33"/>
    </row>
    <row r="19" spans="2:16" s="27" customFormat="1" x14ac:dyDescent="0.25">
      <c r="B19" s="42" t="s">
        <v>96</v>
      </c>
      <c r="C19" s="45" t="e">
        <f ca="1">C16-C17</f>
        <v>#REF!</v>
      </c>
      <c r="D19" s="45" t="e">
        <f t="shared" ref="D19:L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4"/>
      <c r="N19" s="33"/>
    </row>
    <row r="20" spans="2:16" s="27" customFormat="1" x14ac:dyDescent="0.25">
      <c r="B20" s="42" t="s">
        <v>97</v>
      </c>
      <c r="C20" s="376" t="e">
        <f ca="1">ABS(MAX(C16:L16)- MIN(C17:L17))</f>
        <v>#REF!</v>
      </c>
      <c r="D20" s="376"/>
      <c r="E20" s="376"/>
      <c r="F20" s="376"/>
      <c r="G20" s="376"/>
      <c r="H20" s="376"/>
      <c r="I20" s="376"/>
      <c r="J20" s="376"/>
      <c r="K20" s="376"/>
      <c r="L20" s="376"/>
      <c r="M20" s="376"/>
      <c r="N20" s="33"/>
    </row>
    <row r="21" spans="2:16" s="27" customFormat="1" x14ac:dyDescent="0.25">
      <c r="B21" s="42" t="s">
        <v>98</v>
      </c>
      <c r="C21" s="376" t="e">
        <f ca="1">AVERAGE(C18:L18)</f>
        <v>#REF!</v>
      </c>
      <c r="D21" s="376"/>
      <c r="E21" s="376"/>
      <c r="F21" s="376"/>
      <c r="G21" s="376"/>
      <c r="H21" s="376"/>
      <c r="I21" s="376"/>
      <c r="J21" s="376"/>
      <c r="K21" s="376"/>
      <c r="L21" s="376"/>
      <c r="M21" s="376"/>
      <c r="N21" s="33"/>
    </row>
    <row r="22" spans="2:16" s="27" customFormat="1" x14ac:dyDescent="0.25">
      <c r="B22" s="36" t="s">
        <v>99</v>
      </c>
      <c r="C22" s="46" t="e">
        <f ca="1">STDEV(OFFSET(INDEX(Valeurs_Brutes_Ressuage_BCH[Connecteur 1],1),COUNT(Valeurs_Brutes_Ressuage_BCH[Connecteur 1])-30,0,30))+C5+C6</f>
        <v>#REF!</v>
      </c>
      <c r="D22" s="46" t="e">
        <f ca="1">STDEV(OFFSET(INDEX(Valeurs_Brutes_Ressuage_BCH[Connecteur 2],1),COUNT(Valeurs_Brutes_Ressuage_BCH[Connecteur 2])-30,0,30))+D5+D6</f>
        <v>#REF!</v>
      </c>
      <c r="E22" s="46" t="e">
        <f ca="1">STDEV(OFFSET(INDEX(Valeurs_Brutes_Ressuage_BCH[Connecteur 3],1),COUNT(Valeurs_Brutes_Ressuage_BCH[Connecteur 3])-30,0,30))+E5+E6</f>
        <v>#REF!</v>
      </c>
      <c r="F22" s="46" t="e">
        <f ca="1">STDEV(OFFSET(INDEX(Valeurs_Brutes_Ressuage_BCH[Connecteur 4],1),COUNT(Valeurs_Brutes_Ressuage_BCH[Connecteur 4])-30,0,30))+F5+F6</f>
        <v>#REF!</v>
      </c>
      <c r="G22" s="46" t="e">
        <f ca="1">STDEV(OFFSET(INDEX(Valeurs_Brutes_Ressuage_BCH[Connecteur 5],1),COUNT(Valeurs_Brutes_Ressuage_BCH[Connecteur 5])-30,0,30))+G5+G6</f>
        <v>#REF!</v>
      </c>
      <c r="H22" s="46" t="e">
        <f ca="1">STDEV(OFFSET(INDEX(Valeurs_Brutes_Ressuage_BCH[Connecteur 6],1),COUNT(Valeurs_Brutes_Ressuage_BCH[Connecteur 6])-30,0,30))+H5+H6</f>
        <v>#REF!</v>
      </c>
      <c r="I22" s="46" t="e">
        <f ca="1">STDEV(OFFSET(INDEX(Valeurs_Brutes_Ressuage_BCH[Connecteur 7],1),COUNT(Valeurs_Brutes_Ressuage_BCH[Connecteur 7])-30,0,30))+I5+I6</f>
        <v>#REF!</v>
      </c>
      <c r="J22" s="46" t="e">
        <f ca="1">STDEV(OFFSET(INDEX(Valeurs_Brutes_Ressuage_BCH[Connecteur 8],1),COUNT(Valeurs_Brutes_Ressuage_BCH[Connecteur 8])-30,0,30))+J5+J6</f>
        <v>#REF!</v>
      </c>
      <c r="K22" s="46" t="e">
        <f ca="1">STDEV(OFFSET(INDEX(Valeurs_Brutes_Ressuage_BCH[Connecteur 9],1),COUNT(Valeurs_Brutes_Ressuage_BCH[Connecteur 9])-30,0,30))+K5+K6</f>
        <v>#REF!</v>
      </c>
      <c r="L22" s="46" t="e">
        <f ca="1">STDEV(OFFSET(INDEX(Valeurs_Brutes_Ressuage_BCH[Connecteur 10],1),COUNT(Valeurs_Brutes_Ressuage_BCH[Connecteur 10])-30,0,30))+L5+L6</f>
        <v>#REF!</v>
      </c>
      <c r="M22" s="44"/>
      <c r="N22" s="33"/>
      <c r="O22" s="47"/>
    </row>
    <row r="23" spans="2:16" s="27" customFormat="1" x14ac:dyDescent="0.25">
      <c r="N23" s="33"/>
    </row>
    <row r="24" spans="2:16" s="27" customFormat="1" x14ac:dyDescent="0.25">
      <c r="N24" s="33"/>
    </row>
    <row r="25" spans="2:16" s="27" customFormat="1" x14ac:dyDescent="0.25">
      <c r="N25" s="33"/>
    </row>
  </sheetData>
  <sheetProtection algorithmName="SHA-512" hashValue="QPJg0437IOMr28x+EMO4brbTrXr0eXI5P449d8vPKFDc42IjEmXvfIWli48lFeMBUTtMpS8Lehq+VQALZppX3A==" saltValue="0vzK1wMRMRaZn4F7ly0YmQ==" spinCount="100000" sheet="1" objects="1" scenarios="1"/>
  <mergeCells count="5">
    <mergeCell ref="A1:Q3"/>
    <mergeCell ref="A9:L9"/>
    <mergeCell ref="A13:XFD13"/>
    <mergeCell ref="C20:M20"/>
    <mergeCell ref="C21:M21"/>
  </mergeCells>
  <conditionalFormatting sqref="C15:L15">
    <cfRule type="cellIs" dxfId="65" priority="3" operator="greaterThan">
      <formula>$M$15</formula>
    </cfRule>
  </conditionalFormatting>
  <conditionalFormatting sqref="C16:L16">
    <cfRule type="cellIs" dxfId="64" priority="2" operator="greaterThan">
      <formula>$M$16</formula>
    </cfRule>
  </conditionalFormatting>
  <conditionalFormatting sqref="C17:L17">
    <cfRule type="cellIs" dxfId="63" priority="1" operator="lessThan">
      <formula>$M$17</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09"/>
  <sheetViews>
    <sheetView view="pageLayout" topLeftCell="A48" zoomScale="70" zoomScaleNormal="60" zoomScaleSheetLayoutView="77" zoomScalePageLayoutView="70" workbookViewId="0">
      <selection activeCell="E56" sqref="E56:H56"/>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312</v>
      </c>
      <c r="C5" s="87"/>
      <c r="D5" s="87"/>
      <c r="E5" s="87"/>
      <c r="F5" s="87"/>
      <c r="G5" s="87"/>
      <c r="H5" s="87"/>
      <c r="I5" s="88"/>
    </row>
    <row r="10" spans="2:9" ht="21" x14ac:dyDescent="0.25">
      <c r="C10" s="438" t="s">
        <v>138</v>
      </c>
      <c r="D10" s="438"/>
      <c r="E10" s="459">
        <f>Mesures_Ressuage_BCH!D6</f>
        <v>0</v>
      </c>
      <c r="F10" s="459"/>
    </row>
    <row r="11" spans="2:9" ht="21" x14ac:dyDescent="0.25">
      <c r="C11" s="89"/>
      <c r="D11" s="89"/>
      <c r="E11" s="90"/>
      <c r="F11" s="90"/>
    </row>
    <row r="12" spans="2:9" x14ac:dyDescent="0.25">
      <c r="C12" s="91" t="s">
        <v>1</v>
      </c>
      <c r="D12" s="92">
        <f>Mesures_Ressuage_BCH!C8</f>
        <v>0</v>
      </c>
      <c r="F12" s="91" t="s">
        <v>18</v>
      </c>
      <c r="G12" s="92">
        <f>Mesures_Ressuage_BCH!G8</f>
        <v>0</v>
      </c>
    </row>
    <row r="13" spans="2:9" ht="15.75" x14ac:dyDescent="0.25">
      <c r="C13" s="93" t="s">
        <v>2</v>
      </c>
      <c r="D13" s="94">
        <f>Mesures_Ressuage_BCH!C9</f>
        <v>0</v>
      </c>
      <c r="F13" s="95" t="s">
        <v>19</v>
      </c>
      <c r="G13" s="94">
        <f>Mesures_Ressuage_BCH!G9</f>
        <v>0</v>
      </c>
    </row>
    <row r="14" spans="2:9" ht="15.75" x14ac:dyDescent="0.25">
      <c r="C14" s="96"/>
      <c r="D14" s="97"/>
      <c r="G14" s="98"/>
    </row>
    <row r="15" spans="2:9" ht="15.75" x14ac:dyDescent="0.25">
      <c r="C15" s="99" t="s">
        <v>139</v>
      </c>
      <c r="D15" s="100">
        <f>Mesures_Ressuage_BCH!C15</f>
        <v>0</v>
      </c>
      <c r="F15" s="91" t="s">
        <v>140</v>
      </c>
      <c r="G15" s="101">
        <f>Mesures_Ressuage_BCH!C16</f>
        <v>0</v>
      </c>
    </row>
    <row r="16" spans="2:9" ht="15.75" x14ac:dyDescent="0.25">
      <c r="C16" s="99" t="s">
        <v>141</v>
      </c>
      <c r="D16" s="102">
        <f>Mesures_Ressuage_BCH!G12</f>
        <v>9</v>
      </c>
      <c r="F16" s="91" t="s">
        <v>142</v>
      </c>
      <c r="G16" s="101">
        <f>Mesures_Ressuage_BCH!G13</f>
        <v>0</v>
      </c>
    </row>
    <row r="17" spans="1:9" ht="15.75" x14ac:dyDescent="0.25">
      <c r="C17" s="96"/>
      <c r="D17" s="97"/>
      <c r="F17" s="96"/>
      <c r="G17" s="27"/>
    </row>
    <row r="18" spans="1:9" ht="15.75" x14ac:dyDescent="0.25">
      <c r="C18" s="99" t="s">
        <v>143</v>
      </c>
      <c r="D18" s="139">
        <f>Mesures_Ressuage_BCH!C12</f>
        <v>0</v>
      </c>
      <c r="F18" s="91" t="s">
        <v>144</v>
      </c>
      <c r="G18" s="140">
        <f>Mesures_Ressuage_BCH!G11</f>
        <v>0</v>
      </c>
    </row>
    <row r="19" spans="1:9" ht="15.75" x14ac:dyDescent="0.25">
      <c r="C19" s="93" t="s">
        <v>145</v>
      </c>
      <c r="D19" s="100">
        <f>Mesures_Ressuage_BCH!C11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539</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t="s">
        <v>313</v>
      </c>
      <c r="E55" s="458" t="s">
        <v>540</v>
      </c>
      <c r="F55" s="458"/>
      <c r="G55" s="458"/>
      <c r="H55" s="107"/>
    </row>
    <row r="56" spans="2:8" ht="21" customHeight="1" x14ac:dyDescent="0.25">
      <c r="B56" s="106" t="s">
        <v>314</v>
      </c>
      <c r="E56" s="458" t="str">
        <f>"Températures (mini et maxi) d’utilisation : " &amp; Mesures_Ressuage_BCH!B21 &amp; "°C à ambiante"</f>
        <v>Températures (mini et maxi) d’utilisation : °C à ambiante</v>
      </c>
      <c r="F56" s="458"/>
      <c r="G56" s="458"/>
      <c r="H56" s="458"/>
    </row>
    <row r="57" spans="2:8" ht="21" x14ac:dyDescent="0.25">
      <c r="B57" s="106" t="s">
        <v>315</v>
      </c>
      <c r="E57" s="458" t="s">
        <v>155</v>
      </c>
      <c r="F57" s="458"/>
      <c r="G57" s="107"/>
      <c r="H57" s="107"/>
    </row>
    <row r="59" spans="2:8" ht="23.25" x14ac:dyDescent="0.25">
      <c r="B59" s="105" t="s">
        <v>156</v>
      </c>
    </row>
    <row r="61" spans="2:8" ht="21" x14ac:dyDescent="0.25">
      <c r="B61" s="109" t="s">
        <v>541</v>
      </c>
      <c r="C61" s="109"/>
      <c r="D61" s="109"/>
      <c r="E61" s="458"/>
      <c r="F61" s="458"/>
      <c r="G61" s="458"/>
    </row>
    <row r="62" spans="2:8" ht="21" x14ac:dyDescent="0.25">
      <c r="B62" s="458"/>
      <c r="C62" s="458"/>
      <c r="D62" s="458"/>
    </row>
    <row r="64" spans="2:8" ht="21" x14ac:dyDescent="0.25">
      <c r="B64" s="106" t="s">
        <v>160</v>
      </c>
    </row>
    <row r="66" spans="1:10" ht="21" x14ac:dyDescent="0.25">
      <c r="B66" s="458" t="s">
        <v>319</v>
      </c>
      <c r="C66" s="458"/>
      <c r="D66" s="458"/>
      <c r="E66" s="458" t="s">
        <v>542</v>
      </c>
      <c r="F66" s="458"/>
      <c r="G66" s="458"/>
      <c r="H66" s="458"/>
      <c r="I66" s="458"/>
    </row>
    <row r="67" spans="1:10" ht="21" x14ac:dyDescent="0.25">
      <c r="B67" s="458"/>
      <c r="C67" s="458"/>
      <c r="D67" s="458"/>
      <c r="E67" s="458" t="s">
        <v>543</v>
      </c>
      <c r="F67" s="458"/>
      <c r="G67" s="458"/>
      <c r="H67" s="458"/>
      <c r="I67" s="458"/>
    </row>
    <row r="68" spans="1:10" ht="21" x14ac:dyDescent="0.25">
      <c r="B68" s="458"/>
      <c r="C68" s="458"/>
      <c r="D68" s="458"/>
      <c r="E68" s="458" t="s">
        <v>544</v>
      </c>
      <c r="F68" s="458"/>
      <c r="G68" s="458"/>
      <c r="H68" s="458"/>
      <c r="I68" s="458"/>
    </row>
    <row r="69" spans="1:10" ht="21" x14ac:dyDescent="0.25">
      <c r="B69" s="458"/>
      <c r="C69" s="458"/>
      <c r="D69" s="458"/>
      <c r="E69" s="458" t="s">
        <v>545</v>
      </c>
      <c r="F69" s="458"/>
      <c r="G69" s="458"/>
      <c r="H69" s="458"/>
      <c r="I69" s="107"/>
    </row>
    <row r="72" spans="1:10" ht="21" customHeight="1" x14ac:dyDescent="0.25">
      <c r="A72" s="462" t="s">
        <v>546</v>
      </c>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3" t="s">
        <v>10</v>
      </c>
      <c r="D94" s="463"/>
      <c r="E94" s="463"/>
      <c r="F94" s="463"/>
      <c r="G94" s="463"/>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5">Mesures_Ressuage_BCH!A43:A52</f>
        <v xml:space="preserve">Sonde </v>
      </c>
      <c r="D96" s="114" cm="1">
        <f t="array" ref="D96:G105">Mesures_Ressuage_BCH!C43:F52</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19" spans="1:9" ht="21" x14ac:dyDescent="0.3">
      <c r="E119" s="106" t="s">
        <v>178</v>
      </c>
      <c r="F119" s="106"/>
      <c r="G119" s="115">
        <f>Mesures_Ressuage_BCH!$M$43</f>
        <v>0</v>
      </c>
    </row>
    <row r="120" spans="1:9" ht="21" x14ac:dyDescent="0.3">
      <c r="B120" s="116" t="s">
        <v>179</v>
      </c>
      <c r="C120" s="106" t="s">
        <v>180</v>
      </c>
      <c r="E120" s="106" t="s">
        <v>181</v>
      </c>
      <c r="F120" s="106"/>
      <c r="G120" s="115">
        <f>Mesures_Ressuage_BCH!$N$43</f>
        <v>0</v>
      </c>
    </row>
    <row r="121" spans="1:9" ht="21" x14ac:dyDescent="0.25">
      <c r="B121" s="116" t="s">
        <v>182</v>
      </c>
      <c r="C121" s="109" t="s">
        <v>183</v>
      </c>
      <c r="E121" s="106" t="s">
        <v>184</v>
      </c>
      <c r="F121" s="106"/>
      <c r="G121" s="117">
        <f>Mesures_Ressuage_BCH!$O$43</f>
        <v>0</v>
      </c>
    </row>
    <row r="122" spans="1:9" ht="21" x14ac:dyDescent="0.35">
      <c r="B122" s="118" t="s">
        <v>185</v>
      </c>
      <c r="C122" s="119" t="s">
        <v>186</v>
      </c>
      <c r="E122" s="106" t="s">
        <v>187</v>
      </c>
      <c r="F122" s="106"/>
      <c r="G122" s="120" t="str">
        <f>"±" &amp;  Mesures_Ressuage_BCH!C21 &amp; "°C"</f>
        <v>±°C</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316</v>
      </c>
      <c r="D163" s="461"/>
      <c r="E163" s="461"/>
      <c r="F163" s="461"/>
      <c r="G163" s="461"/>
      <c r="H163" s="461"/>
    </row>
    <row r="167" spans="1:8" x14ac:dyDescent="0.25">
      <c r="A167" s="121" t="str" cm="1">
        <f t="array" ref="A167:C177">Mesures_Ressuage_BCH!A23:C33</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96" spans="1:9" ht="36" x14ac:dyDescent="0.25">
      <c r="C196" s="461" t="str">
        <f>"6. Résultats et exploitation des résultats à " &amp; Mesures_Ressuage_BCH!$B$18 &amp; "°C"</f>
        <v>6. Résultats et exploitation des résultats à °C</v>
      </c>
      <c r="D196" s="461"/>
      <c r="E196" s="461"/>
      <c r="F196" s="461"/>
      <c r="G196" s="461"/>
      <c r="H196" s="461"/>
    </row>
    <row r="199" spans="1:9" x14ac:dyDescent="0.25">
      <c r="A199" s="128" t="str" cm="1">
        <f t="array" ref="A199:B199">Mesures_Ressuage_BCH!A18:B18</f>
        <v>Consignes</v>
      </c>
      <c r="B199" s="129">
        <v>0</v>
      </c>
    </row>
    <row r="200" spans="1:9" x14ac:dyDescent="0.25">
      <c r="G200" s="465" t="s">
        <v>190</v>
      </c>
      <c r="H200" s="466"/>
      <c r="I200" s="467"/>
    </row>
    <row r="201" spans="1:9" x14ac:dyDescent="0.25">
      <c r="B201" s="128" t="str" cm="1">
        <f t="array" ref="B201:C202">Mesures_Ressuage_BCH!B20:C21</f>
        <v xml:space="preserve">TUS </v>
      </c>
      <c r="C201" s="128" t="str">
        <v>SAT</v>
      </c>
      <c r="G201" s="22" t="s">
        <v>191</v>
      </c>
      <c r="H201" s="22" t="s">
        <v>192</v>
      </c>
      <c r="I201" s="22" t="s">
        <v>193</v>
      </c>
    </row>
    <row r="202" spans="1:9" x14ac:dyDescent="0.25">
      <c r="A202" s="128" t="str">
        <f>Mesures_Ressuage_BCH!A21</f>
        <v>Tolérances +/-</v>
      </c>
      <c r="B202" s="129">
        <v>0</v>
      </c>
      <c r="C202" s="129">
        <v>0</v>
      </c>
      <c r="G202" s="124" t="e" cm="1">
        <f t="array" ref="G202">INDEX(Valeurs_Brutes_Ressuage_BCH[Date/Heure], COUNTA(Valeurs_Brutes_Ressuage_BCH[Connecteur 1])-30)</f>
        <v>#VALUE!</v>
      </c>
      <c r="H202" s="124" cm="1">
        <f t="array" ref="H202">INDEX(Valeurs_Brutes_Ressuage_BCH[Date/Heure], COUNTA(Valeurs_Brutes_Ressuage_BCH[Connecteur 1]))</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°C</v>
      </c>
      <c r="D209" s="129" t="s">
        <v>200</v>
      </c>
      <c r="E209" s="129" t="s">
        <v>200</v>
      </c>
      <c r="F209" s="130" t="s">
        <v>200</v>
      </c>
    </row>
    <row r="210" spans="1:6" x14ac:dyDescent="0.25">
      <c r="B210" s="128" t="s">
        <v>201</v>
      </c>
      <c r="C210" s="129" t="str">
        <f>B200 &amp; "°C"</f>
        <v>°C</v>
      </c>
      <c r="D210" s="129" t="s">
        <v>200</v>
      </c>
      <c r="E210" s="129" t="s">
        <v>200</v>
      </c>
      <c r="F210" s="130" t="s">
        <v>200</v>
      </c>
    </row>
    <row r="211" spans="1:6" ht="15" customHeight="1" x14ac:dyDescent="0.25">
      <c r="A211" s="469" t="s">
        <v>202</v>
      </c>
      <c r="B211" s="128" t="s">
        <v>203</v>
      </c>
      <c r="C211" s="131" t="e">
        <f ca="1">MAX(Ressuage_BCH!C16:L16)</f>
        <v>#REF!</v>
      </c>
      <c r="D211" s="129" t="e">
        <f ca="1">_xlfn.XLOOKUP(INT(SUBSTITUTE(E211,"Connecteur ","")),Mesures_Ressuage_BCH!$C$24:$C$33,Mesures_Ressuage_BCH!$A$24:$A$33)</f>
        <v>#REF!</v>
      </c>
      <c r="E211" s="129" t="e" cm="1">
        <f t="array" aca="1" ref="E211" ca="1">_xlfn.XLOOKUP(C211,Ressuage_BCH!C16:L16,_xlfn.ANCHORARRAY(Ressuage_BCH!C14))</f>
        <v>#REF!</v>
      </c>
      <c r="F211" s="129" t="e">
        <f ca="1">_xlfn.XLOOKUP(INT(SUBSTITUTE(E211,"Connecteur ","")),Mesures_Ressuage_BCH!$C$24:$C$33,Mesures_Ressuage_BCH!$B$24:$B$33)</f>
        <v>#REF!</v>
      </c>
    </row>
    <row r="212" spans="1:6" x14ac:dyDescent="0.25">
      <c r="A212" s="469"/>
      <c r="B212" s="128" t="s">
        <v>204</v>
      </c>
      <c r="C212" s="131" t="e">
        <f ca="1">MIN(Ressuage_BCH!C16:L16)</f>
        <v>#REF!</v>
      </c>
      <c r="D212" s="129" t="e">
        <f ca="1">_xlfn.XLOOKUP(INT(SUBSTITUTE(E212,"Connecteur ","")),Mesures_Ressuage_BCH!$C$24:$C$33,Mesures_Ressuage_BCH!$A$24:$A$33)</f>
        <v>#REF!</v>
      </c>
      <c r="E212" s="129" t="e" cm="1">
        <f t="array" aca="1" ref="E212" ca="1">_xlfn.XLOOKUP(C212,Ressuage_BCH!C16:L16,_xlfn.ANCHORARRAY(Ressuage_BCH!C14))</f>
        <v>#REF!</v>
      </c>
      <c r="F212" s="130" t="e">
        <f ca="1">_xlfn.XLOOKUP(INT(SUBSTITUTE(E212,"Connecteur ","")),Mesures_Ressuage_BCH!$C$24:$C$33,Mesures_Ressuage_BCH!$B$24:$B$33)</f>
        <v>#REF!</v>
      </c>
    </row>
    <row r="213" spans="1:6" ht="34.5" customHeight="1" x14ac:dyDescent="0.25">
      <c r="A213" s="469"/>
      <c r="B213" s="128" t="s">
        <v>205</v>
      </c>
      <c r="C213" s="131" t="e">
        <f ca="1">MIN(Ressuage_BCH!C17:L17)</f>
        <v>#REF!</v>
      </c>
      <c r="D213" s="129" t="e">
        <f ca="1">_xlfn.XLOOKUP(INT(SUBSTITUTE(E213,"Connecteur ","")),Mesures_Ressuage_BCH!$C$24:$C$33,Mesures_Ressuage_BCH!$A$24:$A$33)</f>
        <v>#REF!</v>
      </c>
      <c r="E213" s="129" t="e" cm="1">
        <f t="array" aca="1" ref="E213" ca="1">_xlfn.XLOOKUP(C213,Ressuage_BCH!C17:L17,_xlfn.ANCHORARRAY(Ressuage_BCH!C14))</f>
        <v>#REF!</v>
      </c>
      <c r="F213" s="130" t="e">
        <f ca="1">_xlfn.XLOOKUP(INT(SUBSTITUTE(E213,"Connecteur ","")),Mesures_Ressuage_BCH!$C$24:$C$33,Mesures_Ressuage_BCH!$B$24:$B$33)</f>
        <v>#REF!</v>
      </c>
    </row>
    <row r="214" spans="1:6" x14ac:dyDescent="0.25">
      <c r="A214" s="469"/>
      <c r="B214" s="128" t="s">
        <v>206</v>
      </c>
      <c r="C214" s="131" t="e">
        <f ca="1">Ressuage_BCH!C21</f>
        <v>#REF!</v>
      </c>
      <c r="D214" s="129" t="s">
        <v>200</v>
      </c>
      <c r="E214" s="129" t="s">
        <v>200</v>
      </c>
      <c r="F214" s="130" t="s">
        <v>200</v>
      </c>
    </row>
    <row r="215" spans="1:6" x14ac:dyDescent="0.25">
      <c r="C215" s="88"/>
      <c r="D215" s="88"/>
      <c r="E215" s="88"/>
      <c r="F215" s="88"/>
    </row>
    <row r="226" spans="2:9" ht="36" x14ac:dyDescent="0.25">
      <c r="B226" s="461" t="str">
        <f>"7. Résultats et exploitation des résultats à " &amp; Mesures_Ressuage_BCH!$B$18 &amp; "°C"</f>
        <v>7.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3">Mesures_Ressuage_BCH!$A$24:$C$33</f>
        <v>1</v>
      </c>
      <c r="D234" s="38">
        <v>0</v>
      </c>
      <c r="E234" s="38">
        <v>0</v>
      </c>
      <c r="F234" s="133" t="e" cm="1">
        <f t="array" ref="F234">_xlfn.XLOOKUP(SUBSTITUTE(Ressuage_PV_BCH!E234,Ressuage_PV_BCH!E234,"Connecteur " &amp; Ressuage_PV_BCH!E234),_xlfn.ANCHORARRAY(Ressuage_BCH!C14),Ressuage_BCH!C17:L17)</f>
        <v>#N/A</v>
      </c>
      <c r="G234" s="133" t="e" cm="1">
        <f t="array" ref="G234">_xlfn.XLOOKUP(SUBSTITUTE(Ressuage_PV_BCH!E234,Ressuage_PV_BCH!E234,"Connecteur " &amp; Ressuage_PV_BCH!E234),_xlfn.ANCHORARRAY(Ressuage_BCH!C14),Ressuage_BCH!C16:L16)</f>
        <v>#N/A</v>
      </c>
      <c r="H234" s="133" t="e" cm="1">
        <f t="array" ref="H234">_xlfn.XLOOKUP(SUBSTITUTE(Ressuage_PV_BCH!E234,Ressuage_PV_BCH!E234,"Connecteur " &amp; Ressuage_PV_BCH!E234),_xlfn.ANCHORARRAY(Ressuage_BCH!C14),Ressuage_BCH!C18:L18)</f>
        <v>#N/A</v>
      </c>
      <c r="I234" s="133" t="e" cm="1">
        <f t="array" ref="I234">_xlfn.XLOOKUP(SUBSTITUTE(Ressuage_PV_BCH!E234,Ressuage_PV_BCH!E234,"Connecteur " &amp; Ressuage_PV_BCH!E234),_xlfn.ANCHORARRAY(Ressuage_BCH!C14),Ressuage_BCH!C19:L19)</f>
        <v>#N/A</v>
      </c>
    </row>
    <row r="235" spans="2:9" x14ac:dyDescent="0.25">
      <c r="C235" s="38">
        <v>2</v>
      </c>
      <c r="D235" s="38">
        <v>0</v>
      </c>
      <c r="E235" s="38">
        <v>0</v>
      </c>
      <c r="F235" s="133" t="e" cm="1">
        <f t="array" ref="F235">_xlfn.XLOOKUP(SUBSTITUTE(Ressuage_PV_BCH!E235,Ressuage_PV_BCH!E235,"Connecteur " &amp; Ressuage_PV_BCH!E235),_xlfn.ANCHORARRAY(Ressuage_BCH!C14),Ressuage_BCH!C17:L17)</f>
        <v>#N/A</v>
      </c>
      <c r="G235" s="133" t="e" cm="1">
        <f t="array" ref="G235">_xlfn.XLOOKUP(SUBSTITUTE(Ressuage_PV_BCH!E235,Ressuage_PV_BCH!E235,"Connecteur " &amp; Ressuage_PV_BCH!E235),_xlfn.ANCHORARRAY(Ressuage_BCH!C14),Ressuage_BCH!C16:L16)</f>
        <v>#N/A</v>
      </c>
      <c r="H235" s="133" t="e" cm="1">
        <f t="array" ref="H235">_xlfn.XLOOKUP(SUBSTITUTE(Ressuage_PV_BCH!E235,Ressuage_PV_BCH!E235,"Connecteur " &amp; Ressuage_PV_BCH!E235),_xlfn.ANCHORARRAY(Ressuage_BCH!C14),Ressuage_BCH!C18:L18)</f>
        <v>#N/A</v>
      </c>
      <c r="I235" s="133" t="e" cm="1">
        <f t="array" ref="I235">_xlfn.XLOOKUP(SUBSTITUTE(Ressuage_PV_BCH!E235,Ressuage_PV_BCH!E235,"Connecteur " &amp; Ressuage_PV_BCH!E235),_xlfn.ANCHORARRAY(Ressuage_BCH!C14),Ressuage_BCH!C19:L19)</f>
        <v>#N/A</v>
      </c>
    </row>
    <row r="236" spans="2:9" x14ac:dyDescent="0.25">
      <c r="C236" s="38">
        <v>3</v>
      </c>
      <c r="D236" s="38">
        <v>0</v>
      </c>
      <c r="E236" s="38">
        <v>0</v>
      </c>
      <c r="F236" s="133" t="e" cm="1">
        <f t="array" ref="F236">_xlfn.XLOOKUP(SUBSTITUTE(Ressuage_PV_BCH!E236,Ressuage_PV_BCH!E236,"Connecteur " &amp; Ressuage_PV_BCH!E236),_xlfn.ANCHORARRAY(Ressuage_BCH!C14),Ressuage_BCH!C17:L17)</f>
        <v>#N/A</v>
      </c>
      <c r="G236" s="133" t="e" cm="1">
        <f t="array" ref="G236">_xlfn.XLOOKUP(SUBSTITUTE(Ressuage_PV_BCH!E236,Ressuage_PV_BCH!E236,"Connecteur " &amp; Ressuage_PV_BCH!E236),_xlfn.ANCHORARRAY(Ressuage_BCH!C14),Ressuage_BCH!C16:L16)</f>
        <v>#N/A</v>
      </c>
      <c r="H236" s="133" t="e" cm="1">
        <f t="array" ref="H236">_xlfn.XLOOKUP(SUBSTITUTE(Ressuage_PV_BCH!E236,Ressuage_PV_BCH!E236,"Connecteur " &amp; Ressuage_PV_BCH!E236),_xlfn.ANCHORARRAY(Ressuage_BCH!C14),Ressuage_BCH!C18:L18)</f>
        <v>#N/A</v>
      </c>
      <c r="I236" s="133" t="e" cm="1">
        <f t="array" ref="I236">_xlfn.XLOOKUP(SUBSTITUTE(Ressuage_PV_BCH!E236,Ressuage_PV_BCH!E236,"Connecteur " &amp; Ressuage_PV_BCH!E236),_xlfn.ANCHORARRAY(Ressuage_BCH!C14),Ressuage_BCH!C19:L19)</f>
        <v>#N/A</v>
      </c>
    </row>
    <row r="237" spans="2:9" x14ac:dyDescent="0.25">
      <c r="C237" s="38">
        <v>4</v>
      </c>
      <c r="D237" s="38">
        <v>0</v>
      </c>
      <c r="E237" s="38">
        <v>0</v>
      </c>
      <c r="F237" s="133" t="e" cm="1">
        <f t="array" ref="F237">_xlfn.XLOOKUP(SUBSTITUTE(Ressuage_PV_BCH!E237,Ressuage_PV_BCH!E237,"Connecteur " &amp; Ressuage_PV_BCH!E237),_xlfn.ANCHORARRAY(Ressuage_BCH!C14),Ressuage_BCH!C17:L17)</f>
        <v>#N/A</v>
      </c>
      <c r="G237" s="133" t="e" cm="1">
        <f t="array" ref="G237">_xlfn.XLOOKUP(SUBSTITUTE(Ressuage_PV_BCH!E237,Ressuage_PV_BCH!E237,"Connecteur " &amp; Ressuage_PV_BCH!E237),_xlfn.ANCHORARRAY(Ressuage_BCH!C14),Ressuage_BCH!C16:L16)</f>
        <v>#N/A</v>
      </c>
      <c r="H237" s="133" t="e" cm="1">
        <f t="array" ref="H237">_xlfn.XLOOKUP(SUBSTITUTE(Ressuage_PV_BCH!E237,Ressuage_PV_BCH!E237,"Connecteur " &amp; Ressuage_PV_BCH!E237),_xlfn.ANCHORARRAY(Ressuage_BCH!C14),Ressuage_BCH!C18:L18)</f>
        <v>#N/A</v>
      </c>
      <c r="I237" s="133" t="e" cm="1">
        <f t="array" ref="I237">_xlfn.XLOOKUP(SUBSTITUTE(Ressuage_PV_BCH!E237,Ressuage_PV_BCH!E237,"Connecteur " &amp; Ressuage_PV_BCH!E237),_xlfn.ANCHORARRAY(Ressuage_BCH!C14),Ressuage_BCH!C19:L19)</f>
        <v>#N/A</v>
      </c>
    </row>
    <row r="238" spans="2:9" x14ac:dyDescent="0.25">
      <c r="C238" s="38">
        <v>5</v>
      </c>
      <c r="D238" s="38">
        <v>0</v>
      </c>
      <c r="E238" s="38">
        <v>0</v>
      </c>
      <c r="F238" s="133" t="e" cm="1">
        <f t="array" ref="F238">_xlfn.XLOOKUP(SUBSTITUTE(Ressuage_PV_BCH!E238,Ressuage_PV_BCH!E238,"Connecteur " &amp; Ressuage_PV_BCH!E238),_xlfn.ANCHORARRAY(Ressuage_BCH!C14),Ressuage_BCH!C17:L17)</f>
        <v>#N/A</v>
      </c>
      <c r="G238" s="133" t="e" cm="1">
        <f t="array" ref="G238">_xlfn.XLOOKUP(SUBSTITUTE(Ressuage_PV_BCH!E238,Ressuage_PV_BCH!E238,"Connecteur "&amp;Ressuage_PV_BCH!E238),_xlfn.ANCHORARRAY(Ressuage_BCH!C14),Ressuage_BCH!C16:L16)</f>
        <v>#N/A</v>
      </c>
      <c r="H238" s="133" t="e" cm="1">
        <f t="array" ref="H238">_xlfn.XLOOKUP(SUBSTITUTE(Ressuage_PV_BCH!E238,Ressuage_PV_BCH!E238,"Connecteur " &amp; Ressuage_PV_BCH!E238),_xlfn.ANCHORARRAY(Ressuage_BCH!C14),Ressuage_BCH!C18:L18)</f>
        <v>#N/A</v>
      </c>
      <c r="I238" s="133" t="e" cm="1">
        <f t="array" ref="I238">_xlfn.XLOOKUP(SUBSTITUTE(Ressuage_PV_BCH!E238,Ressuage_PV_BCH!E238,"Connecteur " &amp; Ressuage_PV_BCH!E238),_xlfn.ANCHORARRAY(Ressuage_BCH!C14),Ressuage_BCH!C19:L19)</f>
        <v>#N/A</v>
      </c>
    </row>
    <row r="239" spans="2:9" x14ac:dyDescent="0.25">
      <c r="C239" s="38">
        <v>6</v>
      </c>
      <c r="D239" s="38">
        <v>0</v>
      </c>
      <c r="E239" s="38">
        <v>0</v>
      </c>
      <c r="F239" s="133" t="e" cm="1">
        <f t="array" ref="F239">_xlfn.XLOOKUP(SUBSTITUTE(Ressuage_PV_BCH!E239,Ressuage_PV_BCH!E239,"Connecteur " &amp; Ressuage_PV_BCH!E239),_xlfn.ANCHORARRAY(Ressuage_BCH!C14),Ressuage_BCH!C17:L17)</f>
        <v>#N/A</v>
      </c>
      <c r="G239" s="133" t="e" cm="1">
        <f t="array" ref="G239">_xlfn.XLOOKUP(SUBSTITUTE(Ressuage_PV_BCH!E239,Ressuage_PV_BCH!E239,"Connecteur " &amp; Ressuage_PV_BCH!E239),_xlfn.ANCHORARRAY(Ressuage_BCH!C14),Ressuage_BCH!C16:L16)</f>
        <v>#N/A</v>
      </c>
      <c r="H239" s="133" t="e" cm="1">
        <f t="array" ref="H239">_xlfn.XLOOKUP(SUBSTITUTE(Ressuage_PV_BCH!E239,Ressuage_PV_BCH!E239,"Connecteur " &amp; Ressuage_PV_BCH!E239),_xlfn.ANCHORARRAY(Ressuage_BCH!C14),Ressuage_BCH!C18:L18)</f>
        <v>#N/A</v>
      </c>
      <c r="I239" s="133" t="e" cm="1">
        <f t="array" ref="I239">_xlfn.XLOOKUP(SUBSTITUTE(Ressuage_PV_BCH!E239,Ressuage_PV_BCH!E239,"Connecteur " &amp; Ressuage_PV_BCH!E239),_xlfn.ANCHORARRAY(Ressuage_BCH!C14),Ressuage_BCH!C19:L19)</f>
        <v>#N/A</v>
      </c>
    </row>
    <row r="240" spans="2:9" x14ac:dyDescent="0.25">
      <c r="C240" s="38">
        <v>7</v>
      </c>
      <c r="D240" s="38">
        <v>0</v>
      </c>
      <c r="E240" s="38">
        <v>0</v>
      </c>
      <c r="F240" s="133" t="e" cm="1">
        <f t="array" ref="F240">_xlfn.XLOOKUP(SUBSTITUTE(Ressuage_PV_BCH!E240,Ressuage_PV_BCH!E240,"Connecteur " &amp; Ressuage_PV_BCH!E240),_xlfn.ANCHORARRAY(Ressuage_BCH!C14),Ressuage_BCH!C17:L17)</f>
        <v>#N/A</v>
      </c>
      <c r="G240" s="133" t="e" cm="1">
        <f t="array" ref="G240">_xlfn.XLOOKUP(SUBSTITUTE(Ressuage_PV_BCH!E240,Ressuage_PV_BCH!E240,"Connecteur " &amp; Ressuage_PV_BCH!E240),_xlfn.ANCHORARRAY(Ressuage_BCH!C14),Ressuage_BCH!C16:L16)</f>
        <v>#N/A</v>
      </c>
      <c r="H240" s="133" t="e" cm="1">
        <f t="array" ref="H240">_xlfn.XLOOKUP(SUBSTITUTE(Ressuage_PV_BCH!E240,Ressuage_PV_BCH!E240,"Connecteur " &amp; Ressuage_PV_BCH!E240),_xlfn.ANCHORARRAY(Ressuage_BCH!C14),Ressuage_BCH!C18:L18)</f>
        <v>#N/A</v>
      </c>
      <c r="I240" s="133" t="e" cm="1">
        <f t="array" ref="I240">_xlfn.XLOOKUP(SUBSTITUTE(Ressuage_PV_BCH!E240,Ressuage_PV_BCH!E240,"Connecteur " &amp; Ressuage_PV_BCH!E240),_xlfn.ANCHORARRAY(Ressuage_BCH!C14),Ressuage_BCH!C19:L19)</f>
        <v>#N/A</v>
      </c>
    </row>
    <row r="241" spans="2:9" x14ac:dyDescent="0.25">
      <c r="C241" s="38">
        <v>8</v>
      </c>
      <c r="D241" s="38">
        <v>0</v>
      </c>
      <c r="E241" s="38">
        <v>0</v>
      </c>
      <c r="F241" s="133" t="e" cm="1">
        <f t="array" ref="F241">_xlfn.XLOOKUP(SUBSTITUTE(Ressuage_PV_BCH!E241,Ressuage_PV_BCH!E241,"Connecteur " &amp; Ressuage_PV_BCH!E241),_xlfn.ANCHORARRAY(Ressuage_BCH!C14),Ressuage_BCH!C17:L17)</f>
        <v>#N/A</v>
      </c>
      <c r="G241" s="133" t="e" cm="1">
        <f t="array" ref="G241">_xlfn.XLOOKUP(SUBSTITUTE(Ressuage_PV_BCH!E241,Ressuage_PV_BCH!E241,"Connecteur " &amp; Ressuage_PV_BCH!E241),_xlfn.ANCHORARRAY(Ressuage_BCH!C14),Ressuage_BCH!C16:L16)</f>
        <v>#N/A</v>
      </c>
      <c r="H241" s="133" t="e" cm="1">
        <f t="array" ref="H241">_xlfn.XLOOKUP(SUBSTITUTE(Ressuage_PV_BCH!E241,Ressuage_PV_BCH!E241,"Connecteur " &amp; Ressuage_PV_BCH!E241),_xlfn.ANCHORARRAY(Ressuage_BCH!C14),Ressuage_BCH!C18:L18)</f>
        <v>#N/A</v>
      </c>
      <c r="I241" s="133" t="e" cm="1">
        <f t="array" ref="I241">_xlfn.XLOOKUP(SUBSTITUTE(Ressuage_PV_BCH!E241,Ressuage_PV_BCH!E241,"Connecteur " &amp; Ressuage_PV_BCH!E241),_xlfn.ANCHORARRAY(Ressuage_BCH!C14),Ressuage_BCH!C19:L19)</f>
        <v>#N/A</v>
      </c>
    </row>
    <row r="242" spans="2:9" x14ac:dyDescent="0.25">
      <c r="C242" s="38">
        <v>9</v>
      </c>
      <c r="D242" s="38">
        <v>0</v>
      </c>
      <c r="E242" s="38">
        <v>0</v>
      </c>
      <c r="F242" s="133" t="e" cm="1">
        <f t="array" ref="F242">_xlfn.XLOOKUP(SUBSTITUTE(Ressuage_PV_BCH!E242,Ressuage_PV_BCH!E242,"Connecteur " &amp; Ressuage_PV_BCH!E242),_xlfn.ANCHORARRAY(Ressuage_BCH!C14),Ressuage_BCH!C17:L17)</f>
        <v>#N/A</v>
      </c>
      <c r="G242" s="133" t="e" cm="1">
        <f t="array" ref="G242">_xlfn.XLOOKUP(SUBSTITUTE(Ressuage_PV_BCH!E242,Ressuage_PV_BCH!E242,"Connecteur " &amp; Ressuage_PV_BCH!E242),_xlfn.ANCHORARRAY(Ressuage_BCH!C14),Ressuage_BCH!C16:L16)</f>
        <v>#N/A</v>
      </c>
      <c r="H242" s="133" t="e" cm="1">
        <f t="array" ref="H242">_xlfn.XLOOKUP(SUBSTITUTE(Ressuage_PV_BCH!E242,Ressuage_PV_BCH!E242,"Connecteur " &amp; Ressuage_PV_BCH!E242),_xlfn.ANCHORARRAY(Ressuage_BCH!C14),Ressuage_BCH!C18:L18)</f>
        <v>#N/A</v>
      </c>
      <c r="I242" s="133" t="e" cm="1">
        <f t="array" ref="I242">_xlfn.XLOOKUP(SUBSTITUTE(Ressuage_PV_BCH!E242,Ressuage_PV_BCH!E242,"Connecteur " &amp; Ressuage_PV_BCH!E242),_xlfn.ANCHORARRAY(Ressuage_BCH!C14),Ressuage_BCH!C19:L19)</f>
        <v>#N/A</v>
      </c>
    </row>
    <row r="243" spans="2:9" x14ac:dyDescent="0.25">
      <c r="C243" s="38">
        <v>10</v>
      </c>
      <c r="D243" s="38">
        <v>0</v>
      </c>
      <c r="E243" s="38">
        <v>0</v>
      </c>
      <c r="F243" s="133" t="e" cm="1">
        <f t="array" ref="F243">_xlfn.XLOOKUP(SUBSTITUTE(Ressuage_PV_BCH!E243,Ressuage_PV_BCH!E243,"Connecteur " &amp; Ressuage_PV_BCH!E243),_xlfn.ANCHORARRAY(Ressuage_BCH!C14),Ressuage_BCH!C17:L17)</f>
        <v>#N/A</v>
      </c>
      <c r="G243" s="133" t="e" cm="1">
        <f t="array" ref="G243">_xlfn.XLOOKUP(SUBSTITUTE(Ressuage_PV_BCH!E243,Ressuage_PV_BCH!E243,"Connecteur " &amp; Ressuage_PV_BCH!E243),_xlfn.ANCHORARRAY(Ressuage_BCH!C14),Ressuage_BCH!C16:L16)</f>
        <v>#N/A</v>
      </c>
      <c r="H243" s="133" t="e" cm="1">
        <f t="array" ref="H243">_xlfn.XLOOKUP(SUBSTITUTE(Ressuage_PV_BCH!E243,Ressuage_PV_BCH!E243,"Connecteur " &amp; Ressuage_PV_BCH!E243),_xlfn.ANCHORARRAY(Ressuage_BCH!C14),Ressuage_BCH!C18:L18)</f>
        <v>#N/A</v>
      </c>
      <c r="I243" s="133" t="e" cm="1">
        <f t="array" ref="I243">_xlfn.XLOOKUP(SUBSTITUTE(Ressuage_PV_BCH!E243,Ressuage_PV_BCH!E243,"Connecteur " &amp; Ressuage_PV_BCH!E243),_xlfn.ANCHORARRAY(Ressuage_BCH!C14),Ressuage_BCH!C19:L19)</f>
        <v>#N/A</v>
      </c>
    </row>
    <row r="252" spans="2:9" x14ac:dyDescent="0.25">
      <c r="B252" s="134"/>
    </row>
    <row r="254" spans="2:9" ht="36" x14ac:dyDescent="0.3">
      <c r="C254" s="135" t="str">
        <f>"8. Résultats et exploitation des résultats à " &amp; Mesures_Ressuage_BCH!B18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547</v>
      </c>
      <c r="C297" s="474"/>
      <c r="D297" s="474"/>
      <c r="E297" s="474"/>
      <c r="F297" s="137" t="e">
        <f ca="1">IF(OR(AVERAGE(Ressuage_BCH!C16:L16)&gt;Ressuage_BCH!M16,AVERAGE(Ressuage_BCH!C17:L17)&lt;Ressuage_BCH!M17),"NON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128" t="str">
        <f>Mesures_Ressuage_BCH!$B$18 &amp; "°C"</f>
        <v>°C</v>
      </c>
    </row>
    <row r="304" spans="2:8" x14ac:dyDescent="0.25">
      <c r="C304" s="470" t="s">
        <v>216</v>
      </c>
      <c r="D304" s="470"/>
      <c r="E304" s="141">
        <f>Mesures_Ressuage_BCH!$B$18</f>
        <v>0</v>
      </c>
    </row>
    <row r="305" spans="3:5" x14ac:dyDescent="0.25">
      <c r="C305" s="470" t="s">
        <v>217</v>
      </c>
      <c r="D305" s="470"/>
      <c r="E305" s="133" t="e">
        <f ca="1">Ressuage_BCH!C20</f>
        <v>#REF!</v>
      </c>
    </row>
    <row r="306" spans="3:5" x14ac:dyDescent="0.25">
      <c r="C306" s="470" t="s">
        <v>218</v>
      </c>
      <c r="D306" s="470"/>
      <c r="E306" s="38" t="str">
        <f>"±" &amp; Mesures_Ressuage_BCH!$B$21</f>
        <v>±</v>
      </c>
    </row>
    <row r="307" spans="3:5" x14ac:dyDescent="0.25">
      <c r="C307" s="471" t="s">
        <v>317</v>
      </c>
      <c r="D307" s="472"/>
      <c r="E307" s="38" t="e">
        <f ca="1">IF(MIN(Ressuage_BCH!$C$17:$L$17)&lt;Ressuage_BCH!$M$17,"NON CONFORME","CONFORME")</f>
        <v>#REF!</v>
      </c>
    </row>
    <row r="308" spans="3:5" x14ac:dyDescent="0.25">
      <c r="C308" s="471" t="s">
        <v>318</v>
      </c>
      <c r="D308" s="472"/>
      <c r="E308" s="38" t="e">
        <f ca="1">IF(MAX(Ressuage_BCH!$C$16:$L$16)&lt;Ressuage_BCH!$M$17,"NON CONFORME","CONFORME")</f>
        <v>#REF!</v>
      </c>
    </row>
    <row r="309" spans="3:5" x14ac:dyDescent="0.25">
      <c r="C309" s="471" t="s">
        <v>241</v>
      </c>
      <c r="D309" s="472"/>
      <c r="E309" s="38" t="e">
        <f ca="1">IF(F297="CONFORME","OUI","NON")</f>
        <v>#REF!</v>
      </c>
    </row>
  </sheetData>
  <sheetProtection algorithmName="SHA-512" hashValue="Adk8hKwSw1v6wF1bcjO2arYA2C82g02FhoQ2EmiDQesOQvQh+hkhTuxFCN/fX3UOf1oAIMuiAQ54v6r1L+d5lQ==" saltValue="OdJaBkayYVFCOiKDcvB4CQ==" spinCount="100000" sheet="1" objects="1" scenarios="1"/>
  <mergeCells count="40">
    <mergeCell ref="C306:D306"/>
    <mergeCell ref="C309:D309"/>
    <mergeCell ref="B229:C229"/>
    <mergeCell ref="F232:I232"/>
    <mergeCell ref="G293:H293"/>
    <mergeCell ref="B297:E298"/>
    <mergeCell ref="C304:D304"/>
    <mergeCell ref="C305:D305"/>
    <mergeCell ref="C307:D307"/>
    <mergeCell ref="C308:D308"/>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E61:G61"/>
    <mergeCell ref="B62:D62"/>
  </mergeCells>
  <conditionalFormatting sqref="F297">
    <cfRule type="containsText" dxfId="62" priority="1" operator="containsText" text="NON CONFORME">
      <formula>NOT(ISERROR(SEARCH("NON CONFORME",F297)))</formula>
    </cfRule>
    <cfRule type="containsText" dxfId="6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 SAT de la cabine de ressuage BCH)</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topLeftCell="A16" zoomScale="60" zoomScaleNormal="100" workbookViewId="0">
      <selection activeCell="D28" sqref="D28"/>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287</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t="s">
        <v>288</v>
      </c>
      <c r="B4" s="52"/>
      <c r="C4" s="52"/>
      <c r="D4" s="52"/>
      <c r="E4" s="52"/>
      <c r="F4" s="52"/>
      <c r="G4" s="52"/>
      <c r="H4" s="52"/>
      <c r="I4" s="52"/>
    </row>
    <row r="5" spans="1:13" x14ac:dyDescent="0.25">
      <c r="A5" t="s">
        <v>289</v>
      </c>
      <c r="B5" s="52"/>
      <c r="C5" s="52"/>
      <c r="D5" s="52"/>
      <c r="E5" s="52"/>
      <c r="F5" s="52"/>
      <c r="G5" s="52"/>
      <c r="H5" s="52"/>
      <c r="I5" s="52"/>
    </row>
    <row r="6" spans="1:13" x14ac:dyDescent="0.25">
      <c r="A6" t="s">
        <v>290</v>
      </c>
      <c r="B6" s="52"/>
      <c r="C6" s="52"/>
      <c r="D6" s="52"/>
      <c r="E6" s="52"/>
      <c r="F6" s="52"/>
      <c r="G6" s="52"/>
      <c r="H6" s="52"/>
      <c r="I6" s="52"/>
    </row>
    <row r="8" spans="1:13" x14ac:dyDescent="0.25">
      <c r="A8" s="479" t="s">
        <v>105</v>
      </c>
      <c r="B8" s="479"/>
      <c r="C8" s="479"/>
      <c r="D8" s="479"/>
      <c r="E8" s="479"/>
      <c r="F8" s="479"/>
      <c r="G8" s="479"/>
      <c r="H8" s="479"/>
      <c r="I8" s="479"/>
    </row>
    <row r="9" spans="1:13" x14ac:dyDescent="0.25">
      <c r="A9" s="52"/>
    </row>
    <row r="10" spans="1:13" x14ac:dyDescent="0.25">
      <c r="A10" s="52" t="s">
        <v>291</v>
      </c>
    </row>
    <row r="12" spans="1:13" x14ac:dyDescent="0.25">
      <c r="B12" s="179" t="s">
        <v>195</v>
      </c>
      <c r="C12" s="179" t="s">
        <v>293</v>
      </c>
    </row>
    <row r="13" spans="1:13" x14ac:dyDescent="0.25">
      <c r="B13" s="180" t="s">
        <v>292</v>
      </c>
      <c r="C13" s="180">
        <f>Mesures_Ressuage_BCH!P43</f>
        <v>0</v>
      </c>
      <c r="E13" s="49" t="s">
        <v>299</v>
      </c>
      <c r="H13" s="180" t="e">
        <f>AVERAGE(Mesures_Ressuage_BCH!D24:D33)</f>
        <v>#DIV/0!</v>
      </c>
    </row>
    <row r="14" spans="1:13" x14ac:dyDescent="0.25">
      <c r="B14" s="180" t="str">
        <f>"Sonde TUS N°" &amp; Mesures_Ressuage_BCH!B33</f>
        <v>Sonde TUS N°</v>
      </c>
      <c r="C14" s="180">
        <f>Mesures_Ressuage_BCH!C52</f>
        <v>0</v>
      </c>
      <c r="E14" s="49" t="s">
        <v>300</v>
      </c>
      <c r="H14" s="180">
        <f>Mesures_Ressuage_BCH!E33</f>
        <v>0</v>
      </c>
    </row>
    <row r="16" spans="1:13" x14ac:dyDescent="0.25">
      <c r="A16" s="49" t="s">
        <v>294</v>
      </c>
    </row>
    <row r="18" spans="1:9" x14ac:dyDescent="0.25">
      <c r="B18" s="179" t="s">
        <v>295</v>
      </c>
      <c r="C18" s="179" t="s">
        <v>296</v>
      </c>
    </row>
    <row r="19" spans="1:9" x14ac:dyDescent="0.25">
      <c r="B19" s="180" t="s">
        <v>297</v>
      </c>
      <c r="C19" s="180">
        <f>Mesures_Ressuage_BCH!N49</f>
        <v>0</v>
      </c>
      <c r="E19" s="27" t="s">
        <v>301</v>
      </c>
      <c r="H19" s="180">
        <f>Mesures_Ressuage_BCH!O49</f>
        <v>0</v>
      </c>
    </row>
    <row r="23" spans="1:9" x14ac:dyDescent="0.25">
      <c r="A23" s="49" t="str">
        <f>"Température : " &amp; Mesures_Ressuage_BCH!B18 &amp; "°C"</f>
        <v>Température : °C</v>
      </c>
      <c r="B23" s="49" t="str">
        <f>"Critère d'acceptation : +/- " &amp; Mesures_Ressuage_BCH!C21 &amp; "°C"</f>
        <v>Critère d'acceptation : +/- °C</v>
      </c>
    </row>
    <row r="25" spans="1:9" ht="16.5" thickBot="1" x14ac:dyDescent="0.3"/>
    <row r="26" spans="1:9" x14ac:dyDescent="0.25">
      <c r="A26" s="475" t="s">
        <v>303</v>
      </c>
      <c r="B26" s="476"/>
      <c r="C26" s="476"/>
      <c r="D26" s="476"/>
      <c r="E26" s="476"/>
      <c r="F26" s="476"/>
      <c r="G26" s="476"/>
      <c r="H26" s="476"/>
      <c r="I26" s="181" t="s">
        <v>309</v>
      </c>
    </row>
    <row r="27" spans="1:9" ht="47.25" x14ac:dyDescent="0.25">
      <c r="A27" s="182" t="s">
        <v>36</v>
      </c>
      <c r="B27" s="179" t="s">
        <v>304</v>
      </c>
      <c r="C27" s="179" t="s">
        <v>305</v>
      </c>
      <c r="D27" s="179" t="s">
        <v>306</v>
      </c>
      <c r="E27" s="69" t="s">
        <v>307</v>
      </c>
      <c r="F27" s="179" t="s">
        <v>308</v>
      </c>
      <c r="G27" s="69" t="s">
        <v>310</v>
      </c>
      <c r="H27" s="179" t="s">
        <v>311</v>
      </c>
      <c r="I27" s="183" t="s">
        <v>131</v>
      </c>
    </row>
    <row r="28" spans="1:9" ht="33.75" customHeight="1" thickBot="1" x14ac:dyDescent="0.3">
      <c r="A28" s="187">
        <f>Ressuage_BCH!test_propagation</f>
        <v>0</v>
      </c>
      <c r="B28" s="185">
        <f>Mesures_Ressuage_BCH!C12</f>
        <v>0</v>
      </c>
      <c r="C28" s="186">
        <f>Mesures_Ressuage_BCH!B33</f>
        <v>0</v>
      </c>
      <c r="D28" s="81" t="e" cm="1">
        <f t="array" ref="D28">_xlfn.XLOOKUP(Mesures_Ressuage_BCH!C33,INT(SUBSTITUTE(Ressuage_BCH!C10:L10,"Connecteur ","")),Ressuage_BCH!C18:L18-Verif_periodique_Ressuage_BCH!H13-Verif_periodique_Ressuage_BCH!H14)</f>
        <v>#N/A</v>
      </c>
      <c r="E28" s="81" t="e">
        <f>D28+H13+H14</f>
        <v>#N/A</v>
      </c>
      <c r="F28" s="76">
        <f>Mesures_Ressuage_BCH!M49</f>
        <v>0</v>
      </c>
      <c r="G28" s="76">
        <f>F28+H19</f>
        <v>0</v>
      </c>
      <c r="H28" s="81" t="e">
        <f>G28-E28</f>
        <v>#N/A</v>
      </c>
      <c r="I28" s="184" t="e">
        <f>IF(OR(H28&lt;5,H28&gt;5),"CONFORME","NON CONFORME")</f>
        <v>#N/A</v>
      </c>
    </row>
  </sheetData>
  <sheetProtection algorithmName="SHA-512" hashValue="60rJ6ygsBxAG5hCVnqkzppAXq7M+aEBlUCyLtpmfdE7r/9RtyvgSOF7Pdoq/Qj4o1vZ4rz9aVoe264Vqi3LBjQ==" saltValue="4dnX51lznZV4SijPejG9JQ==" spinCount="100000" sheet="1" objects="1" scenarios="1"/>
  <mergeCells count="4">
    <mergeCell ref="A26:H26"/>
    <mergeCell ref="B1:I1"/>
    <mergeCell ref="A3:I3"/>
    <mergeCell ref="A8:I8"/>
  </mergeCells>
  <conditionalFormatting sqref="I28">
    <cfRule type="containsText" dxfId="60" priority="1" operator="containsText" text="NON CONFORME">
      <formula>NOT(ISERROR(SEARCH("NON CONFORME",I28)))</formula>
    </cfRule>
    <cfRule type="containsText" dxfId="59" priority="2" operator="containsText" text="CONFORME">
      <formula>NOT(ISERROR(SEARCH("CONFORME",I28)))</formula>
    </cfRule>
  </conditionalFormatting>
  <pageMargins left="0.7" right="0.7" top="0.75" bottom="0.75" header="0.3" footer="0.3"/>
  <pageSetup paperSize="9" scale="25" orientation="portrait" r:id="rId1"/>
  <headerFooter>
    <oddFooter>&amp;RIMP 472 ind O du 07/02/2024 (PV/ SAT de la cabine de ressuage BCH)</oddFooter>
  </headerFooter>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4"/>
  <sheetViews>
    <sheetView zoomScaleNormal="100" workbookViewId="0">
      <selection activeCell="D6" sqref="D6"/>
    </sheetView>
  </sheetViews>
  <sheetFormatPr baseColWidth="10" defaultRowHeight="15" x14ac:dyDescent="0.25"/>
  <cols>
    <col min="1" max="1" width="15.8554687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325"/>
      <c r="B1" s="1"/>
      <c r="C1" s="1"/>
      <c r="D1" s="1"/>
      <c r="E1" s="1"/>
      <c r="F1" s="1"/>
      <c r="G1" s="1"/>
      <c r="H1" s="1"/>
      <c r="I1" s="1"/>
      <c r="J1" s="1"/>
      <c r="K1" s="1"/>
      <c r="L1" s="1"/>
      <c r="M1" s="1"/>
      <c r="N1" s="1"/>
      <c r="O1" s="1"/>
    </row>
    <row r="2" spans="1:16" ht="15" customHeight="1" x14ac:dyDescent="0.25">
      <c r="A2" s="1"/>
      <c r="B2" s="445" t="s">
        <v>11</v>
      </c>
      <c r="C2" s="446"/>
      <c r="D2" s="446"/>
      <c r="E2" s="446"/>
      <c r="F2" s="446"/>
      <c r="G2" s="446"/>
      <c r="H2" s="446"/>
      <c r="I2" s="446"/>
      <c r="J2" s="446"/>
      <c r="K2" s="446"/>
      <c r="L2" s="1"/>
      <c r="M2" s="1"/>
      <c r="N2" s="1"/>
      <c r="O2" s="1"/>
    </row>
    <row r="3" spans="1:16" ht="67.5" customHeight="1" x14ac:dyDescent="0.25">
      <c r="A3" s="1"/>
      <c r="B3" s="446"/>
      <c r="C3" s="446"/>
      <c r="D3" s="446"/>
      <c r="E3" s="446"/>
      <c r="F3" s="446"/>
      <c r="G3" s="446"/>
      <c r="H3" s="446"/>
      <c r="I3" s="446"/>
      <c r="J3" s="446"/>
      <c r="K3" s="446"/>
      <c r="L3" s="1"/>
      <c r="M3" s="1"/>
      <c r="N3" s="1"/>
      <c r="O3" s="1"/>
    </row>
    <row r="4" spans="1:16" ht="59.25" customHeight="1" x14ac:dyDescent="0.25">
      <c r="A4" s="1"/>
      <c r="B4" s="2"/>
      <c r="C4" s="2"/>
      <c r="D4" s="2"/>
      <c r="E4" s="2"/>
      <c r="F4" s="2"/>
      <c r="G4" s="2"/>
      <c r="H4" s="2"/>
      <c r="I4" s="2"/>
      <c r="J4" s="2"/>
      <c r="K4" s="2"/>
      <c r="L4" s="1"/>
      <c r="M4" s="1"/>
      <c r="N4" s="1"/>
      <c r="O4" s="1"/>
    </row>
    <row r="5" spans="1:16" ht="13.5" customHeight="1" x14ac:dyDescent="0.25">
      <c r="A5" s="447" t="s">
        <v>537</v>
      </c>
      <c r="B5" s="447"/>
      <c r="C5" s="447"/>
      <c r="D5" s="162" t="str">
        <f>Choose_TUS!L2 &amp; "(PV/SAT du Congélateur)"</f>
        <v>IMP 472 ind O du 07-02-2024 (PV/SAT du Congélateur)</v>
      </c>
      <c r="E5" s="2"/>
      <c r="F5" s="2"/>
      <c r="G5" s="2"/>
      <c r="H5" s="2"/>
      <c r="I5" s="2"/>
      <c r="J5" s="2"/>
      <c r="K5" s="2"/>
      <c r="L5" s="1"/>
      <c r="M5" s="1"/>
      <c r="N5" s="1"/>
      <c r="O5" s="1"/>
    </row>
    <row r="6" spans="1:16" x14ac:dyDescent="0.25">
      <c r="A6" s="447" t="s">
        <v>0</v>
      </c>
      <c r="B6" s="447"/>
      <c r="C6" s="447"/>
      <c r="D6" s="162"/>
      <c r="E6" s="1"/>
      <c r="F6" s="1"/>
      <c r="G6" s="1"/>
      <c r="H6" s="1"/>
      <c r="I6" s="1"/>
      <c r="J6" s="1"/>
      <c r="K6" s="1"/>
      <c r="L6" s="1"/>
      <c r="M6" s="1"/>
      <c r="N6" s="1"/>
      <c r="O6" s="24"/>
    </row>
    <row r="7" spans="1:16" x14ac:dyDescent="0.25">
      <c r="A7" s="1"/>
      <c r="B7" s="1"/>
      <c r="C7" s="1"/>
      <c r="D7" s="1"/>
      <c r="E7" s="1"/>
      <c r="F7" s="1"/>
      <c r="G7" s="1"/>
      <c r="H7" s="1"/>
      <c r="I7" s="1"/>
      <c r="J7" s="1"/>
      <c r="K7" s="1"/>
      <c r="L7" s="1"/>
      <c r="M7" s="1"/>
      <c r="N7" s="1"/>
      <c r="O7" s="1"/>
      <c r="P7" s="24"/>
    </row>
    <row r="8" spans="1:16" x14ac:dyDescent="0.25">
      <c r="A8" s="447" t="s">
        <v>1</v>
      </c>
      <c r="B8" s="447"/>
      <c r="C8" s="4"/>
      <c r="D8" s="1"/>
      <c r="E8" s="447" t="s">
        <v>18</v>
      </c>
      <c r="F8" s="447"/>
      <c r="G8" s="4"/>
      <c r="H8" s="1"/>
      <c r="I8" s="1"/>
      <c r="J8" s="1"/>
      <c r="K8" s="1"/>
      <c r="L8" s="1"/>
      <c r="M8" s="1"/>
      <c r="N8" s="1"/>
      <c r="O8" s="5"/>
    </row>
    <row r="9" spans="1:16" x14ac:dyDescent="0.25">
      <c r="A9" s="447" t="s">
        <v>2</v>
      </c>
      <c r="B9" s="447"/>
      <c r="C9" s="6"/>
      <c r="D9" s="1"/>
      <c r="E9" s="447" t="s">
        <v>19</v>
      </c>
      <c r="F9" s="447"/>
      <c r="G9" s="6"/>
      <c r="H9" s="1"/>
      <c r="I9" s="1"/>
      <c r="J9" s="1"/>
      <c r="K9" s="1"/>
      <c r="L9" s="1"/>
      <c r="M9" s="1"/>
      <c r="N9" s="1"/>
      <c r="O9" s="5"/>
    </row>
    <row r="10" spans="1:16" x14ac:dyDescent="0.25">
      <c r="A10" s="1"/>
      <c r="B10" s="1"/>
      <c r="C10" s="1"/>
      <c r="D10" s="1"/>
      <c r="E10" s="1"/>
      <c r="F10" s="1"/>
      <c r="G10" s="1"/>
      <c r="H10" s="1"/>
      <c r="I10" s="1"/>
      <c r="J10" s="1"/>
      <c r="K10" s="1"/>
      <c r="L10" s="1"/>
      <c r="M10" s="1"/>
      <c r="N10" s="1"/>
      <c r="O10" s="5"/>
    </row>
    <row r="11" spans="1:16" x14ac:dyDescent="0.25">
      <c r="A11" s="443" t="s">
        <v>3</v>
      </c>
      <c r="B11" s="444"/>
      <c r="C11" s="7"/>
      <c r="D11" s="1"/>
      <c r="E11" s="443" t="s">
        <v>20</v>
      </c>
      <c r="F11" s="444"/>
      <c r="G11" s="8"/>
      <c r="H11" s="1"/>
      <c r="I11" s="1"/>
      <c r="J11" s="1"/>
      <c r="K11" s="1"/>
      <c r="L11" s="1"/>
      <c r="M11" s="1"/>
      <c r="N11" s="1"/>
      <c r="O11" s="1"/>
    </row>
    <row r="12" spans="1:16" x14ac:dyDescent="0.25">
      <c r="A12" s="443" t="s">
        <v>4</v>
      </c>
      <c r="B12" s="444"/>
      <c r="C12" s="8"/>
      <c r="D12" s="1"/>
      <c r="E12" s="447" t="s">
        <v>21</v>
      </c>
      <c r="F12" s="447"/>
      <c r="G12" s="159">
        <v>9</v>
      </c>
      <c r="H12" s="1"/>
      <c r="I12" s="1"/>
      <c r="J12" s="1"/>
      <c r="K12" s="1"/>
      <c r="L12" s="1"/>
      <c r="M12" s="1"/>
      <c r="N12" s="1"/>
      <c r="O12" s="1"/>
    </row>
    <row r="13" spans="1:16" x14ac:dyDescent="0.25">
      <c r="A13" s="1"/>
      <c r="B13" s="1"/>
      <c r="C13" s="1"/>
      <c r="D13" s="1"/>
      <c r="E13" s="447" t="s">
        <v>22</v>
      </c>
      <c r="F13" s="447"/>
      <c r="G13" s="10"/>
      <c r="H13" s="1"/>
      <c r="I13" s="1"/>
      <c r="J13" s="1"/>
      <c r="K13" s="1"/>
      <c r="L13" s="1"/>
      <c r="M13" s="1"/>
      <c r="N13" s="1"/>
      <c r="O13" s="1"/>
    </row>
    <row r="14" spans="1:16" x14ac:dyDescent="0.25">
      <c r="A14" s="1"/>
      <c r="B14" s="1"/>
      <c r="C14" s="1"/>
      <c r="D14" s="1"/>
      <c r="E14" s="1"/>
      <c r="F14" s="1"/>
      <c r="G14" s="1"/>
      <c r="H14" s="1"/>
      <c r="I14" s="1"/>
      <c r="J14" s="1"/>
      <c r="K14" s="1"/>
      <c r="L14" s="1"/>
      <c r="M14" s="1"/>
      <c r="N14" s="1"/>
      <c r="O14" s="1"/>
    </row>
    <row r="15" spans="1:16" x14ac:dyDescent="0.25">
      <c r="A15" s="443" t="s">
        <v>5</v>
      </c>
      <c r="B15" s="444"/>
      <c r="C15" s="4"/>
      <c r="D15" s="1"/>
      <c r="E15" s="1"/>
      <c r="F15" s="1"/>
      <c r="G15" s="1"/>
      <c r="H15" s="1"/>
      <c r="I15" s="1"/>
      <c r="J15" s="1"/>
      <c r="K15" s="1"/>
      <c r="L15" s="1"/>
      <c r="M15" s="1"/>
      <c r="N15" s="1"/>
      <c r="O15" s="1"/>
    </row>
    <row r="16" spans="1:16"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3" t="s">
        <v>548</v>
      </c>
      <c r="B18" s="1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B20" s="3" t="s">
        <v>550</v>
      </c>
      <c r="C20" s="3" t="s">
        <v>31</v>
      </c>
      <c r="D20" s="1"/>
      <c r="E20" s="1"/>
      <c r="F20" s="1"/>
      <c r="G20" s="1"/>
      <c r="H20" s="1"/>
      <c r="I20" s="1"/>
      <c r="J20" s="1"/>
      <c r="K20" s="1"/>
      <c r="L20" s="1"/>
      <c r="M20" s="1"/>
      <c r="N20" s="1"/>
      <c r="O20" s="1"/>
    </row>
    <row r="21" spans="1:15" x14ac:dyDescent="0.25">
      <c r="A21" s="3" t="s">
        <v>549</v>
      </c>
      <c r="B21" s="11"/>
      <c r="C21" s="1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16</v>
      </c>
      <c r="E23" s="14" t="s">
        <v>23</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9">
        <v>10</v>
      </c>
      <c r="B33" s="11"/>
      <c r="C33" s="11"/>
      <c r="D33" s="174"/>
      <c r="E33" s="174"/>
      <c r="F33" s="1"/>
      <c r="G33" s="1"/>
      <c r="H33" s="1"/>
      <c r="I33" s="1"/>
      <c r="J33" s="1"/>
      <c r="K33" s="1"/>
      <c r="L33" s="1"/>
      <c r="M33" s="1"/>
      <c r="N33" s="1"/>
      <c r="O33" s="1"/>
    </row>
    <row r="34" spans="1:15" x14ac:dyDescent="0.25">
      <c r="A34" s="15">
        <v>11</v>
      </c>
      <c r="B34" s="11"/>
      <c r="C34" s="11"/>
      <c r="D34" s="174"/>
      <c r="E34" s="174"/>
      <c r="F34" s="1"/>
      <c r="G34" s="1"/>
      <c r="H34" s="1"/>
      <c r="I34" s="1"/>
      <c r="J34" s="1"/>
      <c r="K34" s="1"/>
      <c r="L34" s="1"/>
      <c r="M34" s="1"/>
      <c r="N34" s="1"/>
      <c r="O34" s="1"/>
    </row>
    <row r="35" spans="1:15" x14ac:dyDescent="0.25">
      <c r="A35" s="19">
        <v>12</v>
      </c>
      <c r="B35" s="11"/>
      <c r="C35" s="11"/>
      <c r="D35" s="174"/>
      <c r="E35" s="174"/>
      <c r="F35" s="1"/>
      <c r="G35" s="1"/>
      <c r="H35" s="1"/>
      <c r="I35" s="1"/>
      <c r="J35" s="1"/>
      <c r="K35" s="1"/>
      <c r="L35" s="1"/>
      <c r="M35" s="1"/>
      <c r="N35" s="1"/>
      <c r="O35" s="1"/>
    </row>
    <row r="36" spans="1:15" x14ac:dyDescent="0.25">
      <c r="A36" s="1"/>
      <c r="B36" s="160"/>
      <c r="C36" s="160"/>
      <c r="D36" s="160"/>
      <c r="E36" s="160"/>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8" t="s">
        <v>13</v>
      </c>
      <c r="C39" s="448"/>
      <c r="D39" s="1"/>
      <c r="E39" s="1"/>
      <c r="F39" s="1"/>
      <c r="G39" s="1"/>
      <c r="H39" s="1"/>
      <c r="I39" s="1"/>
      <c r="J39" s="1"/>
      <c r="K39" s="1"/>
      <c r="L39" s="448" t="s">
        <v>30</v>
      </c>
      <c r="M39" s="448"/>
      <c r="N39" s="1"/>
      <c r="O39" s="1"/>
    </row>
    <row r="40" spans="1:15" x14ac:dyDescent="0.25">
      <c r="A40" s="1"/>
      <c r="B40" s="1"/>
      <c r="C40" s="1"/>
      <c r="D40" s="1"/>
      <c r="E40" s="1"/>
      <c r="F40" s="1"/>
      <c r="G40" s="1"/>
      <c r="H40" s="1"/>
      <c r="I40" s="1"/>
      <c r="J40" s="1"/>
      <c r="K40" s="1"/>
      <c r="L40" s="1"/>
      <c r="M40" s="1"/>
      <c r="N40" s="1"/>
      <c r="O40" s="1"/>
    </row>
    <row r="41" spans="1:15" x14ac:dyDescent="0.25">
      <c r="A41" s="447" t="s">
        <v>10</v>
      </c>
      <c r="B41" s="447"/>
      <c r="C41" s="449"/>
      <c r="D41" s="449"/>
      <c r="E41" s="449"/>
      <c r="F41" s="450"/>
      <c r="G41" s="1"/>
      <c r="H41" s="1"/>
      <c r="I41" s="1"/>
      <c r="J41" s="1"/>
      <c r="K41" s="447" t="s">
        <v>26</v>
      </c>
      <c r="L41" s="447"/>
      <c r="M41" s="447"/>
      <c r="N41" s="447"/>
      <c r="O41" s="447"/>
    </row>
    <row r="42" spans="1:15" ht="45" x14ac:dyDescent="0.25">
      <c r="A42" s="447"/>
      <c r="B42" s="447"/>
      <c r="C42" s="3" t="s">
        <v>15</v>
      </c>
      <c r="D42" s="20" t="s">
        <v>17</v>
      </c>
      <c r="E42" s="20" t="s">
        <v>24</v>
      </c>
      <c r="F42" s="20" t="s">
        <v>25</v>
      </c>
      <c r="G42" s="1"/>
      <c r="H42" s="1"/>
      <c r="I42" s="1"/>
      <c r="J42" s="1"/>
      <c r="K42" s="451"/>
      <c r="L42" s="451"/>
      <c r="M42" s="3" t="s">
        <v>32</v>
      </c>
      <c r="N42" s="3" t="s">
        <v>34</v>
      </c>
      <c r="O42" s="3" t="s">
        <v>35</v>
      </c>
    </row>
    <row r="43" spans="1:15" x14ac:dyDescent="0.25">
      <c r="A43" s="443" t="str">
        <f>CONCATENATE("Sonde ", B24)</f>
        <v xml:space="preserve">Sonde </v>
      </c>
      <c r="B43" s="444"/>
      <c r="C43" s="10"/>
      <c r="D43" s="10"/>
      <c r="E43" s="10"/>
      <c r="F43" s="10"/>
      <c r="G43" s="1"/>
      <c r="H43" s="1"/>
      <c r="I43" s="1"/>
      <c r="J43" s="1"/>
      <c r="K43" s="452" t="s">
        <v>27</v>
      </c>
      <c r="L43" s="453"/>
      <c r="M43" s="10"/>
      <c r="N43" s="10"/>
      <c r="O43" s="10"/>
    </row>
    <row r="44" spans="1:15" x14ac:dyDescent="0.25">
      <c r="A44" s="443" t="str">
        <f t="shared" ref="A44:A54" si="0">"Sonde " &amp; B25</f>
        <v xml:space="preserve">Sonde </v>
      </c>
      <c r="B44" s="444"/>
      <c r="C44" s="10"/>
      <c r="D44" s="10"/>
      <c r="E44" s="10"/>
      <c r="F44" s="10"/>
      <c r="G44" s="1"/>
      <c r="H44" s="1"/>
      <c r="I44" s="1"/>
      <c r="J44" s="1"/>
      <c r="K44" s="1"/>
      <c r="L44" s="1"/>
      <c r="M44" s="1"/>
      <c r="N44" s="1"/>
      <c r="O44" s="1"/>
    </row>
    <row r="45" spans="1:15" x14ac:dyDescent="0.25">
      <c r="A45" s="443" t="str">
        <f>"Sonde " &amp; B26</f>
        <v xml:space="preserve">Sonde </v>
      </c>
      <c r="B45" s="444"/>
      <c r="C45" s="10"/>
      <c r="D45" s="10"/>
      <c r="E45" s="10"/>
      <c r="F45" s="10"/>
      <c r="G45" s="1"/>
      <c r="H45" s="1"/>
      <c r="I45" s="1"/>
      <c r="J45" s="1"/>
      <c r="K45" s="1"/>
      <c r="L45" s="1"/>
      <c r="M45" s="1"/>
      <c r="N45" s="1"/>
      <c r="O45" s="1"/>
    </row>
    <row r="46" spans="1:15" x14ac:dyDescent="0.25">
      <c r="A46" s="443" t="str">
        <f t="shared" si="0"/>
        <v xml:space="preserve">Sonde </v>
      </c>
      <c r="B46" s="444"/>
      <c r="C46" s="10"/>
      <c r="D46" s="10"/>
      <c r="E46" s="10"/>
      <c r="F46" s="10"/>
      <c r="G46" s="1"/>
      <c r="H46" s="1"/>
      <c r="I46" s="1"/>
      <c r="J46" s="1"/>
      <c r="K46" s="1"/>
      <c r="L46" s="1"/>
      <c r="M46" s="1"/>
      <c r="N46" s="1"/>
      <c r="O46" s="1"/>
    </row>
    <row r="47" spans="1:15" ht="26.25" x14ac:dyDescent="0.25">
      <c r="A47" s="443" t="str">
        <f t="shared" si="0"/>
        <v xml:space="preserve">Sonde </v>
      </c>
      <c r="B47" s="444"/>
      <c r="C47" s="10"/>
      <c r="D47" s="10"/>
      <c r="E47" s="10"/>
      <c r="F47" s="10"/>
      <c r="G47" s="1"/>
      <c r="H47" s="1"/>
      <c r="I47" s="1"/>
      <c r="J47" s="1"/>
      <c r="K47" s="1"/>
      <c r="L47" s="448" t="s">
        <v>31</v>
      </c>
      <c r="M47" s="448"/>
      <c r="N47" s="1"/>
      <c r="O47" s="1"/>
    </row>
    <row r="48" spans="1:15" ht="45" x14ac:dyDescent="0.25">
      <c r="A48" s="443" t="str">
        <f t="shared" si="0"/>
        <v xml:space="preserve">Sonde </v>
      </c>
      <c r="B48" s="444"/>
      <c r="C48" s="10"/>
      <c r="D48" s="10"/>
      <c r="E48" s="10"/>
      <c r="F48" s="10"/>
      <c r="G48" s="1"/>
      <c r="H48" s="1"/>
      <c r="I48" s="1"/>
      <c r="J48" s="1"/>
      <c r="K48" s="1"/>
      <c r="L48" s="1"/>
      <c r="M48" s="21" t="s">
        <v>33</v>
      </c>
      <c r="N48" s="21" t="s">
        <v>15</v>
      </c>
      <c r="O48" s="21" t="s">
        <v>302</v>
      </c>
    </row>
    <row r="49" spans="1:15" x14ac:dyDescent="0.25">
      <c r="A49" s="443" t="str">
        <f t="shared" si="0"/>
        <v xml:space="preserve">Sonde </v>
      </c>
      <c r="B49" s="444"/>
      <c r="C49" s="10"/>
      <c r="D49" s="10"/>
      <c r="E49" s="10"/>
      <c r="F49" s="10"/>
      <c r="G49" s="1"/>
      <c r="H49" s="1"/>
      <c r="I49" s="1"/>
      <c r="J49" s="1"/>
      <c r="K49" s="480" t="s">
        <v>28</v>
      </c>
      <c r="L49" s="481"/>
      <c r="M49" s="10"/>
      <c r="N49" s="10"/>
      <c r="O49" s="10"/>
    </row>
    <row r="50" spans="1:15" x14ac:dyDescent="0.25">
      <c r="A50" s="443" t="str">
        <f t="shared" si="0"/>
        <v xml:space="preserve">Sonde </v>
      </c>
      <c r="B50" s="444"/>
      <c r="C50" s="10"/>
      <c r="D50" s="10"/>
      <c r="E50" s="10"/>
      <c r="F50" s="10"/>
      <c r="G50" s="1"/>
      <c r="H50" s="1"/>
      <c r="I50" s="1"/>
      <c r="J50" s="1"/>
      <c r="K50" s="455" t="s">
        <v>29</v>
      </c>
      <c r="L50" s="455"/>
      <c r="M50" s="10"/>
      <c r="N50" s="10"/>
      <c r="O50" s="10"/>
    </row>
    <row r="51" spans="1:15" x14ac:dyDescent="0.25">
      <c r="A51" s="443" t="str">
        <f t="shared" si="0"/>
        <v xml:space="preserve">Sonde </v>
      </c>
      <c r="B51" s="444"/>
      <c r="C51" s="10"/>
      <c r="D51" s="10"/>
      <c r="E51" s="10"/>
      <c r="F51" s="10"/>
      <c r="G51" s="1"/>
      <c r="H51" s="1"/>
      <c r="I51" s="1"/>
      <c r="J51" s="1"/>
      <c r="K51" s="455" t="s">
        <v>30</v>
      </c>
      <c r="L51" s="455"/>
      <c r="M51" s="10"/>
      <c r="N51" s="10"/>
      <c r="O51" s="10"/>
    </row>
    <row r="52" spans="1:15" x14ac:dyDescent="0.25">
      <c r="A52" s="443" t="str">
        <f t="shared" si="0"/>
        <v xml:space="preserve">Sonde </v>
      </c>
      <c r="B52" s="444"/>
      <c r="C52" s="10"/>
      <c r="D52" s="10"/>
      <c r="E52" s="10"/>
      <c r="F52" s="10"/>
      <c r="G52" s="1"/>
      <c r="H52" s="1"/>
      <c r="I52" s="1"/>
      <c r="J52" s="1"/>
      <c r="K52" s="1"/>
      <c r="L52" s="1"/>
      <c r="M52" s="1"/>
      <c r="N52" s="1"/>
      <c r="O52" s="1"/>
    </row>
    <row r="53" spans="1:15" x14ac:dyDescent="0.25">
      <c r="A53" s="443" t="str">
        <f t="shared" si="0"/>
        <v xml:space="preserve">Sonde </v>
      </c>
      <c r="B53" s="444"/>
      <c r="C53" s="10"/>
      <c r="D53" s="10"/>
      <c r="E53" s="10"/>
      <c r="F53" s="10"/>
      <c r="G53" s="1"/>
      <c r="H53" s="1"/>
      <c r="I53" s="1"/>
      <c r="J53" s="1"/>
      <c r="K53" s="1"/>
      <c r="L53" s="1"/>
      <c r="M53" s="1"/>
      <c r="N53" s="1"/>
      <c r="O53" s="1"/>
    </row>
    <row r="54" spans="1:15" x14ac:dyDescent="0.25">
      <c r="A54" s="443" t="str">
        <f t="shared" si="0"/>
        <v xml:space="preserve">Sonde </v>
      </c>
      <c r="B54" s="444"/>
      <c r="C54" s="10"/>
      <c r="D54" s="10"/>
      <c r="E54" s="10"/>
      <c r="F54" s="10"/>
      <c r="G54" s="1"/>
      <c r="H54" s="1"/>
      <c r="I54" s="1"/>
      <c r="J54" s="1"/>
      <c r="K54" s="1"/>
      <c r="L54" s="1"/>
      <c r="M54" s="1"/>
      <c r="N54" s="1"/>
      <c r="O54" s="1"/>
    </row>
  </sheetData>
  <sheetProtection algorithmName="SHA-512" hashValue="Y2/BBJCNx83QbLG+ER+TpwEiooYKda2niZPIqxfJtrg8yp1I1awvi5aALp5JYNSBUNTOWVTuYP6OVD6D1C+uMQ==" saltValue="WzHroJrEceoOyErpECKZuQ==" spinCount="100000" sheet="1" objects="1" scenarios="1"/>
  <protectedRanges>
    <protectedRange sqref="C11" name="Donnees controleur_8"/>
  </protectedRanges>
  <dataConsolidate/>
  <mergeCells count="37">
    <mergeCell ref="A15:B15"/>
    <mergeCell ref="B2:K3"/>
    <mergeCell ref="A6:C6"/>
    <mergeCell ref="A8:B8"/>
    <mergeCell ref="E8:F8"/>
    <mergeCell ref="A9:B9"/>
    <mergeCell ref="E9:F9"/>
    <mergeCell ref="A11:B11"/>
    <mergeCell ref="E11:F11"/>
    <mergeCell ref="A12:B12"/>
    <mergeCell ref="E12:F12"/>
    <mergeCell ref="E13:F13"/>
    <mergeCell ref="A5:C5"/>
    <mergeCell ref="A47:B47"/>
    <mergeCell ref="L47:M47"/>
    <mergeCell ref="A16:B16"/>
    <mergeCell ref="B39:C39"/>
    <mergeCell ref="L39:M39"/>
    <mergeCell ref="A41:F41"/>
    <mergeCell ref="K41:O41"/>
    <mergeCell ref="A42:B42"/>
    <mergeCell ref="K42:L42"/>
    <mergeCell ref="A43:B43"/>
    <mergeCell ref="K43:L43"/>
    <mergeCell ref="A44:B44"/>
    <mergeCell ref="A45:B45"/>
    <mergeCell ref="A46:B46"/>
    <mergeCell ref="K49:L49"/>
    <mergeCell ref="A50:B50"/>
    <mergeCell ref="K50:L50"/>
    <mergeCell ref="A51:B51"/>
    <mergeCell ref="K51:L51"/>
    <mergeCell ref="A52:B52"/>
    <mergeCell ref="A53:B53"/>
    <mergeCell ref="A54:B54"/>
    <mergeCell ref="A48:B48"/>
    <mergeCell ref="A49:B49"/>
  </mergeCells>
  <conditionalFormatting sqref="A1:O19 B20:O20 A21:O47 A48:L49 A50:O54">
    <cfRule type="expression" dxfId="58" priority="3">
      <formula>AND(NOT(CELL("protege", A1)), A1="")</formula>
    </cfRule>
  </conditionalFormatting>
  <conditionalFormatting sqref="M48:O48">
    <cfRule type="expression" dxfId="57" priority="2">
      <formula>AND(NOT(CELL("protege", M48)), M48="")</formula>
    </cfRule>
  </conditionalFormatting>
  <conditionalFormatting sqref="M49:O49">
    <cfRule type="expression" dxfId="56" priority="1">
      <formula>AND(NOT(CELL("protege", M49)), M49="")</formula>
    </cfRule>
  </conditionalFormatting>
  <dataValidations disablePrompts="1" count="3">
    <dataValidation type="list" showErrorMessage="1" promptTitle="Périodicité" prompt="Veuillez choisir" sqref="C16" xr:uid="{281236F4-D248-4C76-B8CF-13F98E53320A}">
      <formula1>" ,Annuelle,Trimestrielle,Mensuelle"</formula1>
    </dataValidation>
    <dataValidation type="list" showInputMessage="1" showErrorMessage="1" sqref="D17:D18" xr:uid="{142C8FB2-7426-4351-8774-C88B6624DBDF}">
      <formula1>$C$16:$C$18</formula1>
    </dataValidation>
    <dataValidation type="list" allowBlank="1" showInputMessage="1" showErrorMessage="1" sqref="C11" xr:uid="{57573DB8-0398-4CEC-BD8E-E6237B56B594}">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alisation_TUS_Congel">
                <anchor moveWithCells="1" sizeWithCells="1">
                  <from>
                    <xdr:col>8</xdr:col>
                    <xdr:colOff>428625</xdr:colOff>
                    <xdr:row>6</xdr:row>
                    <xdr:rowOff>95250</xdr:rowOff>
                  </from>
                  <to>
                    <xdr:col>12</xdr:col>
                    <xdr:colOff>904875</xdr:colOff>
                    <xdr:row>13</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workbookViewId="0">
      <selection activeCell="A2" sqref="A2"/>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nDDeR6y4vd068m+usURiw9dRAZ9sOlj2vTQCS82iPY+xuFOIGxtEp6NhB/EtoS+3gU7C/9wvu8M7gEYkx6uuoQ==" saltValue="mXuihzl79nlxRd7dBbddKw=="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12C3C-926A-4992-939C-EDE01CF5F620}">
  <sheetPr codeName="Feuil46">
    <tabColor theme="8" tint="0.39997558519241921"/>
  </sheetPr>
  <dimension ref="A1:S25"/>
  <sheetViews>
    <sheetView topLeftCell="A19" workbookViewId="0">
      <selection activeCell="A9" sqref="A9:N9"/>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456" t="str">
        <f>Mesures_Congel!B18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","")),Mesures_Congel!C24:C35,Mesures_Congel!D24:D35)</f>
        <v>#N/A</v>
      </c>
      <c r="D5" s="35" t="e">
        <f>_xlfn.XLOOKUP(INT(SUBSTITUTE(D14,"Connecteur ","")),Mesures_Congel!C24:C35,Mesures_Congel!D24:D35)</f>
        <v>#N/A</v>
      </c>
      <c r="E5" s="35" t="e">
        <f>_xlfn.XLOOKUP(INT(SUBSTITUTE(E14,"Connecteur ","")),Mesures_Congel!C24:C35,Mesures_Congel!D24:D35)</f>
        <v>#N/A</v>
      </c>
      <c r="F5" s="35" t="e">
        <f>_xlfn.XLOOKUP(INT(SUBSTITUTE(F14,"Connecteur ","")),Mesures_Congel!C24:C35,Mesures_Congel!D24:D35)</f>
        <v>#N/A</v>
      </c>
      <c r="G5" s="35" t="e">
        <f>_xlfn.XLOOKUP(INT(SUBSTITUTE(G14,"Connecteur ","")),Mesures_Congel!C24:C35,Mesures_Congel!D24:D35)</f>
        <v>#N/A</v>
      </c>
      <c r="H5" s="35" t="e">
        <f>_xlfn.XLOOKUP(INT(SUBSTITUTE(H14,"Connecteur ","")),Mesures_Congel!C24:C35,Mesures_Congel!D24:D35)</f>
        <v>#N/A</v>
      </c>
      <c r="I5" s="35" t="e">
        <f>_xlfn.XLOOKUP(INT(SUBSTITUTE(I14,"Connecteur ","")),Mesures_Congel!C24:C35,Mesures_Congel!D24:D35)</f>
        <v>#N/A</v>
      </c>
      <c r="J5" s="35" t="e">
        <f>_xlfn.XLOOKUP(INT(SUBSTITUTE(J14,"Connecteur ","")),Mesures_Congel!C24:C35,Mesures_Congel!D24:D35)</f>
        <v>#N/A</v>
      </c>
      <c r="K5" s="35" t="e">
        <f>_xlfn.XLOOKUP(INT(SUBSTITUTE(K14,"Connecteur ","")),Mesures_Congel!C24:C35,Mesures_Congel!D24:D35)</f>
        <v>#N/A</v>
      </c>
      <c r="L5" s="35" t="e">
        <f>_xlfn.XLOOKUP(INT(SUBSTITUTE(L14,"Connecteur ","")),Mesures_Congel!C24:C35,Mesures_Congel!D24:D35)</f>
        <v>#N/A</v>
      </c>
      <c r="M5" s="35" t="e">
        <f>_xlfn.XLOOKUP(INT(SUBSTITUTE(M14,"Connecteur ","")),Mesures_Congel!C24:C35,Mesures_Congel!D24:D35)</f>
        <v>#N/A</v>
      </c>
      <c r="N5" s="35" t="e">
        <f>_xlfn.XLOOKUP(INT(SUBSTITUTE(N14,"Connecteur ","")),Mesures_Congel!C24:C35,Mesures_Congel!D24:D35)</f>
        <v>#N/A</v>
      </c>
      <c r="P5" s="33"/>
    </row>
    <row r="6" spans="1:19" s="27" customFormat="1" x14ac:dyDescent="0.25">
      <c r="B6" s="34" t="s">
        <v>87</v>
      </c>
      <c r="C6" s="35" t="e">
        <f>_xlfn.XLOOKUP(INT(SUBSTITUTE(C14,"Connecteur ","")),Mesures_Congel!C24:C35,Mesures_Congel!E24:E35)</f>
        <v>#N/A</v>
      </c>
      <c r="D6" s="35" t="e">
        <f>_xlfn.XLOOKUP(INT(SUBSTITUTE(D14,"Connecteur ","")),Mesures_Congel!C24:C35,Mesures_Congel!E24:E35)</f>
        <v>#N/A</v>
      </c>
      <c r="E6" s="35" t="e">
        <f>_xlfn.XLOOKUP(INT(SUBSTITUTE(E14,"Connecteur ","")),Mesures_Congel!C24:C35,Mesures_Congel!E24:E35)</f>
        <v>#N/A</v>
      </c>
      <c r="F6" s="35" t="e">
        <f>_xlfn.XLOOKUP(INT(SUBSTITUTE(F14,"Connecteur ","")),Mesures_Congel!C24:C35,Mesures_Congel!E24:E35)</f>
        <v>#N/A</v>
      </c>
      <c r="G6" s="35" t="e">
        <f>_xlfn.XLOOKUP(INT(SUBSTITUTE(G14,"Connecteur ","")),Mesures_Congel!C24:C35,Mesures_Congel!E24:E35)</f>
        <v>#N/A</v>
      </c>
      <c r="H6" s="35" t="e">
        <f>_xlfn.XLOOKUP(INT(SUBSTITUTE(H14,"Connecteur ","")),Mesures_Congel!C24:C35,Mesures_Congel!E24:E35)</f>
        <v>#N/A</v>
      </c>
      <c r="I6" s="35" t="e">
        <f>_xlfn.XLOOKUP(INT(SUBSTITUTE(I14,"Connecteur ","")),Mesures_Congel!C24:C35,Mesures_Congel!E24:E35)</f>
        <v>#N/A</v>
      </c>
      <c r="J6" s="35" t="e">
        <f>_xlfn.XLOOKUP(INT(SUBSTITUTE(J14,"Connecteur ","")),Mesures_Congel!C24:C35,Mesures_Congel!E24:E35)</f>
        <v>#N/A</v>
      </c>
      <c r="K6" s="35" t="e">
        <f>_xlfn.XLOOKUP(INT(SUBSTITUTE(K14,"Connecteur ","")),Mesures_Congel!C24:C35,Mesures_Congel!E24:E35)</f>
        <v>#N/A</v>
      </c>
      <c r="L6" s="35" t="e">
        <f>_xlfn.XLOOKUP(INT(SUBSTITUTE(L14,"Connecteur ","")),Mesures_Congel!C24:C35,Mesures_Congel!E24:E35)</f>
        <v>#N/A</v>
      </c>
      <c r="M6" s="35" t="e">
        <f>_xlfn.XLOOKUP(INT(SUBSTITUTE(M14,"Connecteur ","")),Mesures_Congel!C24:C35,Mesures_Congel!E24:E35)</f>
        <v>#N/A</v>
      </c>
      <c r="N6" s="35" t="e">
        <f>_xlfn.XLOOKUP(INT(SUBSTITUTE(N14,"Connecteur ","")),Mesures_Congel!C24:C35,Mesures_Congel!E24:E35)</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3"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2" t="s">
        <v>89</v>
      </c>
      <c r="B12" s="39"/>
      <c r="C12" s="40"/>
      <c r="D12" s="40"/>
      <c r="E12" s="40"/>
      <c r="F12" s="40"/>
      <c r="G12" s="40"/>
      <c r="H12" s="40"/>
      <c r="I12" s="40"/>
      <c r="J12" s="40"/>
      <c r="K12" s="40"/>
      <c r="L12" s="40"/>
      <c r="M12" s="40"/>
      <c r="N12" s="40"/>
      <c r="P12" s="33"/>
    </row>
    <row r="13" spans="1:19" s="457"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R15+Mesures_Congel!B21</f>
        <v>0</v>
      </c>
      <c r="P15" s="33"/>
      <c r="Q15" s="36" t="s">
        <v>7</v>
      </c>
      <c r="R15" s="48">
        <f>Mesures_Congel!B18</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R15+Mesures_Congel!B21</f>
        <v>0</v>
      </c>
      <c r="P16" s="33"/>
      <c r="Q16" s="36" t="s">
        <v>92</v>
      </c>
      <c r="R16" s="35" t="str">
        <f>"+" &amp; Mesures_Congel!B21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Mesures_Congel!B21</f>
        <v>0</v>
      </c>
      <c r="P17" s="33"/>
      <c r="Q17" s="36" t="s">
        <v>94</v>
      </c>
      <c r="R17" s="35" t="str">
        <f>"-" &amp; Mesures_Congel!B21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6" t="e">
        <f ca="1">ABS(MAX(C16:N16)- MIN(C17:N17))</f>
        <v>#REF!</v>
      </c>
      <c r="D20" s="376"/>
      <c r="E20" s="376"/>
      <c r="F20" s="376"/>
      <c r="G20" s="376"/>
      <c r="H20" s="376"/>
      <c r="I20" s="376"/>
      <c r="J20" s="376"/>
      <c r="K20" s="376"/>
      <c r="L20" s="376"/>
      <c r="M20" s="376"/>
      <c r="N20" s="376"/>
      <c r="O20" s="376"/>
      <c r="P20" s="33"/>
    </row>
    <row r="21" spans="2:18" s="27" customFormat="1" x14ac:dyDescent="0.25">
      <c r="B21" s="42" t="s">
        <v>98</v>
      </c>
      <c r="C21" s="376" t="e">
        <f ca="1">AVERAGE(C18:N18)</f>
        <v>#REF!</v>
      </c>
      <c r="D21" s="376"/>
      <c r="E21" s="376"/>
      <c r="F21" s="376"/>
      <c r="G21" s="376"/>
      <c r="H21" s="376"/>
      <c r="I21" s="376"/>
      <c r="J21" s="376"/>
      <c r="K21" s="376"/>
      <c r="L21" s="376"/>
      <c r="M21" s="376"/>
      <c r="N21" s="376"/>
      <c r="O21" s="376"/>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q+7qH/FFfyAiSA3byhBDuYJX9EU+I7VW2ZwrdjKqV02MmoZ0cRxW/BzHqGMt9k2zasG+LAB7KkyC4bSdvdUhYA==" saltValue="QxWiiVgFxoiRyZ/Cfiz1AA==" spinCount="100000" sheet="1" objects="1" scenarios="1"/>
  <dataConsolidate/>
  <mergeCells count="5">
    <mergeCell ref="A1:S3"/>
    <mergeCell ref="A9:N9"/>
    <mergeCell ref="A13:XFD13"/>
    <mergeCell ref="C20:O20"/>
    <mergeCell ref="C21:O21"/>
  </mergeCells>
  <conditionalFormatting sqref="C15:N15">
    <cfRule type="cellIs" dxfId="55" priority="3" operator="greaterThan">
      <formula>$O$15</formula>
    </cfRule>
  </conditionalFormatting>
  <conditionalFormatting sqref="C16:N16">
    <cfRule type="cellIs" dxfId="54" priority="2" operator="greaterThan">
      <formula>$O$16</formula>
    </cfRule>
  </conditionalFormatting>
  <conditionalFormatting sqref="C17:N17">
    <cfRule type="cellIs" dxfId="53" priority="1" operator="lessThan">
      <formula>$O$17</formula>
    </cfRule>
  </conditionalFormatting>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7"/>
  <sheetViews>
    <sheetView view="pageLayout" topLeftCell="A160" zoomScale="70" zoomScaleNormal="60" zoomScaleSheetLayoutView="77" zoomScalePageLayoutView="70" workbookViewId="0">
      <selection activeCell="G202" sqref="G202"/>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438" t="s">
        <v>138</v>
      </c>
      <c r="D10" s="438"/>
      <c r="E10" s="459">
        <f>Mesures_Congel!D6</f>
        <v>0</v>
      </c>
      <c r="F10" s="459"/>
    </row>
    <row r="11" spans="2:9" ht="21" x14ac:dyDescent="0.25">
      <c r="C11" s="89"/>
      <c r="D11" s="89"/>
      <c r="E11" s="90"/>
      <c r="F11" s="90"/>
    </row>
    <row r="12" spans="2:9" x14ac:dyDescent="0.25">
      <c r="C12" s="91" t="s">
        <v>1</v>
      </c>
      <c r="D12" s="92">
        <f>Mesures_Congel!C8</f>
        <v>0</v>
      </c>
      <c r="F12" s="91" t="s">
        <v>18</v>
      </c>
      <c r="G12" s="92">
        <f>Mesures_Congel!G8</f>
        <v>0</v>
      </c>
    </row>
    <row r="13" spans="2:9" ht="15.75" x14ac:dyDescent="0.25">
      <c r="C13" s="93" t="s">
        <v>2</v>
      </c>
      <c r="D13" s="94">
        <f>Mesures_Congel!C9</f>
        <v>0</v>
      </c>
      <c r="F13" s="95" t="s">
        <v>19</v>
      </c>
      <c r="G13" s="94">
        <f>Mesures_Congel!G9</f>
        <v>0</v>
      </c>
    </row>
    <row r="14" spans="2:9" ht="15.75" x14ac:dyDescent="0.25">
      <c r="C14" s="96"/>
      <c r="D14" s="97"/>
      <c r="G14" s="98"/>
    </row>
    <row r="15" spans="2:9" ht="15.75" x14ac:dyDescent="0.25">
      <c r="C15" s="99" t="s">
        <v>139</v>
      </c>
      <c r="D15" s="100">
        <f>Mesures_Congel!C15</f>
        <v>0</v>
      </c>
      <c r="F15" s="91" t="s">
        <v>140</v>
      </c>
      <c r="G15" s="101">
        <f>Mesures_Congel!C16</f>
        <v>0</v>
      </c>
    </row>
    <row r="16" spans="2:9" ht="15.75" x14ac:dyDescent="0.25">
      <c r="C16" s="99" t="s">
        <v>141</v>
      </c>
      <c r="D16" s="102">
        <f>Mesures_Congel!G12</f>
        <v>9</v>
      </c>
      <c r="F16" s="91" t="s">
        <v>142</v>
      </c>
      <c r="G16" s="101">
        <f>Mesures_Congel!G13</f>
        <v>0</v>
      </c>
    </row>
    <row r="17" spans="1:9" ht="15.75" x14ac:dyDescent="0.25">
      <c r="C17" s="96"/>
      <c r="D17" s="97"/>
      <c r="F17" s="96"/>
      <c r="G17" s="27"/>
    </row>
    <row r="18" spans="1:9" ht="15.75" x14ac:dyDescent="0.25">
      <c r="C18" s="99" t="s">
        <v>143</v>
      </c>
      <c r="D18" s="139">
        <f>Mesures_Congel!C12</f>
        <v>0</v>
      </c>
      <c r="F18" s="91" t="s">
        <v>144</v>
      </c>
      <c r="G18" s="140">
        <f>Mesures_Congel!G11</f>
        <v>0</v>
      </c>
    </row>
    <row r="19" spans="1:9" ht="15.75" x14ac:dyDescent="0.25">
      <c r="C19" s="93" t="s">
        <v>145</v>
      </c>
      <c r="D19" s="100">
        <f>Mesures_Congel!C11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147</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t="s">
        <v>150</v>
      </c>
      <c r="E55" s="458" t="s">
        <v>151</v>
      </c>
      <c r="F55" s="458"/>
      <c r="G55" s="458"/>
      <c r="H55" s="107"/>
    </row>
    <row r="56" spans="2:8" ht="21" customHeight="1" x14ac:dyDescent="0.25">
      <c r="B56" s="106" t="s">
        <v>152</v>
      </c>
      <c r="E56" s="458" t="s">
        <v>153</v>
      </c>
      <c r="F56" s="458"/>
      <c r="G56" s="458"/>
      <c r="H56" s="458"/>
    </row>
    <row r="57" spans="2:8" ht="21" x14ac:dyDescent="0.25">
      <c r="B57" s="106" t="s">
        <v>154</v>
      </c>
      <c r="E57" s="458" t="s">
        <v>155</v>
      </c>
      <c r="F57" s="458"/>
      <c r="G57" s="107"/>
      <c r="H57" s="107"/>
    </row>
    <row r="59" spans="2:8" ht="23.25" x14ac:dyDescent="0.25">
      <c r="B59" s="105" t="s">
        <v>156</v>
      </c>
    </row>
    <row r="61" spans="2:8" ht="21" x14ac:dyDescent="0.25">
      <c r="B61" s="458" t="s">
        <v>157</v>
      </c>
      <c r="C61" s="458"/>
      <c r="D61" s="458"/>
      <c r="E61" s="458" t="s">
        <v>158</v>
      </c>
      <c r="F61" s="458"/>
      <c r="G61" s="458"/>
    </row>
    <row r="62" spans="2:8" ht="21" x14ac:dyDescent="0.25">
      <c r="B62" s="458" t="s">
        <v>159</v>
      </c>
      <c r="C62" s="458"/>
      <c r="D62" s="458"/>
    </row>
    <row r="64" spans="2:8" ht="21" x14ac:dyDescent="0.25">
      <c r="B64" s="106" t="s">
        <v>160</v>
      </c>
    </row>
    <row r="66" spans="1:10" ht="21" x14ac:dyDescent="0.25">
      <c r="B66" s="458" t="s">
        <v>161</v>
      </c>
      <c r="C66" s="458"/>
      <c r="D66" s="458"/>
      <c r="E66" s="458" t="s">
        <v>162</v>
      </c>
      <c r="F66" s="458"/>
      <c r="G66" s="458"/>
      <c r="H66" s="458"/>
      <c r="I66" s="458"/>
    </row>
    <row r="67" spans="1:10" ht="23.25" x14ac:dyDescent="0.25">
      <c r="B67" s="458" t="s">
        <v>163</v>
      </c>
      <c r="C67" s="458"/>
      <c r="D67" s="458"/>
      <c r="E67" s="458" t="s">
        <v>164</v>
      </c>
      <c r="F67" s="458"/>
      <c r="G67" s="458"/>
      <c r="H67" s="458"/>
      <c r="I67" s="458"/>
    </row>
    <row r="68" spans="1:10" ht="21" x14ac:dyDescent="0.25">
      <c r="B68" s="458" t="s">
        <v>165</v>
      </c>
      <c r="C68" s="458"/>
      <c r="D68" s="458"/>
      <c r="E68" s="458" t="s">
        <v>166</v>
      </c>
      <c r="F68" s="458"/>
      <c r="G68" s="458"/>
      <c r="H68" s="458"/>
      <c r="I68" s="458"/>
    </row>
    <row r="69" spans="1:10" ht="23.25" x14ac:dyDescent="0.25">
      <c r="B69" s="458" t="s">
        <v>167</v>
      </c>
      <c r="C69" s="458"/>
      <c r="D69" s="458"/>
      <c r="E69" s="458" t="s">
        <v>168</v>
      </c>
      <c r="F69" s="458"/>
      <c r="G69" s="458"/>
      <c r="H69" s="458"/>
      <c r="I69" s="107"/>
    </row>
    <row r="72" spans="1:10" ht="21" customHeight="1" x14ac:dyDescent="0.25">
      <c r="A72" s="462" t="s">
        <v>169</v>
      </c>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463" t="s">
        <v>10</v>
      </c>
      <c r="D94" s="463"/>
      <c r="E94" s="463"/>
      <c r="F94" s="463"/>
      <c r="G94" s="463"/>
      <c r="H94" s="110"/>
      <c r="I94" s="110"/>
    </row>
    <row r="95" spans="1:10" ht="34.5" x14ac:dyDescent="0.25">
      <c r="A95" s="110"/>
      <c r="B95" s="110"/>
      <c r="C95" s="111"/>
      <c r="D95" s="111" t="s">
        <v>15</v>
      </c>
      <c r="E95" s="112" t="s">
        <v>17</v>
      </c>
      <c r="F95" s="112" t="s">
        <v>24</v>
      </c>
      <c r="G95" s="112" t="s">
        <v>25</v>
      </c>
      <c r="H95" s="113"/>
      <c r="I95" s="113"/>
    </row>
    <row r="96" spans="1:10" ht="17.25" x14ac:dyDescent="0.25">
      <c r="A96" s="110"/>
      <c r="B96" s="110"/>
      <c r="C96" s="111" t="str" cm="1">
        <f t="array" ref="C96:C107">Mesures_Congel!A43:A54</f>
        <v xml:space="preserve">Sonde </v>
      </c>
      <c r="D96" s="114" cm="1">
        <f t="array" ref="D96:G107">Mesures_Congel!C43:F54</f>
        <v>0</v>
      </c>
      <c r="E96" s="114">
        <v>0</v>
      </c>
      <c r="F96" s="114">
        <v>0</v>
      </c>
      <c r="G96" s="114">
        <v>0</v>
      </c>
      <c r="H96" s="110"/>
      <c r="I96" s="110"/>
    </row>
    <row r="97" spans="1:9" ht="17.25" x14ac:dyDescent="0.25">
      <c r="A97" s="110"/>
      <c r="B97" s="110"/>
      <c r="C97" s="111" t="str">
        <v xml:space="preserve">Sonde </v>
      </c>
      <c r="D97" s="114">
        <v>0</v>
      </c>
      <c r="E97" s="114">
        <v>0</v>
      </c>
      <c r="F97" s="114">
        <v>0</v>
      </c>
      <c r="G97" s="114">
        <v>0</v>
      </c>
      <c r="H97" s="110"/>
      <c r="I97" s="110"/>
    </row>
    <row r="98" spans="1:9" ht="17.25" x14ac:dyDescent="0.25">
      <c r="A98" s="110"/>
      <c r="B98" s="110"/>
      <c r="C98" s="111" t="str">
        <v xml:space="preserve">Sonde </v>
      </c>
      <c r="D98" s="114">
        <v>0</v>
      </c>
      <c r="E98" s="114">
        <v>0</v>
      </c>
      <c r="F98" s="114">
        <v>0</v>
      </c>
      <c r="G98" s="114">
        <v>0</v>
      </c>
      <c r="H98" s="110"/>
      <c r="I98" s="110"/>
    </row>
    <row r="99" spans="1:9" ht="17.25" x14ac:dyDescent="0.25">
      <c r="A99" s="110"/>
      <c r="B99" s="110"/>
      <c r="C99" s="111" t="str">
        <v xml:space="preserve">Sonde </v>
      </c>
      <c r="D99" s="114">
        <v>0</v>
      </c>
      <c r="E99" s="114">
        <v>0</v>
      </c>
      <c r="F99" s="114">
        <v>0</v>
      </c>
      <c r="G99" s="114">
        <v>0</v>
      </c>
      <c r="H99" s="110"/>
      <c r="I99" s="110"/>
    </row>
    <row r="100" spans="1:9" ht="17.25" x14ac:dyDescent="0.25">
      <c r="A100" s="110"/>
      <c r="B100" s="110"/>
      <c r="C100" s="111" t="str">
        <v xml:space="preserve">Sonde </v>
      </c>
      <c r="D100" s="114">
        <v>0</v>
      </c>
      <c r="E100" s="114">
        <v>0</v>
      </c>
      <c r="F100" s="114">
        <v>0</v>
      </c>
      <c r="G100" s="114">
        <v>0</v>
      </c>
      <c r="H100" s="110"/>
      <c r="I100" s="110"/>
    </row>
    <row r="101" spans="1:9" ht="17.25" x14ac:dyDescent="0.25">
      <c r="A101" s="110"/>
      <c r="B101" s="110"/>
      <c r="C101" s="111" t="str">
        <v xml:space="preserve">Sonde </v>
      </c>
      <c r="D101" s="114">
        <v>0</v>
      </c>
      <c r="E101" s="114">
        <v>0</v>
      </c>
      <c r="F101" s="114">
        <v>0</v>
      </c>
      <c r="G101" s="114">
        <v>0</v>
      </c>
      <c r="H101" s="110"/>
      <c r="I101" s="110"/>
    </row>
    <row r="102" spans="1:9" ht="17.25" x14ac:dyDescent="0.25">
      <c r="A102" s="110"/>
      <c r="B102" s="110"/>
      <c r="C102" s="111" t="str">
        <v xml:space="preserve">Sonde </v>
      </c>
      <c r="D102" s="114">
        <v>0</v>
      </c>
      <c r="E102" s="114">
        <v>0</v>
      </c>
      <c r="F102" s="114">
        <v>0</v>
      </c>
      <c r="G102" s="114">
        <v>0</v>
      </c>
      <c r="H102" s="110"/>
      <c r="I102" s="110"/>
    </row>
    <row r="103" spans="1:9" ht="17.25" x14ac:dyDescent="0.25">
      <c r="A103" s="110"/>
      <c r="B103" s="110"/>
      <c r="C103" s="111" t="str">
        <v xml:space="preserve">Sonde </v>
      </c>
      <c r="D103" s="114">
        <v>0</v>
      </c>
      <c r="E103" s="114">
        <v>0</v>
      </c>
      <c r="F103" s="114">
        <v>0</v>
      </c>
      <c r="G103" s="114">
        <v>0</v>
      </c>
      <c r="H103" s="110"/>
      <c r="I103" s="110"/>
    </row>
    <row r="104" spans="1:9" ht="17.25" x14ac:dyDescent="0.25">
      <c r="A104" s="110"/>
      <c r="B104" s="110"/>
      <c r="C104" s="111" t="str">
        <v xml:space="preserve">Sonde </v>
      </c>
      <c r="D104" s="114">
        <v>0</v>
      </c>
      <c r="E104" s="114">
        <v>0</v>
      </c>
      <c r="F104" s="114">
        <v>0</v>
      </c>
      <c r="G104" s="114">
        <v>0</v>
      </c>
      <c r="H104" s="110"/>
      <c r="I104" s="110"/>
    </row>
    <row r="105" spans="1:9" ht="17.25" x14ac:dyDescent="0.25">
      <c r="A105" s="110"/>
      <c r="B105" s="110"/>
      <c r="C105" s="111" t="str">
        <v xml:space="preserve">Sonde </v>
      </c>
      <c r="D105" s="114">
        <v>0</v>
      </c>
      <c r="E105" s="114">
        <v>0</v>
      </c>
      <c r="F105" s="114">
        <v>0</v>
      </c>
      <c r="G105" s="114">
        <v>0</v>
      </c>
      <c r="H105" s="110"/>
      <c r="I105" s="110"/>
    </row>
    <row r="106" spans="1:9" ht="17.25" x14ac:dyDescent="0.25">
      <c r="A106" s="110"/>
      <c r="B106" s="110"/>
      <c r="C106" s="111" t="str">
        <v xml:space="preserve">Sonde </v>
      </c>
      <c r="D106" s="114">
        <v>0</v>
      </c>
      <c r="E106" s="114">
        <v>0</v>
      </c>
      <c r="F106" s="114">
        <v>0</v>
      </c>
      <c r="G106" s="114">
        <v>0</v>
      </c>
      <c r="H106" s="110"/>
      <c r="I106" s="110"/>
    </row>
    <row r="107" spans="1:9" ht="17.25" x14ac:dyDescent="0.25">
      <c r="A107" s="110"/>
      <c r="B107" s="110"/>
      <c r="C107" s="111" t="str">
        <v xml:space="preserve">Sonde </v>
      </c>
      <c r="D107" s="114">
        <v>0</v>
      </c>
      <c r="E107" s="114">
        <v>0</v>
      </c>
      <c r="F107" s="114">
        <v>0</v>
      </c>
      <c r="G107" s="114">
        <v>0</v>
      </c>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20" spans="1:9" ht="21" x14ac:dyDescent="0.3">
      <c r="B120" s="116" t="s">
        <v>179</v>
      </c>
      <c r="C120" s="106" t="s">
        <v>180</v>
      </c>
      <c r="E120" s="106" t="s">
        <v>178</v>
      </c>
      <c r="F120" s="106"/>
      <c r="G120" s="120">
        <f>Mesures_Congel!$M$43</f>
        <v>0</v>
      </c>
    </row>
    <row r="121" spans="1:9" ht="21" x14ac:dyDescent="0.3">
      <c r="B121" s="116" t="s">
        <v>182</v>
      </c>
      <c r="C121" s="109" t="s">
        <v>183</v>
      </c>
      <c r="E121" s="106" t="s">
        <v>181</v>
      </c>
      <c r="F121" s="106"/>
      <c r="G121" s="115">
        <f>Mesures_Congel!$N$43</f>
        <v>0</v>
      </c>
    </row>
    <row r="122" spans="1:9" ht="21" x14ac:dyDescent="0.35">
      <c r="B122" s="118" t="s">
        <v>185</v>
      </c>
      <c r="C122" s="119" t="s">
        <v>186</v>
      </c>
      <c r="E122" s="106" t="s">
        <v>184</v>
      </c>
      <c r="F122" s="106"/>
      <c r="G122" s="117">
        <f>Mesures_Congel!$O$43</f>
        <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189</v>
      </c>
      <c r="D163" s="461"/>
      <c r="E163" s="461"/>
      <c r="F163" s="461"/>
      <c r="G163" s="461"/>
      <c r="H163" s="461"/>
    </row>
    <row r="167" spans="1:8" x14ac:dyDescent="0.25">
      <c r="A167" s="121" t="str" cm="1">
        <f t="array" ref="A167:C179">Mesures_Congel!A23:C35</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77" spans="1:3" x14ac:dyDescent="0.25">
      <c r="A177" s="121">
        <v>10</v>
      </c>
      <c r="B177" s="122">
        <v>0</v>
      </c>
      <c r="C177" s="123">
        <v>0</v>
      </c>
    </row>
    <row r="178" spans="1:3" x14ac:dyDescent="0.25">
      <c r="A178" s="121">
        <v>11</v>
      </c>
      <c r="B178" s="122">
        <v>0</v>
      </c>
      <c r="C178" s="123">
        <v>0</v>
      </c>
    </row>
    <row r="179" spans="1:3" x14ac:dyDescent="0.25">
      <c r="A179" s="121">
        <v>12</v>
      </c>
      <c r="B179" s="122">
        <v>0</v>
      </c>
      <c r="C179" s="123">
        <v>0</v>
      </c>
    </row>
    <row r="196" spans="1:9" ht="36" x14ac:dyDescent="0.25">
      <c r="C196" s="461" t="str">
        <f>"6. Résultats et exploitation des résultats à " &amp; Mesures_Congel!B18 &amp; "°C"</f>
        <v>6. Résultats et exploitation des résultats à °C</v>
      </c>
      <c r="D196" s="461"/>
      <c r="E196" s="461"/>
      <c r="F196" s="461"/>
      <c r="G196" s="461"/>
      <c r="H196" s="461"/>
    </row>
    <row r="200" spans="1:9" x14ac:dyDescent="0.25">
      <c r="A200" s="121" t="str" cm="1">
        <f t="array" ref="A200:B200">Mesures_Congel!A18:B18</f>
        <v>Consignes °C</v>
      </c>
      <c r="B200" s="123">
        <v>0</v>
      </c>
      <c r="G200" s="465" t="s">
        <v>190</v>
      </c>
      <c r="H200" s="466"/>
      <c r="I200" s="467"/>
    </row>
    <row r="201" spans="1:9" x14ac:dyDescent="0.25">
      <c r="G201" s="22" t="s">
        <v>191</v>
      </c>
      <c r="H201" s="22" t="s">
        <v>192</v>
      </c>
      <c r="I201" s="22" t="s">
        <v>193</v>
      </c>
    </row>
    <row r="202" spans="1:9" x14ac:dyDescent="0.25">
      <c r="B202" s="121" t="str" cm="1">
        <f t="array" ref="B202:C203">Mesures_Congel!B20:C21</f>
        <v>TUS</v>
      </c>
      <c r="C202" s="121" t="str">
        <v>SAT</v>
      </c>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3" spans="1:9" x14ac:dyDescent="0.25">
      <c r="A203" s="121" t="str">
        <f>Mesures_Congel!A21</f>
        <v>Tolérances +/- °C</v>
      </c>
      <c r="B203" s="123">
        <v>0</v>
      </c>
      <c r="C203" s="123">
        <v>0</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9" t="s">
        <v>202</v>
      </c>
      <c r="B211" s="128" t="s">
        <v>203</v>
      </c>
      <c r="C211" s="131" t="e">
        <f>MAX(Congel!#REF!)</f>
        <v>#REF!</v>
      </c>
      <c r="D211" s="129" t="e">
        <f>_xlfn.XLOOKUP(INT(SUBSTITUTE(E211,"Connecteur ","")),Mesures_Congel!$C$24:$C$35,Mesures_Congel!$A$24:$A$35)</f>
        <v>#REF!</v>
      </c>
      <c r="E211" s="129" t="e">
        <f>_xlfn.XLOOKUP(C211,Congel!#REF!,Congel!C10:N10)</f>
        <v>#REF!</v>
      </c>
      <c r="F211" s="129" t="e">
        <f>_xlfn.XLOOKUP(INT(SUBSTITUTE(E211,"Connecteur ","")),Mesures_Congel!$C$24:$C$35,Mesures_Congel!$B$24:$B$35)</f>
        <v>#REF!</v>
      </c>
    </row>
    <row r="212" spans="1:6" x14ac:dyDescent="0.25">
      <c r="A212" s="469"/>
      <c r="B212" s="128" t="s">
        <v>204</v>
      </c>
      <c r="C212" s="131" t="e">
        <f>MIN(Congel!#REF!)</f>
        <v>#REF!</v>
      </c>
      <c r="D212" s="129" t="e">
        <f>_xlfn.XLOOKUP(INT(SUBSTITUTE(E212,"Connecteur ","")),Mesures_Congel!$C$24:$C$35,Mesures_Congel!$A$24:$A$35)</f>
        <v>#REF!</v>
      </c>
      <c r="E212" s="129" t="e">
        <f>_xlfn.XLOOKUP(C212,Congel!#REF!,Congel!C10:N10)</f>
        <v>#REF!</v>
      </c>
      <c r="F212" s="130" t="e">
        <f>_xlfn.XLOOKUP(INT(SUBSTITUTE(E212,"Connecteur ","")),Mesures_Congel!$C$24:$C$35,Mesures_Congel!$B$24:$B$35)</f>
        <v>#REF!</v>
      </c>
    </row>
    <row r="213" spans="1:6" ht="34.5" customHeight="1" x14ac:dyDescent="0.25">
      <c r="A213" s="469"/>
      <c r="B213" s="128" t="s">
        <v>205</v>
      </c>
      <c r="C213" s="131" t="e">
        <f>MIN(Congel!#REF!)</f>
        <v>#REF!</v>
      </c>
      <c r="D213" s="129" t="e">
        <f>_xlfn.XLOOKUP(INT(SUBSTITUTE(E213,"Connecteur ","")),Mesures_Congel!$C$24:$C$35,Mesures_Congel!$A$24:$A$35)</f>
        <v>#REF!</v>
      </c>
      <c r="E213" s="129" t="e">
        <f>_xlfn.XLOOKUP(C213,Congel!#REF!,Congel!C10:N10)</f>
        <v>#REF!</v>
      </c>
      <c r="F213" s="130" t="e">
        <f>_xlfn.XLOOKUP(INT(SUBSTITUTE(E213,"Connecteur ","")),Mesures_Congel!$C$24:$C$35,Mesures_Congel!$B$24:$B$35)</f>
        <v>#REF!</v>
      </c>
    </row>
    <row r="214" spans="1:6" x14ac:dyDescent="0.25">
      <c r="A214" s="469"/>
      <c r="B214" s="128" t="s">
        <v>206</v>
      </c>
      <c r="C214" s="131" t="e">
        <f>Congel!#REF!</f>
        <v>#REF!</v>
      </c>
      <c r="D214" s="129" t="s">
        <v>200</v>
      </c>
      <c r="E214" s="129" t="s">
        <v>200</v>
      </c>
      <c r="F214" s="130" t="s">
        <v>200</v>
      </c>
    </row>
    <row r="215" spans="1:6" x14ac:dyDescent="0.25">
      <c r="C215" s="88"/>
      <c r="D215" s="88"/>
      <c r="E215" s="88"/>
      <c r="F215" s="88"/>
    </row>
    <row r="226" spans="2:9" ht="36" x14ac:dyDescent="0.25">
      <c r="B226" s="461" t="str">
        <f>"7. Résultats et exploitation des résultats à " &amp; Mesures_Congel!B18 &amp; "°C"</f>
        <v>7.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5">Mesures_Congel!$A$24:$C$35</f>
        <v>1</v>
      </c>
      <c r="D234" s="38">
        <v>0</v>
      </c>
      <c r="E234" s="38">
        <v>0</v>
      </c>
      <c r="F234" s="133" t="e">
        <f>_xlfn.XLOOKUP(SUBSTITUTE(Congel_PV!E234,Congel_PV!E234,"Connecteur " &amp; Congel_PV!E234),Congel!C10:N10,Congel!#REF!)</f>
        <v>#REF!</v>
      </c>
      <c r="G234" s="133" t="e">
        <f>_xlfn.XLOOKUP(SUBSTITUTE(Congel_PV!E234,Congel_PV!E234,"Connecteur " &amp; Congel_PV!E234),Congel!C10:N10,Congel!#REF!)</f>
        <v>#REF!</v>
      </c>
      <c r="H234" s="133" t="e">
        <f>_xlfn.XLOOKUP(SUBSTITUTE(Congel_PV!E234,Congel_PV!E234,"Connecteur " &amp; Congel_PV!E234),Congel!C10:N10,Congel!#REF!)</f>
        <v>#REF!</v>
      </c>
      <c r="I234" s="133" t="e">
        <f>_xlfn.XLOOKUP(SUBSTITUTE(Congel_PV!E234,Congel_PV!E234,"Connecteur " &amp; Congel_PV!E234),Congel!C10:N10,Congel!#REF!)</f>
        <v>#REF!</v>
      </c>
    </row>
    <row r="235" spans="2:9" x14ac:dyDescent="0.25">
      <c r="C235" s="38">
        <v>2</v>
      </c>
      <c r="D235" s="38">
        <v>0</v>
      </c>
      <c r="E235" s="38">
        <v>0</v>
      </c>
      <c r="F235" s="133" t="e">
        <f>_xlfn.XLOOKUP(SUBSTITUTE(Congel_PV!E235,Congel_PV!E235,"Connecteur " &amp; Congel_PV!E235),Congel!C10:N10,Congel!#REF!)</f>
        <v>#REF!</v>
      </c>
      <c r="G235" s="133" t="e">
        <f>_xlfn.XLOOKUP(SUBSTITUTE(Congel_PV!E235,Congel_PV!E235,"Connecteur " &amp; Congel_PV!E235),Congel!C10:N10,Congel!#REF!)</f>
        <v>#REF!</v>
      </c>
      <c r="H235" s="133" t="e">
        <f>_xlfn.XLOOKUP(SUBSTITUTE(Congel_PV!E235,Congel_PV!E235,"Connecteur " &amp; Congel_PV!E235),Congel!C10:N10,Congel!#REF!)</f>
        <v>#REF!</v>
      </c>
      <c r="I235" s="133" t="e">
        <f>_xlfn.XLOOKUP(SUBSTITUTE(Congel_PV!E235,Congel_PV!E235,"Connecteur " &amp; Congel_PV!E235),Congel!C10:N10,Congel!#REF!)</f>
        <v>#REF!</v>
      </c>
    </row>
    <row r="236" spans="2:9" x14ac:dyDescent="0.25">
      <c r="C236" s="38">
        <v>3</v>
      </c>
      <c r="D236" s="38">
        <v>0</v>
      </c>
      <c r="E236" s="38">
        <v>0</v>
      </c>
      <c r="F236" s="133" t="e">
        <f>_xlfn.XLOOKUP(SUBSTITUTE(Congel_PV!E236,Congel_PV!E236,"Connecteur " &amp; Congel_PV!E236),Congel!C10:N10,Congel!#REF!)</f>
        <v>#REF!</v>
      </c>
      <c r="G236" s="133" t="e">
        <f>_xlfn.XLOOKUP(SUBSTITUTE(Congel_PV!E236,Congel_PV!E236,"Connecteur " &amp; Congel_PV!E236),Congel!C10:N10,Congel!#REF!)</f>
        <v>#REF!</v>
      </c>
      <c r="H236" s="133" t="e">
        <f>_xlfn.XLOOKUP(SUBSTITUTE(Congel_PV!E236,Congel_PV!E236,"Connecteur " &amp; Congel_PV!E236),Congel!C10:N10,Congel!#REF!)</f>
        <v>#REF!</v>
      </c>
      <c r="I236" s="133" t="e">
        <f>_xlfn.XLOOKUP(SUBSTITUTE(Congel_PV!E236,Congel_PV!E236,"Connecteur " &amp; Congel_PV!E236),Congel!C10:N10,Congel!#REF!)</f>
        <v>#REF!</v>
      </c>
    </row>
    <row r="237" spans="2:9" x14ac:dyDescent="0.25">
      <c r="C237" s="38">
        <v>4</v>
      </c>
      <c r="D237" s="38">
        <v>0</v>
      </c>
      <c r="E237" s="38">
        <v>0</v>
      </c>
      <c r="F237" s="133" t="e">
        <f>_xlfn.XLOOKUP(SUBSTITUTE(Congel_PV!E237,Congel_PV!E237,"Connecteur " &amp; Congel_PV!E237),Congel!C10:N10,Congel!#REF!)</f>
        <v>#REF!</v>
      </c>
      <c r="G237" s="133" t="e">
        <f>_xlfn.XLOOKUP(SUBSTITUTE(Congel_PV!E237,Congel_PV!E237,"Connecteur " &amp; Congel_PV!E237),Congel!C10:N10,Congel!#REF!)</f>
        <v>#REF!</v>
      </c>
      <c r="H237" s="133" t="e">
        <f>_xlfn.XLOOKUP(SUBSTITUTE(Congel_PV!E237,Congel_PV!E237,"Connecteur " &amp; Congel_PV!E237),Congel!C10:N10,Congel!#REF!)</f>
        <v>#REF!</v>
      </c>
      <c r="I237" s="133" t="e">
        <f>_xlfn.XLOOKUP(SUBSTITUTE(Congel_PV!E237,Congel_PV!E237,"Connecteur " &amp; Congel_PV!E237),Congel!C10:N10,Congel!#REF!)</f>
        <v>#REF!</v>
      </c>
    </row>
    <row r="238" spans="2:9" x14ac:dyDescent="0.25">
      <c r="C238" s="38">
        <v>5</v>
      </c>
      <c r="D238" s="38">
        <v>0</v>
      </c>
      <c r="E238" s="38">
        <v>0</v>
      </c>
      <c r="F238" s="133" t="e">
        <f>_xlfn.XLOOKUP(SUBSTITUTE(Congel_PV!E238,Congel_PV!E238,"Connecteur " &amp; Congel_PV!E238),Congel!C10:N10,Congel!#REF!)</f>
        <v>#REF!</v>
      </c>
      <c r="G238" s="133" t="e">
        <f>_xlfn.XLOOKUP(SUBSTITUTE(Congel_PV!E238,Congel_PV!E238,"Connecteur "&amp;Congel_PV!E238),Congel!C10:N10,Congel!#REF!)</f>
        <v>#REF!</v>
      </c>
      <c r="H238" s="133" t="e">
        <f>_xlfn.XLOOKUP(SUBSTITUTE(Congel_PV!E238,Congel_PV!E238,"Connecteur " &amp; Congel_PV!E238),Congel!C10:N10,Congel!#REF!)</f>
        <v>#REF!</v>
      </c>
      <c r="I238" s="133" t="e">
        <f>_xlfn.XLOOKUP(SUBSTITUTE(Congel_PV!E238,Congel_PV!E238,"Connecteur " &amp; Congel_PV!E238),Congel!C10:N10,Congel!#REF!)</f>
        <v>#REF!</v>
      </c>
    </row>
    <row r="239" spans="2:9" x14ac:dyDescent="0.25">
      <c r="C239" s="38">
        <v>6</v>
      </c>
      <c r="D239" s="38">
        <v>0</v>
      </c>
      <c r="E239" s="38">
        <v>0</v>
      </c>
      <c r="F239" s="133" t="e">
        <f>_xlfn.XLOOKUP(SUBSTITUTE(Congel_PV!E239,Congel_PV!E239,"Connecteur " &amp; Congel_PV!E239),Congel!C10:N10,Congel!#REF!)</f>
        <v>#REF!</v>
      </c>
      <c r="G239" s="133" t="e">
        <f>_xlfn.XLOOKUP(SUBSTITUTE(Congel_PV!E239,Congel_PV!E239,"Connecteur " &amp; Congel_PV!E239),Congel!C10:N10,Congel!#REF!)</f>
        <v>#REF!</v>
      </c>
      <c r="H239" s="133" t="e">
        <f>_xlfn.XLOOKUP(SUBSTITUTE(Congel_PV!E239,Congel_PV!E239,"Connecteur " &amp; Congel_PV!E239),Congel!C10:N10,Congel!#REF!)</f>
        <v>#REF!</v>
      </c>
      <c r="I239" s="133" t="e">
        <f>_xlfn.XLOOKUP(SUBSTITUTE(Congel_PV!E239,Congel_PV!E239,"Connecteur " &amp; Congel_PV!E239),Congel!C10:N10,Congel!#REF!)</f>
        <v>#REF!</v>
      </c>
    </row>
    <row r="240" spans="2:9" x14ac:dyDescent="0.25">
      <c r="C240" s="38">
        <v>7</v>
      </c>
      <c r="D240" s="38">
        <v>0</v>
      </c>
      <c r="E240" s="38">
        <v>0</v>
      </c>
      <c r="F240" s="133" t="e">
        <f>_xlfn.XLOOKUP(SUBSTITUTE(Congel_PV!E240,Congel_PV!E240,"Connecteur " &amp; Congel_PV!E240),Congel!C10:N10,Congel!#REF!)</f>
        <v>#REF!</v>
      </c>
      <c r="G240" s="133" t="e">
        <f>_xlfn.XLOOKUP(SUBSTITUTE(Congel_PV!E240,Congel_PV!E240,"Connecteur " &amp; Congel_PV!E240),Congel!C10:N10,Congel!#REF!)</f>
        <v>#REF!</v>
      </c>
      <c r="H240" s="133" t="e">
        <f>_xlfn.XLOOKUP(SUBSTITUTE(Congel_PV!E240,Congel_PV!E240,"Connecteur " &amp; Congel_PV!E240),Congel!C10:N10,Congel!#REF!)</f>
        <v>#REF!</v>
      </c>
      <c r="I240" s="133" t="e">
        <f>_xlfn.XLOOKUP(SUBSTITUTE(Congel_PV!E240,Congel_PV!E240,"Connecteur " &amp; Congel_PV!E240),Congel!C10:N10,Congel!#REF!)</f>
        <v>#REF!</v>
      </c>
    </row>
    <row r="241" spans="2:9" x14ac:dyDescent="0.25">
      <c r="C241" s="38">
        <v>8</v>
      </c>
      <c r="D241" s="38">
        <v>0</v>
      </c>
      <c r="E241" s="38">
        <v>0</v>
      </c>
      <c r="F241" s="133" t="e">
        <f>_xlfn.XLOOKUP(SUBSTITUTE(Congel_PV!E241,Congel_PV!E241,"Connecteur " &amp; Congel_PV!E241),Congel!C10:N10,Congel!#REF!)</f>
        <v>#REF!</v>
      </c>
      <c r="G241" s="133" t="e">
        <f>_xlfn.XLOOKUP(SUBSTITUTE(Congel_PV!E241,Congel_PV!E241,"Connecteur " &amp; Congel_PV!E241),Congel!C10:N10,Congel!#REF!)</f>
        <v>#REF!</v>
      </c>
      <c r="H241" s="133" t="e">
        <f>_xlfn.XLOOKUP(SUBSTITUTE(Congel_PV!E241,Congel_PV!E241,"Connecteur " &amp; Congel_PV!E241),Congel!C10:N10,Congel!#REF!)</f>
        <v>#REF!</v>
      </c>
      <c r="I241" s="133" t="e">
        <f>_xlfn.XLOOKUP(SUBSTITUTE(Congel_PV!E241,Congel_PV!E241,"Connecteur " &amp; Congel_PV!E241),Congel!C10:N10,Congel!#REF!)</f>
        <v>#REF!</v>
      </c>
    </row>
    <row r="242" spans="2:9" x14ac:dyDescent="0.25">
      <c r="C242" s="38">
        <v>9</v>
      </c>
      <c r="D242" s="38">
        <v>0</v>
      </c>
      <c r="E242" s="38">
        <v>0</v>
      </c>
      <c r="F242" s="133" t="e">
        <f>_xlfn.XLOOKUP(SUBSTITUTE(Congel_PV!E242,Congel_PV!E242,"Connecteur " &amp; Congel_PV!E242),Congel!C10:N10,Congel!#REF!)</f>
        <v>#REF!</v>
      </c>
      <c r="G242" s="133" t="e">
        <f>_xlfn.XLOOKUP(SUBSTITUTE(Congel_PV!E242,Congel_PV!E242,"Connecteur " &amp; Congel_PV!E242),Congel!C10:N10,Congel!#REF!)</f>
        <v>#REF!</v>
      </c>
      <c r="H242" s="133" t="e">
        <f>_xlfn.XLOOKUP(SUBSTITUTE(Congel_PV!E242,Congel_PV!E242,"Connecteur " &amp; Congel_PV!E242),Congel!C10:N10,Congel!#REF!)</f>
        <v>#REF!</v>
      </c>
      <c r="I242" s="133" t="e">
        <f>_xlfn.XLOOKUP(SUBSTITUTE(Congel_PV!E242,Congel_PV!E242,"Connecteur " &amp; Congel_PV!E242),Congel!C10:N10,Congel!#REF!)</f>
        <v>#REF!</v>
      </c>
    </row>
    <row r="243" spans="2:9" x14ac:dyDescent="0.25">
      <c r="C243" s="38">
        <v>10</v>
      </c>
      <c r="D243" s="38">
        <v>0</v>
      </c>
      <c r="E243" s="38">
        <v>0</v>
      </c>
      <c r="F243" s="133" t="e">
        <f>_xlfn.XLOOKUP(SUBSTITUTE(Congel_PV!E243,Congel_PV!E243,"Connecteur " &amp; Congel_PV!E243),Congel!C10:N10,Congel!#REF!)</f>
        <v>#REF!</v>
      </c>
      <c r="G243" s="133" t="e">
        <f>_xlfn.XLOOKUP(SUBSTITUTE(Congel_PV!E243,Congel_PV!E243,"Connecteur " &amp; Congel_PV!E243),Congel!C10:N10,Congel!#REF!)</f>
        <v>#REF!</v>
      </c>
      <c r="H243" s="133" t="e">
        <f>_xlfn.XLOOKUP(SUBSTITUTE(Congel_PV!E243,Congel_PV!E243,"Connecteur " &amp; Congel_PV!E243),Congel!C10:N10,Congel!#REF!)</f>
        <v>#REF!</v>
      </c>
      <c r="I243" s="133" t="e">
        <f>_xlfn.XLOOKUP(SUBSTITUTE(Congel_PV!E243,Congel_PV!E243,"Connecteur " &amp; Congel_PV!E243),Congel!C10:N10,Congel!#REF!)</f>
        <v>#REF!</v>
      </c>
    </row>
    <row r="244" spans="2:9" x14ac:dyDescent="0.25">
      <c r="C244" s="38">
        <v>11</v>
      </c>
      <c r="D244" s="38">
        <v>0</v>
      </c>
      <c r="E244" s="38">
        <v>0</v>
      </c>
      <c r="F244" s="133" t="e">
        <f>_xlfn.XLOOKUP(SUBSTITUTE(Congel_PV!E244,Congel_PV!E244,"Connecteur " &amp; Congel_PV!E244),Congel!C10:N10,Congel!#REF!)</f>
        <v>#REF!</v>
      </c>
      <c r="G244" s="133" t="e">
        <f>_xlfn.XLOOKUP(SUBSTITUTE(Congel_PV!E244,Congel_PV!E244,"Connecteur " &amp; Congel_PV!E244),Congel!C10:N10,Congel!#REF!)</f>
        <v>#REF!</v>
      </c>
      <c r="H244" s="133" t="e">
        <f>_xlfn.XLOOKUP(SUBSTITUTE(Congel_PV!E244,Congel_PV!E244,"Connecteur " &amp; Congel_PV!E244),Congel!C10:N10,Congel!#REF!)</f>
        <v>#REF!</v>
      </c>
      <c r="I244" s="133" t="e">
        <f>_xlfn.XLOOKUP(SUBSTITUTE(Congel_PV!E244,Congel_PV!E244,"Connecteur " &amp; Congel_PV!E244),Congel!C10:N10,Congel!#REF!)</f>
        <v>#REF!</v>
      </c>
    </row>
    <row r="245" spans="2:9" x14ac:dyDescent="0.25">
      <c r="C245" s="38">
        <v>12</v>
      </c>
      <c r="D245" s="38">
        <v>0</v>
      </c>
      <c r="E245" s="38">
        <v>0</v>
      </c>
      <c r="F245" s="133" t="e">
        <f>_xlfn.XLOOKUP(SUBSTITUTE(Congel_PV!E245,Congel_PV!E245,"Connecteur " &amp; Congel_PV!E245),Congel!C10:N10,Congel!#REF!)</f>
        <v>#REF!</v>
      </c>
      <c r="G245" s="133" t="e">
        <f>_xlfn.XLOOKUP(SUBSTITUTE(Congel_PV!E245,Congel_PV!E245,"Connecteur " &amp; Congel_PV!E245),Congel!C10:N10,Congel!#REF!)</f>
        <v>#REF!</v>
      </c>
      <c r="H245" s="133" t="e">
        <f>_xlfn.XLOOKUP(SUBSTITUTE(Congel_PV!E245,Congel_PV!E245,"Connecteur " &amp; Congel_PV!E245),Congel!C10:N10,Congel!#REF!)</f>
        <v>#REF!</v>
      </c>
      <c r="I245" s="133" t="e">
        <f>_xlfn.XLOOKUP(SUBSTITUTE(Congel_PV!E245,Congel_PV!E245,"Connecteur " &amp; Congel_PV!E245),Congel!C10:N10,Congel!#REF!)</f>
        <v>#REF!</v>
      </c>
    </row>
    <row r="252" spans="2:9" x14ac:dyDescent="0.25">
      <c r="B252" s="134"/>
    </row>
    <row r="254" spans="2:9" ht="36" x14ac:dyDescent="0.3">
      <c r="C254" s="135" t="str">
        <f>"8. Résultats et exploitation des résultats à " &amp; Mesures_Congel!B18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551</v>
      </c>
      <c r="C297" s="474"/>
      <c r="D297" s="474"/>
      <c r="E297" s="474"/>
      <c r="F297" s="137" t="e">
        <f>IF(OR(AVERAGE(Congel!#REF!)&gt;Congel!#REF!,AVERAGE(Congel!#REF!)&lt;Congel!#REF!),"NON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36" t="str">
        <f>Mesures_Congel!Consignes &amp; "°C"</f>
        <v>°C</v>
      </c>
    </row>
    <row r="304" spans="2:8" x14ac:dyDescent="0.25">
      <c r="C304" s="470" t="s">
        <v>216</v>
      </c>
      <c r="D304" s="470"/>
      <c r="E304" s="141">
        <f>Mesures_Congel!$B$18</f>
        <v>0</v>
      </c>
    </row>
    <row r="305" spans="3:5" x14ac:dyDescent="0.25">
      <c r="C305" s="470" t="s">
        <v>217</v>
      </c>
      <c r="D305" s="470"/>
      <c r="E305" s="133" t="e">
        <f>Congel!#REF!</f>
        <v>#REF!</v>
      </c>
    </row>
    <row r="306" spans="3:5" x14ac:dyDescent="0.25">
      <c r="C306" s="470" t="s">
        <v>218</v>
      </c>
      <c r="D306" s="470"/>
      <c r="E306" s="38" t="str">
        <f>"±" &amp; Mesures_Congel!$B$21</f>
        <v>±</v>
      </c>
    </row>
    <row r="307" spans="3:5" x14ac:dyDescent="0.25">
      <c r="C307" s="471" t="s">
        <v>219</v>
      </c>
      <c r="D307" s="472"/>
      <c r="E307" s="38" t="e">
        <f>IF(F297="CONFORME","OUI","NON")</f>
        <v>#REF!</v>
      </c>
    </row>
  </sheetData>
  <sheetProtection algorithmName="SHA-512" hashValue="SP32pKzS2NHrSHns6Pdn5Tp6Yck+ggcrODmaNjZYD/n/XNeJuQsNg0YRtZlLu/sMRlt3fdpHN2xFIiZD+7jH4w==" saltValue="mezAoI9Npr3PyisOgt7cAw==" spinCount="100000" sheet="1" objects="1" scenarios="1"/>
  <mergeCells count="39">
    <mergeCell ref="C306:D306"/>
    <mergeCell ref="C307:D307"/>
    <mergeCell ref="B229:C229"/>
    <mergeCell ref="F232:I232"/>
    <mergeCell ref="G293:H293"/>
    <mergeCell ref="B297:E298"/>
    <mergeCell ref="C304:D304"/>
    <mergeCell ref="C305:D305"/>
    <mergeCell ref="B226:F226"/>
    <mergeCell ref="A72:J81"/>
    <mergeCell ref="C85:G85"/>
    <mergeCell ref="C94:G94"/>
    <mergeCell ref="B116:F116"/>
    <mergeCell ref="C127:F127"/>
    <mergeCell ref="B129:I144"/>
    <mergeCell ref="C163:H163"/>
    <mergeCell ref="C196:H196"/>
    <mergeCell ref="G200:I200"/>
    <mergeCell ref="B205:C205"/>
    <mergeCell ref="A211:A214"/>
    <mergeCell ref="B67:D67"/>
    <mergeCell ref="E67:I67"/>
    <mergeCell ref="B68:D68"/>
    <mergeCell ref="E68:I68"/>
    <mergeCell ref="B69:D69"/>
    <mergeCell ref="E69:H69"/>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52" priority="1" operator="containsText" text="NON CONFORME">
      <formula>NOT(ISERROR(SEARCH("NON CONFORME",F297)))</formula>
    </cfRule>
    <cfRule type="containsText" dxfId="51" priority="2" operator="containsText" text="CONFORME">
      <formula>NOT(ISERROR(SEARCH("CONFORME",F297)))</formula>
    </cfRule>
  </conditionalFormatting>
  <pageMargins left="0.7" right="0.7" top="0.75" bottom="0.75" header="0.3" footer="0.3"/>
  <pageSetup paperSize="9" scale="55" orientation="landscape" r:id="rId1"/>
  <headerFooter>
    <oddFooter>&amp;RIMP 472 ind O du 07-02-2024 (PV/SAT du Congélateur)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24" sqref="A24:I24"/>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7" t="s">
        <v>100</v>
      </c>
      <c r="C1" s="477"/>
      <c r="D1" s="477"/>
      <c r="E1" s="477"/>
      <c r="F1" s="477"/>
      <c r="G1" s="477"/>
      <c r="H1" s="477"/>
      <c r="I1" s="477"/>
      <c r="J1" s="51"/>
      <c r="K1" s="51"/>
      <c r="L1" s="51"/>
      <c r="M1" s="51"/>
    </row>
    <row r="2" spans="1:13" x14ac:dyDescent="0.25">
      <c r="L2" s="51"/>
      <c r="M2" s="51"/>
    </row>
    <row r="3" spans="1:13" x14ac:dyDescent="0.25">
      <c r="A3" s="478" t="s">
        <v>101</v>
      </c>
      <c r="B3" s="478"/>
      <c r="C3" s="478"/>
      <c r="D3" s="478"/>
      <c r="E3" s="478"/>
      <c r="F3" s="478"/>
      <c r="G3" s="478"/>
      <c r="H3" s="478"/>
      <c r="I3" s="478"/>
    </row>
    <row r="4" spans="1:13" x14ac:dyDescent="0.25">
      <c r="A4" s="479" t="s">
        <v>102</v>
      </c>
      <c r="B4" s="479"/>
      <c r="C4" s="479"/>
      <c r="D4" s="479"/>
      <c r="E4" s="479"/>
      <c r="F4" s="479"/>
      <c r="G4" s="479"/>
      <c r="H4" s="479"/>
      <c r="I4" s="479"/>
    </row>
    <row r="5" spans="1:13" x14ac:dyDescent="0.25">
      <c r="A5" s="479" t="s">
        <v>103</v>
      </c>
      <c r="B5" s="479"/>
      <c r="C5" s="479"/>
      <c r="D5" s="479"/>
      <c r="E5" s="479"/>
      <c r="F5" s="479"/>
      <c r="G5" s="479"/>
      <c r="H5" s="479"/>
      <c r="I5" s="479"/>
    </row>
    <row r="6" spans="1:13" x14ac:dyDescent="0.25">
      <c r="A6" s="479" t="s">
        <v>104</v>
      </c>
      <c r="B6" s="479"/>
      <c r="C6" s="479"/>
      <c r="D6" s="479"/>
      <c r="E6" s="479"/>
      <c r="F6" s="479"/>
      <c r="G6" s="479"/>
      <c r="H6" s="479"/>
      <c r="I6" s="479"/>
    </row>
    <row r="8" spans="1:13" x14ac:dyDescent="0.25">
      <c r="A8" s="479" t="s">
        <v>105</v>
      </c>
      <c r="B8" s="479"/>
      <c r="C8" s="479"/>
      <c r="D8" s="479"/>
      <c r="E8" s="479"/>
      <c r="F8" s="479"/>
      <c r="G8" s="479"/>
      <c r="H8" s="479"/>
      <c r="I8" s="479"/>
    </row>
    <row r="9" spans="1:13" ht="16.5" thickBot="1" x14ac:dyDescent="0.3"/>
    <row r="10" spans="1:13" ht="16.5" thickBot="1" x14ac:dyDescent="0.3">
      <c r="B10" s="53" t="s">
        <v>106</v>
      </c>
      <c r="C10" s="54" t="s">
        <v>107</v>
      </c>
      <c r="D10" s="482"/>
      <c r="E10" s="482"/>
      <c r="F10" s="483"/>
      <c r="G10" s="55" t="e">
        <f>CONCATENATE("Voie ",_xlfn.XLOOKUP(B13,Mesures_Congel!$B$24:$B$35,Mesures_Congel!$C$24:$C$35))</f>
        <v>#N/A</v>
      </c>
      <c r="H10" s="55" t="e">
        <f>CONCATENATE("Voie ",_xlfn.XLOOKUP(B14,Mesures_Congel!$B$24:$B$35,Mesures_Congel!$C$24:$C$35))</f>
        <v>#N/A</v>
      </c>
      <c r="I10" s="55" t="e">
        <f>CONCATENATE("Voie ",_xlfn.XLOOKUP(B15,Mesures_Congel!$B$24:$B$35,Mesures_Congel!$C$24:$C$35))</f>
        <v>#N/A</v>
      </c>
    </row>
    <row r="11" spans="1:13" ht="16.5" thickBot="1" x14ac:dyDescent="0.3">
      <c r="A11" s="51" t="s">
        <v>108</v>
      </c>
      <c r="B11" s="56" t="s">
        <v>109</v>
      </c>
      <c r="C11" s="55" t="s">
        <v>110</v>
      </c>
      <c r="D11" s="482" t="s">
        <v>111</v>
      </c>
      <c r="E11" s="482"/>
      <c r="F11" s="483"/>
      <c r="G11" s="57" t="e">
        <f>_xlfn.XLOOKUP(B13,Mesures_Congel!$B$24:$B$35,Mesures_Congel!$D$24:$D$35)</f>
        <v>#N/A</v>
      </c>
      <c r="H11" s="57" t="e">
        <f>_xlfn.XLOOKUP(B14,Mesures_Congel!$B$24:$B$35,Mesures_Congel!$D$24:$D$35)</f>
        <v>#N/A</v>
      </c>
      <c r="I11" s="57" t="e">
        <f>_xlfn.XLOOKUP(B15,Mesures_Congel!$B$24:$B$35,Mesures_Congel!$D$24:$D$35)</f>
        <v>#N/A</v>
      </c>
    </row>
    <row r="12" spans="1:13" ht="16.5" thickBot="1" x14ac:dyDescent="0.3">
      <c r="A12" s="49" t="s">
        <v>112</v>
      </c>
      <c r="G12" s="58"/>
      <c r="H12" s="58"/>
      <c r="I12" s="58"/>
    </row>
    <row r="13" spans="1:13" ht="17.25" thickTop="1" thickBot="1" x14ac:dyDescent="0.3">
      <c r="A13" s="59">
        <v>11</v>
      </c>
      <c r="B13" s="60">
        <f>_xlfn.XLOOKUP(A13,Mesures_Congel!$A$24:$A$35,Mesures_Congel!$B$24:$B$35)</f>
        <v>0</v>
      </c>
      <c r="C13" s="55" t="e" cm="1">
        <f t="array" ref="C13">_xlfn.XLOOKUP(_xlfn.VALUETOTEXT(B13),SUBSTITUTE(Mesures_Congel!$A$43:$B$54,"Sonde ",""),Mesures_Congel!$C$43:$C$54)</f>
        <v>#VALUE!</v>
      </c>
      <c r="D13" s="482" t="s">
        <v>113</v>
      </c>
      <c r="E13" s="482"/>
      <c r="F13" s="483"/>
      <c r="G13" s="57" t="e">
        <f>_xlfn.XLOOKUP(B13,Mesures_Congel!$B$24:$B$35,Mesures_Congel!$E$24:$E$35)</f>
        <v>#N/A</v>
      </c>
      <c r="H13" s="58"/>
      <c r="I13" s="58"/>
    </row>
    <row r="14" spans="1:13" ht="17.25" thickTop="1" thickBot="1" x14ac:dyDescent="0.3">
      <c r="A14" s="61">
        <v>10</v>
      </c>
      <c r="B14" s="60">
        <f>_xlfn.XLOOKUP(A14,Mesures_Congel!$A$24:$A$35,Mesures_Congel!$B$24:$B$35)</f>
        <v>0</v>
      </c>
      <c r="C14" s="55" t="e" cm="1">
        <f t="array" ref="C14">_xlfn.XLOOKUP(_xlfn.VALUETOTEXT(B14),SUBSTITUTE(Mesures_Congel!$A$43:$B$54,"Sonde ",""),Mesures_Congel!$C$43:$C$54)</f>
        <v>#VALUE!</v>
      </c>
      <c r="D14" s="482" t="s">
        <v>113</v>
      </c>
      <c r="E14" s="482"/>
      <c r="F14" s="482"/>
      <c r="G14" s="62"/>
      <c r="H14" s="57" t="e">
        <f>_xlfn.XLOOKUP(B14,Mesures_Congel!$B$24:$B$35,Mesures_Congel!$E$24:$E$35)</f>
        <v>#N/A</v>
      </c>
      <c r="I14" s="58"/>
    </row>
    <row r="15" spans="1:13" ht="17.25" thickTop="1" thickBot="1" x14ac:dyDescent="0.3">
      <c r="A15" s="61">
        <v>12</v>
      </c>
      <c r="B15" s="60">
        <f>_xlfn.XLOOKUP(A15,Mesures_Congel!$A$24:$A$35,Mesures_Congel!$B$24:$B$35)</f>
        <v>0</v>
      </c>
      <c r="C15" s="55" t="e" cm="1">
        <f t="array" ref="C15">_xlfn.XLOOKUP(_xlfn.VALUETOTEXT(B15),SUBSTITUTE(Mesures_Congel!$A$43:$B$54,"Sonde ",""),Mesures_Congel!$C$43:$C$54)</f>
        <v>#VALUE!</v>
      </c>
      <c r="D15" s="482" t="s">
        <v>113</v>
      </c>
      <c r="E15" s="482"/>
      <c r="F15" s="482"/>
      <c r="G15" s="58"/>
      <c r="H15" s="58"/>
      <c r="I15" s="57" t="e">
        <f>_xlfn.XLOOKUP(B15,Mesures_Congel!$B$24:$B$35,Mesures_Congel!$E$24:$E$35)</f>
        <v>#N/A</v>
      </c>
    </row>
    <row r="16" spans="1:13" ht="16.5" thickTop="1" x14ac:dyDescent="0.25">
      <c r="A16" s="51"/>
      <c r="B16" s="51"/>
      <c r="C16" s="51"/>
      <c r="G16" s="52"/>
      <c r="H16" s="63"/>
      <c r="I16" s="63"/>
      <c r="J16" s="63"/>
      <c r="K16" s="51"/>
    </row>
    <row r="17" spans="1:15" x14ac:dyDescent="0.25">
      <c r="A17" s="479" t="s">
        <v>114</v>
      </c>
      <c r="B17" s="479"/>
      <c r="C17" s="479"/>
      <c r="D17" s="479"/>
      <c r="E17" s="479"/>
      <c r="F17" s="479"/>
      <c r="G17" s="479"/>
      <c r="H17" s="479"/>
      <c r="I17" s="479"/>
    </row>
    <row r="18" spans="1:15" ht="16.5" thickBot="1" x14ac:dyDescent="0.3">
      <c r="A18" s="52"/>
      <c r="B18" s="52"/>
      <c r="C18" s="52"/>
      <c r="D18" s="52"/>
      <c r="E18" s="52"/>
      <c r="F18" s="52"/>
      <c r="G18" s="52"/>
      <c r="H18" s="52"/>
      <c r="I18" s="52"/>
    </row>
    <row r="19" spans="1:15" ht="16.5" thickBot="1" x14ac:dyDescent="0.3">
      <c r="A19" s="484" t="s">
        <v>106</v>
      </c>
      <c r="B19" s="485"/>
      <c r="C19" s="54" t="s">
        <v>107</v>
      </c>
      <c r="H19" s="482"/>
      <c r="I19" s="482"/>
    </row>
    <row r="20" spans="1:15" ht="16.5" thickBot="1" x14ac:dyDescent="0.3">
      <c r="A20" s="486" t="s">
        <v>115</v>
      </c>
      <c r="B20" s="487"/>
      <c r="C20" s="55">
        <f>Mesures_Congel!N49</f>
        <v>0</v>
      </c>
      <c r="D20" s="482" t="s">
        <v>116</v>
      </c>
      <c r="E20" s="482"/>
      <c r="F20" s="482"/>
      <c r="G20" s="64">
        <f>Mesures_Congel!O49</f>
        <v>0</v>
      </c>
      <c r="H20" s="65" t="s">
        <v>117</v>
      </c>
    </row>
    <row r="21" spans="1:15" ht="16.5" thickBot="1" x14ac:dyDescent="0.3">
      <c r="A21" s="486" t="s">
        <v>118</v>
      </c>
      <c r="B21" s="487"/>
      <c r="C21" s="55">
        <f>Mesures_Congel!N50</f>
        <v>0</v>
      </c>
      <c r="D21" s="482" t="s">
        <v>116</v>
      </c>
      <c r="E21" s="482"/>
      <c r="F21" s="482"/>
      <c r="G21" s="64">
        <f>Mesures_Congel!O50</f>
        <v>0</v>
      </c>
      <c r="H21" s="65" t="s">
        <v>119</v>
      </c>
    </row>
    <row r="22" spans="1:15" ht="16.5" thickBot="1" x14ac:dyDescent="0.3">
      <c r="A22" s="486" t="s">
        <v>120</v>
      </c>
      <c r="B22" s="487"/>
      <c r="C22" s="55">
        <f>Mesures_Congel!N51</f>
        <v>0</v>
      </c>
      <c r="D22" s="482" t="s">
        <v>116</v>
      </c>
      <c r="E22" s="482"/>
      <c r="F22" s="482"/>
      <c r="G22" s="64">
        <f>Mesures_Congel!O51</f>
        <v>0</v>
      </c>
      <c r="H22" s="65" t="s">
        <v>121</v>
      </c>
    </row>
    <row r="23" spans="1:15" x14ac:dyDescent="0.25">
      <c r="A23" s="51"/>
      <c r="G23" s="52"/>
      <c r="H23" s="63"/>
      <c r="I23" s="63"/>
      <c r="J23" s="63"/>
      <c r="K23" s="51"/>
    </row>
    <row r="24" spans="1:15" x14ac:dyDescent="0.25">
      <c r="A24" s="492" t="str">
        <f>"TEMPERATURE : "&amp;  Mesures_Congel!B18 &amp; "°C CRITERES D'ACCEPTATION : +/-"&amp; Mesures_Congel!C21 &amp;"°C"</f>
        <v>TEMPERATURE : °C CRITERES D'ACCEPTATION : +/-°C</v>
      </c>
      <c r="B24" s="492"/>
      <c r="C24" s="492"/>
      <c r="D24" s="492"/>
      <c r="E24" s="492"/>
      <c r="F24" s="492"/>
      <c r="G24" s="492"/>
      <c r="H24" s="492"/>
      <c r="I24" s="492"/>
      <c r="K24" s="51"/>
    </row>
    <row r="25" spans="1:15" ht="16.5" thickBot="1" x14ac:dyDescent="0.3">
      <c r="A25" s="479"/>
      <c r="B25" s="479"/>
      <c r="C25" s="479"/>
      <c r="D25" s="479"/>
      <c r="E25" s="479"/>
      <c r="F25" s="479"/>
      <c r="G25" s="479"/>
      <c r="H25" s="479"/>
      <c r="I25" s="479"/>
    </row>
    <row r="26" spans="1:15" ht="15.75" customHeight="1" x14ac:dyDescent="0.25">
      <c r="A26" s="488" t="s">
        <v>28</v>
      </c>
      <c r="B26" s="489"/>
      <c r="C26" s="489"/>
      <c r="D26" s="489"/>
      <c r="E26" s="489"/>
      <c r="F26" s="489"/>
      <c r="G26" s="489"/>
      <c r="H26" s="490"/>
      <c r="I26" s="66" t="s">
        <v>122</v>
      </c>
      <c r="K26" s="67"/>
      <c r="L26" s="67"/>
    </row>
    <row r="27" spans="1:15" s="63" customFormat="1" ht="63.75" customHeight="1" x14ac:dyDescent="0.25">
      <c r="A27" s="68" t="s">
        <v>123</v>
      </c>
      <c r="B27" s="69" t="s">
        <v>124</v>
      </c>
      <c r="C27" s="69" t="s">
        <v>125</v>
      </c>
      <c r="D27" s="70" t="s">
        <v>126</v>
      </c>
      <c r="E27" s="71" t="s">
        <v>127</v>
      </c>
      <c r="F27" s="72" t="s">
        <v>128</v>
      </c>
      <c r="G27" s="73" t="s">
        <v>129</v>
      </c>
      <c r="H27" s="69" t="s">
        <v>130</v>
      </c>
      <c r="I27" s="69" t="s">
        <v>131</v>
      </c>
      <c r="J27" s="49"/>
      <c r="K27" s="67"/>
      <c r="L27" s="67"/>
      <c r="N27" s="67"/>
      <c r="O27" s="74"/>
    </row>
    <row r="28" spans="1:15" ht="19.5" thickBot="1" x14ac:dyDescent="0.3">
      <c r="A28" s="75">
        <f>Congel!test_propagation</f>
        <v>0</v>
      </c>
      <c r="B28" s="76" t="s">
        <v>132</v>
      </c>
      <c r="C28" s="76" t="str">
        <f>CONCATENATE("Sonde ",B15)</f>
        <v>Sonde 0</v>
      </c>
      <c r="D28" s="77" t="e">
        <f ca="1">AVERAGE(INDIRECT("Valeurs_Brutes_Congel["&amp; CONCATENATE("Connecteur ", SUBSTITUTE(I10, "Voie ","")) &amp;"]"))</f>
        <v>#N/A</v>
      </c>
      <c r="E28" s="78" t="e">
        <f ca="1">D28+H11+H14</f>
        <v>#N/A</v>
      </c>
      <c r="F28" s="79">
        <f>Mesures_Congel!M49</f>
        <v>0</v>
      </c>
      <c r="G28" s="79">
        <f>F28+G20</f>
        <v>0</v>
      </c>
      <c r="H28" s="79" t="e">
        <f ca="1">G28-E28</f>
        <v>#N/A</v>
      </c>
      <c r="I28" s="80" t="e">
        <f ca="1">IF(OR(E28&gt;Mesures_Congel!B18+Mesures_Congel!C21,E28&lt;Mesures_Congel!B18-Mesures_Congel!C21),"NON CONFORME","CONFORME")</f>
        <v>#N/A</v>
      </c>
    </row>
    <row r="29" spans="1:15" ht="15.75" customHeight="1" x14ac:dyDescent="0.25">
      <c r="A29" s="488" t="s">
        <v>29</v>
      </c>
      <c r="B29" s="489"/>
      <c r="C29" s="489"/>
      <c r="D29" s="489"/>
      <c r="E29" s="489"/>
      <c r="F29" s="489"/>
      <c r="G29" s="489"/>
      <c r="H29" s="490"/>
      <c r="I29" s="66" t="s">
        <v>122</v>
      </c>
      <c r="K29" s="67"/>
      <c r="L29" s="67"/>
    </row>
    <row r="30" spans="1:15" s="63" customFormat="1" ht="78.75" customHeight="1" x14ac:dyDescent="0.25">
      <c r="A30" s="68" t="s">
        <v>123</v>
      </c>
      <c r="B30" s="69" t="s">
        <v>124</v>
      </c>
      <c r="C30" s="69" t="s">
        <v>125</v>
      </c>
      <c r="D30" s="70" t="s">
        <v>126</v>
      </c>
      <c r="E30" s="71" t="s">
        <v>127</v>
      </c>
      <c r="F30" s="70" t="s">
        <v>128</v>
      </c>
      <c r="G30" s="73" t="s">
        <v>129</v>
      </c>
      <c r="H30" s="69" t="s">
        <v>130</v>
      </c>
      <c r="I30" s="69" t="s">
        <v>131</v>
      </c>
      <c r="J30" s="49"/>
      <c r="K30" s="67"/>
      <c r="L30" s="67"/>
      <c r="N30" s="67"/>
      <c r="O30" s="74"/>
    </row>
    <row r="31" spans="1:15" ht="19.5" thickBot="1" x14ac:dyDescent="0.3">
      <c r="A31" s="75">
        <f>A28</f>
        <v>0</v>
      </c>
      <c r="B31" s="76" t="str">
        <f>B28</f>
        <v>E.LAGASSY</v>
      </c>
      <c r="C31" s="76" t="str">
        <f>CONCATENATE("Sonde ",B14)</f>
        <v>Sonde 0</v>
      </c>
      <c r="D31" s="81" t="e">
        <f ca="1">AVERAGE(INDIRECT("Valeurs_Brutes_Congel["&amp; CONCATENATE("Connecteur ", SUBSTITUTE(H10, "Voie ","")) &amp;"]"))</f>
        <v>#N/A</v>
      </c>
      <c r="E31" s="78" t="e">
        <f ca="1">D31+G11+G13</f>
        <v>#N/A</v>
      </c>
      <c r="F31" s="79">
        <f>Mesures_Congel!M50</f>
        <v>0</v>
      </c>
      <c r="G31" s="79">
        <f>F31+G21</f>
        <v>0</v>
      </c>
      <c r="H31" s="79" t="e">
        <f ca="1">G31-E31</f>
        <v>#N/A</v>
      </c>
      <c r="I31" s="80" t="e">
        <f ca="1">IF(OR(E31&gt;Mesures_Congel!B18+Mesures_Congel!C21,E31&lt;Mesures_Congel!B18-Mesures_Congel!C21),"NON CONFORME","CONFORME")</f>
        <v>#N/A</v>
      </c>
    </row>
    <row r="32" spans="1:15" x14ac:dyDescent="0.25">
      <c r="A32" s="488" t="s">
        <v>30</v>
      </c>
      <c r="B32" s="489"/>
      <c r="C32" s="489"/>
      <c r="D32" s="489"/>
      <c r="E32" s="489"/>
      <c r="F32" s="489"/>
      <c r="G32" s="489"/>
      <c r="H32" s="490"/>
      <c r="I32" s="66" t="s">
        <v>122</v>
      </c>
      <c r="K32" s="67"/>
      <c r="L32" s="67"/>
    </row>
    <row r="33" spans="1:15" s="63" customFormat="1" ht="105.75" customHeight="1" x14ac:dyDescent="0.25">
      <c r="A33" s="68" t="s">
        <v>123</v>
      </c>
      <c r="B33" s="69" t="s">
        <v>124</v>
      </c>
      <c r="C33" s="69" t="s">
        <v>125</v>
      </c>
      <c r="D33" s="70" t="s">
        <v>126</v>
      </c>
      <c r="E33" s="71" t="s">
        <v>127</v>
      </c>
      <c r="F33" s="70" t="s">
        <v>128</v>
      </c>
      <c r="G33" s="73" t="s">
        <v>129</v>
      </c>
      <c r="H33" s="69" t="s">
        <v>130</v>
      </c>
      <c r="I33" s="69" t="s">
        <v>131</v>
      </c>
      <c r="J33" s="49"/>
      <c r="K33" s="67"/>
      <c r="L33" s="67"/>
      <c r="N33" s="67"/>
      <c r="O33" s="74"/>
    </row>
    <row r="34" spans="1:15" ht="19.5" thickBot="1" x14ac:dyDescent="0.3">
      <c r="A34" s="75">
        <f>A28</f>
        <v>0</v>
      </c>
      <c r="B34" s="76" t="str">
        <f>B28</f>
        <v>E.LAGASSY</v>
      </c>
      <c r="C34" s="76" t="str">
        <f>CONCATENATE("Sonde ",B13)</f>
        <v>Sonde 0</v>
      </c>
      <c r="D34" s="76" t="e">
        <f ca="1">AVERAGE(INDIRECT("Valeurs_Brutes_Congel["&amp; CONCATENATE("Connecteur ", SUBSTITUTE(G10, "Voie ","")) &amp;"]"))</f>
        <v>#N/A</v>
      </c>
      <c r="E34" s="78" t="e">
        <f ca="1">D34+I11+I15</f>
        <v>#N/A</v>
      </c>
      <c r="F34" s="79">
        <f>Mesures_Congel!M51</f>
        <v>0</v>
      </c>
      <c r="G34" s="79">
        <f>F34+G22</f>
        <v>0</v>
      </c>
      <c r="H34" s="79" t="e">
        <f ca="1">G34-E34</f>
        <v>#N/A</v>
      </c>
      <c r="I34" s="80" t="e">
        <f ca="1">IF(OR(E34&gt;Mesures_Congel!B18+Mesures_Congel!C21,E34&lt;Mesures_Congel!B18-Mesures_Congel!C21),"NON CONFORME","CONFORME")</f>
        <v>#N/A</v>
      </c>
    </row>
    <row r="35" spans="1:15" ht="16.5" thickBot="1" x14ac:dyDescent="0.3"/>
    <row r="36" spans="1:15" ht="18.75" customHeight="1" x14ac:dyDescent="0.25">
      <c r="A36" s="491" t="s">
        <v>133</v>
      </c>
      <c r="B36" s="491"/>
      <c r="C36" s="491"/>
      <c r="D36" s="491"/>
      <c r="E36" s="491"/>
      <c r="F36" s="491"/>
      <c r="G36" s="491"/>
      <c r="H36" s="491"/>
      <c r="I36" s="491"/>
      <c r="J36" s="82" t="s">
        <v>134</v>
      </c>
      <c r="K36" s="83">
        <f ca="1">TODAY()</f>
        <v>45343</v>
      </c>
    </row>
    <row r="37" spans="1:15" ht="19.5" thickBot="1" x14ac:dyDescent="0.3">
      <c r="D37" s="84"/>
      <c r="E37" s="84"/>
      <c r="F37" s="84"/>
      <c r="G37" s="84"/>
      <c r="H37" s="84"/>
      <c r="I37" s="49" t="s">
        <v>135</v>
      </c>
      <c r="J37" s="85" t="s">
        <v>136</v>
      </c>
      <c r="K37" s="86">
        <f ca="1">EDATE(K36,6)</f>
        <v>45525</v>
      </c>
    </row>
  </sheetData>
  <sheetProtection algorithmName="SHA-512" hashValue="Jvyp37GxhzAkHMXoVqqTqOew/1loZUUy3XOwWvD7UjGRVsduMhyIExWS8XTNBr8oKajIMWMFFvEsNsyCmNUL/w==" saltValue="YJ7CtlPbFqGFlJA/HMhXpw==" spinCount="100000" sheet="1" objects="1" scenarios="1"/>
  <mergeCells count="26">
    <mergeCell ref="A32:H32"/>
    <mergeCell ref="A36:I36"/>
    <mergeCell ref="A22:B22"/>
    <mergeCell ref="D22:F22"/>
    <mergeCell ref="A24:I24"/>
    <mergeCell ref="A25:I25"/>
    <mergeCell ref="A26:H26"/>
    <mergeCell ref="A29:H29"/>
    <mergeCell ref="A19:B19"/>
    <mergeCell ref="H19:I19"/>
    <mergeCell ref="A20:B20"/>
    <mergeCell ref="D20:F20"/>
    <mergeCell ref="A21:B21"/>
    <mergeCell ref="D21:F21"/>
    <mergeCell ref="A17:I17"/>
    <mergeCell ref="B1:I1"/>
    <mergeCell ref="A3:I3"/>
    <mergeCell ref="A4:I4"/>
    <mergeCell ref="A5:I5"/>
    <mergeCell ref="A6:I6"/>
    <mergeCell ref="A8:I8"/>
    <mergeCell ref="D10:F10"/>
    <mergeCell ref="D11:F11"/>
    <mergeCell ref="D13:F13"/>
    <mergeCell ref="D14:F14"/>
    <mergeCell ref="D15:F15"/>
  </mergeCells>
  <conditionalFormatting sqref="I28">
    <cfRule type="containsText" dxfId="50" priority="5" operator="containsText" text="NON CONFORME">
      <formula>NOT(ISERROR(SEARCH("NON CONFORME",I28)))</formula>
    </cfRule>
    <cfRule type="containsText" dxfId="49" priority="6" operator="containsText" text="CONFORME">
      <formula>NOT(ISERROR(SEARCH("CONFORME",I28)))</formula>
    </cfRule>
  </conditionalFormatting>
  <conditionalFormatting sqref="I31">
    <cfRule type="containsText" dxfId="48" priority="3" operator="containsText" text="NON CONFORME">
      <formula>NOT(ISERROR(SEARCH("NON CONFORME",I31)))</formula>
    </cfRule>
    <cfRule type="containsText" dxfId="47" priority="4" operator="containsText" text="CONFORME">
      <formula>NOT(ISERROR(SEARCH("CONFORME",I31)))</formula>
    </cfRule>
  </conditionalFormatting>
  <conditionalFormatting sqref="I34">
    <cfRule type="containsText" dxfId="46" priority="1" operator="containsText" text="NON CONFORME">
      <formula>NOT(ISERROR(SEARCH("NON CONFORME",I34)))</formula>
    </cfRule>
    <cfRule type="containsText" dxfId="45" priority="2" operator="containsText" text="CONFORME">
      <formula>NOT(ISERROR(SEARCH("CONFORME",I34)))</formula>
    </cfRule>
  </conditionalFormatting>
  <pageMargins left="0.7" right="0.7" top="0.75" bottom="0.75" header="0.3" footer="0.3"/>
  <pageSetup paperSize="9" scale="26" orientation="portrait" r:id="rId1"/>
  <headerFooter>
    <oddFooter>&amp;RIMP 472 ind O du 07-02-2024 ( TUS de l'étuve de polymération ENATT)</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4"/>
  <sheetViews>
    <sheetView workbookViewId="0">
      <selection activeCell="D5" sqref="D5"/>
    </sheetView>
  </sheetViews>
  <sheetFormatPr baseColWidth="10" defaultRowHeight="15" x14ac:dyDescent="0.25"/>
  <cols>
    <col min="1" max="1" width="15.85546875" bestFit="1" customWidth="1"/>
    <col min="2" max="2" width="14.7109375" bestFit="1" customWidth="1"/>
    <col min="3" max="3" width="18.85546875" bestFit="1" customWidth="1"/>
    <col min="4" max="4" width="35.7109375" bestFit="1" customWidth="1"/>
    <col min="5" max="5" width="13.85546875" bestFit="1"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325"/>
      <c r="B1" s="1"/>
      <c r="C1" s="1"/>
      <c r="D1" s="1"/>
      <c r="E1" s="1"/>
      <c r="F1" s="1"/>
      <c r="G1" s="1"/>
      <c r="H1" s="1"/>
      <c r="I1" s="1"/>
      <c r="J1" s="1"/>
      <c r="K1" s="1"/>
      <c r="L1" s="1"/>
      <c r="M1" s="1"/>
      <c r="N1" s="1"/>
      <c r="O1" s="1"/>
    </row>
    <row r="2" spans="1:15" x14ac:dyDescent="0.25">
      <c r="A2" s="1"/>
      <c r="B2" s="445" t="s">
        <v>11</v>
      </c>
      <c r="C2" s="446"/>
      <c r="D2" s="446"/>
      <c r="E2" s="446"/>
      <c r="F2" s="446"/>
      <c r="G2" s="446"/>
      <c r="H2" s="446"/>
      <c r="I2" s="446"/>
      <c r="J2" s="446"/>
      <c r="K2" s="446"/>
      <c r="L2" s="1"/>
      <c r="M2" s="1"/>
      <c r="N2" s="1"/>
      <c r="O2" s="1"/>
    </row>
    <row r="3" spans="1:15" x14ac:dyDescent="0.25">
      <c r="A3" s="1"/>
      <c r="B3" s="446"/>
      <c r="C3" s="446"/>
      <c r="D3" s="446"/>
      <c r="E3" s="446"/>
      <c r="F3" s="446"/>
      <c r="G3" s="446"/>
      <c r="H3" s="446"/>
      <c r="I3" s="446"/>
      <c r="J3" s="446"/>
      <c r="K3" s="446"/>
      <c r="L3" s="1"/>
      <c r="M3" s="1"/>
      <c r="N3" s="1"/>
      <c r="O3" s="1"/>
    </row>
    <row r="4" spans="1:15" ht="57" x14ac:dyDescent="0.25">
      <c r="A4" s="1"/>
      <c r="B4" s="2"/>
      <c r="C4" s="2"/>
      <c r="D4" s="2"/>
      <c r="E4" s="2"/>
      <c r="F4" s="2"/>
      <c r="G4" s="2"/>
      <c r="H4" s="2"/>
      <c r="I4" s="2"/>
      <c r="J4" s="2"/>
      <c r="K4" s="2"/>
      <c r="L4" s="1"/>
      <c r="M4" s="1"/>
      <c r="N4" s="1"/>
      <c r="O4" s="1"/>
    </row>
    <row r="5" spans="1:15" ht="14.25" customHeight="1" x14ac:dyDescent="0.25">
      <c r="A5" s="447" t="s">
        <v>553</v>
      </c>
      <c r="B5" s="447"/>
      <c r="C5" s="447"/>
      <c r="D5" s="162" t="str">
        <f>Choose_TUS!L2 &amp; "(TUS du séchoir)"</f>
        <v>IMP 472 ind O du 07-02-2024 (TUS du séchoir)</v>
      </c>
      <c r="E5" s="2"/>
      <c r="F5" s="2"/>
      <c r="G5" s="2"/>
      <c r="H5" s="2"/>
      <c r="I5" s="2"/>
      <c r="J5" s="2"/>
      <c r="K5" s="2"/>
      <c r="L5" s="1"/>
      <c r="M5" s="1"/>
      <c r="N5" s="1"/>
      <c r="O5" s="1"/>
    </row>
    <row r="6" spans="1:15" x14ac:dyDescent="0.25">
      <c r="A6" s="447" t="s">
        <v>0</v>
      </c>
      <c r="B6" s="447"/>
      <c r="C6" s="447"/>
      <c r="D6" s="162"/>
      <c r="E6" s="1"/>
      <c r="F6" s="1"/>
      <c r="G6" s="1"/>
      <c r="H6" s="1"/>
      <c r="I6" s="1"/>
      <c r="J6" s="1"/>
      <c r="K6" s="1"/>
      <c r="L6" s="1"/>
      <c r="M6" s="1"/>
      <c r="N6" s="1"/>
      <c r="O6" s="24"/>
    </row>
    <row r="7" spans="1:15" x14ac:dyDescent="0.25">
      <c r="A7" s="1"/>
      <c r="B7" s="1"/>
      <c r="C7" s="1"/>
      <c r="D7" s="1"/>
      <c r="E7" s="1"/>
      <c r="F7" s="1"/>
      <c r="G7" s="1"/>
      <c r="H7" s="1"/>
      <c r="I7" s="1"/>
      <c r="J7" s="1"/>
      <c r="K7" s="1"/>
      <c r="L7" s="1"/>
      <c r="M7" s="1"/>
      <c r="N7" s="1"/>
      <c r="O7" s="1"/>
    </row>
    <row r="8" spans="1:15" x14ac:dyDescent="0.25">
      <c r="A8" s="447" t="s">
        <v>1</v>
      </c>
      <c r="B8" s="447"/>
      <c r="C8" s="4"/>
      <c r="D8" s="1"/>
      <c r="E8" s="447" t="s">
        <v>18</v>
      </c>
      <c r="F8" s="447"/>
      <c r="G8" s="4"/>
      <c r="H8" s="1"/>
      <c r="I8" s="1"/>
      <c r="J8" s="1"/>
      <c r="K8" s="1"/>
      <c r="L8" s="1"/>
      <c r="M8" s="1"/>
      <c r="N8" s="1"/>
      <c r="O8" s="5"/>
    </row>
    <row r="9" spans="1:15" x14ac:dyDescent="0.25">
      <c r="A9" s="447" t="s">
        <v>2</v>
      </c>
      <c r="B9" s="447"/>
      <c r="C9" s="6"/>
      <c r="D9" s="1"/>
      <c r="E9" s="447" t="s">
        <v>19</v>
      </c>
      <c r="F9" s="447"/>
      <c r="G9" s="6"/>
      <c r="H9" s="1"/>
      <c r="I9" s="1"/>
      <c r="J9" s="1"/>
      <c r="K9" s="1"/>
      <c r="L9" s="1"/>
      <c r="M9" s="1"/>
      <c r="N9" s="1"/>
      <c r="O9" s="5"/>
    </row>
    <row r="10" spans="1:15" x14ac:dyDescent="0.25">
      <c r="A10" s="1"/>
      <c r="B10" s="1"/>
      <c r="C10" s="1"/>
      <c r="D10" s="1"/>
      <c r="E10" s="1"/>
      <c r="F10" s="1"/>
      <c r="G10" s="1"/>
      <c r="H10" s="1"/>
      <c r="I10" s="1"/>
      <c r="J10" s="1"/>
      <c r="K10" s="1"/>
      <c r="L10" s="1"/>
      <c r="M10" s="1"/>
      <c r="N10" s="1"/>
      <c r="O10" s="5"/>
    </row>
    <row r="11" spans="1:15" x14ac:dyDescent="0.25">
      <c r="A11" s="443" t="s">
        <v>3</v>
      </c>
      <c r="B11" s="444"/>
      <c r="C11" s="7"/>
      <c r="D11" s="1"/>
      <c r="E11" s="443" t="s">
        <v>20</v>
      </c>
      <c r="F11" s="444"/>
      <c r="G11" s="8"/>
      <c r="H11" s="1"/>
      <c r="I11" s="1"/>
      <c r="J11" s="1"/>
      <c r="K11" s="1"/>
      <c r="L11" s="1"/>
      <c r="M11" s="1"/>
      <c r="N11" s="1"/>
      <c r="O11" s="1"/>
    </row>
    <row r="12" spans="1:15" x14ac:dyDescent="0.25">
      <c r="A12" s="443" t="s">
        <v>4</v>
      </c>
      <c r="B12" s="444"/>
      <c r="C12" s="8"/>
      <c r="D12" s="1"/>
      <c r="E12" s="447" t="s">
        <v>21</v>
      </c>
      <c r="F12" s="447"/>
      <c r="G12" s="159">
        <v>9</v>
      </c>
      <c r="H12" s="1"/>
      <c r="I12" s="1"/>
      <c r="J12" s="1"/>
      <c r="K12" s="1"/>
      <c r="L12" s="1"/>
      <c r="M12" s="1"/>
      <c r="N12" s="1"/>
      <c r="O12" s="1"/>
    </row>
    <row r="13" spans="1:15" x14ac:dyDescent="0.25">
      <c r="A13" s="1"/>
      <c r="B13" s="1"/>
      <c r="C13" s="1"/>
      <c r="D13" s="1"/>
      <c r="E13" s="447" t="s">
        <v>22</v>
      </c>
      <c r="F13" s="447"/>
      <c r="G13" s="10"/>
      <c r="H13" s="1"/>
      <c r="I13" s="1"/>
      <c r="J13" s="1"/>
      <c r="K13" s="1"/>
      <c r="L13" s="1"/>
      <c r="M13" s="1"/>
      <c r="N13" s="1"/>
      <c r="O13" s="1"/>
    </row>
    <row r="14" spans="1:15" x14ac:dyDescent="0.25">
      <c r="A14" s="1"/>
      <c r="B14" s="1"/>
      <c r="C14" s="1"/>
      <c r="D14" s="1"/>
      <c r="E14" s="1"/>
      <c r="F14" s="1"/>
      <c r="G14" s="1"/>
      <c r="H14" s="1"/>
      <c r="I14" s="1"/>
      <c r="J14" s="1"/>
      <c r="K14" s="1"/>
      <c r="L14" s="1"/>
      <c r="M14" s="1"/>
      <c r="N14" s="1"/>
      <c r="O14" s="1"/>
    </row>
    <row r="15" spans="1:15" x14ac:dyDescent="0.25">
      <c r="A15" s="443" t="s">
        <v>5</v>
      </c>
      <c r="B15" s="444"/>
      <c r="C15" s="4"/>
      <c r="D15" s="1"/>
      <c r="E15" s="1"/>
      <c r="F15" s="1"/>
      <c r="G15" s="1"/>
      <c r="H15" s="1"/>
      <c r="I15" s="1"/>
      <c r="J15" s="1"/>
      <c r="K15" s="1"/>
      <c r="L15" s="1"/>
      <c r="M15" s="1"/>
      <c r="N15" s="1"/>
      <c r="O15" s="1"/>
    </row>
    <row r="16" spans="1:15" x14ac:dyDescent="0.25">
      <c r="A16" s="443" t="s">
        <v>6</v>
      </c>
      <c r="B16" s="444"/>
      <c r="C16" s="10"/>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1"/>
      <c r="B19" s="1"/>
      <c r="C19" s="1"/>
      <c r="D19" s="1"/>
      <c r="E19" s="1"/>
      <c r="F19" s="1"/>
      <c r="G19" s="1"/>
      <c r="H19" s="1"/>
      <c r="I19" s="1"/>
      <c r="J19" s="1"/>
      <c r="K19" s="1"/>
      <c r="L19" s="1"/>
      <c r="M19" s="1"/>
      <c r="N19" s="1"/>
      <c r="O19" s="1"/>
    </row>
    <row r="20" spans="1:15" x14ac:dyDescent="0.25">
      <c r="A20" s="3" t="s">
        <v>548</v>
      </c>
      <c r="B20" s="11"/>
      <c r="C20" s="1"/>
      <c r="D20" s="1"/>
      <c r="E20" s="1"/>
      <c r="F20" s="1"/>
      <c r="G20" s="1"/>
      <c r="H20" s="1"/>
      <c r="I20" s="1"/>
      <c r="J20" s="1"/>
      <c r="K20" s="1"/>
      <c r="L20" s="1"/>
      <c r="M20" s="1"/>
      <c r="N20" s="1"/>
      <c r="O20" s="1"/>
    </row>
    <row r="21" spans="1:15" x14ac:dyDescent="0.25">
      <c r="A21" s="3" t="s">
        <v>549</v>
      </c>
      <c r="B21" s="11"/>
      <c r="C21" s="1"/>
      <c r="D21" s="1"/>
      <c r="E21" s="1"/>
      <c r="F21" s="1"/>
      <c r="G21" s="1"/>
      <c r="H21" s="1"/>
      <c r="I21" s="1"/>
      <c r="J21" s="1"/>
      <c r="K21" s="1"/>
      <c r="L21" s="1"/>
      <c r="M21" s="1"/>
      <c r="N21" s="1"/>
      <c r="O21" s="1"/>
    </row>
    <row r="22" spans="1:15" ht="15.75" thickBot="1" x14ac:dyDescent="0.3">
      <c r="A22" s="1"/>
      <c r="B22" s="1"/>
      <c r="C22" s="1"/>
      <c r="D22" s="1"/>
      <c r="E22" s="1"/>
      <c r="F22" s="1"/>
      <c r="G22" s="1"/>
      <c r="H22" s="1"/>
      <c r="I22" s="1"/>
      <c r="J22" s="1"/>
      <c r="K22" s="1"/>
      <c r="L22" s="1"/>
      <c r="M22" s="1"/>
      <c r="N22" s="1"/>
      <c r="O22" s="1"/>
    </row>
    <row r="23" spans="1:15" ht="15.75" thickBot="1" x14ac:dyDescent="0.3">
      <c r="A23" s="12" t="s">
        <v>9</v>
      </c>
      <c r="B23" s="13" t="s">
        <v>12</v>
      </c>
      <c r="C23" s="13" t="s">
        <v>14</v>
      </c>
      <c r="D23" s="13" t="s">
        <v>554</v>
      </c>
      <c r="E23" s="14" t="s">
        <v>555</v>
      </c>
      <c r="F23" s="1"/>
      <c r="G23" s="1"/>
      <c r="H23" s="1"/>
      <c r="I23" s="1"/>
      <c r="J23" s="1"/>
      <c r="K23" s="1"/>
      <c r="L23" s="1"/>
      <c r="M23" s="1"/>
      <c r="N23" s="1"/>
      <c r="O23" s="1"/>
    </row>
    <row r="24" spans="1:15" x14ac:dyDescent="0.25">
      <c r="A24" s="15">
        <v>1</v>
      </c>
      <c r="B24" s="11"/>
      <c r="C24" s="11"/>
      <c r="D24" s="174"/>
      <c r="E24" s="174"/>
      <c r="F24" s="1"/>
      <c r="G24" s="1"/>
      <c r="H24" s="1"/>
      <c r="I24" s="1"/>
      <c r="J24" s="1"/>
      <c r="K24" s="1"/>
      <c r="L24" s="1"/>
      <c r="M24" s="1"/>
      <c r="N24" s="1"/>
      <c r="O24" s="1"/>
    </row>
    <row r="25" spans="1:15" x14ac:dyDescent="0.25">
      <c r="A25" s="19">
        <v>2</v>
      </c>
      <c r="B25" s="11"/>
      <c r="C25" s="11"/>
      <c r="D25" s="174"/>
      <c r="E25" s="174"/>
      <c r="F25" s="1"/>
      <c r="G25" s="1"/>
      <c r="H25" s="1"/>
      <c r="I25" s="1"/>
      <c r="J25" s="1"/>
      <c r="K25" s="1"/>
      <c r="L25" s="1"/>
      <c r="M25" s="1"/>
      <c r="N25" s="1"/>
      <c r="O25" s="1"/>
    </row>
    <row r="26" spans="1:15" x14ac:dyDescent="0.25">
      <c r="A26" s="15">
        <v>3</v>
      </c>
      <c r="B26" s="11"/>
      <c r="C26" s="11"/>
      <c r="D26" s="174"/>
      <c r="E26" s="174"/>
      <c r="F26" s="1"/>
      <c r="G26" s="1"/>
      <c r="H26" s="1"/>
      <c r="I26" s="1"/>
      <c r="J26" s="1"/>
      <c r="K26" s="1"/>
      <c r="L26" s="1"/>
      <c r="M26" s="1"/>
      <c r="N26" s="1"/>
      <c r="O26" s="1"/>
    </row>
    <row r="27" spans="1:15" x14ac:dyDescent="0.25">
      <c r="A27" s="19">
        <v>4</v>
      </c>
      <c r="B27" s="11"/>
      <c r="C27" s="11"/>
      <c r="D27" s="174"/>
      <c r="E27" s="174"/>
      <c r="F27" s="1"/>
      <c r="G27" s="1"/>
      <c r="H27" s="1"/>
      <c r="I27" s="1"/>
      <c r="J27" s="1"/>
      <c r="K27" s="1"/>
      <c r="L27" s="1"/>
      <c r="M27" s="1"/>
      <c r="N27" s="1"/>
      <c r="O27" s="1"/>
    </row>
    <row r="28" spans="1:15" x14ac:dyDescent="0.25">
      <c r="A28" s="15">
        <v>5</v>
      </c>
      <c r="B28" s="11"/>
      <c r="C28" s="11"/>
      <c r="D28" s="174"/>
      <c r="E28" s="174"/>
      <c r="F28" s="1"/>
      <c r="G28" s="1"/>
      <c r="H28" s="1"/>
      <c r="I28" s="1"/>
      <c r="J28" s="1"/>
      <c r="K28" s="1"/>
      <c r="L28" s="1"/>
      <c r="M28" s="1"/>
      <c r="N28" s="1"/>
      <c r="O28" s="1"/>
    </row>
    <row r="29" spans="1:15" x14ac:dyDescent="0.25">
      <c r="A29" s="19">
        <v>6</v>
      </c>
      <c r="B29" s="11"/>
      <c r="C29" s="11"/>
      <c r="D29" s="174"/>
      <c r="E29" s="174"/>
      <c r="F29" s="1"/>
      <c r="G29" s="1"/>
      <c r="H29" s="1"/>
      <c r="I29" s="1"/>
      <c r="J29" s="1"/>
      <c r="K29" s="1"/>
      <c r="L29" s="1"/>
      <c r="M29" s="1"/>
      <c r="N29" s="1"/>
      <c r="O29" s="1"/>
    </row>
    <row r="30" spans="1:15" x14ac:dyDescent="0.25">
      <c r="A30" s="15">
        <v>7</v>
      </c>
      <c r="B30" s="11"/>
      <c r="C30" s="11"/>
      <c r="D30" s="174"/>
      <c r="E30" s="174"/>
      <c r="F30" s="1"/>
      <c r="G30" s="1"/>
      <c r="H30" s="1"/>
      <c r="I30" s="1"/>
      <c r="J30" s="1"/>
      <c r="K30" s="1"/>
      <c r="L30" s="1"/>
      <c r="M30" s="1"/>
      <c r="N30" s="1"/>
      <c r="O30" s="1"/>
    </row>
    <row r="31" spans="1:15" x14ac:dyDescent="0.25">
      <c r="A31" s="19">
        <v>8</v>
      </c>
      <c r="B31" s="11"/>
      <c r="C31" s="11"/>
      <c r="D31" s="174"/>
      <c r="E31" s="174"/>
      <c r="F31" s="1"/>
      <c r="G31" s="1"/>
      <c r="H31" s="1"/>
      <c r="I31" s="1"/>
      <c r="J31" s="1"/>
      <c r="K31" s="1"/>
      <c r="L31" s="1"/>
      <c r="M31" s="1"/>
      <c r="N31" s="1"/>
      <c r="O31" s="1"/>
    </row>
    <row r="32" spans="1:15" x14ac:dyDescent="0.25">
      <c r="A32" s="15">
        <v>9</v>
      </c>
      <c r="B32" s="11"/>
      <c r="C32" s="11"/>
      <c r="D32" s="174"/>
      <c r="E32" s="174"/>
      <c r="F32" s="1"/>
      <c r="G32" s="1"/>
      <c r="H32" s="1"/>
      <c r="I32" s="1"/>
      <c r="J32" s="1"/>
      <c r="K32" s="1"/>
      <c r="L32" s="1"/>
      <c r="M32" s="1"/>
      <c r="N32" s="1"/>
      <c r="O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x14ac:dyDescent="0.25">
      <c r="A38" s="1"/>
      <c r="B38" s="1"/>
      <c r="C38" s="1"/>
      <c r="D38" s="1"/>
      <c r="E38" s="1"/>
      <c r="F38" s="1"/>
      <c r="G38" s="1"/>
      <c r="H38" s="1"/>
      <c r="I38" s="1"/>
      <c r="J38" s="1"/>
      <c r="K38" s="1"/>
      <c r="L38" s="1"/>
      <c r="M38" s="1"/>
      <c r="N38" s="1"/>
      <c r="O38" s="1"/>
    </row>
    <row r="39" spans="1:15" ht="26.25" x14ac:dyDescent="0.25">
      <c r="A39" s="1"/>
      <c r="B39" s="448" t="s">
        <v>13</v>
      </c>
      <c r="C39" s="448"/>
      <c r="D39" s="1"/>
      <c r="E39" s="1"/>
      <c r="F39" s="1"/>
      <c r="G39" s="1"/>
      <c r="H39" s="1"/>
      <c r="I39" s="1"/>
      <c r="J39" s="1"/>
      <c r="K39" s="1"/>
      <c r="L39" s="448" t="s">
        <v>30</v>
      </c>
      <c r="M39" s="448"/>
      <c r="N39" s="1"/>
      <c r="O39" s="1"/>
    </row>
    <row r="40" spans="1:15" x14ac:dyDescent="0.25">
      <c r="A40" s="1"/>
      <c r="B40" s="1"/>
      <c r="C40" s="1"/>
      <c r="D40" s="1"/>
      <c r="E40" s="1"/>
      <c r="F40" s="1"/>
      <c r="G40" s="1"/>
      <c r="H40" s="1"/>
      <c r="I40" s="1"/>
      <c r="J40" s="1"/>
      <c r="K40" s="1"/>
      <c r="L40" s="1"/>
      <c r="M40" s="1"/>
      <c r="N40" s="1"/>
      <c r="O40" s="1"/>
    </row>
    <row r="41" spans="1:15" x14ac:dyDescent="0.25">
      <c r="B41" s="443" t="s">
        <v>10</v>
      </c>
      <c r="C41" s="454"/>
      <c r="D41" s="454"/>
      <c r="E41" s="454"/>
      <c r="F41" s="444"/>
      <c r="G41" s="1"/>
      <c r="H41" s="1"/>
      <c r="I41" s="1"/>
      <c r="J41" s="1"/>
      <c r="K41" s="447" t="s">
        <v>26</v>
      </c>
      <c r="L41" s="447"/>
      <c r="M41" s="447"/>
      <c r="N41" s="447"/>
      <c r="O41" s="447"/>
    </row>
    <row r="42" spans="1:15" ht="30" x14ac:dyDescent="0.25">
      <c r="B42" s="3"/>
      <c r="C42" s="3" t="s">
        <v>15</v>
      </c>
      <c r="D42" s="20" t="s">
        <v>17</v>
      </c>
      <c r="E42" s="20" t="s">
        <v>24</v>
      </c>
      <c r="F42" s="20" t="s">
        <v>25</v>
      </c>
      <c r="G42" s="1"/>
      <c r="H42" s="1"/>
      <c r="I42" s="1"/>
      <c r="J42" s="1"/>
      <c r="K42" s="451"/>
      <c r="L42" s="451"/>
      <c r="M42" s="3" t="s">
        <v>32</v>
      </c>
      <c r="N42" s="3" t="s">
        <v>34</v>
      </c>
      <c r="O42" s="3" t="s">
        <v>35</v>
      </c>
    </row>
    <row r="43" spans="1:15" x14ac:dyDescent="0.25">
      <c r="B43" s="319" t="str">
        <f>CONCATENATE("Sonde ", B24)</f>
        <v xml:space="preserve">Sonde </v>
      </c>
      <c r="C43" s="10"/>
      <c r="D43" s="10"/>
      <c r="E43" s="10"/>
      <c r="F43" s="10"/>
      <c r="G43" s="1"/>
      <c r="H43" s="1"/>
      <c r="I43" s="1"/>
      <c r="J43" s="1"/>
      <c r="K43" s="452" t="s">
        <v>27</v>
      </c>
      <c r="L43" s="453"/>
      <c r="M43" s="10"/>
      <c r="N43" s="10"/>
      <c r="O43" s="10"/>
    </row>
    <row r="44" spans="1:15" x14ac:dyDescent="0.25">
      <c r="B44" s="319" t="str">
        <f t="shared" ref="B44:B51" si="0">"Sonde " &amp; B25</f>
        <v xml:space="preserve">Sonde </v>
      </c>
      <c r="C44" s="10"/>
      <c r="D44" s="10"/>
      <c r="E44" s="10"/>
      <c r="F44" s="10"/>
      <c r="G44" s="1"/>
      <c r="H44" s="1"/>
      <c r="I44" s="1"/>
      <c r="J44" s="1"/>
      <c r="K44" s="1"/>
      <c r="L44" s="1"/>
      <c r="M44" s="1"/>
      <c r="N44" s="1"/>
      <c r="O44" s="1"/>
    </row>
    <row r="45" spans="1:15" x14ac:dyDescent="0.25">
      <c r="B45" s="319" t="str">
        <f t="shared" si="0"/>
        <v xml:space="preserve">Sonde </v>
      </c>
      <c r="C45" s="10"/>
      <c r="D45" s="10"/>
      <c r="E45" s="10"/>
      <c r="F45" s="10"/>
      <c r="G45" s="1"/>
      <c r="H45" s="1"/>
      <c r="I45" s="1"/>
      <c r="J45" s="1"/>
      <c r="K45" s="1"/>
      <c r="L45" s="1"/>
      <c r="M45" s="1"/>
      <c r="N45" s="1"/>
      <c r="O45" s="1"/>
    </row>
    <row r="46" spans="1:15" x14ac:dyDescent="0.25">
      <c r="B46" s="319" t="str">
        <f t="shared" si="0"/>
        <v xml:space="preserve">Sonde </v>
      </c>
      <c r="C46" s="10"/>
      <c r="D46" s="10"/>
      <c r="E46" s="10"/>
      <c r="F46" s="10"/>
      <c r="G46" s="1"/>
      <c r="H46" s="1"/>
      <c r="I46" s="1"/>
      <c r="J46" s="1"/>
      <c r="K46" s="1"/>
      <c r="L46" s="1"/>
      <c r="M46" s="1"/>
      <c r="N46" s="1"/>
      <c r="O46" s="1"/>
    </row>
    <row r="47" spans="1:15" x14ac:dyDescent="0.25">
      <c r="B47" s="319" t="str">
        <f t="shared" si="0"/>
        <v xml:space="preserve">Sonde </v>
      </c>
      <c r="C47" s="10"/>
      <c r="D47" s="10"/>
      <c r="E47" s="10"/>
      <c r="F47" s="10"/>
      <c r="G47" s="1"/>
      <c r="H47" s="1"/>
      <c r="I47" s="1"/>
      <c r="J47" s="1"/>
      <c r="K47" s="1"/>
      <c r="L47" s="1"/>
    </row>
    <row r="48" spans="1:15" x14ac:dyDescent="0.25">
      <c r="B48" s="319" t="str">
        <f t="shared" si="0"/>
        <v xml:space="preserve">Sonde </v>
      </c>
      <c r="C48" s="10"/>
      <c r="D48" s="10"/>
      <c r="E48" s="10"/>
      <c r="F48" s="10"/>
      <c r="G48" s="1"/>
      <c r="H48" s="1"/>
      <c r="I48" s="1"/>
      <c r="J48" s="1"/>
      <c r="K48" s="1"/>
      <c r="L48" s="1"/>
    </row>
    <row r="49" spans="1:12" x14ac:dyDescent="0.25">
      <c r="B49" s="319" t="str">
        <f t="shared" si="0"/>
        <v xml:space="preserve">Sonde </v>
      </c>
      <c r="C49" s="10"/>
      <c r="D49" s="10"/>
      <c r="E49" s="10"/>
      <c r="F49" s="10"/>
      <c r="G49" s="1"/>
      <c r="H49" s="1"/>
      <c r="I49" s="1"/>
      <c r="J49" s="1"/>
      <c r="K49" s="1"/>
      <c r="L49" s="1"/>
    </row>
    <row r="50" spans="1:12" x14ac:dyDescent="0.25">
      <c r="B50" s="319" t="str">
        <f t="shared" si="0"/>
        <v xml:space="preserve">Sonde </v>
      </c>
      <c r="C50" s="10"/>
      <c r="D50" s="10"/>
      <c r="E50" s="10"/>
      <c r="F50" s="10"/>
      <c r="G50" s="1"/>
      <c r="H50" s="1"/>
      <c r="I50" s="1"/>
      <c r="J50" s="1"/>
      <c r="K50" s="1"/>
      <c r="L50" s="1"/>
    </row>
    <row r="51" spans="1:12" x14ac:dyDescent="0.25">
      <c r="B51" s="319" t="str">
        <f t="shared" si="0"/>
        <v xml:space="preserve">Sonde </v>
      </c>
      <c r="C51" s="10"/>
      <c r="D51" s="10"/>
      <c r="E51" s="10"/>
      <c r="F51" s="10"/>
      <c r="G51" s="1"/>
      <c r="H51" s="1"/>
      <c r="I51" s="1"/>
      <c r="J51" s="1"/>
      <c r="K51" s="1"/>
      <c r="L51" s="1"/>
    </row>
    <row r="52" spans="1:12" x14ac:dyDescent="0.25">
      <c r="A52" s="1"/>
      <c r="B52" s="1"/>
      <c r="C52" s="1"/>
      <c r="D52" s="1"/>
      <c r="E52" s="1"/>
      <c r="F52" s="1"/>
      <c r="G52" s="1"/>
      <c r="H52" s="1"/>
      <c r="I52" s="1"/>
    </row>
    <row r="53" spans="1:12" x14ac:dyDescent="0.25">
      <c r="A53" s="1"/>
      <c r="B53" s="1"/>
      <c r="C53" s="1"/>
      <c r="D53" s="1"/>
      <c r="E53" s="1"/>
      <c r="F53" s="1"/>
      <c r="G53" s="1"/>
      <c r="H53" s="1"/>
      <c r="I53" s="1"/>
    </row>
    <row r="54" spans="1:12" x14ac:dyDescent="0.25">
      <c r="A54" s="1"/>
      <c r="B54" s="1"/>
      <c r="C54" s="1"/>
      <c r="D54" s="1"/>
      <c r="E54" s="1"/>
      <c r="F54" s="1"/>
      <c r="G54" s="1"/>
      <c r="H54" s="1"/>
      <c r="I54" s="1"/>
    </row>
  </sheetData>
  <sheetProtection algorithmName="SHA-512" hashValue="J19YRKB4ISdIVzSbafCc+Z8dpxJcDdYdNxJQTJS2bR2lGTcqTT8jG4+PrFbv3fNPNLw6Cg2Kch6jzLGwiEIU3A==" saltValue="nAiXaRjr3iupZfCKfF5uQA==" spinCount="100000" sheet="1" objects="1" scenarios="1"/>
  <protectedRanges>
    <protectedRange sqref="C11" name="Donnees controleur_8"/>
  </protectedRanges>
  <dataConsolidate/>
  <mergeCells count="20">
    <mergeCell ref="K43:L43"/>
    <mergeCell ref="K42:L42"/>
    <mergeCell ref="A11:B11"/>
    <mergeCell ref="E11:F11"/>
    <mergeCell ref="A12:B12"/>
    <mergeCell ref="E12:F12"/>
    <mergeCell ref="E13:F13"/>
    <mergeCell ref="A15:B15"/>
    <mergeCell ref="A16:B16"/>
    <mergeCell ref="B39:C39"/>
    <mergeCell ref="L39:M39"/>
    <mergeCell ref="K41:O41"/>
    <mergeCell ref="B41:F41"/>
    <mergeCell ref="B2:K3"/>
    <mergeCell ref="A6:C6"/>
    <mergeCell ref="A8:B8"/>
    <mergeCell ref="E8:F8"/>
    <mergeCell ref="A9:B9"/>
    <mergeCell ref="E9:F9"/>
    <mergeCell ref="A5:C5"/>
  </mergeCells>
  <conditionalFormatting sqref="A52:R60 B42:R51 B41 G41:R41 A1:R40">
    <cfRule type="expression" dxfId="44" priority="1">
      <formula>AND(NOT(CELL("protege", A1)), A1="")</formula>
    </cfRule>
  </conditionalFormatting>
  <dataValidations disablePrompts="1" count="3">
    <dataValidation type="list" allowBlank="1" showInputMessage="1" showErrorMessage="1" sqref="C11" xr:uid="{25E045EC-33D2-484B-ADD3-DE8ED1EF285D}">
      <formula1>"BCH , LV"</formula1>
    </dataValidation>
    <dataValidation type="list" showInputMessage="1" showErrorMessage="1" sqref="D17:D18" xr:uid="{5B7E2A97-04E4-4FBF-AE91-355DB11E2DE7}">
      <formula1>$C$16:$C$18</formula1>
    </dataValidation>
    <dataValidation type="list" showErrorMessage="1" promptTitle="Périodicité" prompt="Veuillez choisir" sqref="C16" xr:uid="{EF9E56E7-DAAB-4A20-A7BE-3609228CEFED}">
      <formula1>" ,Annuelle,Trimestrielle,Mensuelle"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6" r:id="rId4" name="Button 8">
              <controlPr defaultSize="0" print="0" autoFill="0" autoPict="0" macro="[0]!Realisation_TUS_Etuve_Sechoir">
                <anchor moveWithCells="1" sizeWithCells="1">
                  <from>
                    <xdr:col>8</xdr:col>
                    <xdr:colOff>419100</xdr:colOff>
                    <xdr:row>7</xdr:row>
                    <xdr:rowOff>123825</xdr:rowOff>
                  </from>
                  <to>
                    <xdr:col>12</xdr:col>
                    <xdr:colOff>895350</xdr:colOff>
                    <xdr:row>14</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topLeftCell="A13" workbookViewId="0">
      <selection activeCell="A2" sqref="A2"/>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4"/>
      <c r="H2" s="134"/>
      <c r="I2" s="134"/>
      <c r="J2" s="134"/>
    </row>
  </sheetData>
  <sheetProtection algorithmName="SHA-512" hashValue="1IukQnZIlDFhuNkyngfUVIPRYlHF68BaDq1+jlwo8qVl3zRKU9gOTW6zYQYuR9w6VxTWDVOAPe0LBKIz7S3nNQ==" saltValue="smhmQu8RN1IcWUVGRDUFTA=="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55" workbookViewId="0">
      <selection activeCell="N77" sqref="N77"/>
    </sheetView>
  </sheetViews>
  <sheetFormatPr baseColWidth="10" defaultRowHeight="15" x14ac:dyDescent="0.25"/>
  <cols>
    <col min="2" max="3" width="16.42578125" bestFit="1" customWidth="1"/>
    <col min="4" max="11" width="12.7109375" bestFit="1" customWidth="1"/>
    <col min="12" max="12" width="7.140625" customWidth="1"/>
    <col min="14" max="14" width="17.7109375" bestFit="1" customWidth="1"/>
  </cols>
  <sheetData>
    <row r="1" spans="1:16" s="27" customFormat="1" x14ac:dyDescent="0.25">
      <c r="A1" s="456" t="str">
        <f>Mesures_Sechoir!B20 &amp; "°C"</f>
        <v>°C</v>
      </c>
      <c r="B1" s="456"/>
      <c r="C1" s="456"/>
      <c r="D1" s="456"/>
      <c r="E1" s="456"/>
      <c r="F1" s="456"/>
      <c r="G1" s="456"/>
      <c r="H1" s="456"/>
      <c r="I1" s="456"/>
      <c r="J1" s="456"/>
      <c r="K1" s="456"/>
      <c r="L1" s="456"/>
      <c r="M1" s="456"/>
      <c r="N1" s="456"/>
      <c r="O1" s="456"/>
      <c r="P1" s="456"/>
    </row>
    <row r="2" spans="1:16" s="27" customFormat="1" x14ac:dyDescent="0.25">
      <c r="A2" s="456"/>
      <c r="B2" s="456"/>
      <c r="C2" s="456"/>
      <c r="D2" s="456"/>
      <c r="E2" s="456"/>
      <c r="F2" s="456"/>
      <c r="G2" s="456"/>
      <c r="H2" s="456"/>
      <c r="I2" s="456"/>
      <c r="J2" s="456"/>
      <c r="K2" s="456"/>
      <c r="L2" s="456"/>
      <c r="M2" s="456"/>
      <c r="N2" s="456"/>
      <c r="O2" s="456"/>
      <c r="P2" s="456"/>
    </row>
    <row r="3" spans="1:16" s="27" customFormat="1" x14ac:dyDescent="0.25">
      <c r="A3" s="456"/>
      <c r="B3" s="456"/>
      <c r="C3" s="456"/>
      <c r="D3" s="456"/>
      <c r="E3" s="456"/>
      <c r="F3" s="456"/>
      <c r="G3" s="456"/>
      <c r="H3" s="456"/>
      <c r="I3" s="456"/>
      <c r="J3" s="456"/>
      <c r="K3" s="456"/>
      <c r="L3" s="456"/>
      <c r="M3" s="456"/>
      <c r="N3" s="456"/>
      <c r="O3" s="456"/>
      <c r="P3" s="456"/>
    </row>
    <row r="4" spans="1:16" s="27" customFormat="1" x14ac:dyDescent="0.25">
      <c r="M4" s="33"/>
    </row>
    <row r="5" spans="1:16" s="27" customFormat="1" x14ac:dyDescent="0.25">
      <c r="B5" s="34" t="s">
        <v>23</v>
      </c>
      <c r="C5" s="35" t="e">
        <f>_xlfn.XLOOKUP(INT(SUBSTITUTE(C14,"Connecteur ","")),Mesures_Sechoir!C24:C32,Mesures_Sechoir!D24:D32)</f>
        <v>#N/A</v>
      </c>
      <c r="D5" s="35" t="e">
        <f>_xlfn.XLOOKUP(INT(SUBSTITUTE(D14,"Connecteur ","")),Mesures_Sechoir!C24:C32,Mesures_Sechoir!D24:D32)</f>
        <v>#N/A</v>
      </c>
      <c r="E5" s="35" t="e">
        <f>_xlfn.XLOOKUP(INT(SUBSTITUTE(E14,"Connecteur ","")),Mesures_Sechoir!C24:C32,Mesures_Sechoir!D24:D32)</f>
        <v>#N/A</v>
      </c>
      <c r="F5" s="35" t="e">
        <f>_xlfn.XLOOKUP(INT(SUBSTITUTE(F14,"Connecteur ","")),Mesures_Sechoir!C24:C32,Mesures_Sechoir!D24:D32)</f>
        <v>#N/A</v>
      </c>
      <c r="G5" s="35" t="e">
        <f>_xlfn.XLOOKUP(INT(SUBSTITUTE(G14,"Connecteur ","")),Mesures_Sechoir!C24:C32,Mesures_Sechoir!D24:D32)</f>
        <v>#N/A</v>
      </c>
      <c r="H5" s="35" t="e">
        <f>_xlfn.XLOOKUP(INT(SUBSTITUTE(H14,"Connecteur ","")),Mesures_Sechoir!C24:C32,Mesures_Sechoir!D24:D32)</f>
        <v>#N/A</v>
      </c>
      <c r="I5" s="35" t="e">
        <f>_xlfn.XLOOKUP(INT(SUBSTITUTE(I14,"Connecteur ","")),Mesures_Sechoir!C24:C32,Mesures_Sechoir!D24:D32)</f>
        <v>#N/A</v>
      </c>
      <c r="J5" s="35" t="e">
        <f>_xlfn.XLOOKUP(INT(SUBSTITUTE(J14,"Connecteur ","")),Mesures_Sechoir!C24:C32,Mesures_Sechoir!D24:D32)</f>
        <v>#N/A</v>
      </c>
      <c r="K5" s="35" t="e">
        <f>_xlfn.XLOOKUP(INT(SUBSTITUTE(K14,"Connecteur ","")),Mesures_Sechoir!C24:C32,Mesures_Sechoir!D24:D32)</f>
        <v>#N/A</v>
      </c>
      <c r="M5" s="33"/>
    </row>
    <row r="6" spans="1:16" s="27" customFormat="1" x14ac:dyDescent="0.25">
      <c r="B6" s="34" t="s">
        <v>87</v>
      </c>
      <c r="C6" s="35" t="e">
        <f>_xlfn.XLOOKUP(INT(SUBSTITUTE(C14,"Connecteur ","")),Mesures_Sechoir!C24:C32,Mesures_Sechoir!E24:E32)</f>
        <v>#N/A</v>
      </c>
      <c r="D6" s="35" t="e">
        <f>_xlfn.XLOOKUP(INT(SUBSTITUTE(D14,"Connecteur ","")),Mesures_Sechoir!C24:C32,Mesures_Sechoir!E24:E32)</f>
        <v>#N/A</v>
      </c>
      <c r="E6" s="35" t="e">
        <f>_xlfn.XLOOKUP(INT(SUBSTITUTE(E14,"Connecteur ","")),Mesures_Sechoir!C24:C32,Mesures_Sechoir!E24:E32)</f>
        <v>#N/A</v>
      </c>
      <c r="F6" s="35" t="e">
        <f>_xlfn.XLOOKUP(INT(SUBSTITUTE(F14,"Connecteur ","")),Mesures_Sechoir!C24:C32,Mesures_Sechoir!E24:E32)</f>
        <v>#N/A</v>
      </c>
      <c r="G6" s="35" t="e">
        <f>_xlfn.XLOOKUP(INT(SUBSTITUTE(G14,"Connecteur ","")),Mesures_Sechoir!C24:C32,Mesures_Sechoir!E24:E32)</f>
        <v>#N/A</v>
      </c>
      <c r="H6" s="35" t="e">
        <f>_xlfn.XLOOKUP(INT(SUBSTITUTE(H14,"Connecteur ","")),Mesures_Sechoir!C24:C32,Mesures_Sechoir!E24:E32)</f>
        <v>#N/A</v>
      </c>
      <c r="I6" s="35" t="e">
        <f>_xlfn.XLOOKUP(INT(SUBSTITUTE(I14,"Connecteur ","")),Mesures_Sechoir!C24:C32,Mesures_Sechoir!E24:E32)</f>
        <v>#N/A</v>
      </c>
      <c r="J6" s="35" t="e">
        <f>_xlfn.XLOOKUP(INT(SUBSTITUTE(J14,"Connecteur ","")),Mesures_Sechoir!C24:C32,Mesures_Sechoir!E24:E32)</f>
        <v>#N/A</v>
      </c>
      <c r="K6" s="35" t="e">
        <f>_xlfn.XLOOKUP(INT(SUBSTITUTE(K14,"Connecteur ","")),Mesures_Sechoir!C24:C32,Mesures_Sechoir!E24:E32)</f>
        <v>#N/A</v>
      </c>
      <c r="M6" s="33"/>
    </row>
    <row r="7" spans="1:16" s="27" customFormat="1" x14ac:dyDescent="0.25">
      <c r="M7" s="33"/>
    </row>
    <row r="8" spans="1:16" s="27" customFormat="1" x14ac:dyDescent="0.25">
      <c r="M8" s="33"/>
    </row>
    <row r="9" spans="1:16" s="27" customFormat="1" x14ac:dyDescent="0.25">
      <c r="A9" s="352" t="s">
        <v>88</v>
      </c>
      <c r="B9" s="352"/>
      <c r="C9" s="352"/>
      <c r="D9" s="352"/>
      <c r="E9" s="352"/>
      <c r="F9" s="352"/>
      <c r="G9" s="352"/>
      <c r="H9" s="352"/>
      <c r="I9" s="352"/>
      <c r="J9" s="352"/>
      <c r="K9" s="352"/>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3" t="s">
        <v>89</v>
      </c>
      <c r="B11" s="37" cm="1">
        <f t="array" ref="B11">Valeurs_Brutes_Sechoir[Date/Heure]</f>
        <v>0</v>
      </c>
      <c r="C11" s="133" cm="1">
        <f t="array" ref="C11:K11">Valeurs_Brutes_Sechoir[[Connecteur 1]:[Connecteur 9]]</f>
        <v>0</v>
      </c>
      <c r="D11" s="133">
        <v>0</v>
      </c>
      <c r="E11" s="133">
        <v>0</v>
      </c>
      <c r="F11" s="133">
        <v>0</v>
      </c>
      <c r="G11" s="133">
        <v>0</v>
      </c>
      <c r="H11" s="133">
        <v>0</v>
      </c>
      <c r="I11" s="133">
        <v>0</v>
      </c>
      <c r="J11" s="133">
        <v>0</v>
      </c>
      <c r="K11" s="133">
        <v>0</v>
      </c>
      <c r="M11" s="33"/>
    </row>
    <row r="12" spans="1:16" s="27" customFormat="1" ht="13.5" customHeight="1" x14ac:dyDescent="0.25">
      <c r="A12" s="142" t="s">
        <v>89</v>
      </c>
      <c r="B12" s="39"/>
      <c r="C12" s="175"/>
      <c r="D12" s="175"/>
      <c r="E12" s="175"/>
      <c r="F12" s="175"/>
      <c r="G12" s="175"/>
      <c r="H12" s="175"/>
      <c r="I12" s="175"/>
      <c r="J12" s="175"/>
      <c r="K12" s="175"/>
      <c r="M12" s="33"/>
    </row>
    <row r="13" spans="1:16" s="457"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f>MAX(Valeurs_Brutes_Sechoir[Connecteur 1])+Sechoir!C5+Sechoir!C6</f>
        <v>#N/A</v>
      </c>
      <c r="D15" s="43" t="e">
        <f>MAX(Valeurs_Brutes_Sechoir[Connecteur 2])+Sechoir!D5+Sechoir!D6</f>
        <v>#N/A</v>
      </c>
      <c r="E15" s="43" t="e">
        <f>MAX(Valeurs_Brutes_Sechoir[Connecteur 3])+Sechoir!E5+Sechoir!E6</f>
        <v>#N/A</v>
      </c>
      <c r="F15" s="43" t="e">
        <f>MAX(Valeurs_Brutes_Sechoir[Connecteur 4])+Sechoir!F5+Sechoir!F6</f>
        <v>#N/A</v>
      </c>
      <c r="G15" s="43" t="e">
        <f>MAX(Valeurs_Brutes_Sechoir[Connecteur 5])+Sechoir!G5+Sechoir!G6</f>
        <v>#N/A</v>
      </c>
      <c r="H15" s="43" t="e">
        <f>MAX(Valeurs_Brutes_Sechoir[Connecteur 6])+Sechoir!H5+Sechoir!H6</f>
        <v>#N/A</v>
      </c>
      <c r="I15" s="43" t="e">
        <f>MAX(Valeurs_Brutes_Sechoir[Connecteur 7])+Sechoir!I5+Sechoir!I6</f>
        <v>#N/A</v>
      </c>
      <c r="J15" s="43" t="e">
        <f>MAX(Valeurs_Brutes_Sechoir[Connecteur 8])+Sechoir!J5+Sechoir!J6</f>
        <v>#N/A</v>
      </c>
      <c r="K15" s="43" t="e">
        <f>MAX(Valeurs_Brutes_Sechoir[Connecteur 9])+Sechoir!K5+Sechoir!K6</f>
        <v>#N/A</v>
      </c>
      <c r="L15" s="48">
        <f>O15+Mesures_Sechoir!B21</f>
        <v>0</v>
      </c>
      <c r="M15" s="33"/>
      <c r="N15" s="36" t="s">
        <v>548</v>
      </c>
      <c r="O15" s="48">
        <f>Mesures_Sechoir!B20</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O15+Mesures_Sechoir!B21</f>
        <v>0</v>
      </c>
      <c r="M16" s="33"/>
      <c r="N16" s="36" t="s">
        <v>556</v>
      </c>
      <c r="O16" s="35" t="str">
        <f>"+" &amp; Mesures_Sechoir!B21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Mesures_Sechoir!B21</f>
        <v>0</v>
      </c>
      <c r="M17" s="33"/>
      <c r="N17" s="36" t="s">
        <v>557</v>
      </c>
      <c r="O17" s="35" t="str">
        <f>"-" &amp; Mesures_Sechoir!B21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6" t="e">
        <f ca="1">ABS(MAX(C16:K16)- MIN(C17:K17))</f>
        <v>#REF!</v>
      </c>
      <c r="D20" s="376"/>
      <c r="E20" s="376"/>
      <c r="F20" s="376"/>
      <c r="G20" s="376"/>
      <c r="H20" s="376"/>
      <c r="I20" s="376"/>
      <c r="J20" s="376"/>
      <c r="K20" s="376"/>
      <c r="L20" s="376"/>
      <c r="M20" s="33"/>
    </row>
    <row r="21" spans="2:15" s="27" customFormat="1" x14ac:dyDescent="0.25">
      <c r="B21" s="42" t="s">
        <v>98</v>
      </c>
      <c r="C21" s="376" t="e">
        <f ca="1">AVERAGE(C18:K18)</f>
        <v>#REF!</v>
      </c>
      <c r="D21" s="376"/>
      <c r="E21" s="376"/>
      <c r="F21" s="376"/>
      <c r="G21" s="376"/>
      <c r="H21" s="376"/>
      <c r="I21" s="376"/>
      <c r="J21" s="376"/>
      <c r="K21" s="376"/>
      <c r="L21" s="376"/>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H+RVe1wd+ucWUN3+Ok7v6kSvam16C6MPyVPcf6T7j899ZS2BfpanJEG5LqdiAoMKFmOQ3OIzmNkmc5qnNjeIkw==" saltValue="arqNVmzbBsCdgS4+VBt29A==" spinCount="100000" sheet="1" objects="1" scenarios="1"/>
  <dataConsolidate/>
  <mergeCells count="5">
    <mergeCell ref="A1:P3"/>
    <mergeCell ref="A9:K9"/>
    <mergeCell ref="A13:XFD13"/>
    <mergeCell ref="C20:L20"/>
    <mergeCell ref="C21:L21"/>
  </mergeCells>
  <conditionalFormatting sqref="C15:K15">
    <cfRule type="cellIs" dxfId="43" priority="3" operator="greaterThan">
      <formula>$L$15</formula>
    </cfRule>
    <cfRule type="cellIs" dxfId="42" priority="6" operator="greaterThan">
      <formula>$L$15</formula>
    </cfRule>
  </conditionalFormatting>
  <conditionalFormatting sqref="C16:K16">
    <cfRule type="cellIs" dxfId="41" priority="2" operator="greaterThan">
      <formula>$L$16</formula>
    </cfRule>
    <cfRule type="cellIs" dxfId="40" priority="5" operator="greaterThan">
      <formula>$L$16</formula>
    </cfRule>
  </conditionalFormatting>
  <conditionalFormatting sqref="C17:K17">
    <cfRule type="cellIs" dxfId="39" priority="1" operator="lessThan">
      <formula>$L$17</formula>
    </cfRule>
    <cfRule type="cellIs" dxfId="38" priority="4" operator="lessThan">
      <formula>$L$17</formula>
    </cfRule>
  </conditionalFormatting>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7"/>
  <sheetViews>
    <sheetView view="pageLayout" topLeftCell="A209" zoomScale="70" zoomScaleNormal="60" zoomScaleSheetLayoutView="77" zoomScalePageLayoutView="70" workbookViewId="0">
      <selection activeCell="B308" sqref="B308"/>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7" t="s">
        <v>137</v>
      </c>
      <c r="C5" s="87"/>
      <c r="D5" s="87"/>
      <c r="E5" s="87"/>
      <c r="F5" s="87"/>
      <c r="G5" s="87"/>
      <c r="H5" s="87"/>
      <c r="I5" s="88"/>
    </row>
    <row r="10" spans="2:9" ht="21" x14ac:dyDescent="0.25">
      <c r="C10" s="438" t="s">
        <v>138</v>
      </c>
      <c r="D10" s="438"/>
      <c r="E10" s="459">
        <f>Mesures_Sechoir!D6</f>
        <v>0</v>
      </c>
      <c r="F10" s="459"/>
    </row>
    <row r="11" spans="2:9" ht="21" x14ac:dyDescent="0.25">
      <c r="C11" s="89"/>
      <c r="D11" s="89"/>
      <c r="E11" s="90"/>
      <c r="F11" s="90"/>
    </row>
    <row r="12" spans="2:9" x14ac:dyDescent="0.25">
      <c r="C12" s="91" t="s">
        <v>1</v>
      </c>
      <c r="D12" s="92">
        <f>Mesures_Sechoir!C8</f>
        <v>0</v>
      </c>
      <c r="F12" s="91" t="s">
        <v>18</v>
      </c>
      <c r="G12" s="92">
        <f>Mesures_Sechoir!G8</f>
        <v>0</v>
      </c>
    </row>
    <row r="13" spans="2:9" ht="15.75" x14ac:dyDescent="0.25">
      <c r="C13" s="93" t="s">
        <v>2</v>
      </c>
      <c r="D13" s="94">
        <f>Mesures_Sechoir!C9</f>
        <v>0</v>
      </c>
      <c r="F13" s="95" t="s">
        <v>19</v>
      </c>
      <c r="G13" s="94">
        <f>Mesures_Sechoir!G9</f>
        <v>0</v>
      </c>
    </row>
    <row r="14" spans="2:9" ht="15.75" x14ac:dyDescent="0.25">
      <c r="C14" s="96"/>
      <c r="D14" s="97"/>
      <c r="G14" s="98"/>
    </row>
    <row r="15" spans="2:9" ht="15.75" x14ac:dyDescent="0.25">
      <c r="C15" s="99" t="s">
        <v>139</v>
      </c>
      <c r="D15" s="100">
        <f>Mesures_Sechoir!C15</f>
        <v>0</v>
      </c>
      <c r="F15" s="91" t="s">
        <v>140</v>
      </c>
      <c r="G15" s="101">
        <f>Mesures_Sechoir!C16</f>
        <v>0</v>
      </c>
    </row>
    <row r="16" spans="2:9" ht="15.75" x14ac:dyDescent="0.25">
      <c r="C16" s="99" t="s">
        <v>141</v>
      </c>
      <c r="D16" s="102">
        <f>Mesures_Sechoir!G12</f>
        <v>9</v>
      </c>
      <c r="F16" s="91" t="s">
        <v>142</v>
      </c>
      <c r="G16" s="101">
        <f>Mesures_Sechoir!G13</f>
        <v>0</v>
      </c>
    </row>
    <row r="17" spans="1:9" ht="15.75" x14ac:dyDescent="0.25">
      <c r="C17" s="96"/>
      <c r="D17" s="97"/>
      <c r="F17" s="96"/>
      <c r="G17" s="27"/>
    </row>
    <row r="18" spans="1:9" ht="15.75" x14ac:dyDescent="0.25">
      <c r="C18" s="99" t="s">
        <v>143</v>
      </c>
      <c r="D18" s="139">
        <f>Mesures_Sechoir!C12</f>
        <v>0</v>
      </c>
      <c r="F18" s="91" t="s">
        <v>144</v>
      </c>
      <c r="G18" s="140">
        <f>Mesures_Sechoir!G11</f>
        <v>0</v>
      </c>
    </row>
    <row r="19" spans="1:9" ht="15.75" x14ac:dyDescent="0.25">
      <c r="C19" s="93" t="s">
        <v>145</v>
      </c>
      <c r="D19" s="100">
        <f>Mesures_Sechoir!C11</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278</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20.25" customHeight="1" x14ac:dyDescent="0.25">
      <c r="B52" s="104"/>
    </row>
    <row r="53" spans="2:8" ht="23.25" x14ac:dyDescent="0.25">
      <c r="B53" s="105" t="s">
        <v>149</v>
      </c>
    </row>
    <row r="55" spans="2:8" ht="21" x14ac:dyDescent="0.25">
      <c r="B55" s="106"/>
      <c r="E55" s="458"/>
      <c r="F55" s="458"/>
      <c r="G55" s="458"/>
      <c r="H55" s="107"/>
    </row>
    <row r="56" spans="2:8" ht="21" customHeight="1" x14ac:dyDescent="0.25">
      <c r="B56" s="106"/>
      <c r="E56" s="458"/>
      <c r="F56" s="458"/>
      <c r="G56" s="458"/>
      <c r="H56" s="458"/>
    </row>
    <row r="57" spans="2:8" ht="21" x14ac:dyDescent="0.25">
      <c r="B57" s="106"/>
      <c r="E57" s="458"/>
      <c r="F57" s="458"/>
      <c r="G57" s="107"/>
      <c r="H57" s="107"/>
    </row>
    <row r="59" spans="2:8" ht="23.25" x14ac:dyDescent="0.25">
      <c r="B59" s="105" t="s">
        <v>156</v>
      </c>
    </row>
    <row r="61" spans="2:8" ht="21" x14ac:dyDescent="0.25">
      <c r="B61" s="458"/>
      <c r="C61" s="458"/>
      <c r="D61" s="458"/>
      <c r="E61" s="458"/>
      <c r="F61" s="458"/>
      <c r="G61" s="458"/>
    </row>
    <row r="62" spans="2:8" ht="21" x14ac:dyDescent="0.25">
      <c r="B62" s="458"/>
      <c r="C62" s="458"/>
      <c r="D62" s="458"/>
    </row>
    <row r="64" spans="2:8" ht="21" x14ac:dyDescent="0.25">
      <c r="B64" s="106" t="s">
        <v>160</v>
      </c>
    </row>
    <row r="66" spans="1:10" ht="21" x14ac:dyDescent="0.25">
      <c r="B66" s="458"/>
      <c r="C66" s="458"/>
      <c r="D66" s="458"/>
      <c r="E66" s="458"/>
      <c r="F66" s="458"/>
      <c r="G66" s="458"/>
      <c r="H66" s="458"/>
      <c r="I66" s="458"/>
    </row>
    <row r="67" spans="1:10" ht="21" x14ac:dyDescent="0.25">
      <c r="B67" s="458"/>
      <c r="C67" s="458"/>
      <c r="D67" s="458"/>
      <c r="E67" s="458"/>
      <c r="F67" s="458"/>
      <c r="G67" s="458"/>
      <c r="H67" s="458"/>
      <c r="I67" s="458"/>
    </row>
    <row r="68" spans="1:10" ht="21" x14ac:dyDescent="0.25">
      <c r="B68" s="458"/>
      <c r="C68" s="458"/>
      <c r="D68" s="458"/>
      <c r="E68" s="458"/>
      <c r="F68" s="458"/>
      <c r="G68" s="458"/>
      <c r="H68" s="458"/>
      <c r="I68" s="458"/>
    </row>
    <row r="69" spans="1:10" ht="21" x14ac:dyDescent="0.25">
      <c r="B69" s="458"/>
      <c r="C69" s="458"/>
      <c r="D69" s="458"/>
      <c r="E69" s="458"/>
      <c r="F69" s="458"/>
      <c r="G69" s="458"/>
      <c r="H69" s="458"/>
      <c r="I69" s="107"/>
    </row>
    <row r="72" spans="1:10" ht="21" customHeight="1" x14ac:dyDescent="0.25">
      <c r="A72" s="462"/>
      <c r="B72" s="462"/>
      <c r="C72" s="462"/>
      <c r="D72" s="462"/>
      <c r="E72" s="462"/>
      <c r="F72" s="462"/>
      <c r="G72" s="462"/>
      <c r="H72" s="462"/>
      <c r="I72" s="462"/>
      <c r="J72" s="462"/>
    </row>
    <row r="73" spans="1:10" ht="21" customHeight="1" x14ac:dyDescent="0.25">
      <c r="A73" s="462"/>
      <c r="B73" s="462"/>
      <c r="C73" s="462"/>
      <c r="D73" s="462"/>
      <c r="E73" s="462"/>
      <c r="F73" s="462"/>
      <c r="G73" s="462"/>
      <c r="H73" s="462"/>
      <c r="I73" s="462"/>
      <c r="J73" s="462"/>
    </row>
    <row r="74" spans="1:10" ht="15" customHeight="1" x14ac:dyDescent="0.25">
      <c r="A74" s="462"/>
      <c r="B74" s="462"/>
      <c r="C74" s="462"/>
      <c r="D74" s="462"/>
      <c r="E74" s="462"/>
      <c r="F74" s="462"/>
      <c r="G74" s="462"/>
      <c r="H74" s="462"/>
      <c r="I74" s="462"/>
      <c r="J74" s="462"/>
    </row>
    <row r="75" spans="1:10" ht="15" customHeight="1" x14ac:dyDescent="0.25">
      <c r="A75" s="462"/>
      <c r="B75" s="462"/>
      <c r="C75" s="462"/>
      <c r="D75" s="462"/>
      <c r="E75" s="462"/>
      <c r="F75" s="462"/>
      <c r="G75" s="462"/>
      <c r="H75" s="462"/>
      <c r="I75" s="462"/>
      <c r="J75" s="462"/>
    </row>
    <row r="76" spans="1:10" x14ac:dyDescent="0.25">
      <c r="A76" s="462"/>
      <c r="B76" s="462"/>
      <c r="C76" s="462"/>
      <c r="D76" s="462"/>
      <c r="E76" s="462"/>
      <c r="F76" s="462"/>
      <c r="G76" s="462"/>
      <c r="H76" s="462"/>
      <c r="I76" s="462"/>
      <c r="J76" s="462"/>
    </row>
    <row r="77" spans="1:10" x14ac:dyDescent="0.25">
      <c r="A77" s="462"/>
      <c r="B77" s="462"/>
      <c r="C77" s="462"/>
      <c r="D77" s="462"/>
      <c r="E77" s="462"/>
      <c r="F77" s="462"/>
      <c r="G77" s="462"/>
      <c r="H77" s="462"/>
      <c r="I77" s="462"/>
      <c r="J77" s="462"/>
    </row>
    <row r="78" spans="1:10" x14ac:dyDescent="0.25">
      <c r="A78" s="462"/>
      <c r="B78" s="462"/>
      <c r="C78" s="462"/>
      <c r="D78" s="462"/>
      <c r="E78" s="462"/>
      <c r="F78" s="462"/>
      <c r="G78" s="462"/>
      <c r="H78" s="462"/>
      <c r="I78" s="462"/>
      <c r="J78" s="462"/>
    </row>
    <row r="79" spans="1:10" x14ac:dyDescent="0.25">
      <c r="A79" s="462"/>
      <c r="B79" s="462"/>
      <c r="C79" s="462"/>
      <c r="D79" s="462"/>
      <c r="E79" s="462"/>
      <c r="F79" s="462"/>
      <c r="G79" s="462"/>
      <c r="H79" s="462"/>
      <c r="I79" s="462"/>
      <c r="J79" s="462"/>
    </row>
    <row r="80" spans="1:10" x14ac:dyDescent="0.25">
      <c r="A80" s="462"/>
      <c r="B80" s="462"/>
      <c r="C80" s="462"/>
      <c r="D80" s="462"/>
      <c r="E80" s="462"/>
      <c r="F80" s="462"/>
      <c r="G80" s="462"/>
      <c r="H80" s="462"/>
      <c r="I80" s="462"/>
      <c r="J80" s="462"/>
    </row>
    <row r="81" spans="1:10" x14ac:dyDescent="0.25">
      <c r="A81" s="462"/>
      <c r="B81" s="462"/>
      <c r="C81" s="462"/>
      <c r="D81" s="462"/>
      <c r="E81" s="462"/>
      <c r="F81" s="462"/>
      <c r="G81" s="462"/>
      <c r="H81" s="462"/>
      <c r="I81" s="462"/>
      <c r="J81" s="462"/>
    </row>
    <row r="85" spans="1:10" ht="36" x14ac:dyDescent="0.25">
      <c r="C85" s="461" t="s">
        <v>170</v>
      </c>
      <c r="D85" s="461"/>
      <c r="E85" s="461"/>
      <c r="F85" s="461"/>
      <c r="G85" s="461"/>
    </row>
    <row r="87" spans="1:10" ht="26.25" x14ac:dyDescent="0.25">
      <c r="B87" s="108" t="s">
        <v>171</v>
      </c>
    </row>
    <row r="89" spans="1:10" ht="21" x14ac:dyDescent="0.25">
      <c r="B89" s="106" t="s">
        <v>172</v>
      </c>
      <c r="C89" s="106"/>
      <c r="E89" s="106"/>
      <c r="F89" s="106"/>
      <c r="G89" s="106"/>
      <c r="H89" s="107"/>
    </row>
    <row r="90" spans="1:10" ht="21" x14ac:dyDescent="0.25">
      <c r="B90" s="106" t="s">
        <v>173</v>
      </c>
      <c r="C90" s="106"/>
      <c r="E90" s="106"/>
      <c r="F90" s="106"/>
      <c r="G90" s="106"/>
      <c r="H90" s="107"/>
    </row>
    <row r="91" spans="1:10" ht="21" x14ac:dyDescent="0.25">
      <c r="B91" s="106" t="s">
        <v>174</v>
      </c>
      <c r="C91" s="106"/>
      <c r="E91" s="106"/>
      <c r="F91" s="106"/>
      <c r="G91" s="106"/>
      <c r="H91" s="107"/>
    </row>
    <row r="92" spans="1:10" ht="21" x14ac:dyDescent="0.25">
      <c r="B92" s="106" t="s">
        <v>175</v>
      </c>
      <c r="C92" s="106"/>
      <c r="E92" s="106"/>
      <c r="F92" s="106"/>
      <c r="G92" s="106"/>
      <c r="H92" s="107"/>
    </row>
    <row r="93" spans="1:10" ht="21" x14ac:dyDescent="0.25">
      <c r="B93" s="109"/>
      <c r="C93" s="109"/>
      <c r="E93" s="106"/>
      <c r="F93" s="106"/>
      <c r="G93" s="106"/>
      <c r="H93" s="107"/>
    </row>
    <row r="94" spans="1:10" ht="17.25" x14ac:dyDescent="0.25">
      <c r="A94" s="110"/>
      <c r="C94" s="110"/>
      <c r="D94" s="110"/>
    </row>
    <row r="95" spans="1:10" ht="17.25" x14ac:dyDescent="0.25">
      <c r="A95" s="110"/>
      <c r="B95" s="110"/>
      <c r="C95" s="113"/>
      <c r="D95" s="113"/>
    </row>
    <row r="96" spans="1:10" ht="17.25" x14ac:dyDescent="0.25">
      <c r="A96" s="110"/>
      <c r="B96" s="110"/>
      <c r="D96" s="443" t="s">
        <v>10</v>
      </c>
      <c r="E96" s="454"/>
      <c r="F96" s="454"/>
      <c r="G96" s="454"/>
      <c r="H96" s="444"/>
    </row>
    <row r="97" spans="1:9" ht="30" x14ac:dyDescent="0.25">
      <c r="A97" s="110"/>
      <c r="B97" s="110"/>
      <c r="D97" s="324"/>
      <c r="E97" s="3" t="s">
        <v>15</v>
      </c>
      <c r="F97" s="20" t="s">
        <v>17</v>
      </c>
      <c r="G97" s="20" t="s">
        <v>24</v>
      </c>
      <c r="H97" s="20" t="s">
        <v>25</v>
      </c>
    </row>
    <row r="98" spans="1:9" ht="17.25" x14ac:dyDescent="0.25">
      <c r="A98" s="110"/>
      <c r="B98" s="110"/>
      <c r="D98" s="319" t="str" cm="1">
        <f t="array" ref="D98:H106">Mesures_Sechoir!B43:F51</f>
        <v xml:space="preserve">Sonde </v>
      </c>
      <c r="E98" s="10">
        <v>0</v>
      </c>
      <c r="F98" s="10">
        <v>0</v>
      </c>
      <c r="G98" s="10">
        <v>0</v>
      </c>
      <c r="H98" s="10">
        <v>0</v>
      </c>
    </row>
    <row r="99" spans="1:9" ht="17.25" x14ac:dyDescent="0.25">
      <c r="A99" s="110"/>
      <c r="B99" s="110"/>
      <c r="D99" s="319" t="str">
        <v xml:space="preserve">Sonde </v>
      </c>
      <c r="E99" s="10">
        <v>0</v>
      </c>
      <c r="F99" s="10">
        <v>0</v>
      </c>
      <c r="G99" s="10">
        <v>0</v>
      </c>
      <c r="H99" s="10">
        <v>0</v>
      </c>
    </row>
    <row r="100" spans="1:9" ht="17.25" x14ac:dyDescent="0.25">
      <c r="A100" s="110"/>
      <c r="B100" s="110"/>
      <c r="D100" s="319" t="str">
        <v xml:space="preserve">Sonde </v>
      </c>
      <c r="E100" s="10">
        <v>0</v>
      </c>
      <c r="F100" s="10">
        <v>0</v>
      </c>
      <c r="G100" s="10">
        <v>0</v>
      </c>
      <c r="H100" s="10">
        <v>0</v>
      </c>
    </row>
    <row r="101" spans="1:9" ht="17.25" x14ac:dyDescent="0.25">
      <c r="A101" s="110"/>
      <c r="B101" s="110"/>
      <c r="D101" s="319" t="str">
        <v xml:space="preserve">Sonde </v>
      </c>
      <c r="E101" s="10">
        <v>0</v>
      </c>
      <c r="F101" s="10">
        <v>0</v>
      </c>
      <c r="G101" s="10">
        <v>0</v>
      </c>
      <c r="H101" s="10">
        <v>0</v>
      </c>
    </row>
    <row r="102" spans="1:9" ht="17.25" x14ac:dyDescent="0.25">
      <c r="A102" s="110"/>
      <c r="B102" s="110"/>
      <c r="D102" s="319" t="str">
        <v xml:space="preserve">Sonde </v>
      </c>
      <c r="E102" s="10">
        <v>0</v>
      </c>
      <c r="F102" s="10">
        <v>0</v>
      </c>
      <c r="G102" s="10">
        <v>0</v>
      </c>
      <c r="H102" s="10">
        <v>0</v>
      </c>
    </row>
    <row r="103" spans="1:9" ht="17.25" x14ac:dyDescent="0.25">
      <c r="A103" s="110"/>
      <c r="B103" s="110"/>
      <c r="D103" s="319" t="str">
        <v xml:space="preserve">Sonde </v>
      </c>
      <c r="E103" s="10">
        <v>0</v>
      </c>
      <c r="F103" s="10">
        <v>0</v>
      </c>
      <c r="G103" s="10">
        <v>0</v>
      </c>
      <c r="H103" s="10">
        <v>0</v>
      </c>
    </row>
    <row r="104" spans="1:9" ht="17.25" x14ac:dyDescent="0.25">
      <c r="A104" s="110"/>
      <c r="B104" s="110"/>
      <c r="D104" s="319" t="str">
        <v xml:space="preserve">Sonde </v>
      </c>
      <c r="E104" s="10">
        <v>0</v>
      </c>
      <c r="F104" s="10">
        <v>0</v>
      </c>
      <c r="G104" s="10">
        <v>0</v>
      </c>
      <c r="H104" s="10">
        <v>0</v>
      </c>
    </row>
    <row r="105" spans="1:9" ht="17.25" x14ac:dyDescent="0.25">
      <c r="A105" s="110"/>
      <c r="B105" s="110"/>
      <c r="D105" s="319" t="str">
        <v xml:space="preserve">Sonde </v>
      </c>
      <c r="E105" s="10">
        <v>0</v>
      </c>
      <c r="F105" s="10">
        <v>0</v>
      </c>
      <c r="G105" s="10">
        <v>0</v>
      </c>
      <c r="H105" s="10">
        <v>0</v>
      </c>
    </row>
    <row r="106" spans="1:9" ht="17.25" x14ac:dyDescent="0.25">
      <c r="A106" s="110"/>
      <c r="B106" s="110"/>
      <c r="D106" s="319" t="str">
        <v xml:space="preserve">Sonde </v>
      </c>
      <c r="E106" s="10">
        <v>0</v>
      </c>
      <c r="F106" s="10">
        <v>0</v>
      </c>
      <c r="G106" s="10">
        <v>0</v>
      </c>
      <c r="H106" s="10">
        <v>0</v>
      </c>
    </row>
    <row r="107" spans="1:9" ht="17.25" x14ac:dyDescent="0.25">
      <c r="A107" s="110"/>
      <c r="B107" s="110"/>
      <c r="C107" s="110"/>
      <c r="D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20" spans="1:9" ht="21" x14ac:dyDescent="0.3">
      <c r="B120" s="116" t="s">
        <v>179</v>
      </c>
      <c r="C120" s="106" t="s">
        <v>180</v>
      </c>
      <c r="E120" s="106" t="s">
        <v>178</v>
      </c>
      <c r="F120" s="106"/>
      <c r="G120" s="120">
        <f>Mesures_Sechoir!$M$43</f>
        <v>0</v>
      </c>
    </row>
    <row r="121" spans="1:9" ht="21" x14ac:dyDescent="0.3">
      <c r="B121" s="116" t="s">
        <v>182</v>
      </c>
      <c r="C121" s="109" t="s">
        <v>183</v>
      </c>
      <c r="E121" s="106" t="s">
        <v>181</v>
      </c>
      <c r="F121" s="106"/>
      <c r="G121" s="115">
        <f>Mesures_Sechoir!$N$43</f>
        <v>0</v>
      </c>
    </row>
    <row r="122" spans="1:9" ht="21" x14ac:dyDescent="0.35">
      <c r="B122" s="118" t="s">
        <v>185</v>
      </c>
      <c r="C122" s="119" t="s">
        <v>186</v>
      </c>
      <c r="E122" s="106" t="s">
        <v>184</v>
      </c>
      <c r="F122" s="106"/>
      <c r="G122" s="117">
        <f>Mesures_Sechoir!$O$43</f>
        <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283</v>
      </c>
      <c r="D163" s="461"/>
      <c r="E163" s="461"/>
      <c r="F163" s="461"/>
      <c r="G163" s="461"/>
      <c r="H163" s="461"/>
    </row>
    <row r="167" spans="1:8" x14ac:dyDescent="0.25">
      <c r="A167" s="121" t="str" cm="1">
        <f t="array" ref="A167:C176">Mesures_Sechoir!A23:C32</f>
        <v>Positions</v>
      </c>
      <c r="B167" s="121" t="str">
        <v>Thermocouples</v>
      </c>
      <c r="C167" s="121" t="str">
        <v>N° voie Enregistreur</v>
      </c>
    </row>
    <row r="168" spans="1:8" x14ac:dyDescent="0.25">
      <c r="A168" s="121">
        <v>1</v>
      </c>
      <c r="B168" s="122">
        <v>0</v>
      </c>
      <c r="C168" s="123">
        <v>0</v>
      </c>
    </row>
    <row r="169" spans="1:8" x14ac:dyDescent="0.25">
      <c r="A169" s="121">
        <v>2</v>
      </c>
      <c r="B169" s="122">
        <v>0</v>
      </c>
      <c r="C169" s="123">
        <v>0</v>
      </c>
    </row>
    <row r="170" spans="1:8" x14ac:dyDescent="0.25">
      <c r="A170" s="121">
        <v>3</v>
      </c>
      <c r="B170" s="122">
        <v>0</v>
      </c>
      <c r="C170" s="123">
        <v>0</v>
      </c>
    </row>
    <row r="171" spans="1:8" x14ac:dyDescent="0.25">
      <c r="A171" s="121">
        <v>4</v>
      </c>
      <c r="B171" s="122">
        <v>0</v>
      </c>
      <c r="C171" s="123">
        <v>0</v>
      </c>
    </row>
    <row r="172" spans="1:8" x14ac:dyDescent="0.25">
      <c r="A172" s="121">
        <v>5</v>
      </c>
      <c r="B172" s="122">
        <v>0</v>
      </c>
      <c r="C172" s="123">
        <v>0</v>
      </c>
    </row>
    <row r="173" spans="1:8" x14ac:dyDescent="0.25">
      <c r="A173" s="121">
        <v>6</v>
      </c>
      <c r="B173" s="122">
        <v>0</v>
      </c>
      <c r="C173" s="123">
        <v>0</v>
      </c>
    </row>
    <row r="174" spans="1:8" x14ac:dyDescent="0.25">
      <c r="A174" s="121">
        <v>7</v>
      </c>
      <c r="B174" s="122">
        <v>0</v>
      </c>
      <c r="C174" s="123">
        <v>0</v>
      </c>
    </row>
    <row r="175" spans="1:8" x14ac:dyDescent="0.25">
      <c r="A175" s="121">
        <v>8</v>
      </c>
      <c r="B175" s="122">
        <v>0</v>
      </c>
      <c r="C175" s="123">
        <v>0</v>
      </c>
    </row>
    <row r="176" spans="1:8" x14ac:dyDescent="0.25">
      <c r="A176" s="121">
        <v>9</v>
      </c>
      <c r="B176" s="122">
        <v>0</v>
      </c>
      <c r="C176" s="123">
        <v>0</v>
      </c>
    </row>
    <row r="196" spans="1:9" ht="36" x14ac:dyDescent="0.25">
      <c r="C196" s="461" t="str">
        <f>"6. Résultats et exploitation des résultats à " &amp; Mesures_Sechoir!B20 &amp; "°C"</f>
        <v>6. Résultats et exploitation des résultats à °C</v>
      </c>
      <c r="D196" s="461"/>
      <c r="E196" s="461"/>
      <c r="F196" s="461"/>
      <c r="G196" s="461"/>
      <c r="H196" s="461"/>
    </row>
    <row r="200" spans="1:9" x14ac:dyDescent="0.25">
      <c r="A200" s="121" t="str" cm="1">
        <f t="array" ref="A200:B201">Mesures_Sechoir!$A$20:$B$21</f>
        <v>Consignes °C</v>
      </c>
      <c r="B200" s="123">
        <v>0</v>
      </c>
      <c r="G200" s="465" t="s">
        <v>190</v>
      </c>
      <c r="H200" s="466"/>
      <c r="I200" s="467"/>
    </row>
    <row r="201" spans="1:9" x14ac:dyDescent="0.25">
      <c r="A201" s="121" t="str">
        <v>Tolérances +/- °C</v>
      </c>
      <c r="B201" s="123">
        <v>0</v>
      </c>
      <c r="G201" s="22" t="s">
        <v>191</v>
      </c>
      <c r="H201" s="22" t="s">
        <v>192</v>
      </c>
      <c r="I201" s="22" t="s">
        <v>193</v>
      </c>
    </row>
    <row r="202" spans="1:9" x14ac:dyDescent="0.25">
      <c r="G202" s="124" t="e" cm="1">
        <f t="array" ref="G202">INDEX(Valeurs_Brutes_Congel[Date/Heure], COUNTA(Valeurs_Brutes_Congel[Date/Heure])-30)</f>
        <v>#VALUE!</v>
      </c>
      <c r="H202" s="124" cm="1">
        <f t="array" ref="H202">INDEX(Valeurs_Brutes_Congel[Date/Heure], COUNTA(Valeurs_Brutes_Congel[Date/Heure]))</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B200 &amp; "°C"</f>
        <v>0°C</v>
      </c>
      <c r="D209" s="129" t="s">
        <v>200</v>
      </c>
      <c r="E209" s="129" t="s">
        <v>200</v>
      </c>
      <c r="F209" s="130" t="s">
        <v>200</v>
      </c>
    </row>
    <row r="210" spans="1:6" x14ac:dyDescent="0.25">
      <c r="B210" s="128" t="s">
        <v>201</v>
      </c>
      <c r="C210" s="129" t="str">
        <f>B200 &amp; "°C"</f>
        <v>0°C</v>
      </c>
      <c r="D210" s="129" t="s">
        <v>200</v>
      </c>
      <c r="E210" s="129" t="s">
        <v>200</v>
      </c>
      <c r="F210" s="130" t="s">
        <v>200</v>
      </c>
    </row>
    <row r="211" spans="1:6" ht="15" customHeight="1" x14ac:dyDescent="0.25">
      <c r="A211" s="469" t="s">
        <v>202</v>
      </c>
      <c r="B211" s="128" t="s">
        <v>203</v>
      </c>
      <c r="C211" s="131" t="e">
        <f ca="1">MAX(Sechoir!C16:K16)</f>
        <v>#REF!</v>
      </c>
      <c r="D211" s="129" t="e">
        <f ca="1">_xlfn.XLOOKUP(INT(SUBSTITUTE(E211,"Connecteur ","")),Mesures_Sechoir!$C$24:$C$35,Mesures_Sechoir!$A$24:$A$35)</f>
        <v>#REF!</v>
      </c>
      <c r="E211" s="129" t="e" cm="1">
        <f t="array" aca="1" ref="E211" ca="1">_xlfn.XLOOKUP(C211,Sechoir!C16:K16,_xlfn.ANCHORARRAY(Sechoir!C14))</f>
        <v>#REF!</v>
      </c>
      <c r="F211" s="129" t="e">
        <f ca="1">_xlfn.XLOOKUP(INT(SUBSTITUTE(E211,"Connecteur ","")),Mesures_Sechoir!$C$24:$C$35,Mesures_Sechoir!$B$24:$B$35)</f>
        <v>#REF!</v>
      </c>
    </row>
    <row r="212" spans="1:6" x14ac:dyDescent="0.25">
      <c r="A212" s="469"/>
      <c r="B212" s="128" t="s">
        <v>204</v>
      </c>
      <c r="C212" s="131" t="e">
        <f ca="1">MIN(Sechoir!C16:K16)</f>
        <v>#REF!</v>
      </c>
      <c r="D212" s="129" t="e">
        <f ca="1">_xlfn.XLOOKUP(INT(SUBSTITUTE(E212,"Connecteur ","")),Mesures_Sechoir!$C$24:$C$35,Mesures_Sechoir!$A$24:$A$35)</f>
        <v>#REF!</v>
      </c>
      <c r="E212" s="129" t="e" cm="1">
        <f t="array" aca="1" ref="E212" ca="1">_xlfn.XLOOKUP(C212,Sechoir!C16:K16,_xlfn.ANCHORARRAY(Sechoir!C14))</f>
        <v>#REF!</v>
      </c>
      <c r="F212" s="130" t="e">
        <f ca="1">_xlfn.XLOOKUP(INT(SUBSTITUTE(E212,"Connecteur ","")),Mesures_Sechoir!$C$24:$C$35,Mesures_Sechoir!$B$24:$B$35)</f>
        <v>#REF!</v>
      </c>
    </row>
    <row r="213" spans="1:6" ht="34.5" customHeight="1" x14ac:dyDescent="0.25">
      <c r="A213" s="469"/>
      <c r="B213" s="128" t="s">
        <v>205</v>
      </c>
      <c r="C213" s="131" t="e">
        <f ca="1">MIN(Sechoir!C17:K17)</f>
        <v>#REF!</v>
      </c>
      <c r="D213" s="129" t="e">
        <f ca="1">_xlfn.XLOOKUP(INT(SUBSTITUTE(E213,"Connecteur ","")),Mesures_Sechoir!$C$24:$C$35,Mesures_Sechoir!$A$24:$A$35)</f>
        <v>#REF!</v>
      </c>
      <c r="E213" s="129" t="e" cm="1">
        <f t="array" aca="1" ref="E213" ca="1">_xlfn.XLOOKUP(C213,Sechoir!C17:K17,_xlfn.ANCHORARRAY(Sechoir!C14))</f>
        <v>#REF!</v>
      </c>
      <c r="F213" s="130" t="e">
        <f ca="1">_xlfn.XLOOKUP(INT(SUBSTITUTE(E213,"Connecteur ","")),Mesures_Sechoir!$C$24:$C$35,Mesures_Sechoir!$B$24:$B$35)</f>
        <v>#REF!</v>
      </c>
    </row>
    <row r="214" spans="1:6" x14ac:dyDescent="0.25">
      <c r="A214" s="469"/>
      <c r="B214" s="128" t="s">
        <v>206</v>
      </c>
      <c r="C214" s="131" t="e">
        <f ca="1">Sechoir!C21</f>
        <v>#REF!</v>
      </c>
      <c r="D214" s="129" t="s">
        <v>200</v>
      </c>
      <c r="E214" s="129" t="s">
        <v>200</v>
      </c>
      <c r="F214" s="130" t="s">
        <v>200</v>
      </c>
    </row>
    <row r="215" spans="1:6" x14ac:dyDescent="0.25">
      <c r="C215" s="88"/>
      <c r="D215" s="88"/>
      <c r="E215" s="88"/>
      <c r="F215" s="88"/>
    </row>
    <row r="226" spans="2:9" ht="36" x14ac:dyDescent="0.25">
      <c r="B226" s="461" t="str">
        <f>"6. Résultats et exploitation des résultats à " &amp; Mesures_Sechoir!B20&amp; "°C"</f>
        <v>6. Résultats et exploitation des résultats à °C</v>
      </c>
      <c r="C226" s="461"/>
      <c r="D226" s="461"/>
      <c r="E226" s="461"/>
      <c r="F226" s="461"/>
    </row>
    <row r="229" spans="2:9" x14ac:dyDescent="0.25">
      <c r="B229" s="352" t="s">
        <v>207</v>
      </c>
      <c r="C229" s="352"/>
    </row>
    <row r="232" spans="2:9" x14ac:dyDescent="0.25">
      <c r="C232" s="27"/>
      <c r="D232" s="27"/>
      <c r="E232" s="27"/>
      <c r="F232" s="471" t="s">
        <v>190</v>
      </c>
      <c r="G232" s="473"/>
      <c r="H232" s="473"/>
      <c r="I232" s="472"/>
    </row>
    <row r="233" spans="2:9" ht="30" x14ac:dyDescent="0.25">
      <c r="C233" s="36" t="s">
        <v>9</v>
      </c>
      <c r="D233" s="36" t="s">
        <v>12</v>
      </c>
      <c r="E233" s="132" t="s">
        <v>208</v>
      </c>
      <c r="F233" s="36" t="s">
        <v>209</v>
      </c>
      <c r="G233" s="36" t="s">
        <v>210</v>
      </c>
      <c r="H233" s="36" t="s">
        <v>211</v>
      </c>
      <c r="I233" s="36" t="s">
        <v>212</v>
      </c>
    </row>
    <row r="234" spans="2:9" x14ac:dyDescent="0.25">
      <c r="C234" s="38" cm="1">
        <f t="array" ref="C234:E242">Mesures_Sechoir!$A$24:$C$32</f>
        <v>1</v>
      </c>
      <c r="D234" s="38">
        <v>0</v>
      </c>
      <c r="E234" s="38">
        <v>0</v>
      </c>
      <c r="F234" s="133" t="e" cm="1">
        <f t="array" ref="F234">_xlfn.XLOOKUP(SUBSTITUTE(Sechoir_PV!E234,Sechoir_PV!E234,"Connecteur " &amp; Sechoir_PV!E234),_xlfn.ANCHORARRAY(Sechoir!C14),Sechoir!C17:K17)</f>
        <v>#N/A</v>
      </c>
      <c r="G234" s="133" t="e" cm="1">
        <f t="array" ref="G234">_xlfn.XLOOKUP(SUBSTITUTE(Sechoir_PV!E234,Sechoir_PV!E234,"Connecteur " &amp; Sechoir_PV!E234),_xlfn.ANCHORARRAY(Sechoir!C14),Sechoir!C16:K16)</f>
        <v>#N/A</v>
      </c>
      <c r="H234" s="133" t="e" cm="1">
        <f t="array" ref="H234">_xlfn.XLOOKUP(SUBSTITUTE(Sechoir_PV!E234,Sechoir_PV!E234,"Connecteur " &amp; Sechoir_PV!E234),_xlfn.ANCHORARRAY(Sechoir!C14),Sechoir!C18:K18)</f>
        <v>#N/A</v>
      </c>
      <c r="I234" s="133" t="e" cm="1">
        <f t="array" ref="I234">_xlfn.XLOOKUP(SUBSTITUTE(Sechoir_PV!E234,Sechoir_PV!E234,"Connecteur " &amp; Sechoir_PV!E234),_xlfn.ANCHORARRAY(Sechoir!C14),Sechoir!C19:K19)</f>
        <v>#N/A</v>
      </c>
    </row>
    <row r="235" spans="2:9" x14ac:dyDescent="0.25">
      <c r="C235" s="38">
        <v>2</v>
      </c>
      <c r="D235" s="38">
        <v>0</v>
      </c>
      <c r="E235" s="38">
        <v>0</v>
      </c>
      <c r="F235" s="133" t="e" cm="1">
        <f t="array" ref="F235">_xlfn.XLOOKUP(SUBSTITUTE(Sechoir_PV!E235,Sechoir_PV!E235,"Connecteur " &amp; Sechoir_PV!E235),_xlfn.ANCHORARRAY(Sechoir!C14),Sechoir!C17:K17)</f>
        <v>#N/A</v>
      </c>
      <c r="G235" s="133" t="e" cm="1">
        <f t="array" ref="G235">_xlfn.XLOOKUP(SUBSTITUTE(Sechoir_PV!E235,Sechoir_PV!E235,"Connecteur " &amp; Sechoir_PV!E235),_xlfn.ANCHORARRAY(Sechoir!C14),Sechoir!C16:K16)</f>
        <v>#N/A</v>
      </c>
      <c r="H235" s="133" t="e" cm="1">
        <f t="array" ref="H235">_xlfn.XLOOKUP(SUBSTITUTE(Sechoir_PV!E235,Sechoir_PV!E235,"Connecteur " &amp; Sechoir_PV!E235),_xlfn.ANCHORARRAY(Sechoir!C14),Sechoir!C18:K18)</f>
        <v>#N/A</v>
      </c>
      <c r="I235" s="133" t="e" cm="1">
        <f t="array" ref="I235">_xlfn.XLOOKUP(SUBSTITUTE(Sechoir_PV!E235,Sechoir_PV!E235,"Connecteur " &amp; Sechoir_PV!E235),_xlfn.ANCHORARRAY(Sechoir!C14),Sechoir!C19:K19)</f>
        <v>#N/A</v>
      </c>
    </row>
    <row r="236" spans="2:9" x14ac:dyDescent="0.25">
      <c r="C236" s="38">
        <v>3</v>
      </c>
      <c r="D236" s="38">
        <v>0</v>
      </c>
      <c r="E236" s="38">
        <v>0</v>
      </c>
      <c r="F236" s="133" t="e" cm="1">
        <f t="array" ref="F236">_xlfn.XLOOKUP(SUBSTITUTE(Sechoir_PV!E236,Sechoir_PV!E236,"Connecteur " &amp; Sechoir_PV!E236),_xlfn.ANCHORARRAY(Sechoir!C14),Sechoir!C17:K17)</f>
        <v>#N/A</v>
      </c>
      <c r="G236" s="133" t="e" cm="1">
        <f t="array" ref="G236">_xlfn.XLOOKUP(SUBSTITUTE(Sechoir_PV!E236,Sechoir_PV!E236,"Connecteur " &amp; Sechoir_PV!E236),_xlfn.ANCHORARRAY(Sechoir!C14),Sechoir!C16:K16)</f>
        <v>#N/A</v>
      </c>
      <c r="H236" s="133" t="e" cm="1">
        <f t="array" ref="H236">_xlfn.XLOOKUP(SUBSTITUTE(Sechoir_PV!E236,Sechoir_PV!E236,"Connecteur " &amp; Sechoir_PV!E236),_xlfn.ANCHORARRAY(Sechoir!C14),Sechoir!C18:K18)</f>
        <v>#N/A</v>
      </c>
      <c r="I236" s="133" t="e" cm="1">
        <f t="array" ref="I236">_xlfn.XLOOKUP(SUBSTITUTE(Sechoir_PV!E236,Sechoir_PV!E236,"Connecteur " &amp; Sechoir_PV!E236),_xlfn.ANCHORARRAY(Sechoir!C14),Sechoir!C19:K19)</f>
        <v>#N/A</v>
      </c>
    </row>
    <row r="237" spans="2:9" x14ac:dyDescent="0.25">
      <c r="C237" s="38">
        <v>4</v>
      </c>
      <c r="D237" s="38">
        <v>0</v>
      </c>
      <c r="E237" s="38">
        <v>0</v>
      </c>
      <c r="F237" s="133" t="e" cm="1">
        <f t="array" ref="F237">_xlfn.XLOOKUP(SUBSTITUTE(Sechoir_PV!E237,Sechoir_PV!E237,"Connecteur " &amp; Sechoir_PV!E237),_xlfn.ANCHORARRAY(Sechoir!C14),Sechoir!C17:K17)</f>
        <v>#N/A</v>
      </c>
      <c r="G237" s="133" t="e" cm="1">
        <f t="array" ref="G237">_xlfn.XLOOKUP(SUBSTITUTE(Sechoir_PV!E237,Sechoir_PV!E237,"Connecteur " &amp; Sechoir_PV!E237),_xlfn.ANCHORARRAY(Sechoir!C14),Sechoir!C16:K16)</f>
        <v>#N/A</v>
      </c>
      <c r="H237" s="133" t="e" cm="1">
        <f t="array" ref="H237">_xlfn.XLOOKUP(SUBSTITUTE(Sechoir_PV!E237,Sechoir_PV!E237,"Connecteur " &amp; Sechoir_PV!E237),_xlfn.ANCHORARRAY(Sechoir!C14),Sechoir!C18:K18)</f>
        <v>#N/A</v>
      </c>
      <c r="I237" s="133" t="e" cm="1">
        <f t="array" ref="I237">_xlfn.XLOOKUP(SUBSTITUTE(Sechoir_PV!E237,Sechoir_PV!E237,"Connecteur " &amp; Sechoir_PV!E237),_xlfn.ANCHORARRAY(Sechoir!C14),Sechoir!C19:K19)</f>
        <v>#N/A</v>
      </c>
    </row>
    <row r="238" spans="2:9" x14ac:dyDescent="0.25">
      <c r="C238" s="38">
        <v>5</v>
      </c>
      <c r="D238" s="38">
        <v>0</v>
      </c>
      <c r="E238" s="38">
        <v>0</v>
      </c>
      <c r="F238" s="133" t="e" cm="1">
        <f t="array" ref="F238">_xlfn.XLOOKUP(SUBSTITUTE(Sechoir_PV!E238,Sechoir_PV!E238,"Connecteur " &amp; Sechoir_PV!E238),_xlfn.ANCHORARRAY(Sechoir!C14),Sechoir!C17:K17)</f>
        <v>#N/A</v>
      </c>
      <c r="G238" s="133" t="e" cm="1">
        <f t="array" ref="G238">_xlfn.XLOOKUP(SUBSTITUTE(Sechoir_PV!E238,Sechoir_PV!E238,"Connecteur "&amp;Sechoir_PV!E238),_xlfn.ANCHORARRAY(Sechoir!C14),Sechoir!C16:K16)</f>
        <v>#N/A</v>
      </c>
      <c r="H238" s="133" t="e" cm="1">
        <f t="array" ref="H238">_xlfn.XLOOKUP(SUBSTITUTE(Sechoir_PV!E238,Sechoir_PV!E238,"Connecteur " &amp; Sechoir_PV!E238),_xlfn.ANCHORARRAY(Sechoir!C14),Sechoir!C18:K18)</f>
        <v>#N/A</v>
      </c>
      <c r="I238" s="133" t="e" cm="1">
        <f t="array" ref="I238">_xlfn.XLOOKUP(SUBSTITUTE(Sechoir_PV!E238,Sechoir_PV!E238,"Connecteur " &amp; Sechoir_PV!E238),_xlfn.ANCHORARRAY(Sechoir!C14),Sechoir!C19:K19)</f>
        <v>#N/A</v>
      </c>
    </row>
    <row r="239" spans="2:9" x14ac:dyDescent="0.25">
      <c r="C239" s="38">
        <v>6</v>
      </c>
      <c r="D239" s="38">
        <v>0</v>
      </c>
      <c r="E239" s="38">
        <v>0</v>
      </c>
      <c r="F239" s="133" t="e" cm="1">
        <f t="array" ref="F239">_xlfn.XLOOKUP(SUBSTITUTE(Sechoir_PV!E239,Sechoir_PV!E239,"Connecteur " &amp; Sechoir_PV!E239),_xlfn.ANCHORARRAY(Sechoir!C14),Sechoir!C17:K17)</f>
        <v>#N/A</v>
      </c>
      <c r="G239" s="133" t="e" cm="1">
        <f t="array" ref="G239">_xlfn.XLOOKUP(SUBSTITUTE(Sechoir_PV!E239,Sechoir_PV!E239,"Connecteur " &amp; Sechoir_PV!E239),_xlfn.ANCHORARRAY(Sechoir!C14),Sechoir!C16:K16)</f>
        <v>#N/A</v>
      </c>
      <c r="H239" s="133" t="e" cm="1">
        <f t="array" ref="H239">_xlfn.XLOOKUP(SUBSTITUTE(Sechoir_PV!E239,Sechoir_PV!E239,"Connecteur " &amp; Sechoir_PV!E239),_xlfn.ANCHORARRAY(Sechoir!C14),Sechoir!C18:K18)</f>
        <v>#N/A</v>
      </c>
      <c r="I239" s="133" t="e" cm="1">
        <f t="array" ref="I239">_xlfn.XLOOKUP(SUBSTITUTE(Sechoir_PV!E239,Sechoir_PV!E239,"Connecteur " &amp; Sechoir_PV!E239),_xlfn.ANCHORARRAY(Sechoir!C14),Sechoir!C19:K19)</f>
        <v>#N/A</v>
      </c>
    </row>
    <row r="240" spans="2:9" x14ac:dyDescent="0.25">
      <c r="C240" s="38">
        <v>7</v>
      </c>
      <c r="D240" s="38">
        <v>0</v>
      </c>
      <c r="E240" s="38">
        <v>0</v>
      </c>
      <c r="F240" s="133" t="e" cm="1">
        <f t="array" ref="F240">_xlfn.XLOOKUP(SUBSTITUTE(Sechoir_PV!E240,Sechoir_PV!E240,"Connecteur " &amp; Sechoir_PV!E240),_xlfn.ANCHORARRAY(Sechoir!C14),Sechoir!C17:K17)</f>
        <v>#N/A</v>
      </c>
      <c r="G240" s="133" t="e" cm="1">
        <f t="array" ref="G240">_xlfn.XLOOKUP(SUBSTITUTE(Sechoir_PV!E240,Sechoir_PV!E240,"Connecteur " &amp; Sechoir_PV!E240),_xlfn.ANCHORARRAY(Sechoir!C14),Sechoir!C16:K16)</f>
        <v>#N/A</v>
      </c>
      <c r="H240" s="133" t="e" cm="1">
        <f t="array" ref="H240">_xlfn.XLOOKUP(SUBSTITUTE(Sechoir_PV!E240,Sechoir_PV!E240,"Connecteur " &amp; Sechoir_PV!E240),_xlfn.ANCHORARRAY(Sechoir!C14),Sechoir!C18:K18)</f>
        <v>#N/A</v>
      </c>
      <c r="I240" s="133" t="e" cm="1">
        <f t="array" ref="I240">_xlfn.XLOOKUP(SUBSTITUTE(Sechoir_PV!E240,Sechoir_PV!E240,"Connecteur " &amp; Sechoir_PV!E240),_xlfn.ANCHORARRAY(Sechoir!C14),Sechoir!C19:K19)</f>
        <v>#N/A</v>
      </c>
    </row>
    <row r="241" spans="2:9" x14ac:dyDescent="0.25">
      <c r="C241" s="38">
        <v>8</v>
      </c>
      <c r="D241" s="38">
        <v>0</v>
      </c>
      <c r="E241" s="38">
        <v>0</v>
      </c>
      <c r="F241" s="133" t="e" cm="1">
        <f t="array" ref="F241">_xlfn.XLOOKUP(SUBSTITUTE(Sechoir_PV!E241,Sechoir_PV!E241,"Connecteur " &amp; Sechoir_PV!E241),_xlfn.ANCHORARRAY(Sechoir!C14),Sechoir!C17:K17)</f>
        <v>#N/A</v>
      </c>
      <c r="G241" s="133" t="e" cm="1">
        <f t="array" ref="G241">_xlfn.XLOOKUP(SUBSTITUTE(Sechoir_PV!E241,Sechoir_PV!E241,"Connecteur " &amp; Sechoir_PV!E241),_xlfn.ANCHORARRAY(Sechoir!C14),Sechoir!C16:K16)</f>
        <v>#N/A</v>
      </c>
      <c r="H241" s="133" t="e" cm="1">
        <f t="array" ref="H241">_xlfn.XLOOKUP(SUBSTITUTE(Sechoir_PV!E241,Sechoir_PV!E241,"Connecteur " &amp; Sechoir_PV!E241),_xlfn.ANCHORARRAY(Sechoir!C14),Sechoir!C18:K18)</f>
        <v>#N/A</v>
      </c>
      <c r="I241" s="133" t="e" cm="1">
        <f t="array" ref="I241">_xlfn.XLOOKUP(SUBSTITUTE(Sechoir_PV!E241,Sechoir_PV!E241,"Connecteur " &amp; Sechoir_PV!E241),_xlfn.ANCHORARRAY(Sechoir!C14),Sechoir!C19:K19)</f>
        <v>#N/A</v>
      </c>
    </row>
    <row r="242" spans="2:9" x14ac:dyDescent="0.25">
      <c r="C242" s="38">
        <v>9</v>
      </c>
      <c r="D242" s="38">
        <v>0</v>
      </c>
      <c r="E242" s="38">
        <v>0</v>
      </c>
      <c r="F242" s="133" t="e" cm="1">
        <f t="array" ref="F242">_xlfn.XLOOKUP(SUBSTITUTE(Sechoir_PV!E242,Sechoir_PV!E242,"Connecteur " &amp; Sechoir_PV!E242),_xlfn.ANCHORARRAY(Sechoir!C14),Sechoir!C17:K17)</f>
        <v>#N/A</v>
      </c>
      <c r="G242" s="133" t="e" cm="1">
        <f t="array" ref="G242">_xlfn.XLOOKUP(SUBSTITUTE(Sechoir_PV!E242,Sechoir_PV!E242,"Connecteur " &amp; Sechoir_PV!E242),_xlfn.ANCHORARRAY(Sechoir!C14),Sechoir!C16:K16)</f>
        <v>#N/A</v>
      </c>
      <c r="H242" s="133" t="e" cm="1">
        <f t="array" ref="H242">_xlfn.XLOOKUP(SUBSTITUTE(Sechoir_PV!E242,Sechoir_PV!E242,"Connecteur " &amp; Sechoir_PV!E242),_xlfn.ANCHORARRAY(Sechoir!C14),Sechoir!C18:K18)</f>
        <v>#N/A</v>
      </c>
      <c r="I242" s="133" t="e" cm="1">
        <f t="array" ref="I242">_xlfn.XLOOKUP(SUBSTITUTE(Sechoir_PV!E242,Sechoir_PV!E242,"Connecteur " &amp; Sechoir_PV!E242),_xlfn.ANCHORARRAY(Sechoir!C14),Sechoir!C19:K19)</f>
        <v>#N/A</v>
      </c>
    </row>
    <row r="252" spans="2:9" x14ac:dyDescent="0.25">
      <c r="B252" s="134"/>
    </row>
    <row r="254" spans="2:9" ht="36" x14ac:dyDescent="0.3">
      <c r="C254" s="135" t="str">
        <f>"8. Résultats et exploitation des résultats à " &amp; Mesures_Sechoir!B20 &amp; "°C"</f>
        <v>8. Résultats et exploitation des résultats à °C</v>
      </c>
      <c r="D254" s="136"/>
      <c r="E254" s="136"/>
      <c r="F254" s="136"/>
    </row>
    <row r="257" spans="2:2" x14ac:dyDescent="0.25">
      <c r="B257" t="s">
        <v>213</v>
      </c>
    </row>
    <row r="293" spans="2:8" ht="36" x14ac:dyDescent="0.55000000000000004">
      <c r="G293" s="460" t="s">
        <v>214</v>
      </c>
      <c r="H293" s="460"/>
    </row>
    <row r="297" spans="2:8" ht="23.25" customHeight="1" x14ac:dyDescent="0.25">
      <c r="B297" s="474" t="s">
        <v>552</v>
      </c>
      <c r="C297" s="474"/>
      <c r="D297" s="474"/>
      <c r="E297" s="474"/>
      <c r="F297" s="137" t="e">
        <f ca="1">IF(OR(AVERAGE(Sechoir!C16:K16)&gt;Sechoir!L16,AVERAGE(Sechoir!C17:K17)&lt;Sechoir!L17),"NON CONFORME","CONFORME")</f>
        <v>#REF!</v>
      </c>
      <c r="G297" s="138"/>
    </row>
    <row r="298" spans="2:8" ht="23.25" customHeight="1" x14ac:dyDescent="0.25">
      <c r="B298" s="474"/>
      <c r="C298" s="474"/>
      <c r="D298" s="474"/>
      <c r="E298" s="474"/>
      <c r="F298" s="138"/>
      <c r="G298" s="138"/>
    </row>
    <row r="299" spans="2:8" ht="15" customHeight="1" x14ac:dyDescent="0.25">
      <c r="B299" s="138"/>
      <c r="C299" s="138"/>
      <c r="D299" s="138"/>
      <c r="E299" s="138"/>
      <c r="F299" s="138"/>
      <c r="G299" s="138"/>
    </row>
    <row r="303" spans="2:8" x14ac:dyDescent="0.25">
      <c r="C303" s="128" t="s">
        <v>215</v>
      </c>
      <c r="D303" s="128"/>
      <c r="E303" s="176">
        <f>Mesures_Sechoir!B20</f>
        <v>0</v>
      </c>
    </row>
    <row r="304" spans="2:8" x14ac:dyDescent="0.25">
      <c r="C304" s="470" t="s">
        <v>216</v>
      </c>
      <c r="D304" s="470"/>
      <c r="E304" s="141">
        <f>Mesures_Sechoir!$B$20</f>
        <v>0</v>
      </c>
    </row>
    <row r="305" spans="3:5" x14ac:dyDescent="0.25">
      <c r="C305" s="470" t="s">
        <v>217</v>
      </c>
      <c r="D305" s="470"/>
      <c r="E305" s="133" t="e">
        <f ca="1">Sechoir!C20</f>
        <v>#REF!</v>
      </c>
    </row>
    <row r="306" spans="3:5" x14ac:dyDescent="0.25">
      <c r="C306" s="470" t="s">
        <v>218</v>
      </c>
      <c r="D306" s="470"/>
      <c r="E306" s="38" t="str">
        <f>"±" &amp; Mesures_Sechoir!$B$21</f>
        <v>±</v>
      </c>
    </row>
    <row r="307" spans="3:5" x14ac:dyDescent="0.25">
      <c r="C307" s="471" t="s">
        <v>219</v>
      </c>
      <c r="D307" s="472"/>
      <c r="E307" s="38" t="e">
        <f ca="1">IF(F297="CONFORME","OUI","NON")</f>
        <v>#REF!</v>
      </c>
    </row>
  </sheetData>
  <sheetProtection algorithmName="SHA-512" hashValue="v06FSH4bmgcHgVkD+2IXWIaYSTqtgu2SH18rj2g0e6LenODcC1bn+SvacL2p0b4KUNTSnnt9UD3PESQJxj5P1A==" saltValue="qwAwtkiYPpUb5rGJhzQYZQ==" spinCount="100000" sheet="1" objects="1" scenarios="1"/>
  <mergeCells count="39">
    <mergeCell ref="C306:D306"/>
    <mergeCell ref="C307:D307"/>
    <mergeCell ref="B229:C229"/>
    <mergeCell ref="F232:I232"/>
    <mergeCell ref="G293:H293"/>
    <mergeCell ref="B297:E298"/>
    <mergeCell ref="C304:D304"/>
    <mergeCell ref="C305:D305"/>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D96:H96"/>
    <mergeCell ref="B67:D67"/>
    <mergeCell ref="E67:I67"/>
    <mergeCell ref="B66:D66"/>
    <mergeCell ref="E66:I66"/>
    <mergeCell ref="C10:D10"/>
    <mergeCell ref="E10:F10"/>
    <mergeCell ref="A28:B28"/>
    <mergeCell ref="A30:I47"/>
    <mergeCell ref="C51:F51"/>
    <mergeCell ref="E55:G55"/>
    <mergeCell ref="E56:H56"/>
    <mergeCell ref="E57:F57"/>
    <mergeCell ref="B61:D61"/>
    <mergeCell ref="E61:G61"/>
    <mergeCell ref="B62:D62"/>
  </mergeCells>
  <conditionalFormatting sqref="F297">
    <cfRule type="containsText" dxfId="37" priority="2" operator="containsText" text="NON CONFORME">
      <formula>NOT(ISERROR(SEARCH("NON CONFORME",F297)))</formula>
    </cfRule>
    <cfRule type="containsText" dxfId="36" priority="3" operator="containsText" text="CONFORME">
      <formula>NOT(ISERROR(SEARCH("CONFORME",F297)))</formula>
    </cfRule>
  </conditionalFormatting>
  <pageMargins left="0.7" right="0.7" top="0.75" bottom="0.75" header="0.3" footer="0.3"/>
  <pageSetup paperSize="9" scale="55" orientation="landscape" r:id="rId1"/>
  <headerFooter>
    <oddFooter>&amp;RIMP 472 du 07-02-2024 (TUS du séchoir)</oddFooter>
  </headerFooter>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1:O57"/>
  <sheetViews>
    <sheetView workbookViewId="0">
      <selection activeCell="D6" sqref="D6"/>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1" spans="1:13" x14ac:dyDescent="0.25">
      <c r="A1" s="326"/>
    </row>
    <row r="2" spans="1:13" x14ac:dyDescent="0.25">
      <c r="B2" s="445" t="s">
        <v>49</v>
      </c>
      <c r="C2" s="446"/>
      <c r="D2" s="446"/>
      <c r="E2" s="446"/>
      <c r="F2" s="446"/>
      <c r="G2" s="446"/>
      <c r="H2" s="446"/>
      <c r="I2" s="446"/>
      <c r="J2" s="446"/>
      <c r="K2" s="446"/>
    </row>
    <row r="3" spans="1:13" x14ac:dyDescent="0.25">
      <c r="B3" s="446"/>
      <c r="C3" s="446"/>
      <c r="D3" s="446"/>
      <c r="E3" s="446"/>
      <c r="F3" s="446"/>
      <c r="G3" s="446"/>
      <c r="H3" s="446"/>
      <c r="I3" s="446"/>
      <c r="J3" s="446"/>
      <c r="K3" s="446"/>
    </row>
    <row r="4" spans="1:13" ht="57" x14ac:dyDescent="0.25">
      <c r="B4" s="2"/>
      <c r="C4" s="2"/>
      <c r="D4" s="2"/>
      <c r="E4" s="2"/>
      <c r="F4" s="2"/>
      <c r="G4" s="2"/>
      <c r="H4" s="2"/>
      <c r="I4" s="2"/>
      <c r="J4" s="2"/>
      <c r="K4" s="2"/>
    </row>
    <row r="5" spans="1:13" ht="14.25" customHeight="1" x14ac:dyDescent="0.25">
      <c r="A5" s="447" t="s">
        <v>537</v>
      </c>
      <c r="B5" s="447"/>
      <c r="C5" s="447"/>
      <c r="D5" s="161" t="str">
        <f>Choose_TUS!L2 &amp; "(PV de l'étuve OMIA LVT)"</f>
        <v>IMP 472 ind O du 07-02-2024 (PV de l'étuve OMIA LVT)</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280</v>
      </c>
      <c r="C19" s="3" t="s">
        <v>281</v>
      </c>
      <c r="D19" s="3" t="s">
        <v>282</v>
      </c>
      <c r="E19" s="1"/>
      <c r="F19" s="1"/>
      <c r="G19" s="1"/>
      <c r="H19" s="1"/>
    </row>
    <row r="20" spans="1:9" x14ac:dyDescent="0.25">
      <c r="A20" s="3" t="s">
        <v>237</v>
      </c>
      <c r="B20" s="10"/>
      <c r="C20" s="10"/>
      <c r="D20" s="10"/>
      <c r="E20" s="1"/>
    </row>
    <row r="21" spans="1:9" x14ac:dyDescent="0.25">
      <c r="A21" s="3" t="s">
        <v>8</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TC " &amp; B20 &amp; "°C"</f>
        <v>Décalage TC °C</v>
      </c>
      <c r="H23" s="26" t="str">
        <f>"Décalage TC " &amp; C20 &amp; "°C"</f>
        <v>Décalage TC °C</v>
      </c>
      <c r="I23" s="26" t="str">
        <f>"Décalage TC " &amp; D20 &amp; "°C"</f>
        <v>Décalage TC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3" spans="1:15" x14ac:dyDescent="0.25">
      <c r="A33" s="19">
        <v>10</v>
      </c>
      <c r="B33" s="11"/>
      <c r="C33" s="11"/>
      <c r="D33" s="18"/>
      <c r="E33" s="18"/>
      <c r="F33" s="18"/>
      <c r="G33" s="18"/>
      <c r="H33" s="18"/>
      <c r="I33" s="18"/>
    </row>
    <row r="34" spans="1:15" x14ac:dyDescent="0.25">
      <c r="A34" s="15">
        <v>11</v>
      </c>
      <c r="B34" s="11"/>
      <c r="C34" s="11"/>
      <c r="D34" s="18"/>
      <c r="E34" s="18"/>
      <c r="F34" s="18"/>
      <c r="G34" s="18"/>
      <c r="H34" s="18"/>
      <c r="I34" s="18"/>
    </row>
    <row r="35" spans="1:15" x14ac:dyDescent="0.25">
      <c r="A35" s="19">
        <v>12</v>
      </c>
      <c r="B35" s="11"/>
      <c r="C35" s="11"/>
      <c r="D35" s="18"/>
      <c r="E35" s="18"/>
      <c r="F35" s="18"/>
      <c r="G35" s="18"/>
      <c r="H35" s="18"/>
      <c r="I35" s="18"/>
    </row>
    <row r="36" spans="1:15" x14ac:dyDescent="0.25">
      <c r="A36" s="19">
        <v>13</v>
      </c>
      <c r="B36" s="11"/>
      <c r="C36" s="11"/>
      <c r="D36" s="18"/>
      <c r="E36" s="18"/>
      <c r="F36" s="18"/>
      <c r="G36" s="18"/>
      <c r="H36" s="18"/>
      <c r="I36" s="18"/>
    </row>
    <row r="41" spans="1:15" ht="26.25" x14ac:dyDescent="0.25">
      <c r="A41" s="1"/>
      <c r="B41" s="448" t="s">
        <v>13</v>
      </c>
      <c r="C41" s="448"/>
      <c r="D41" s="1"/>
      <c r="E41" s="1"/>
      <c r="F41" s="1"/>
      <c r="G41" s="1"/>
      <c r="H41" s="1"/>
      <c r="I41" s="1"/>
      <c r="J41" s="448" t="s">
        <v>30</v>
      </c>
      <c r="K41" s="448"/>
      <c r="L41" s="1"/>
      <c r="M41" s="1"/>
    </row>
    <row r="42" spans="1:15" x14ac:dyDescent="0.25">
      <c r="A42" s="1"/>
      <c r="B42" s="1"/>
      <c r="C42" s="1"/>
      <c r="D42" s="1"/>
      <c r="E42" s="1"/>
      <c r="F42" s="1"/>
      <c r="G42" s="1"/>
      <c r="H42" s="1"/>
      <c r="I42" s="1"/>
      <c r="J42" s="1"/>
      <c r="K42" s="1"/>
      <c r="L42" s="1"/>
      <c r="M42" s="1"/>
      <c r="N42" s="1"/>
      <c r="O42" s="1"/>
    </row>
    <row r="43" spans="1:15" x14ac:dyDescent="0.25">
      <c r="A43" s="443" t="s">
        <v>10</v>
      </c>
      <c r="B43" s="454"/>
      <c r="C43" s="454"/>
      <c r="D43" s="454"/>
      <c r="E43" s="454"/>
      <c r="F43" s="444"/>
      <c r="G43" s="1"/>
      <c r="H43" s="1"/>
      <c r="I43" s="447" t="s">
        <v>26</v>
      </c>
      <c r="J43" s="447"/>
      <c r="K43" s="447"/>
      <c r="L43" s="447"/>
      <c r="M43" s="447"/>
    </row>
    <row r="44" spans="1:15" ht="30" x14ac:dyDescent="0.25">
      <c r="A44" s="447"/>
      <c r="B44" s="447"/>
      <c r="C44" s="3" t="s">
        <v>15</v>
      </c>
      <c r="D44" s="20" t="s">
        <v>17</v>
      </c>
      <c r="E44" s="20" t="s">
        <v>24</v>
      </c>
      <c r="F44" s="20" t="s">
        <v>25</v>
      </c>
      <c r="G44" s="1"/>
      <c r="H44" s="1"/>
      <c r="I44" s="451"/>
      <c r="J44" s="451"/>
      <c r="K44" s="3" t="s">
        <v>32</v>
      </c>
      <c r="L44" s="3" t="s">
        <v>34</v>
      </c>
      <c r="M44" s="3" t="s">
        <v>35</v>
      </c>
    </row>
    <row r="45" spans="1:15" x14ac:dyDescent="0.25">
      <c r="A45" s="443" t="str">
        <f>CONCATENATE("Sonde ", B24)</f>
        <v xml:space="preserve">Sonde </v>
      </c>
      <c r="B45" s="444"/>
      <c r="C45" s="10"/>
      <c r="D45" s="10"/>
      <c r="E45" s="10"/>
      <c r="F45" s="4"/>
      <c r="G45" s="1"/>
      <c r="H45" s="1"/>
      <c r="I45" s="452" t="s">
        <v>27</v>
      </c>
      <c r="J45" s="453"/>
      <c r="K45" s="10"/>
      <c r="L45" s="4"/>
      <c r="M45" s="4"/>
    </row>
    <row r="46" spans="1:15" x14ac:dyDescent="0.25">
      <c r="A46" s="443" t="str">
        <f t="shared" ref="A46:A57" si="0">CONCATENATE("Sonde ", B25)</f>
        <v xml:space="preserve">Sonde </v>
      </c>
      <c r="B46" s="444"/>
      <c r="C46" s="10"/>
      <c r="D46" s="10"/>
      <c r="E46" s="10"/>
      <c r="F46" s="4"/>
      <c r="G46" s="1"/>
      <c r="H46" s="1"/>
      <c r="I46" s="1"/>
      <c r="J46" s="1"/>
      <c r="K46" s="1"/>
      <c r="L46" s="1"/>
      <c r="M46" s="1"/>
    </row>
    <row r="47" spans="1:15" x14ac:dyDescent="0.25">
      <c r="A47" s="443" t="str">
        <f t="shared" si="0"/>
        <v xml:space="preserve">Sonde </v>
      </c>
      <c r="B47" s="444"/>
      <c r="C47" s="10"/>
      <c r="D47" s="10"/>
      <c r="E47" s="10"/>
      <c r="F47" s="4"/>
      <c r="G47" s="1"/>
      <c r="H47" s="1"/>
      <c r="I47" s="1"/>
      <c r="J47" s="1"/>
      <c r="K47" s="1"/>
      <c r="L47" s="1"/>
      <c r="M47" s="1"/>
    </row>
    <row r="48" spans="1:15" x14ac:dyDescent="0.25">
      <c r="A48" s="443" t="str">
        <f t="shared" si="0"/>
        <v xml:space="preserve">Sonde </v>
      </c>
      <c r="B48" s="444"/>
      <c r="C48" s="10"/>
      <c r="D48" s="10"/>
      <c r="E48" s="10"/>
      <c r="F48" s="4"/>
      <c r="G48" s="1"/>
      <c r="H48" s="1"/>
      <c r="I48" s="1"/>
      <c r="J48" s="1"/>
      <c r="K48" s="1"/>
      <c r="L48" s="1"/>
      <c r="M48" s="1"/>
    </row>
    <row r="49" spans="1:15" x14ac:dyDescent="0.25">
      <c r="A49" s="443" t="str">
        <f t="shared" si="0"/>
        <v xml:space="preserve">Sonde </v>
      </c>
      <c r="B49" s="444"/>
      <c r="C49" s="10"/>
      <c r="D49" s="10"/>
      <c r="E49" s="10"/>
      <c r="F49" s="4"/>
      <c r="G49" s="1"/>
      <c r="H49" s="1"/>
      <c r="I49" s="1"/>
      <c r="J49" s="1"/>
    </row>
    <row r="50" spans="1:15" x14ac:dyDescent="0.25">
      <c r="A50" s="443" t="str">
        <f t="shared" si="0"/>
        <v xml:space="preserve">Sonde </v>
      </c>
      <c r="B50" s="444"/>
      <c r="C50" s="10"/>
      <c r="D50" s="10"/>
      <c r="E50" s="10"/>
      <c r="F50" s="4"/>
      <c r="G50" s="1"/>
      <c r="H50" s="1"/>
      <c r="I50" s="1"/>
      <c r="J50" s="1"/>
    </row>
    <row r="51" spans="1:15" x14ac:dyDescent="0.25">
      <c r="A51" s="443" t="str">
        <f t="shared" si="0"/>
        <v xml:space="preserve">Sonde </v>
      </c>
      <c r="B51" s="444"/>
      <c r="C51" s="10"/>
      <c r="D51" s="10"/>
      <c r="E51" s="10"/>
      <c r="F51" s="4"/>
      <c r="G51" s="1"/>
      <c r="H51" s="1"/>
      <c r="I51" s="1"/>
      <c r="J51" s="1"/>
    </row>
    <row r="52" spans="1:15" x14ac:dyDescent="0.25">
      <c r="A52" s="443" t="str">
        <f t="shared" si="0"/>
        <v xml:space="preserve">Sonde </v>
      </c>
      <c r="B52" s="444"/>
      <c r="C52" s="10"/>
      <c r="D52" s="10"/>
      <c r="E52" s="10"/>
      <c r="F52" s="4"/>
      <c r="G52" s="1"/>
      <c r="H52" s="1"/>
      <c r="I52" s="1"/>
      <c r="J52" s="1"/>
    </row>
    <row r="53" spans="1:15" x14ac:dyDescent="0.25">
      <c r="A53" s="443" t="str">
        <f t="shared" si="0"/>
        <v xml:space="preserve">Sonde </v>
      </c>
      <c r="B53" s="444"/>
      <c r="C53" s="10"/>
      <c r="D53" s="10"/>
      <c r="E53" s="10"/>
      <c r="F53" s="4"/>
      <c r="G53" s="1"/>
      <c r="H53" s="1"/>
      <c r="I53" s="1"/>
      <c r="J53" s="1"/>
    </row>
    <row r="54" spans="1:15" x14ac:dyDescent="0.25">
      <c r="A54" s="443" t="str">
        <f t="shared" si="0"/>
        <v xml:space="preserve">Sonde </v>
      </c>
      <c r="B54" s="444"/>
      <c r="C54" s="10"/>
      <c r="D54" s="10"/>
      <c r="E54" s="10"/>
      <c r="F54" s="4"/>
      <c r="G54" s="1"/>
      <c r="H54" s="1"/>
      <c r="I54" s="1"/>
      <c r="J54" s="1"/>
    </row>
    <row r="55" spans="1:15" x14ac:dyDescent="0.25">
      <c r="A55" s="443" t="str">
        <f t="shared" si="0"/>
        <v xml:space="preserve">Sonde </v>
      </c>
      <c r="B55" s="444"/>
      <c r="C55" s="10"/>
      <c r="D55" s="10"/>
      <c r="E55" s="10"/>
      <c r="F55" s="4"/>
      <c r="G55" s="1"/>
      <c r="H55" s="1"/>
      <c r="I55" s="1"/>
      <c r="J55" s="1"/>
      <c r="K55" s="1"/>
      <c r="L55" s="1"/>
      <c r="M55" s="1"/>
    </row>
    <row r="56" spans="1:15" x14ac:dyDescent="0.25">
      <c r="A56" s="443" t="str">
        <f t="shared" si="0"/>
        <v xml:space="preserve">Sonde </v>
      </c>
      <c r="B56" s="444"/>
      <c r="C56" s="10"/>
      <c r="D56" s="10"/>
      <c r="E56" s="10"/>
      <c r="F56" s="4"/>
      <c r="G56" s="1"/>
      <c r="H56" s="1"/>
      <c r="I56" s="1"/>
      <c r="J56" s="1"/>
      <c r="K56" s="1"/>
      <c r="L56" s="1"/>
      <c r="M56" s="1"/>
    </row>
    <row r="57" spans="1:15" x14ac:dyDescent="0.25">
      <c r="A57" s="443" t="str">
        <f t="shared" si="0"/>
        <v xml:space="preserve">Sonde </v>
      </c>
      <c r="B57" s="444"/>
      <c r="C57" s="10"/>
      <c r="D57" s="10"/>
      <c r="E57" s="10"/>
      <c r="F57" s="4"/>
      <c r="G57" s="1"/>
      <c r="H57" s="1"/>
      <c r="I57" s="1"/>
      <c r="J57" s="1"/>
      <c r="K57" s="1"/>
      <c r="L57" s="1"/>
      <c r="M57" s="1"/>
      <c r="N57" s="1"/>
      <c r="O57" s="1"/>
    </row>
  </sheetData>
  <sheetProtection algorithmName="SHA-512" hashValue="rXmbpUTvm+IrvIuO1DTObMZeIgL63Z5nHKwjgT46NZp9G/M5YvKymP5wBtyxb7jlNVGlry0HrGwzz9TxGN8EJQ==" saltValue="3anYGqVmW1iEK7bpG/xutQ==" spinCount="100000" sheet="1" objects="1" scenarios="1"/>
  <protectedRanges>
    <protectedRange sqref="C11" name="Donnees controleur"/>
  </protectedRanges>
  <dataConsolidate/>
  <mergeCells count="34">
    <mergeCell ref="A15:B15"/>
    <mergeCell ref="B2:K3"/>
    <mergeCell ref="A6:C6"/>
    <mergeCell ref="A8:B8"/>
    <mergeCell ref="E8:F8"/>
    <mergeCell ref="A9:B9"/>
    <mergeCell ref="E9:F9"/>
    <mergeCell ref="A11:B11"/>
    <mergeCell ref="E11:F11"/>
    <mergeCell ref="A12:B12"/>
    <mergeCell ref="E12:F12"/>
    <mergeCell ref="E13:F13"/>
    <mergeCell ref="A5:C5"/>
    <mergeCell ref="A49:B49"/>
    <mergeCell ref="A16:B16"/>
    <mergeCell ref="B41:C41"/>
    <mergeCell ref="J41:K41"/>
    <mergeCell ref="A43:F43"/>
    <mergeCell ref="I43:M43"/>
    <mergeCell ref="A44:B44"/>
    <mergeCell ref="I44:J44"/>
    <mergeCell ref="A45:B45"/>
    <mergeCell ref="I45:J45"/>
    <mergeCell ref="A46:B46"/>
    <mergeCell ref="A47:B47"/>
    <mergeCell ref="A48:B48"/>
    <mergeCell ref="A56:B56"/>
    <mergeCell ref="A57:B57"/>
    <mergeCell ref="A50:B50"/>
    <mergeCell ref="A51:B51"/>
    <mergeCell ref="A52:B52"/>
    <mergeCell ref="A53:B53"/>
    <mergeCell ref="A54:B54"/>
    <mergeCell ref="A55:B55"/>
  </mergeCells>
  <conditionalFormatting sqref="A6:M6 A1:N5 A7:N59">
    <cfRule type="expression" dxfId="35" priority="1">
      <formula>AND(NOT(CELL("protege", A1)), A1="")</formula>
    </cfRule>
  </conditionalFormatting>
  <dataValidations count="2">
    <dataValidation type="list" allowBlank="1" showInputMessage="1" showErrorMessage="1" sqref="C16" xr:uid="{BF2A2463-3FA1-41DE-BA1C-423DBF5686F9}">
      <formula1>"Trimestrielle,Annuelle,Mensuelle"</formula1>
    </dataValidation>
    <dataValidation type="list" allowBlank="1" showInputMessage="1" showErrorMessage="1" sqref="C11" xr:uid="{8938F4D2-BB0F-4E12-A34E-6D00BA089B9D}">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Realisation_TUS_OMIA">
                <anchor moveWithCells="1" sizeWithCells="1">
                  <from>
                    <xdr:col>7</xdr:col>
                    <xdr:colOff>666750</xdr:colOff>
                    <xdr:row>6</xdr:row>
                    <xdr:rowOff>38100</xdr:rowOff>
                  </from>
                  <to>
                    <xdr:col>10</xdr:col>
                    <xdr:colOff>781050</xdr:colOff>
                    <xdr:row>13</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workbookViewId="0">
      <selection activeCell="B36" sqref="B36"/>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7ToGoJuM8vUlHcE7uoC5frY3f0bm7VnRqFQOkhhwengifNKzCZtqO6VNQzMMsPwAh13NPR3t+pzAzD4kJS122w==" saltValue="BQ4QLnirJeSz94sc9yo5gw=="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XBS1q/HM0HqYexRXpvYPuMTY8ZRzbwskkSWe0nSyiphhTVyPLxyJSTYf+stimvEMzoq0ZZ/2r137i9Q1hXcPGA==" saltValue="eGWExHZuTyfC+KBfegY3Og=="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221</v>
      </c>
    </row>
    <row r="2" spans="1:14" x14ac:dyDescent="0.25">
      <c r="A2" s="23"/>
    </row>
  </sheetData>
  <sheetProtection algorithmName="SHA-512" hashValue="Fydi677p46tF4qjjTOZwW2dh/JICjERwLeF6vccdw1gntLuPqsmBXQ2kEu3l5PzQYMkzIv41Lt7LkQK5mdl2BQ==" saltValue="iWvPwLPMn9hCZdw8rrUR3w=="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2"/>
  <sheetViews>
    <sheetView topLeftCell="A33" workbookViewId="0">
      <selection activeCell="C53" sqref="C53:O53"/>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456" t="str">
        <f>Mesures_Omia!B20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B5" s="34" t="s">
        <v>23</v>
      </c>
      <c r="C5" s="35" t="e">
        <f>_xlfn.XLOOKUP(INT(SUBSTITUTE(C14,"Connecteur ","")),Mesures_Omia!C24:C36,Mesures_Omia!G24:G36)</f>
        <v>#N/A</v>
      </c>
      <c r="D5" s="35" t="e">
        <f>_xlfn.XLOOKUP(INT(SUBSTITUTE(D14,"Connecteur ","")),Mesures_Omia!C24:C36,Mesures_Omia!G24:G36)</f>
        <v>#N/A</v>
      </c>
      <c r="E5" s="35" t="e">
        <f>_xlfn.XLOOKUP(INT(SUBSTITUTE(E14,"Connecteur ","")),Mesures_Omia!C24:C36,Mesures_Omia!G24:G36)</f>
        <v>#N/A</v>
      </c>
      <c r="F5" s="35" t="e">
        <f>_xlfn.XLOOKUP(INT(SUBSTITUTE(F14,"Connecteur ","")),Mesures_Omia!C24:C36,Mesures_Omia!G24:G36)</f>
        <v>#N/A</v>
      </c>
      <c r="G5" s="35" t="e">
        <f>_xlfn.XLOOKUP(INT(SUBSTITUTE(G14,"Connecteur ","")),Mesures_Omia!C24:C36,Mesures_Omia!G24:G36)</f>
        <v>#N/A</v>
      </c>
      <c r="H5" s="35" t="e">
        <f>_xlfn.XLOOKUP(INT(SUBSTITUTE(H14,"Connecteur ","")),Mesures_Omia!C24:C36,Mesures_Omia!G24:G36)</f>
        <v>#N/A</v>
      </c>
      <c r="I5" s="35" t="e">
        <f>_xlfn.XLOOKUP(INT(SUBSTITUTE(I14,"Connecteur ","")),Mesures_Omia!C24:C36,Mesures_Omia!G24:G36)</f>
        <v>#N/A</v>
      </c>
      <c r="J5" s="35" t="e">
        <f>_xlfn.XLOOKUP(INT(SUBSTITUTE(J14,"Connecteur ","")),Mesures_Omia!C24:C36,Mesures_Omia!G24:G36)</f>
        <v>#N/A</v>
      </c>
      <c r="K5" s="35" t="e">
        <f>_xlfn.XLOOKUP(INT(SUBSTITUTE(K14,"Connecteur ","")),Mesures_Omia!C24:C36,Mesures_Omia!G24:G36)</f>
        <v>#N/A</v>
      </c>
      <c r="L5" s="35" t="e">
        <f>_xlfn.XLOOKUP(INT(SUBSTITUTE(L14,"Connecteur ","")),Mesures_Omia!C24:C36,Mesures_Omia!G24:G36)</f>
        <v>#N/A</v>
      </c>
      <c r="M5" s="35" t="e">
        <f>_xlfn.XLOOKUP(INT(SUBSTITUTE(M14,"Connecteur ","")),Mesures_Omia!C24:C36,Mesures_Omia!G24:G36)</f>
        <v>#N/A</v>
      </c>
      <c r="N5" s="35" t="e">
        <f>_xlfn.XLOOKUP(INT(SUBSTITUTE(N14,"Connecteur ","")),Mesures_Omia!C24:C36,Mesures_Omia!G24:G36)</f>
        <v>#N/A</v>
      </c>
      <c r="O5" s="35" t="e">
        <f>_xlfn.XLOOKUP(INT(SUBSTITUTE(O14,"Connecteur ","")),Mesures_Omia!C24:C36,Mesures_Omia!G24:G36)</f>
        <v>#N/A</v>
      </c>
      <c r="P5" s="33"/>
    </row>
    <row r="6" spans="1:19" s="27" customFormat="1" x14ac:dyDescent="0.25">
      <c r="B6" s="34" t="s">
        <v>87</v>
      </c>
      <c r="C6" s="35" t="e">
        <f>_xlfn.XLOOKUP(INT(SUBSTITUTE(C14,"Connecteur ","")),Mesures_Omia!C24:C36,Mesures_Omia!D24:D36)</f>
        <v>#N/A</v>
      </c>
      <c r="D6" s="35" t="e">
        <f>_xlfn.XLOOKUP(INT(SUBSTITUTE(D14,"Connecteur ","")),Mesures_Omia!C24:C36,Mesures_Omia!D24:D36)</f>
        <v>#N/A</v>
      </c>
      <c r="E6" s="35" t="e">
        <f>_xlfn.XLOOKUP(INT(SUBSTITUTE(E14,"Connecteur ","")),Mesures_Omia!C24:C36,Mesures_Omia!D24:D36)</f>
        <v>#N/A</v>
      </c>
      <c r="F6" s="35" t="e">
        <f>_xlfn.XLOOKUP(INT(SUBSTITUTE(F14,"Connecteur ","")),Mesures_Omia!C24:C36,Mesures_Omia!D24:D36)</f>
        <v>#N/A</v>
      </c>
      <c r="G6" s="35" t="e">
        <f>_xlfn.XLOOKUP(INT(SUBSTITUTE(G14,"Connecteur ","")),Mesures_Omia!C24:C36,Mesures_Omia!D24:D36)</f>
        <v>#N/A</v>
      </c>
      <c r="H6" s="35" t="e">
        <f>_xlfn.XLOOKUP(INT(SUBSTITUTE(H14,"Connecteur ","")),Mesures_Omia!C24:C36,Mesures_Omia!D24:D36)</f>
        <v>#N/A</v>
      </c>
      <c r="I6" s="35" t="e">
        <f>_xlfn.XLOOKUP(INT(SUBSTITUTE(I14,"Connecteur ","")),Mesures_Omia!C24:C36,Mesures_Omia!D24:D36)</f>
        <v>#N/A</v>
      </c>
      <c r="J6" s="35" t="e">
        <f>_xlfn.XLOOKUP(INT(SUBSTITUTE(J14,"Connecteur ","")),Mesures_Omia!C24:C36,Mesures_Omia!D24:D36)</f>
        <v>#N/A</v>
      </c>
      <c r="K6" s="35" t="e">
        <f>_xlfn.XLOOKUP(INT(SUBSTITUTE(K14,"Connecteur ","")),Mesures_Omia!C24:C36,Mesures_Omia!D24:D36)</f>
        <v>#N/A</v>
      </c>
      <c r="L6" s="35" t="e">
        <f>_xlfn.XLOOKUP(INT(SUBSTITUTE(L14,"Connecteur ","")),Mesures_Omia!C24:C36,Mesures_Omia!D24:D36)</f>
        <v>#N/A</v>
      </c>
      <c r="M6" s="35" t="e">
        <f>_xlfn.XLOOKUP(INT(SUBSTITUTE(M14,"Connecteur ","")),Mesures_Omia!C24:C36,Mesures_Omia!D24:D36)</f>
        <v>#N/A</v>
      </c>
      <c r="N6" s="35" t="e">
        <f>_xlfn.XLOOKUP(INT(SUBSTITUTE(N14,"Connecteur ","")),Mesures_Omia!C24:C36,Mesures_Omia!D24:D36)</f>
        <v>#N/A</v>
      </c>
      <c r="O6" s="35" t="e">
        <f>_xlfn.XLOOKUP(INT(SUBSTITUTE(O14,"Connecteur ","")),Mesures_Omia!C24:C36,Mesures_Omia!D24:D36)</f>
        <v>#N/A</v>
      </c>
      <c r="P6" s="33"/>
    </row>
    <row r="7" spans="1:19" s="27" customFormat="1" x14ac:dyDescent="0.25">
      <c r="P7" s="33"/>
    </row>
    <row r="8" spans="1:19" s="27" customFormat="1" x14ac:dyDescent="0.25">
      <c r="P8" s="33"/>
    </row>
    <row r="9" spans="1:19" s="27" customFormat="1" x14ac:dyDescent="0.25">
      <c r="A9" s="375" t="s">
        <v>88</v>
      </c>
      <c r="B9" s="375"/>
      <c r="C9" s="375"/>
      <c r="D9" s="375"/>
      <c r="E9" s="375"/>
      <c r="F9" s="375"/>
      <c r="G9" s="375"/>
      <c r="H9" s="375"/>
      <c r="I9" s="375"/>
      <c r="J9" s="375"/>
      <c r="K9" s="375"/>
      <c r="L9" s="375"/>
      <c r="M9" s="375"/>
      <c r="N9" s="375"/>
      <c r="P9" s="33"/>
      <c r="R9"/>
      <c r="S9"/>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286</v>
      </c>
      <c r="B11" s="144" cm="1">
        <f t="array" ref="B11">Donnees_Brutes_Omia_1[Date/Heure]</f>
        <v>0</v>
      </c>
      <c r="C11" s="129" cm="1">
        <f t="array" ref="C11:O11">Donnees_Brutes_Omia_1[[Connecteur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Donnees_Brutes_Omia_1[[#Headers],[Connecteur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Q14" s="33"/>
    </row>
    <row r="15" spans="1:19" s="27" customFormat="1" x14ac:dyDescent="0.25">
      <c r="B15" s="36" t="s">
        <v>90</v>
      </c>
      <c r="C15" s="35" t="e">
        <f>MAX(Donnees_Brutes_Omia_1[Connecteur 1]) + C5 + C6</f>
        <v>#N/A</v>
      </c>
      <c r="D15" s="35" t="e">
        <f>MAX(Donnees_Brutes_Omia_1[Connecteur 2]) + D5 + D6</f>
        <v>#N/A</v>
      </c>
      <c r="E15" s="35" t="e">
        <f>MAX(Donnees_Brutes_Omia_1[Connecteur 3]) + E5 + E6</f>
        <v>#N/A</v>
      </c>
      <c r="F15" s="35" t="e">
        <f>MAX(Donnees_Brutes_Omia_1[Connecteur 4]) + F5 + F6</f>
        <v>#N/A</v>
      </c>
      <c r="G15" s="35" t="e">
        <f>MAX(Donnees_Brutes_Omia_1[Connecteur 5]) + G5 + G6</f>
        <v>#N/A</v>
      </c>
      <c r="H15" s="35" t="e">
        <f>MAX(Donnees_Brutes_Omia_1[Connecteur 6]) + H5 + H6</f>
        <v>#N/A</v>
      </c>
      <c r="I15" s="35" t="e">
        <f>MAX(Donnees_Brutes_Omia_1[Connecteur 7]) + I5 + I6</f>
        <v>#N/A</v>
      </c>
      <c r="J15" s="35" t="e">
        <f>MAX(Donnees_Brutes_Omia_1[Connecteur 8]) + J5 + J6</f>
        <v>#N/A</v>
      </c>
      <c r="K15" s="35" t="e">
        <f>MAX(Donnees_Brutes_Omia_1[Connecteur 9]) + K5 + K6</f>
        <v>#N/A</v>
      </c>
      <c r="L15" s="35" t="e">
        <f>MAX(Donnees_Brutes_Omia_1[Connecteur 10]) + L5 + L6</f>
        <v>#N/A</v>
      </c>
      <c r="M15" s="35" t="e">
        <f>MAX(Donnees_Brutes_Omia_1[Connecteur 11]) + M5 + M6</f>
        <v>#N/A</v>
      </c>
      <c r="N15" s="35" t="e">
        <f>MAX(Donnees_Brutes_Omia_1[Connecteur 12]) + N5 + N6</f>
        <v>#N/A</v>
      </c>
      <c r="O15" s="35" t="e">
        <f>MAX(Donnees_Brutes_Omia_1[Connecteur 13]) + O5 + O6</f>
        <v>#N/A</v>
      </c>
      <c r="Q15" s="33"/>
    </row>
    <row r="16" spans="1:19" s="27" customFormat="1" x14ac:dyDescent="0.25">
      <c r="B16" s="42" t="s">
        <v>91</v>
      </c>
      <c r="C16" s="43" t="e">
        <f ca="1">MAX(OFFSET(INDEX(Donnees_Brutes_Omia_1[Connecteur 1],1),COUNT(Donnees_Brutes_Omia_1[Connecteur 1])-30,0,30))+C5+C6</f>
        <v>#REF!</v>
      </c>
      <c r="D16" s="43" t="e">
        <f ca="1">MAX(OFFSET(INDEX(Donnees_Brutes_Omia_1[Connecteur 2],1),COUNT(Donnees_Brutes_Omia_1[Connecteur 2])-30,0,30))+D5+D6</f>
        <v>#REF!</v>
      </c>
      <c r="E16" s="43" t="e">
        <f ca="1">MAX(OFFSET(INDEX(Donnees_Brutes_Omia_1[Connecteur 3],1),COUNT(Donnees_Brutes_Omia_1[Connecteur 3])-30,0,30))+E5+E6</f>
        <v>#REF!</v>
      </c>
      <c r="F16" s="43" t="e">
        <f ca="1">MAX(OFFSET(INDEX(Donnees_Brutes_Omia_1[Connecteur 4],1),COUNT(Donnees_Brutes_Omia_1[Connecteur 4])-30,0,30))+F5+F6</f>
        <v>#REF!</v>
      </c>
      <c r="G16" s="43" t="e">
        <f ca="1">MAX(OFFSET(INDEX(Donnees_Brutes_Omia_1[Connecteur 5],1),COUNT(Donnees_Brutes_Omia_1[Connecteur 5])-30,0,30))+G5+G6</f>
        <v>#REF!</v>
      </c>
      <c r="H16" s="43" t="e">
        <f ca="1">MAX(OFFSET(INDEX(Donnees_Brutes_Omia_1[Connecteur 6],1),COUNT(Donnees_Brutes_Omia_1[Connecteur 6])-30,0,30))+H5+H6</f>
        <v>#REF!</v>
      </c>
      <c r="I16" s="43" t="e">
        <f ca="1">MAX(OFFSET(INDEX(Donnees_Brutes_Omia_1[Connecteur 7],1),COUNT(Donnees_Brutes_Omia_1[Connecteur 7])-30,0,30))+I5+I6</f>
        <v>#REF!</v>
      </c>
      <c r="J16" s="43" t="e">
        <f ca="1">MAX(OFFSET(INDEX(Donnees_Brutes_Omia_1[Connecteur 8],1),COUNT(Donnees_Brutes_Omia_1[Connecteur 8])-30,0,30))+J5+J6</f>
        <v>#REF!</v>
      </c>
      <c r="K16" s="43" t="e">
        <f ca="1">MAX(OFFSET(INDEX(Donnees_Brutes_Omia_1[Connecteur 9],1),COUNT(Donnees_Brutes_Omia_1[Connecteur 9])-30,0,30))+K5+K6</f>
        <v>#REF!</v>
      </c>
      <c r="L16" s="43" t="e">
        <f ca="1">MAX(OFFSET(INDEX(Donnees_Brutes_Omia_1[Connecteur 10],1),COUNT(Donnees_Brutes_Omia_1[Connecteur 10])-30,0,30))+L5+L6</f>
        <v>#REF!</v>
      </c>
      <c r="M16" s="43" t="e">
        <f ca="1">MAX(OFFSET(INDEX(Donnees_Brutes_Omia_1[Connecteur 11],1),COUNT(Donnees_Brutes_Omia_1[Connecteur 11])-30,0,30))+M5+M6</f>
        <v>#REF!</v>
      </c>
      <c r="N16" s="43" t="e">
        <f ca="1">MAX(OFFSET(INDEX(Donnees_Brutes_Omia_1[Connecteur 12],1),COUNT(Donnees_Brutes_Omia_1[Connecteur 12])-30,0,30))+N5+N6</f>
        <v>#REF!</v>
      </c>
      <c r="O16" s="43" t="e">
        <f ca="1">MAX(OFFSET(INDEX(Donnees_Brutes_Omia_1[Connecteur 13],1),COUNT(Donnees_Brutes_Omia_1[Connecteur 13])-30,0,30))+O5+O6</f>
        <v>#REF!</v>
      </c>
      <c r="P16" s="48">
        <f>S16+Mesures_Omia!B21</f>
        <v>0</v>
      </c>
      <c r="Q16" s="33"/>
      <c r="R16" s="36" t="s">
        <v>7</v>
      </c>
      <c r="S16" s="48">
        <f>Mesures_Omia!B20</f>
        <v>0</v>
      </c>
    </row>
    <row r="17" spans="2:19" s="27" customFormat="1" x14ac:dyDescent="0.25">
      <c r="B17" s="42" t="s">
        <v>93</v>
      </c>
      <c r="C17" s="43" t="e">
        <f ca="1">MIN(OFFSET(INDEX(Donnees_Brutes_Omia_1[Connecteur 1],1),COUNT(Donnees_Brutes_Omia_1[Connecteur 1])-30,0,30))+C5+C6</f>
        <v>#REF!</v>
      </c>
      <c r="D17" s="43" t="e">
        <f ca="1">MIN(OFFSET(INDEX(Donnees_Brutes_Omia_1[Connecteur 2],1),COUNT(Donnees_Brutes_Omia_1[Connecteur 2])-30,0,30))+D5+D6</f>
        <v>#REF!</v>
      </c>
      <c r="E17" s="43" t="e">
        <f ca="1">MIN(OFFSET(INDEX(Donnees_Brutes_Omia_1[Connecteur 3],1),COUNT(Donnees_Brutes_Omia_1[Connecteur 3])-30,0,30))+E5+E6</f>
        <v>#REF!</v>
      </c>
      <c r="F17" s="43" t="e">
        <f ca="1">MIN(OFFSET(INDEX(Donnees_Brutes_Omia_1[Connecteur 4],1),COUNT(Donnees_Brutes_Omia_1[Connecteur 4])-30,0,30))+F5+F6</f>
        <v>#REF!</v>
      </c>
      <c r="G17" s="43" t="e">
        <f ca="1">MIN(OFFSET(INDEX(Donnees_Brutes_Omia_1[Connecteur 5],1),COUNT(Donnees_Brutes_Omia_1[Connecteur 5])-30,0,30))+G5+G6</f>
        <v>#REF!</v>
      </c>
      <c r="H17" s="43" t="e">
        <f ca="1">MIN(OFFSET(INDEX(Donnees_Brutes_Omia_1[Connecteur 6],1),COUNT(Donnees_Brutes_Omia_1[Connecteur 6])-30,0,30))+H5+H6</f>
        <v>#REF!</v>
      </c>
      <c r="I17" s="43" t="e">
        <f ca="1">MIN(OFFSET(INDEX(Donnees_Brutes_Omia_1[Connecteur 7],1),COUNT(Donnees_Brutes_Omia_1[Connecteur 7])-30,0,30))+I5+I6</f>
        <v>#REF!</v>
      </c>
      <c r="J17" s="43" t="e">
        <f ca="1">MIN(OFFSET(INDEX(Donnees_Brutes_Omia_1[Connecteur 8],1),COUNT(Donnees_Brutes_Omia_1[Connecteur 8])-30,0,30))+J5+J6</f>
        <v>#REF!</v>
      </c>
      <c r="K17" s="43" t="e">
        <f ca="1">MIN(OFFSET(INDEX(Donnees_Brutes_Omia_1[Connecteur 9],1),COUNT(Donnees_Brutes_Omia_1[Connecteur 9])-30,0,30))+K5+K6</f>
        <v>#REF!</v>
      </c>
      <c r="L17" s="43" t="e">
        <f ca="1">MIN(OFFSET(INDEX(Donnees_Brutes_Omia_1[Connecteur 10],1),COUNT(Donnees_Brutes_Omia_1[Connecteur 10])-30,0,30))+L5+L6</f>
        <v>#REF!</v>
      </c>
      <c r="M17" s="43" t="e">
        <f ca="1">MIN(OFFSET(INDEX(Donnees_Brutes_Omia_1[Connecteur 11],1),COUNT(Donnees_Brutes_Omia_1[Connecteur 11])-30,0,30))+M5+M6</f>
        <v>#REF!</v>
      </c>
      <c r="N17" s="43" t="e">
        <f ca="1">MIN(OFFSET(INDEX(Donnees_Brutes_Omia_1[Connecteur 12],1),COUNT(Donnees_Brutes_Omia_1[Connecteur 12])-30,0,30))+N5+N6</f>
        <v>#REF!</v>
      </c>
      <c r="O17" s="43" t="e">
        <f ca="1">MIN(OFFSET(INDEX(Donnees_Brutes_Omia_1[Connecteur 13],1),COUNT(Donnees_Brutes_Omia_1[Connecteur 13])-30,0,30))+O5+O6</f>
        <v>#REF!</v>
      </c>
      <c r="P17" s="48">
        <f>S16-Mesures_Omia!B21</f>
        <v>0</v>
      </c>
      <c r="Q17" s="33"/>
      <c r="R17" s="36" t="s">
        <v>92</v>
      </c>
      <c r="S17" s="35" t="str">
        <f>"+" &amp; Mesures_Omia!B21 &amp; "°C"</f>
        <v>+°C</v>
      </c>
    </row>
    <row r="18" spans="2:19" s="27" customFormat="1" x14ac:dyDescent="0.25">
      <c r="B18" s="42" t="s">
        <v>95</v>
      </c>
      <c r="C18" s="43" t="e">
        <f ca="1">AVERAGE(OFFSET(INDEX(Donnees_Brutes_Omia_1[Connecteur 1],1),COUNT(Donnees_Brutes_Omia_1[Connecteur 1])-30,0,30))+C5+C6</f>
        <v>#REF!</v>
      </c>
      <c r="D18" s="43" t="e">
        <f ca="1">AVERAGE(OFFSET(INDEX(Donnees_Brutes_Omia_1[Connecteur 2],1),COUNT(Donnees_Brutes_Omia_1[Connecteur 2])-30,0,30))+D5+D6</f>
        <v>#REF!</v>
      </c>
      <c r="E18" s="43" t="e">
        <f ca="1">AVERAGE(OFFSET(INDEX(Donnees_Brutes_Omia_1[Connecteur 3],1),COUNT(Donnees_Brutes_Omia_1[Connecteur 3])-30,0,30))+E5+E6</f>
        <v>#REF!</v>
      </c>
      <c r="F18" s="43" t="e">
        <f ca="1">AVERAGE(OFFSET(INDEX(Donnees_Brutes_Omia_1[Connecteur 4],1),COUNT(Donnees_Brutes_Omia_1[Connecteur 4])-30,0,30))+F5+F6</f>
        <v>#REF!</v>
      </c>
      <c r="G18" s="43" t="e">
        <f ca="1">AVERAGE(OFFSET(INDEX(Donnees_Brutes_Omia_1[Connecteur 5],1),COUNT(Donnees_Brutes_Omia_1[Connecteur 5])-30,0,30))+G5+G6</f>
        <v>#REF!</v>
      </c>
      <c r="H18" s="43" t="e">
        <f ca="1">AVERAGE(OFFSET(INDEX(Donnees_Brutes_Omia_1[Connecteur 6],1),COUNT(Donnees_Brutes_Omia_1[Connecteur 6])-30,0,30))+H5+H6</f>
        <v>#REF!</v>
      </c>
      <c r="I18" s="43" t="e">
        <f ca="1">AVERAGE(OFFSET(INDEX(Donnees_Brutes_Omia_1[Connecteur 7],1),COUNT(Donnees_Brutes_Omia_1[Connecteur 7])-30,0,30))+I5+I6</f>
        <v>#REF!</v>
      </c>
      <c r="J18" s="43" t="e">
        <f ca="1">AVERAGE(OFFSET(INDEX(Donnees_Brutes_Omia_1[Connecteur 8],1),COUNT(Donnees_Brutes_Omia_1[Connecteur 8])-30,0,30))+J5+J6</f>
        <v>#REF!</v>
      </c>
      <c r="K18" s="43" t="e">
        <f ca="1">AVERAGE(OFFSET(INDEX(Donnees_Brutes_Omia_1[Connecteur 9],1),COUNT(Donnees_Brutes_Omia_1[Connecteur 9])-30,0,30))+K5+K6</f>
        <v>#REF!</v>
      </c>
      <c r="L18" s="43" t="e">
        <f ca="1">AVERAGE(OFFSET(INDEX(Donnees_Brutes_Omia_1[Connecteur 10],1),COUNT(Donnees_Brutes_Omia_1[Connecteur 10])-30,0,30))+L5+L6</f>
        <v>#REF!</v>
      </c>
      <c r="M18" s="43" t="e">
        <f ca="1">AVERAGE(OFFSET(INDEX(Donnees_Brutes_Omia_1[Connecteur 11],1),COUNT(Donnees_Brutes_Omia_1[Connecteur 11])-30,0,30))+M5+M6</f>
        <v>#REF!</v>
      </c>
      <c r="N18" s="43" t="e">
        <f ca="1">AVERAGE(OFFSET(INDEX(Donnees_Brutes_Omia_1[Connecteur 12],1),COUNT(Donnees_Brutes_Omia_1[Connecteur 12])-30,0,30))+N5+N6</f>
        <v>#REF!</v>
      </c>
      <c r="O18" s="43" t="e">
        <f ca="1">AVERAGE(OFFSET(INDEX(Donnees_Brutes_Omia_1[Connecteur 13],1),COUNT(Donnees_Brutes_Omia_1[Connecteur 13])-30,0,30))+O5+O6</f>
        <v>#REF!</v>
      </c>
      <c r="P18" s="33"/>
      <c r="Q18" s="33"/>
      <c r="R18" s="36" t="s">
        <v>94</v>
      </c>
      <c r="S18" s="35" t="str">
        <f>"-" &amp; Mesures_Omia!B21 &amp; "°C"</f>
        <v>-°C</v>
      </c>
    </row>
    <row r="19" spans="2: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2:19" s="27" customFormat="1" x14ac:dyDescent="0.25">
      <c r="B20" s="42" t="s">
        <v>97</v>
      </c>
      <c r="C20" s="493" t="e">
        <f ca="1">ABS(MAX(C16:O16)-MIN(C17:O17))</f>
        <v>#REF!</v>
      </c>
      <c r="D20" s="494"/>
      <c r="E20" s="494"/>
      <c r="F20" s="494"/>
      <c r="G20" s="494"/>
      <c r="H20" s="494"/>
      <c r="I20" s="494"/>
      <c r="J20" s="494"/>
      <c r="K20" s="494"/>
      <c r="L20" s="494"/>
      <c r="M20" s="494"/>
      <c r="N20" s="494"/>
      <c r="O20" s="495"/>
      <c r="P20" s="33"/>
    </row>
    <row r="21" spans="2:19" s="27" customFormat="1" x14ac:dyDescent="0.25">
      <c r="B21" s="42" t="s">
        <v>98</v>
      </c>
      <c r="C21" s="493" t="e">
        <f ca="1">AVERAGE(C18:O18)</f>
        <v>#REF!</v>
      </c>
      <c r="D21" s="494"/>
      <c r="E21" s="494"/>
      <c r="F21" s="494"/>
      <c r="G21" s="494"/>
      <c r="H21" s="494"/>
      <c r="I21" s="494"/>
      <c r="J21" s="494"/>
      <c r="K21" s="494"/>
      <c r="L21" s="494"/>
      <c r="M21" s="494"/>
      <c r="N21" s="494"/>
      <c r="O21" s="495"/>
      <c r="P21" s="33"/>
    </row>
    <row r="22" spans="2:19" s="27" customFormat="1" x14ac:dyDescent="0.25">
      <c r="B22" s="36" t="s">
        <v>99</v>
      </c>
      <c r="C22" s="46" t="e">
        <f ca="1">STDEV(OFFSET(INDEX(Donnees_Brutes_Omia_1[Connecteur 1],1),COUNT(Donnees_Brutes_Omia_1[Connecteur 1])-30,0,30))+C5+C6</f>
        <v>#REF!</v>
      </c>
      <c r="D22" s="46" t="e">
        <f ca="1">STDEV(OFFSET(INDEX(Donnees_Brutes_Omia_1[Connecteur 2],1),COUNT(Donnees_Brutes_Omia_1[Connecteur 2])-30,0,30))+D5+D6</f>
        <v>#REF!</v>
      </c>
      <c r="E22" s="46" t="e">
        <f ca="1">STDEV(OFFSET(INDEX(Donnees_Brutes_Omia_1[Connecteur 3],1),COUNT(Donnees_Brutes_Omia_1[Connecteur 3])-30,0,30))+E5+E6</f>
        <v>#REF!</v>
      </c>
      <c r="F22" s="46" t="e">
        <f ca="1">STDEV(OFFSET(INDEX(Donnees_Brutes_Omia_1[Connecteur 4],1),COUNT(Donnees_Brutes_Omia_1[Connecteur 4])-30,0,30))+F5+F6</f>
        <v>#REF!</v>
      </c>
      <c r="G22" s="46" t="e">
        <f ca="1">STDEV(OFFSET(INDEX(Donnees_Brutes_Omia_1[Connecteur 5],1),COUNT(Donnees_Brutes_Omia_1[Connecteur 5])-30,0,30))+G5+G6</f>
        <v>#REF!</v>
      </c>
      <c r="H22" s="46" t="e">
        <f ca="1">STDEV(OFFSET(INDEX(Donnees_Brutes_Omia_1[Connecteur 6],1),COUNT(Donnees_Brutes_Omia_1[Connecteur 6])-30,0,30))+H5+H6</f>
        <v>#REF!</v>
      </c>
      <c r="I22" s="46" t="e">
        <f ca="1">STDEV(OFFSET(INDEX(Donnees_Brutes_Omia_1[Connecteur 7],1),COUNT(Donnees_Brutes_Omia_1[Connecteur 7])-30,0,30))+I5+I6</f>
        <v>#REF!</v>
      </c>
      <c r="J22" s="46" t="e">
        <f ca="1">STDEV(OFFSET(INDEX(Donnees_Brutes_Omia_1[Connecteur 8],1),COUNT(Donnees_Brutes_Omia_1[Connecteur 8])-30,0,30))+J5+J6</f>
        <v>#REF!</v>
      </c>
      <c r="K22" s="46" t="e">
        <f ca="1">STDEV(OFFSET(INDEX(Donnees_Brutes_Omia_1[Connecteur 9],1),COUNT(Donnees_Brutes_Omia_1[Connecteur 9])-30,0,30))+K5+K6</f>
        <v>#REF!</v>
      </c>
      <c r="L22" s="46" t="e">
        <f ca="1">STDEV(OFFSET(INDEX(Donnees_Brutes_Omia_1[Connecteur 10],1),COUNT(Donnees_Brutes_Omia_1[Connecteur 10])-30,0,30))+L5+L6</f>
        <v>#REF!</v>
      </c>
      <c r="M22" s="46" t="e">
        <f ca="1">STDEV(OFFSET(INDEX(Donnees_Brutes_Omia_1[Connecteur 11],1),COUNT(Donnees_Brutes_Omia_1[Connecteur 11])-30,0,30))+M5+M6</f>
        <v>#REF!</v>
      </c>
      <c r="N22" s="46" t="e">
        <f ca="1">STDEV(OFFSET(INDEX(Donnees_Brutes_Omia_1[Connecteur 12],1),COUNT(Donnees_Brutes_Omia_1[Connecteur 12])-30,0,30))+N5+N6</f>
        <v>#REF!</v>
      </c>
      <c r="O22" s="46" t="e">
        <f ca="1">STDEV(OFFSET(INDEX(Donnees_Brutes_Omia_1[Connecteur 13],1),COUNT(Donnees_Brutes_Omia_1[Connecteur 13])-30,0,30))+O5+O6</f>
        <v>#REF!</v>
      </c>
      <c r="P22" s="33"/>
    </row>
    <row r="23" spans="2:19" s="27" customFormat="1" x14ac:dyDescent="0.25">
      <c r="B23"/>
      <c r="C23"/>
      <c r="D23"/>
      <c r="E23"/>
      <c r="F23"/>
      <c r="G23"/>
      <c r="H23"/>
      <c r="I23"/>
      <c r="J23"/>
      <c r="K23"/>
      <c r="L23"/>
      <c r="M23"/>
      <c r="N23"/>
      <c r="O23"/>
      <c r="P23"/>
    </row>
    <row r="52" spans="3:3" x14ac:dyDescent="0.25">
      <c r="C52" s="27"/>
    </row>
  </sheetData>
  <sheetProtection algorithmName="SHA-512" hashValue="zAcltLGGgbCgH1Bllpkg5AMhOQWqYxDrbcAR+3cVHyZvij2zwwErj0uabmGEpTtKCV470vURu4tgrQAhDWGLHQ==" saltValue="Jj93JgdSt+l/7x9/HVX7EA==" spinCount="100000" sheet="1" objects="1" scenarios="1"/>
  <dataConsolidate/>
  <mergeCells count="5">
    <mergeCell ref="C21:O21"/>
    <mergeCell ref="A1:S3"/>
    <mergeCell ref="A9:N9"/>
    <mergeCell ref="C20:O20"/>
    <mergeCell ref="A13:O13"/>
  </mergeCells>
  <conditionalFormatting sqref="C16:O16">
    <cfRule type="cellIs" dxfId="34" priority="1" operator="greaterThan">
      <formula>$P$16</formula>
    </cfRule>
  </conditionalFormatting>
  <conditionalFormatting sqref="C17:O17">
    <cfRule type="cellIs" dxfId="33" priority="2" operator="lessThan">
      <formula>$P$17</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24"/>
  <sheetViews>
    <sheetView topLeftCell="A40" workbookViewId="0">
      <selection activeCell="C64" sqref="C64"/>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8" width="15.28515625" bestFit="1" customWidth="1"/>
  </cols>
  <sheetData>
    <row r="1" spans="1:19" s="27" customFormat="1" ht="46.5" customHeight="1" x14ac:dyDescent="0.25">
      <c r="A1" s="456" t="str">
        <f>Mesures_Omia!C20 &amp; "°C"</f>
        <v>°C</v>
      </c>
      <c r="B1" s="456"/>
      <c r="C1" s="456"/>
      <c r="D1" s="456"/>
      <c r="E1" s="456"/>
      <c r="F1" s="456"/>
      <c r="G1" s="456"/>
      <c r="H1" s="456"/>
      <c r="I1" s="456"/>
      <c r="J1" s="456"/>
      <c r="K1" s="456"/>
      <c r="L1" s="456"/>
      <c r="M1" s="456"/>
      <c r="N1" s="456"/>
      <c r="O1" s="456"/>
      <c r="P1" s="456"/>
      <c r="Q1" s="456"/>
      <c r="R1" s="456"/>
      <c r="S1" s="456"/>
    </row>
    <row r="2" spans="1:19" s="27" customFormat="1" ht="15" customHeight="1" x14ac:dyDescent="0.25">
      <c r="A2" s="320"/>
      <c r="B2" s="320"/>
      <c r="C2" s="320"/>
      <c r="D2" s="320"/>
      <c r="E2" s="320"/>
      <c r="F2" s="320"/>
      <c r="G2" s="320"/>
      <c r="H2" s="320"/>
      <c r="I2" s="320"/>
      <c r="J2" s="320"/>
      <c r="K2" s="320"/>
      <c r="L2" s="320"/>
      <c r="M2" s="320"/>
      <c r="N2" s="320"/>
      <c r="O2" s="320"/>
      <c r="P2" s="320"/>
      <c r="Q2" s="320"/>
      <c r="R2" s="320"/>
      <c r="S2" s="320"/>
    </row>
    <row r="3" spans="1:19" s="27" customFormat="1" ht="15" customHeight="1" x14ac:dyDescent="0.25">
      <c r="A3" s="320"/>
      <c r="B3" s="320"/>
      <c r="C3" s="320"/>
      <c r="D3" s="320"/>
      <c r="E3" s="320"/>
      <c r="F3" s="320"/>
      <c r="G3" s="320"/>
      <c r="H3" s="320"/>
      <c r="I3" s="320"/>
      <c r="J3" s="320"/>
      <c r="K3" s="320"/>
      <c r="L3" s="320"/>
      <c r="M3" s="320"/>
      <c r="N3" s="320"/>
      <c r="O3" s="320"/>
      <c r="P3" s="320"/>
      <c r="Q3" s="320"/>
      <c r="R3" s="320"/>
      <c r="S3" s="320"/>
    </row>
    <row r="4" spans="1:19" s="27" customFormat="1" x14ac:dyDescent="0.25">
      <c r="P4" s="33"/>
    </row>
    <row r="5" spans="1:19" s="27" customFormat="1" x14ac:dyDescent="0.25">
      <c r="B5" s="34" t="s">
        <v>23</v>
      </c>
      <c r="C5" s="35" t="e">
        <f>_xlfn.XLOOKUP(INT(SUBSTITUTE(C14,"Connecteur ","")),Mesures_Omia!C24:C36,Mesures_Omia!E24:E36)</f>
        <v>#N/A</v>
      </c>
      <c r="D5" s="35" t="e">
        <f>_xlfn.XLOOKUP(INT(SUBSTITUTE(D14,"Connecteur ","")),Mesures_Omia!C24:C36,Mesures_Omia!E24:E36)</f>
        <v>#N/A</v>
      </c>
      <c r="E5" s="35" t="e">
        <f>_xlfn.XLOOKUP(INT(SUBSTITUTE(E14,"Connecteur ","")),Mesures_Omia!C24:C36,Mesures_Omia!E24:E36)</f>
        <v>#N/A</v>
      </c>
      <c r="F5" s="35" t="e">
        <f>_xlfn.XLOOKUP(INT(SUBSTITUTE(F14,"Connecteur ","")),Mesures_Omia!C24:C36,Mesures_Omia!E24:E36)</f>
        <v>#N/A</v>
      </c>
      <c r="G5" s="35" t="e">
        <f>_xlfn.XLOOKUP(INT(SUBSTITUTE(G14,"Connecteur ","")),Mesures_Omia!C24:C36,Mesures_Omia!E24:E36)</f>
        <v>#N/A</v>
      </c>
      <c r="H5" s="35" t="e">
        <f>_xlfn.XLOOKUP(INT(SUBSTITUTE(H14,"Connecteur ","")),Mesures_Omia!C24:C36,Mesures_Omia!E24:E36)</f>
        <v>#N/A</v>
      </c>
      <c r="I5" s="35" t="e">
        <f>_xlfn.XLOOKUP(INT(SUBSTITUTE(I14,"Connecteur ","")),Mesures_Omia!C24:C36,Mesures_Omia!E24:E36)</f>
        <v>#N/A</v>
      </c>
      <c r="J5" s="35" t="e">
        <f>_xlfn.XLOOKUP(INT(SUBSTITUTE(J14,"Connecteur ","")),Mesures_Omia!C24:C36,Mesures_Omia!E24:E36)</f>
        <v>#N/A</v>
      </c>
      <c r="K5" s="35" t="e">
        <f>_xlfn.XLOOKUP(INT(SUBSTITUTE(K14,"Connecteur ","")),Mesures_Omia!C24:C36,Mesures_Omia!E24:E36)</f>
        <v>#N/A</v>
      </c>
      <c r="L5" s="35" t="e">
        <f>_xlfn.XLOOKUP(INT(SUBSTITUTE(L14,"Connecteur ","")),Mesures_Omia!C24:C36,Mesures_Omia!E24:E36)</f>
        <v>#N/A</v>
      </c>
      <c r="M5" s="35" t="e">
        <f>_xlfn.XLOOKUP(INT(SUBSTITUTE(M14,"Connecteur ","")),Mesures_Omia!C24:C36,Mesures_Omia!E24:E36)</f>
        <v>#N/A</v>
      </c>
      <c r="N5" s="35" t="e">
        <f>_xlfn.XLOOKUP(INT(SUBSTITUTE(N14,"Connecteur ","")),Mesures_Omia!C24:C36,Mesures_Omia!E24:E36)</f>
        <v>#N/A</v>
      </c>
      <c r="O5" s="35" t="e">
        <f>_xlfn.XLOOKUP(INT(SUBSTITUTE(O14,"Connecteur ","")),Mesures_Omia!C24:C36,Mesures_Omia!E24:E36)</f>
        <v>#N/A</v>
      </c>
      <c r="P5" s="33"/>
    </row>
    <row r="6" spans="1:19" s="27" customFormat="1" x14ac:dyDescent="0.25">
      <c r="B6" s="34" t="s">
        <v>87</v>
      </c>
      <c r="C6" s="35" t="e">
        <f>_xlfn.XLOOKUP(INT(SUBSTITUTE(C14,"Connecteur ","")),Mesures_Omia!C24:C36,Mesures_Omia!H24:H36)</f>
        <v>#N/A</v>
      </c>
      <c r="D6" s="35" t="e">
        <f>_xlfn.XLOOKUP(INT(SUBSTITUTE(D14,"Connecteur ","")),Mesures_Omia!C24:C36,Mesures_Omia!H24:H36)</f>
        <v>#N/A</v>
      </c>
      <c r="E6" s="35" t="e">
        <f>_xlfn.XLOOKUP(INT(SUBSTITUTE(E14,"Connecteur ","")),Mesures_Omia!C24:C36,Mesures_Omia!H24:H36)</f>
        <v>#N/A</v>
      </c>
      <c r="F6" s="35" t="e">
        <f>_xlfn.XLOOKUP(INT(SUBSTITUTE(F14,"Connecteur ","")),Mesures_Omia!C24:C36,Mesures_Omia!H24:H36)</f>
        <v>#N/A</v>
      </c>
      <c r="G6" s="35" t="e">
        <f>_xlfn.XLOOKUP(INT(SUBSTITUTE(G14,"Connecteur ","")),Mesures_Omia!C24:C36,Mesures_Omia!H24:H36)</f>
        <v>#N/A</v>
      </c>
      <c r="H6" s="35" t="e">
        <f>_xlfn.XLOOKUP(INT(SUBSTITUTE(H14,"Connecteur ","")),Mesures_Omia!C24:C36,Mesures_Omia!H24:H36)</f>
        <v>#N/A</v>
      </c>
      <c r="I6" s="35" t="e">
        <f>_xlfn.XLOOKUP(INT(SUBSTITUTE(I14,"Connecteur ","")),Mesures_Omia!C24:C36,Mesures_Omia!H24:H36)</f>
        <v>#N/A</v>
      </c>
      <c r="J6" s="35" t="e">
        <f>_xlfn.XLOOKUP(INT(SUBSTITUTE(J14,"Connecteur ","")),Mesures_Omia!C24:C36,Mesures_Omia!H24:H36)</f>
        <v>#N/A</v>
      </c>
      <c r="K6" s="35" t="e">
        <f>_xlfn.XLOOKUP(INT(SUBSTITUTE(K14,"Connecteur ","")),Mesures_Omia!C24:C36,Mesures_Omia!H24:H36)</f>
        <v>#N/A</v>
      </c>
      <c r="L6" s="35" t="e">
        <f>_xlfn.XLOOKUP(INT(SUBSTITUTE(L14,"Connecteur ","")),Mesures_Omia!C24:C36,Mesures_Omia!H24:H36)</f>
        <v>#N/A</v>
      </c>
      <c r="M6" s="35" t="e">
        <f>_xlfn.XLOOKUP(INT(SUBSTITUTE(M14,"Connecteur ","")),Mesures_Omia!C24:C36,Mesures_Omia!H24:H36)</f>
        <v>#N/A</v>
      </c>
      <c r="N6" s="35" t="e">
        <f>_xlfn.XLOOKUP(INT(SUBSTITUTE(N14,"Connecteur ","")),Mesures_Omia!C24:C36,Mesures_Omia!H24:H36)</f>
        <v>#N/A</v>
      </c>
      <c r="O6" s="35" t="e">
        <f>_xlfn.XLOOKUP(INT(SUBSTITUTE(O14,"Connecteur ","")),Mesures_Omia!C24:C36,Mesures_Omia!H24:H36)</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O9" s="352"/>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286</v>
      </c>
      <c r="B11" s="144" cm="1">
        <f t="array" ref="B11">Donnees_Brutes_Omia_2[Date/Heure]</f>
        <v>0</v>
      </c>
      <c r="C11" s="129" cm="1">
        <f t="array" ref="C11:O11">Donnees_Brutes_Omia_2[[Connecteur 1]:[Connecteur 13]]</f>
        <v>0</v>
      </c>
      <c r="D11" s="129">
        <v>0</v>
      </c>
      <c r="E11" s="129">
        <v>0</v>
      </c>
      <c r="F11" s="129">
        <v>0</v>
      </c>
      <c r="G11" s="129">
        <v>0</v>
      </c>
      <c r="H11" s="129">
        <v>0</v>
      </c>
      <c r="I11" s="129">
        <v>0</v>
      </c>
      <c r="J11" s="129">
        <v>0</v>
      </c>
      <c r="K11" s="129">
        <v>0</v>
      </c>
      <c r="L11" s="129">
        <v>0</v>
      </c>
      <c r="M11" s="129">
        <v>0</v>
      </c>
      <c r="N11" s="129">
        <v>0</v>
      </c>
      <c r="O11" s="129">
        <v>0</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x14ac:dyDescent="0.25">
      <c r="A14" s="27"/>
      <c r="B14" s="27"/>
      <c r="C14" s="41" t="str" cm="1">
        <f t="array" ref="C14:O14">Donnees_Brutes_Omia_2[[#Headers],[Connecteur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c r="Q14" s="27"/>
      <c r="R14" s="27"/>
    </row>
    <row r="15" spans="1:19" x14ac:dyDescent="0.25">
      <c r="A15" s="27"/>
      <c r="B15" s="42" t="s">
        <v>90</v>
      </c>
      <c r="C15" s="35" t="e">
        <f>MAX(Donnees_Brutes_Omia_2[Connecteur 1]) + C5 + C6</f>
        <v>#N/A</v>
      </c>
      <c r="D15" s="35" t="e">
        <f>MAX(Donnees_Brutes_Omia_2[Connecteur 2]) + D5 + D6</f>
        <v>#N/A</v>
      </c>
      <c r="E15" s="35" t="e">
        <f>MAX(Donnees_Brutes_Omia_2[Connecteur 3]) + E5 + E6</f>
        <v>#N/A</v>
      </c>
      <c r="F15" s="35" t="e">
        <f>MAX(Donnees_Brutes_Omia_2[Connecteur 4]) + F5 + F6</f>
        <v>#N/A</v>
      </c>
      <c r="G15" s="35" t="e">
        <f>MAX(Donnees_Brutes_Omia_2[Connecteur 5]) + G5 + G6</f>
        <v>#N/A</v>
      </c>
      <c r="H15" s="35" t="e">
        <f>MAX(Donnees_Brutes_Omia_2[Connecteur 6]) + H5 + H6</f>
        <v>#N/A</v>
      </c>
      <c r="I15" s="35" t="e">
        <f>MAX(Donnees_Brutes_Omia_2[Connecteur 7]) + I5 + I6</f>
        <v>#N/A</v>
      </c>
      <c r="J15" s="35" t="e">
        <f>MAX(Donnees_Brutes_Omia_2[Connecteur 8]) + J5 + J6</f>
        <v>#N/A</v>
      </c>
      <c r="K15" s="35" t="e">
        <f>MAX(Donnees_Brutes_Omia_2[Connecteur 9]) + K5 + K6</f>
        <v>#N/A</v>
      </c>
      <c r="L15" s="35" t="e">
        <f>MAX(Donnees_Brutes_Omia_2[Connecteur 10]) + L5 + L6</f>
        <v>#N/A</v>
      </c>
      <c r="M15" s="35" t="e">
        <f>MAX(Donnees_Brutes_Omia_2[Connecteur 11]) + M5 + M6</f>
        <v>#N/A</v>
      </c>
      <c r="N15" s="35" t="e">
        <f>MAX(Donnees_Brutes_Omia_2[Connecteur 12]) + N5 + N6</f>
        <v>#N/A</v>
      </c>
      <c r="O15" s="35" t="e">
        <f>MAX(Donnees_Brutes_Omia_2[Connecteur 13]) + O5 + O6</f>
        <v>#N/A</v>
      </c>
      <c r="P15" s="33"/>
      <c r="Q15" s="27"/>
      <c r="R15" s="27"/>
    </row>
    <row r="16" spans="1:19" x14ac:dyDescent="0.25">
      <c r="A16" s="27"/>
      <c r="B16" s="42" t="s">
        <v>91</v>
      </c>
      <c r="C16" s="43" t="e">
        <f ca="1">MAX(OFFSET(INDEX(Donnees_Brutes_Omia_2[Connecteur 1],1),COUNT(Donnees_Brutes_Omia_2[Connecteur 1])-30,0,30))+C5+C6</f>
        <v>#REF!</v>
      </c>
      <c r="D16" s="43" t="e">
        <f ca="1">MAX(OFFSET(INDEX(Donnees_Brutes_Omia_2[Connecteur 2],1),COUNT(Donnees_Brutes_Omia_2[Connecteur 2])-30,0,30))+D5+D6</f>
        <v>#REF!</v>
      </c>
      <c r="E16" s="43" t="e">
        <f ca="1">MAX(OFFSET(INDEX(Donnees_Brutes_Omia_2[Connecteur 3],1),COUNT(Donnees_Brutes_Omia_2[Connecteur 3])-30,0,30))+E5+E6</f>
        <v>#REF!</v>
      </c>
      <c r="F16" s="43" t="e">
        <f ca="1">MAX(OFFSET(INDEX(Donnees_Brutes_Omia_2[Connecteur 4],1),COUNT(Donnees_Brutes_Omia_2[Connecteur 4])-30,0,30))+F5+F6</f>
        <v>#REF!</v>
      </c>
      <c r="G16" s="43" t="e">
        <f ca="1">MAX(OFFSET(INDEX(Donnees_Brutes_Omia_2[Connecteur 5],1),COUNT(Donnees_Brutes_Omia_2[Connecteur 5])-30,0,30))+G5+G6</f>
        <v>#REF!</v>
      </c>
      <c r="H16" s="43" t="e">
        <f ca="1">MAX(OFFSET(INDEX(Donnees_Brutes_Omia_2[Connecteur 6],1),COUNT(Donnees_Brutes_Omia_2[Connecteur 6])-30,0,30))+H5+H6</f>
        <v>#REF!</v>
      </c>
      <c r="I16" s="43" t="e">
        <f ca="1">MAX(OFFSET(INDEX(Donnees_Brutes_Omia_2[Connecteur 7],1),COUNT(Donnees_Brutes_Omia_2[Connecteur 7])-30,0,30))+I5+I6</f>
        <v>#REF!</v>
      </c>
      <c r="J16" s="43" t="e">
        <f ca="1">MAX(OFFSET(INDEX(Donnees_Brutes_Omia_2[Connecteur 8],1),COUNT(Donnees_Brutes_Omia_2[Connecteur 8])-30,0,30))+J5+J6</f>
        <v>#REF!</v>
      </c>
      <c r="K16" s="43" t="e">
        <f ca="1">MAX(OFFSET(INDEX(Donnees_Brutes_Omia_2[Connecteur 9],1),COUNT(Donnees_Brutes_Omia_2[Connecteur 9])-30,0,30))+K5+K6</f>
        <v>#REF!</v>
      </c>
      <c r="L16" s="43" t="e">
        <f ca="1">MAX(OFFSET(INDEX(Donnees_Brutes_Omia_2[Connecteur 10],1),COUNT(Donnees_Brutes_Omia_2[Connecteur 10])-30,0,30))+L5+L6</f>
        <v>#REF!</v>
      </c>
      <c r="M16" s="43" t="e">
        <f ca="1">MAX(OFFSET(INDEX(Donnees_Brutes_Omia_2[Connecteur 11],1),COUNT(Donnees_Brutes_Omia_2[Connecteur 11])-30,0,30))+M5+M6</f>
        <v>#REF!</v>
      </c>
      <c r="N16" s="43" t="e">
        <f ca="1">MAX(OFFSET(INDEX(Donnees_Brutes_Omia_2[Connecteur 12],1),COUNT(Donnees_Brutes_Omia_2[Connecteur 12])-30,0,30))+N5+N6</f>
        <v>#REF!</v>
      </c>
      <c r="O16" s="43" t="e">
        <f ca="1">MAX(OFFSET(INDEX(Donnees_Brutes_Omia_2[Connecteur 13],1),COUNT(Donnees_Brutes_Omia_2[Connecteur 13])-30,0,30))+O5+O6</f>
        <v>#REF!</v>
      </c>
      <c r="P16" s="48">
        <f>S16+Mesures_Omia!B21</f>
        <v>0</v>
      </c>
      <c r="Q16" s="33"/>
      <c r="R16" s="36" t="s">
        <v>7</v>
      </c>
      <c r="S16" s="48">
        <f>Mesures_Omia!C20</f>
        <v>0</v>
      </c>
    </row>
    <row r="17" spans="1:19" s="27" customFormat="1" x14ac:dyDescent="0.25">
      <c r="B17" s="42" t="s">
        <v>93</v>
      </c>
      <c r="C17" s="43" t="e">
        <f ca="1">MIN(OFFSET(INDEX(Donnees_Brutes_Omia_2[Connecteur 1],1),COUNT(Donnees_Brutes_Omia_2[Connecteur 1])-30,0,30))+C5+C6</f>
        <v>#REF!</v>
      </c>
      <c r="D17" s="43" t="e">
        <f ca="1">MIN(OFFSET(INDEX(Donnees_Brutes_Omia_2[Connecteur 2],1),COUNT(Donnees_Brutes_Omia_2[Connecteur 2])-30,0,30))+D5+D6</f>
        <v>#REF!</v>
      </c>
      <c r="E17" s="43" t="e">
        <f ca="1">MIN(OFFSET(INDEX(Donnees_Brutes_Omia_2[Connecteur 3],1),COUNT(Donnees_Brutes_Omia_2[Connecteur 3])-30,0,30))+E5+E6</f>
        <v>#REF!</v>
      </c>
      <c r="F17" s="43" t="e">
        <f ca="1">MIN(OFFSET(INDEX(Donnees_Brutes_Omia_2[Connecteur 4],1),COUNT(Donnees_Brutes_Omia_2[Connecteur 4])-30,0,30))+F5+F6</f>
        <v>#REF!</v>
      </c>
      <c r="G17" s="43" t="e">
        <f ca="1">MIN(OFFSET(INDEX(Donnees_Brutes_Omia_2[Connecteur 5],1),COUNT(Donnees_Brutes_Omia_2[Connecteur 5])-30,0,30))+G5+G6</f>
        <v>#REF!</v>
      </c>
      <c r="H17" s="43" t="e">
        <f ca="1">MIN(OFFSET(INDEX(Donnees_Brutes_Omia_2[Connecteur 6],1),COUNT(Donnees_Brutes_Omia_2[Connecteur 6])-30,0,30))+H5+H6</f>
        <v>#REF!</v>
      </c>
      <c r="I17" s="43" t="e">
        <f ca="1">MIN(OFFSET(INDEX(Donnees_Brutes_Omia_2[Connecteur 7],1),COUNT(Donnees_Brutes_Omia_2[Connecteur 7])-30,0,30))+I5+I6</f>
        <v>#REF!</v>
      </c>
      <c r="J17" s="43" t="e">
        <f ca="1">MIN(OFFSET(INDEX(Donnees_Brutes_Omia_2[Connecteur 8],1),COUNT(Donnees_Brutes_Omia_2[Connecteur 8])-30,0,30))+J5+J6</f>
        <v>#REF!</v>
      </c>
      <c r="K17" s="43" t="e">
        <f ca="1">MIN(OFFSET(INDEX(Donnees_Brutes_Omia_2[Connecteur 9],1),COUNT(Donnees_Brutes_Omia_2[Connecteur 9])-30,0,30))+K5+K6</f>
        <v>#REF!</v>
      </c>
      <c r="L17" s="43" t="e">
        <f ca="1">MIN(OFFSET(INDEX(Donnees_Brutes_Omia_2[Connecteur 10],1),COUNT(Donnees_Brutes_Omia_2[Connecteur 10])-30,0,30))+L5+L6</f>
        <v>#REF!</v>
      </c>
      <c r="M17" s="43" t="e">
        <f ca="1">MIN(OFFSET(INDEX(Donnees_Brutes_Omia_2[Connecteur 11],1),COUNT(Donnees_Brutes_Omia_2[Connecteur 11])-30,0,30))+M5+M6</f>
        <v>#REF!</v>
      </c>
      <c r="N17" s="43" t="e">
        <f ca="1">MIN(OFFSET(INDEX(Donnees_Brutes_Omia_2[Connecteur 12],1),COUNT(Donnees_Brutes_Omia_2[Connecteur 12])-30,0,30))+N5+N6</f>
        <v>#REF!</v>
      </c>
      <c r="O17" s="43" t="e">
        <f ca="1">MIN(OFFSET(INDEX(Donnees_Brutes_Omia_2[Connecteur 13],1),COUNT(Donnees_Brutes_Omia_2[Connecteur 13])-30,0,30))+O5+O6</f>
        <v>#REF!</v>
      </c>
      <c r="P17" s="48">
        <f>S16-Mesures_Omia!B21</f>
        <v>0</v>
      </c>
      <c r="Q17" s="33"/>
      <c r="R17" s="36" t="s">
        <v>92</v>
      </c>
      <c r="S17" s="35" t="str">
        <f>"+" &amp; Mesures_Omia!B21 &amp; "°C"</f>
        <v>+°C</v>
      </c>
    </row>
    <row r="18" spans="1:19" s="27" customFormat="1" x14ac:dyDescent="0.25">
      <c r="B18" s="42" t="s">
        <v>95</v>
      </c>
      <c r="C18" s="43" t="e">
        <f ca="1">AVERAGE(OFFSET(INDEX(Donnees_Brutes_Omia_2[Connecteur 1],1),COUNT(Donnees_Brutes_Omia_2[Connecteur 1])-30,0,30))+C5+C6</f>
        <v>#REF!</v>
      </c>
      <c r="D18" s="43" t="e">
        <f ca="1">AVERAGE(OFFSET(INDEX(Donnees_Brutes_Omia_2[Connecteur 2],1),COUNT(Donnees_Brutes_Omia_2[Connecteur 2])-30,0,30))+D5+D6</f>
        <v>#REF!</v>
      </c>
      <c r="E18" s="43" t="e">
        <f ca="1">AVERAGE(OFFSET(INDEX(Donnees_Brutes_Omia_2[Connecteur 3],1),COUNT(Donnees_Brutes_Omia_2[Connecteur 3])-30,0,30))+E5+E6</f>
        <v>#REF!</v>
      </c>
      <c r="F18" s="43" t="e">
        <f ca="1">AVERAGE(OFFSET(INDEX(Donnees_Brutes_Omia_2[Connecteur 4],1),COUNT(Donnees_Brutes_Omia_2[Connecteur 4])-30,0,30))+F5+F6</f>
        <v>#REF!</v>
      </c>
      <c r="G18" s="43" t="e">
        <f ca="1">AVERAGE(OFFSET(INDEX(Donnees_Brutes_Omia_2[Connecteur 5],1),COUNT(Donnees_Brutes_Omia_2[Connecteur 5])-30,0,30))+G5+G6</f>
        <v>#REF!</v>
      </c>
      <c r="H18" s="43" t="e">
        <f ca="1">AVERAGE(OFFSET(INDEX(Donnees_Brutes_Omia_2[Connecteur 6],1),COUNT(Donnees_Brutes_Omia_2[Connecteur 6])-30,0,30))+H5+H6</f>
        <v>#REF!</v>
      </c>
      <c r="I18" s="43" t="e">
        <f ca="1">AVERAGE(OFFSET(INDEX(Donnees_Brutes_Omia_2[Connecteur 7],1),COUNT(Donnees_Brutes_Omia_2[Connecteur 7])-30,0,30))+I5+I6</f>
        <v>#REF!</v>
      </c>
      <c r="J18" s="43" t="e">
        <f ca="1">AVERAGE(OFFSET(INDEX(Donnees_Brutes_Omia_2[Connecteur 8],1),COUNT(Donnees_Brutes_Omia_2[Connecteur 8])-30,0,30))+J5+J6</f>
        <v>#REF!</v>
      </c>
      <c r="K18" s="43" t="e">
        <f ca="1">AVERAGE(OFFSET(INDEX(Donnees_Brutes_Omia_2[Connecteur 9],1),COUNT(Donnees_Brutes_Omia_2[Connecteur 9])-30,0,30))+K5+K6</f>
        <v>#REF!</v>
      </c>
      <c r="L18" s="43" t="e">
        <f ca="1">AVERAGE(OFFSET(INDEX(Donnees_Brutes_Omia_2[Connecteur 10],1),COUNT(Donnees_Brutes_Omia_2[Connecteur 10])-30,0,30))+L5+L6</f>
        <v>#REF!</v>
      </c>
      <c r="M18" s="43" t="e">
        <f ca="1">AVERAGE(OFFSET(INDEX(Donnees_Brutes_Omia_2[Connecteur 11],1),COUNT(Donnees_Brutes_Omia_2[Connecteur 11])-30,0,30))+M5+M6</f>
        <v>#REF!</v>
      </c>
      <c r="N18" s="43" t="e">
        <f ca="1">AVERAGE(OFFSET(INDEX(Donnees_Brutes_Omia_2[Connecteur 12],1),COUNT(Donnees_Brutes_Omia_2[Connecteur 12])-30,0,30))+N5+N6</f>
        <v>#REF!</v>
      </c>
      <c r="O18" s="43" t="e">
        <f ca="1">AVERAGE(OFFSET(INDEX(Donnees_Brutes_Omia_2[Connecteur 13],1),COUNT(Donnees_Brutes_Omia_2[Connecteur 13])-30,0,30))+O5+O6</f>
        <v>#REF!</v>
      </c>
      <c r="P18" s="44"/>
      <c r="Q18" s="33"/>
      <c r="R18" s="36" t="s">
        <v>94</v>
      </c>
      <c r="S18" s="35" t="str">
        <f>"-" &amp; Mesures_Omia!B21 &amp; "°C"</f>
        <v>-°C</v>
      </c>
    </row>
    <row r="19" spans="1:19" s="27" customFormat="1" x14ac:dyDescent="0.25">
      <c r="B19" s="42" t="s">
        <v>96</v>
      </c>
      <c r="C19" s="45" t="e">
        <f ca="1">C16-C17</f>
        <v>#REF!</v>
      </c>
      <c r="D19" s="45" t="e">
        <f t="shared" ref="D19:O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5"/>
      <c r="P20" s="33"/>
    </row>
    <row r="21" spans="1:19" s="27" customFormat="1" x14ac:dyDescent="0.25">
      <c r="B21" s="42" t="s">
        <v>98</v>
      </c>
      <c r="C21" s="493" t="e">
        <f ca="1">AVERAGE(C18:N18)</f>
        <v>#REF!</v>
      </c>
      <c r="D21" s="494"/>
      <c r="E21" s="494"/>
      <c r="F21" s="494"/>
      <c r="G21" s="494"/>
      <c r="H21" s="494"/>
      <c r="I21" s="494"/>
      <c r="J21" s="494"/>
      <c r="K21" s="494"/>
      <c r="L21" s="494"/>
      <c r="M21" s="494"/>
      <c r="N21" s="494"/>
      <c r="O21" s="495"/>
      <c r="P21" s="33"/>
    </row>
    <row r="22" spans="1:19" s="27" customFormat="1" x14ac:dyDescent="0.25">
      <c r="B22" s="36" t="s">
        <v>99</v>
      </c>
      <c r="C22" s="46" t="e">
        <f ca="1">STDEV(OFFSET(INDEX(Donnees_Brutes_Omia_2[Connecteur 1],1),COUNT(Donnees_Brutes_Omia_2[Connecteur 1])-30,0,30))+C5+C6</f>
        <v>#REF!</v>
      </c>
      <c r="D22" s="46" t="e">
        <f ca="1">STDEV(OFFSET(INDEX(Donnees_Brutes_Omia_2[Connecteur 2],1),COUNT(Donnees_Brutes_Omia_2[Connecteur 2])-30,0,30))+D5+D6</f>
        <v>#REF!</v>
      </c>
      <c r="E22" s="46" t="e">
        <f ca="1">STDEV(OFFSET(INDEX(Donnees_Brutes_Omia_2[Connecteur 3],1),COUNT(Donnees_Brutes_Omia_2[Connecteur 3])-30,0,30))+E5+E6</f>
        <v>#REF!</v>
      </c>
      <c r="F22" s="46" t="e">
        <f ca="1">STDEV(OFFSET(INDEX(Donnees_Brutes_Omia_2[Connecteur 4],1),COUNT(Donnees_Brutes_Omia_2[Connecteur 4])-30,0,30))+F5+F6</f>
        <v>#REF!</v>
      </c>
      <c r="G22" s="46" t="e">
        <f ca="1">STDEV(OFFSET(INDEX(Donnees_Brutes_Omia_2[Connecteur 5],1),COUNT(Donnees_Brutes_Omia_2[Connecteur 5])-30,0,30))+G5+G6</f>
        <v>#REF!</v>
      </c>
      <c r="H22" s="46" t="e">
        <f ca="1">STDEV(OFFSET(INDEX(Donnees_Brutes_Omia_2[Connecteur 6],1),COUNT(Donnees_Brutes_Omia_2[Connecteur 6])-30,0,30))+H5+H6</f>
        <v>#REF!</v>
      </c>
      <c r="I22" s="46" t="e">
        <f ca="1">STDEV(OFFSET(INDEX(Donnees_Brutes_Omia_2[Connecteur 7],1),COUNT(Donnees_Brutes_Omia_2[Connecteur 7])-30,0,30))+I5+I6</f>
        <v>#REF!</v>
      </c>
      <c r="J22" s="46" t="e">
        <f ca="1">STDEV(OFFSET(INDEX(Donnees_Brutes_Omia_2[Connecteur 8],1),COUNT(Donnees_Brutes_Omia_2[Connecteur 8])-30,0,30))+J5+J6</f>
        <v>#REF!</v>
      </c>
      <c r="K22" s="46" t="e">
        <f ca="1">STDEV(OFFSET(INDEX(Donnees_Brutes_Omia_2[Connecteur 9],1),COUNT(Donnees_Brutes_Omia_2[Connecteur 9])-30,0,30))+K5+K6</f>
        <v>#REF!</v>
      </c>
      <c r="L22" s="46" t="e">
        <f ca="1">STDEV(OFFSET(INDEX(Donnees_Brutes_Omia_2[Connecteur 10],1),COUNT(Donnees_Brutes_Omia_2[Connecteur 10])-30,0,30))+L5+L6</f>
        <v>#REF!</v>
      </c>
      <c r="M22" s="46" t="e">
        <f ca="1">STDEV(OFFSET(INDEX(Donnees_Brutes_Omia_2[Connecteur 11],1),COUNT(Donnees_Brutes_Omia_2[Connecteur 11])-30,0,30))+M5+M6</f>
        <v>#REF!</v>
      </c>
      <c r="N22" s="46" t="e">
        <f ca="1">STDEV(OFFSET(INDEX(Donnees_Brutes_Omia_2[Connecteur 12],1),COUNT(Donnees_Brutes_Omia_2[Connecteur 12])-30,0,30))+N5+N6</f>
        <v>#REF!</v>
      </c>
      <c r="O22" s="46" t="e">
        <f ca="1">STDEV(OFFSET(INDEX(Donnees_Brutes_Omia_2[Connecteur 13],1),COUNT(Donnees_Brutes_Omia_2[Connecteur 13])-30,0,30))+O5+O6</f>
        <v>#REF!</v>
      </c>
      <c r="P22" s="33"/>
    </row>
    <row r="23" spans="1:19" s="27" customFormat="1" x14ac:dyDescent="0.25">
      <c r="A23"/>
      <c r="B23"/>
      <c r="C23"/>
      <c r="D23"/>
      <c r="E23"/>
      <c r="F23"/>
      <c r="G23"/>
      <c r="H23"/>
      <c r="I23"/>
      <c r="J23"/>
      <c r="K23"/>
      <c r="L23"/>
      <c r="M23"/>
      <c r="N23"/>
      <c r="O23"/>
      <c r="P23"/>
      <c r="Q23"/>
      <c r="R23"/>
    </row>
    <row r="24" spans="1:19" s="27" customFormat="1" x14ac:dyDescent="0.25"/>
  </sheetData>
  <sheetProtection algorithmName="SHA-512" hashValue="pbMzX7KQzyDIzO+iKiZinnJzSM2WM7CgAHAu5RlhEkZMIRD+WTSZdx0Di0XtrwTdL/RTn3X5YlqVaRtpxHhDpA==" saltValue="/++LHYId/8QZtm5zVfVzrQ==" spinCount="100000" sheet="1" objects="1" scenarios="1"/>
  <dataConsolidate/>
  <mergeCells count="5">
    <mergeCell ref="C20:O20"/>
    <mergeCell ref="C21:O21"/>
    <mergeCell ref="A1:S1"/>
    <mergeCell ref="A9:O9"/>
    <mergeCell ref="A13:O13"/>
  </mergeCells>
  <conditionalFormatting sqref="C16:O16">
    <cfRule type="cellIs" dxfId="32" priority="2" operator="greaterThan">
      <formula>$P$16</formula>
    </cfRule>
    <cfRule type="cellIs" dxfId="31" priority="3" operator="greaterThan">
      <formula>$P$16</formula>
    </cfRule>
  </conditionalFormatting>
  <conditionalFormatting sqref="C17:O17">
    <cfRule type="cellIs" dxfId="30" priority="1" operator="lessThan">
      <formula>$P$17</formula>
    </cfRule>
    <cfRule type="cellIs" dxfId="29" priority="4" operator="lessThan">
      <formula>$P$17</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23"/>
  <sheetViews>
    <sheetView topLeftCell="A13" workbookViewId="0">
      <selection activeCell="H60" sqref="H60"/>
    </sheetView>
  </sheetViews>
  <sheetFormatPr baseColWidth="10" defaultRowHeight="15" x14ac:dyDescent="0.25"/>
  <cols>
    <col min="1" max="1" width="11.140625" customWidth="1"/>
    <col min="2" max="3" width="16.42578125" bestFit="1" customWidth="1"/>
    <col min="4" max="11" width="12.7109375" bestFit="1" customWidth="1"/>
    <col min="12" max="15" width="13.7109375" bestFit="1" customWidth="1"/>
    <col min="18" max="18" width="15.28515625" bestFit="1" customWidth="1"/>
  </cols>
  <sheetData>
    <row r="1" spans="1:19" s="27" customFormat="1" x14ac:dyDescent="0.25">
      <c r="A1" s="456" t="str">
        <f>Mesures_Omia!D20 &amp; "°C"</f>
        <v>°C</v>
      </c>
      <c r="B1" s="456"/>
      <c r="C1" s="456"/>
      <c r="D1" s="456"/>
      <c r="E1" s="456"/>
      <c r="F1" s="456"/>
      <c r="G1" s="456"/>
      <c r="H1" s="456"/>
      <c r="I1" s="456"/>
      <c r="J1" s="456"/>
      <c r="K1" s="456"/>
      <c r="L1" s="456"/>
      <c r="M1" s="456"/>
      <c r="N1" s="456"/>
      <c r="O1" s="456"/>
      <c r="P1" s="456"/>
      <c r="Q1" s="456"/>
      <c r="R1" s="456"/>
      <c r="S1" s="456"/>
    </row>
    <row r="2" spans="1:19" s="27" customFormat="1" x14ac:dyDescent="0.25">
      <c r="A2" s="456"/>
      <c r="B2" s="456"/>
      <c r="C2" s="456"/>
      <c r="D2" s="456"/>
      <c r="E2" s="456"/>
      <c r="F2" s="456"/>
      <c r="G2" s="456"/>
      <c r="H2" s="456"/>
      <c r="I2" s="456"/>
      <c r="J2" s="456"/>
      <c r="K2" s="456"/>
      <c r="L2" s="456"/>
      <c r="M2" s="456"/>
      <c r="N2" s="456"/>
      <c r="O2" s="456"/>
      <c r="P2" s="456"/>
      <c r="Q2" s="456"/>
      <c r="R2" s="456"/>
      <c r="S2" s="456"/>
    </row>
    <row r="3" spans="1:19" s="27" customFormat="1" x14ac:dyDescent="0.25">
      <c r="A3" s="456"/>
      <c r="B3" s="456"/>
      <c r="C3" s="456"/>
      <c r="D3" s="456"/>
      <c r="E3" s="456"/>
      <c r="F3" s="456"/>
      <c r="G3" s="456"/>
      <c r="H3" s="456"/>
      <c r="I3" s="456"/>
      <c r="J3" s="456"/>
      <c r="K3" s="456"/>
      <c r="L3" s="456"/>
      <c r="M3" s="456"/>
      <c r="N3" s="456"/>
      <c r="O3" s="456"/>
      <c r="P3" s="456"/>
      <c r="Q3" s="456"/>
      <c r="R3" s="456"/>
      <c r="S3" s="456"/>
    </row>
    <row r="4" spans="1:19" s="27" customFormat="1" x14ac:dyDescent="0.25">
      <c r="P4" s="33"/>
    </row>
    <row r="5" spans="1:19" s="27" customFormat="1" x14ac:dyDescent="0.25">
      <c r="A5" s="145"/>
      <c r="B5" s="34" t="s">
        <v>23</v>
      </c>
      <c r="C5" s="35" t="e">
        <f>_xlfn.XLOOKUP(INT(SUBSTITUTE(C14,"Connecteur ","")),Mesures_Omia!C24:C36,Mesures_Omia!I24:I36)</f>
        <v>#N/A</v>
      </c>
      <c r="D5" s="35" t="e">
        <f>_xlfn.XLOOKUP(INT(SUBSTITUTE(D14,"Connecteur ","")),Mesures_Omia!C24:C36,Mesures_Omia!I24:I36)</f>
        <v>#N/A</v>
      </c>
      <c r="E5" s="35" t="e">
        <f>_xlfn.XLOOKUP(INT(SUBSTITUTE(E14,"Connecteur ","")),Mesures_Omia!C24:C36,Mesures_Omia!I24:I36)</f>
        <v>#N/A</v>
      </c>
      <c r="F5" s="35" t="e">
        <f>_xlfn.XLOOKUP(INT(SUBSTITUTE(F14,"Connecteur ","")),Mesures_Omia!C24:C36,Mesures_Omia!I24:I36)</f>
        <v>#N/A</v>
      </c>
      <c r="G5" s="35" t="e">
        <f>_xlfn.XLOOKUP(INT(SUBSTITUTE(G14,"Connecteur ","")),Mesures_Omia!C24:C36,Mesures_Omia!I24:I36)</f>
        <v>#N/A</v>
      </c>
      <c r="H5" s="35" t="e">
        <f>_xlfn.XLOOKUP(INT(SUBSTITUTE(H14,"Connecteur ","")),Mesures_Omia!C24:C36,Mesures_Omia!I24:I36)</f>
        <v>#N/A</v>
      </c>
      <c r="I5" s="35" t="e">
        <f>_xlfn.XLOOKUP(INT(SUBSTITUTE(I14,"Connecteur ","")),Mesures_Omia!C24:C36,Mesures_Omia!I24:I36)</f>
        <v>#N/A</v>
      </c>
      <c r="J5" s="35" t="e">
        <f>_xlfn.XLOOKUP(INT(SUBSTITUTE(J14,"Connecteur ","")),Mesures_Omia!C24:C36,Mesures_Omia!I24:I36)</f>
        <v>#N/A</v>
      </c>
      <c r="K5" s="35" t="e">
        <f>_xlfn.XLOOKUP(INT(SUBSTITUTE(K14,"Connecteur ","")),Mesures_Omia!C24:C36,Mesures_Omia!I24:I36)</f>
        <v>#N/A</v>
      </c>
      <c r="L5" s="35" t="e">
        <f>_xlfn.XLOOKUP(INT(SUBSTITUTE(L14,"Connecteur ","")),Mesures_Omia!C24:C36,Mesures_Omia!I24:I36)</f>
        <v>#N/A</v>
      </c>
      <c r="M5" s="35" t="e">
        <f>_xlfn.XLOOKUP(INT(SUBSTITUTE(M14,"Connecteur ","")),Mesures_Omia!C24:C36,Mesures_Omia!I24:I36)</f>
        <v>#N/A</v>
      </c>
      <c r="N5" s="35" t="e">
        <f>_xlfn.XLOOKUP(INT(SUBSTITUTE(N14,"Connecteur ","")),Mesures_Omia!C24:C36,Mesures_Omia!I24:I36)</f>
        <v>#N/A</v>
      </c>
      <c r="O5" s="35" t="e">
        <f>_xlfn.XLOOKUP(INT(SUBSTITUTE(O14,"Connecteur ","")),Mesures_Omia!C24:C36,Mesures_Omia!I24:I36)</f>
        <v>#N/A</v>
      </c>
      <c r="P5" s="33"/>
    </row>
    <row r="6" spans="1:19" s="27" customFormat="1" x14ac:dyDescent="0.25">
      <c r="A6" s="145"/>
      <c r="B6" s="34" t="s">
        <v>87</v>
      </c>
      <c r="C6" s="35" t="e">
        <f>_xlfn.XLOOKUP(INT(SUBSTITUTE(C14,"Connecteur ","")),Mesures_Omia!C24:C36,Mesures_Omia!F24:F36)</f>
        <v>#N/A</v>
      </c>
      <c r="D6" s="35" t="e">
        <f>_xlfn.XLOOKUP(INT(SUBSTITUTE(D14,"Connecteur ","")),Mesures_Omia!C24:C36,Mesures_Omia!F24:F36)</f>
        <v>#N/A</v>
      </c>
      <c r="E6" s="35" t="e">
        <f>_xlfn.XLOOKUP(INT(SUBSTITUTE(E14,"Connecteur ","")),Mesures_Omia!C24:C36,Mesures_Omia!F24:F36)</f>
        <v>#N/A</v>
      </c>
      <c r="F6" s="35" t="e">
        <f>_xlfn.XLOOKUP(INT(SUBSTITUTE(F14,"Connecteur ","")),Mesures_Omia!C24:C36,Mesures_Omia!F24:F36)</f>
        <v>#N/A</v>
      </c>
      <c r="G6" s="35" t="e">
        <f>_xlfn.XLOOKUP(INT(SUBSTITUTE(G14,"Connecteur ","")),Mesures_Omia!C24:C36,Mesures_Omia!F24:F36)</f>
        <v>#N/A</v>
      </c>
      <c r="H6" s="35" t="e">
        <f>_xlfn.XLOOKUP(INT(SUBSTITUTE(H14,"Connecteur ","")),Mesures_Omia!C24:C36,Mesures_Omia!F24:F36)</f>
        <v>#N/A</v>
      </c>
      <c r="I6" s="35" t="e">
        <f>_xlfn.XLOOKUP(INT(SUBSTITUTE(I14,"Connecteur ","")),Mesures_Omia!C24:C36,Mesures_Omia!F24:F36)</f>
        <v>#N/A</v>
      </c>
      <c r="J6" s="35" t="e">
        <f>_xlfn.XLOOKUP(INT(SUBSTITUTE(J14,"Connecteur ","")),Mesures_Omia!C24:C36,Mesures_Omia!F24:F36)</f>
        <v>#N/A</v>
      </c>
      <c r="K6" s="35" t="e">
        <f>_xlfn.XLOOKUP(INT(SUBSTITUTE(K14,"Connecteur ","")),Mesures_Omia!C24:C36,Mesures_Omia!F24:F36)</f>
        <v>#N/A</v>
      </c>
      <c r="L6" s="35" t="e">
        <f>_xlfn.XLOOKUP(INT(SUBSTITUTE(L14,"Connecteur ","")),Mesures_Omia!C24:C36,Mesures_Omia!F24:F36)</f>
        <v>#N/A</v>
      </c>
      <c r="M6" s="35" t="e">
        <f>_xlfn.XLOOKUP(INT(SUBSTITUTE(M14,"Connecteur ","")),Mesures_Omia!C24:C36,Mesures_Omia!F24:F36)</f>
        <v>#N/A</v>
      </c>
      <c r="N6" s="35" t="e">
        <f>_xlfn.XLOOKUP(INT(SUBSTITUTE(N14,"Connecteur ","")),Mesures_Omia!C24:C36,Mesures_Omia!F24:F36)</f>
        <v>#N/A</v>
      </c>
      <c r="O6" s="35" t="e">
        <f>_xlfn.XLOOKUP(INT(SUBSTITUTE(O14,"Connecteur ","")),Mesures_Omia!C24:C36,Mesures_Omia!F24:F36)</f>
        <v>#N/A</v>
      </c>
      <c r="P6" s="33"/>
    </row>
    <row r="7" spans="1:19" s="27" customFormat="1" x14ac:dyDescent="0.25">
      <c r="P7" s="33"/>
    </row>
    <row r="8" spans="1:19" s="27" customFormat="1" x14ac:dyDescent="0.25">
      <c r="P8" s="33"/>
    </row>
    <row r="9" spans="1:19" s="27" customFormat="1" x14ac:dyDescent="0.25">
      <c r="A9" s="352" t="s">
        <v>88</v>
      </c>
      <c r="B9" s="352"/>
      <c r="C9" s="352"/>
      <c r="D9" s="352"/>
      <c r="E9" s="352"/>
      <c r="F9" s="352"/>
      <c r="G9" s="352"/>
      <c r="H9" s="352"/>
      <c r="I9" s="352"/>
      <c r="J9" s="352"/>
      <c r="K9" s="352"/>
      <c r="L9" s="352"/>
      <c r="M9" s="352"/>
      <c r="N9" s="352"/>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17" t="s">
        <v>286</v>
      </c>
      <c r="B11" s="144" cm="1">
        <f t="array" ref="B11">Donnees_Brutes_Omia_3[Date/Heure]</f>
        <v>0</v>
      </c>
      <c r="C11" s="129" t="e" cm="1">
        <f t="array" ref="C11:O11">Donnees_Brutes_Omia_3[[Connecteur 1]:[Connecteur 13]] + C5:O5 +C6:O6</f>
        <v>#N/A</v>
      </c>
      <c r="D11" s="129" t="e">
        <v>#N/A</v>
      </c>
      <c r="E11" s="129" t="e">
        <v>#N/A</v>
      </c>
      <c r="F11" s="129" t="e">
        <v>#N/A</v>
      </c>
      <c r="G11" s="129" t="e">
        <v>#N/A</v>
      </c>
      <c r="H11" s="129" t="e">
        <v>#N/A</v>
      </c>
      <c r="I11" s="129" t="e">
        <v>#N/A</v>
      </c>
      <c r="J11" s="129" t="e">
        <v>#N/A</v>
      </c>
      <c r="K11" s="129" t="e">
        <v>#N/A</v>
      </c>
      <c r="L11" s="129" t="e">
        <v>#N/A</v>
      </c>
      <c r="M11" s="129" t="e">
        <v>#N/A</v>
      </c>
      <c r="N11" s="129" t="e">
        <v>#N/A</v>
      </c>
      <c r="O11" s="129" t="e">
        <v>#N/A</v>
      </c>
      <c r="P11" s="33"/>
    </row>
    <row r="12" spans="1:19" s="27" customFormat="1" ht="13.5" customHeight="1" x14ac:dyDescent="0.25">
      <c r="A12" s="318" t="s">
        <v>89</v>
      </c>
      <c r="B12" s="178"/>
      <c r="C12" s="190"/>
      <c r="D12" s="190"/>
      <c r="E12" s="190"/>
      <c r="F12" s="190"/>
      <c r="G12" s="190"/>
      <c r="H12" s="190"/>
      <c r="I12" s="190"/>
      <c r="J12" s="190"/>
      <c r="K12" s="190"/>
      <c r="L12" s="190"/>
      <c r="M12" s="190"/>
      <c r="N12" s="190"/>
      <c r="O12" s="190"/>
      <c r="P12" s="33"/>
    </row>
    <row r="13" spans="1:19" s="33" customFormat="1" x14ac:dyDescent="0.25">
      <c r="A13" s="496"/>
      <c r="B13" s="496"/>
      <c r="C13" s="496"/>
      <c r="D13" s="496"/>
      <c r="E13" s="496"/>
      <c r="F13" s="496"/>
      <c r="G13" s="496"/>
      <c r="H13" s="496"/>
      <c r="I13" s="496"/>
      <c r="J13" s="496"/>
      <c r="K13" s="496"/>
      <c r="L13" s="496"/>
      <c r="M13" s="496"/>
      <c r="N13" s="496"/>
      <c r="O13" s="496"/>
    </row>
    <row r="14" spans="1:19" s="27" customFormat="1" x14ac:dyDescent="0.25">
      <c r="C14" s="41" t="str" cm="1">
        <f t="array" ref="C14:O14">Donnees_Brutes_Omia_3[[#Headers],[Connecteur 1]:[Connecteur 13]]</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O14" s="41" t="str">
        <v>Connecteur 13</v>
      </c>
      <c r="P14" s="33"/>
    </row>
    <row r="15" spans="1:19" s="27" customFormat="1" x14ac:dyDescent="0.25">
      <c r="B15" s="42" t="s">
        <v>90</v>
      </c>
      <c r="C15" s="35" t="e">
        <f>MAX(Donnees_Brutes_Omia_3[Connecteur 1]) + C5 + C6</f>
        <v>#N/A</v>
      </c>
      <c r="D15" s="35" t="e">
        <f>MAX(Donnees_Brutes_Omia_3[Connecteur 2]) + D5 + D6</f>
        <v>#N/A</v>
      </c>
      <c r="E15" s="35" t="e">
        <f>MAX(Donnees_Brutes_Omia_3[Connecteur 3]) + E5 + E6</f>
        <v>#N/A</v>
      </c>
      <c r="F15" s="35" t="e">
        <f>MAX(Donnees_Brutes_Omia_3[Connecteur 4]) + F5 + F6</f>
        <v>#N/A</v>
      </c>
      <c r="G15" s="35" t="e">
        <f>MAX(Donnees_Brutes_Omia_3[Connecteur 5]) + G5 + G6</f>
        <v>#N/A</v>
      </c>
      <c r="H15" s="35" t="e">
        <f>MAX(Donnees_Brutes_Omia_3[Connecteur 6]) + H5 + H6</f>
        <v>#N/A</v>
      </c>
      <c r="I15" s="35" t="e">
        <f>MAX(Donnees_Brutes_Omia_3[Connecteur 7]) + I5 + I6</f>
        <v>#N/A</v>
      </c>
      <c r="J15" s="35" t="e">
        <f>MAX(Donnees_Brutes_Omia_3[Connecteur 8]) + J5 + J6</f>
        <v>#N/A</v>
      </c>
      <c r="K15" s="35" t="e">
        <f>MAX(Donnees_Brutes_Omia_3[Connecteur 9]) + K5 + K6</f>
        <v>#N/A</v>
      </c>
      <c r="L15" s="35" t="e">
        <f>MAX(Donnees_Brutes_Omia_3[Connecteur 10]) + L5 + L6</f>
        <v>#N/A</v>
      </c>
      <c r="M15" s="35" t="e">
        <f>MAX(Donnees_Brutes_Omia_3[Connecteur 11]) + M5 + M6</f>
        <v>#N/A</v>
      </c>
      <c r="N15" s="35" t="e">
        <f>MAX(Donnees_Brutes_Omia_3[Connecteur 12]) + N5 + N6</f>
        <v>#N/A</v>
      </c>
      <c r="O15" s="35" t="e">
        <f>MAX(Donnees_Brutes_Omia_3[Connecteur 13]) + O5 + O6</f>
        <v>#N/A</v>
      </c>
      <c r="P15" s="35">
        <f>S16+Mesures_Omia!B21</f>
        <v>0</v>
      </c>
    </row>
    <row r="16" spans="1:19" s="27" customFormat="1" x14ac:dyDescent="0.25">
      <c r="B16" s="42" t="s">
        <v>91</v>
      </c>
      <c r="C16" s="43" t="e">
        <f ca="1">MAX(OFFSET(INDEX(Donnees_Brutes_Omia_3[Connecteur 1],1),COUNT(Donnees_Brutes_Omia_3[Connecteur 1])-30,0,30))+C5+C6</f>
        <v>#REF!</v>
      </c>
      <c r="D16" s="43" t="e">
        <f ca="1">MAX(OFFSET(INDEX(Donnees_Brutes_Omia_3[Connecteur 2],1),COUNT(Donnees_Brutes_Omia_3[Connecteur 2])-30,0,30))+D5+D6</f>
        <v>#REF!</v>
      </c>
      <c r="E16" s="43" t="e">
        <f ca="1">MAX(OFFSET(INDEX(Donnees_Brutes_Omia_3[Connecteur 3],1),COUNT(Donnees_Brutes_Omia_3[Connecteur 3])-30,0,30))+E5+E6</f>
        <v>#REF!</v>
      </c>
      <c r="F16" s="43" t="e">
        <f ca="1">MAX(OFFSET(INDEX(Donnees_Brutes_Omia_3[Connecteur 4],1),COUNT(Donnees_Brutes_Omia_3[Connecteur 4])-30,0,30))+F5+F6</f>
        <v>#REF!</v>
      </c>
      <c r="G16" s="43" t="e">
        <f ca="1">MAX(OFFSET(INDEX(Donnees_Brutes_Omia_3[Connecteur 5],1),COUNT(Donnees_Brutes_Omia_3[Connecteur 5])-30,0,30))+G5+G6</f>
        <v>#REF!</v>
      </c>
      <c r="H16" s="43" t="e">
        <f ca="1">MAX(OFFSET(INDEX(Donnees_Brutes_Omia_3[Connecteur 6],1),COUNT(Donnees_Brutes_Omia_3[Connecteur 6])-30,0,30))+H5+H6</f>
        <v>#REF!</v>
      </c>
      <c r="I16" s="43" t="e">
        <f ca="1">MAX(OFFSET(INDEX(Donnees_Brutes_Omia_3[Connecteur 7],1),COUNT(Donnees_Brutes_Omia_3[Connecteur 7])-30,0,30))+I5+I6</f>
        <v>#REF!</v>
      </c>
      <c r="J16" s="43" t="e">
        <f ca="1">MAX(OFFSET(INDEX(Donnees_Brutes_Omia_3[Connecteur 8],1),COUNT(Donnees_Brutes_Omia_3[Connecteur 8])-30,0,30))+J5+J6</f>
        <v>#REF!</v>
      </c>
      <c r="K16" s="43" t="e">
        <f ca="1">MAX(OFFSET(INDEX(Donnees_Brutes_Omia_3[Connecteur 9],1),COUNT(Donnees_Brutes_Omia_3[Connecteur 9])-30,0,30))+K5+K6</f>
        <v>#REF!</v>
      </c>
      <c r="L16" s="43" t="e">
        <f ca="1">MAX(OFFSET(INDEX(Donnees_Brutes_Omia_3[Connecteur 10],1),COUNT(Donnees_Brutes_Omia_3[Connecteur 10])-30,0,30))+L5+L6</f>
        <v>#REF!</v>
      </c>
      <c r="M16" s="43" t="e">
        <f ca="1">MAX(OFFSET(INDEX(Donnees_Brutes_Omia_3[Connecteur 11],1),COUNT(Donnees_Brutes_Omia_3[Connecteur 11])-30,0,30))+M5+M6</f>
        <v>#REF!</v>
      </c>
      <c r="N16" s="43" t="e">
        <f ca="1">MAX(OFFSET(INDEX(Donnees_Brutes_Omia_3[Connecteur 12],1),COUNT(Donnees_Brutes_Omia_3[Connecteur 12])-30,0,30))+N5+N6</f>
        <v>#REF!</v>
      </c>
      <c r="O16" s="43" t="e">
        <f ca="1">MAX(OFFSET(INDEX(Donnees_Brutes_Omia_3[Connecteur 13],1),COUNT(Donnees_Brutes_Omia_3[Connecteur 13])-30,0,30))+O5+O6</f>
        <v>#REF!</v>
      </c>
      <c r="P16" s="48">
        <f>S16+Mesures_Omia!B21</f>
        <v>0</v>
      </c>
      <c r="Q16" s="33"/>
      <c r="R16" s="36" t="s">
        <v>7</v>
      </c>
      <c r="S16" s="48">
        <f>Mesures_Omia!D20</f>
        <v>0</v>
      </c>
    </row>
    <row r="17" spans="1:19" s="27" customFormat="1" x14ac:dyDescent="0.25">
      <c r="B17" s="42" t="s">
        <v>93</v>
      </c>
      <c r="C17" s="43" t="e">
        <f ca="1">MIN(OFFSET(INDEX(Donnees_Brutes_Omia_3[Connecteur 1],1),COUNT(Donnees_Brutes_Omia_3[Connecteur 1])-30,0,30))+C5+C6</f>
        <v>#REF!</v>
      </c>
      <c r="D17" s="43" t="e">
        <f ca="1">MIN(OFFSET(INDEX(Donnees_Brutes_Omia_3[Connecteur 2],1),COUNT(Donnees_Brutes_Omia_3[Connecteur 2])-30,0,30))+D5+D6</f>
        <v>#REF!</v>
      </c>
      <c r="E17" s="43" t="e">
        <f ca="1">MIN(OFFSET(INDEX(Donnees_Brutes_Omia_3[Connecteur 3],1),COUNT(Donnees_Brutes_Omia_3[Connecteur 3])-30,0,30))+E5+E6</f>
        <v>#REF!</v>
      </c>
      <c r="F17" s="43" t="e">
        <f ca="1">MIN(OFFSET(INDEX(Donnees_Brutes_Omia_3[Connecteur 4],1),COUNT(Donnees_Brutes_Omia_3[Connecteur 4])-30,0,30))+F5+F6</f>
        <v>#REF!</v>
      </c>
      <c r="G17" s="43" t="e">
        <f ca="1">MIN(OFFSET(INDEX(Donnees_Brutes_Omia_3[Connecteur 5],1),COUNT(Donnees_Brutes_Omia_3[Connecteur 5])-30,0,30))+G5+G6</f>
        <v>#REF!</v>
      </c>
      <c r="H17" s="43" t="e">
        <f ca="1">MIN(OFFSET(INDEX(Donnees_Brutes_Omia_3[Connecteur 6],1),COUNT(Donnees_Brutes_Omia_3[Connecteur 6])-30,0,30))+H5+H6</f>
        <v>#REF!</v>
      </c>
      <c r="I17" s="43" t="e">
        <f ca="1">MIN(OFFSET(INDEX(Donnees_Brutes_Omia_3[Connecteur 7],1),COUNT(Donnees_Brutes_Omia_3[Connecteur 7])-30,0,30))+I5+I6</f>
        <v>#REF!</v>
      </c>
      <c r="J17" s="43" t="e">
        <f ca="1">MIN(OFFSET(INDEX(Donnees_Brutes_Omia_3[Connecteur 8],1),COUNT(Donnees_Brutes_Omia_3[Connecteur 8])-30,0,30))+J5+J6</f>
        <v>#REF!</v>
      </c>
      <c r="K17" s="43" t="e">
        <f ca="1">MIN(OFFSET(INDEX(Donnees_Brutes_Omia_3[Connecteur 9],1),COUNT(Donnees_Brutes_Omia_3[Connecteur 9])-30,0,30))+K5+K6</f>
        <v>#REF!</v>
      </c>
      <c r="L17" s="43" t="e">
        <f ca="1">MIN(OFFSET(INDEX(Donnees_Brutes_Omia_3[Connecteur 10],1),COUNT(Donnees_Brutes_Omia_3[Connecteur 10])-30,0,30))+L5+L6</f>
        <v>#REF!</v>
      </c>
      <c r="M17" s="43" t="e">
        <f ca="1">MIN(OFFSET(INDEX(Donnees_Brutes_Omia_3[Connecteur 11],1),COUNT(Donnees_Brutes_Omia_3[Connecteur 11])-30,0,30))+M5+M6</f>
        <v>#REF!</v>
      </c>
      <c r="N17" s="43" t="e">
        <f ca="1">MIN(OFFSET(INDEX(Donnees_Brutes_Omia_3[Connecteur 12],1),COUNT(Donnees_Brutes_Omia_3[Connecteur 12])-30,0,30))+N5+N6</f>
        <v>#REF!</v>
      </c>
      <c r="O17" s="43" t="e">
        <f ca="1">MIN(OFFSET(INDEX(Donnees_Brutes_Omia_3[Connecteur 13],1),COUNT(Donnees_Brutes_Omia_3[Connecteur 13])-30,0,30))+O5+O6</f>
        <v>#REF!</v>
      </c>
      <c r="P17" s="48">
        <f>S16-Mesures_Omia!B21</f>
        <v>0</v>
      </c>
      <c r="Q17" s="33"/>
      <c r="R17" s="36" t="s">
        <v>92</v>
      </c>
      <c r="S17" s="35" t="str">
        <f>"+" &amp; Mesures_Omia!B21 &amp; "°C"</f>
        <v>+°C</v>
      </c>
    </row>
    <row r="18" spans="1:19" s="27" customFormat="1" x14ac:dyDescent="0.25">
      <c r="B18" s="42" t="s">
        <v>95</v>
      </c>
      <c r="C18" s="43" t="e">
        <f ca="1">AVERAGE(OFFSET(INDEX(Donnees_Brutes_Omia_3[Connecteur 1],1),COUNT(Donnees_Brutes_Omia_3[Connecteur 1])-30,0,30))+C5+C6</f>
        <v>#REF!</v>
      </c>
      <c r="D18" s="43" t="e">
        <f ca="1">AVERAGE(OFFSET(INDEX(Donnees_Brutes_Omia_3[Connecteur 2],1),COUNT(Donnees_Brutes_Omia_3[Connecteur 2])-30,0,30))+D5+D6</f>
        <v>#REF!</v>
      </c>
      <c r="E18" s="43" t="e">
        <f ca="1">AVERAGE(OFFSET(INDEX(Donnees_Brutes_Omia_3[Connecteur 3],1),COUNT(Donnees_Brutes_Omia_3[Connecteur 3])-30,0,30))+E5+E6</f>
        <v>#REF!</v>
      </c>
      <c r="F18" s="43" t="e">
        <f ca="1">AVERAGE(OFFSET(INDEX(Donnees_Brutes_Omia_3[Connecteur 4],1),COUNT(Donnees_Brutes_Omia_3[Connecteur 4])-30,0,30))+F5+F6</f>
        <v>#REF!</v>
      </c>
      <c r="G18" s="43" t="e">
        <f ca="1">AVERAGE(OFFSET(INDEX(Donnees_Brutes_Omia_3[Connecteur 5],1),COUNT(Donnees_Brutes_Omia_3[Connecteur 5])-30,0,30))+G5+G6</f>
        <v>#REF!</v>
      </c>
      <c r="H18" s="43" t="e">
        <f ca="1">AVERAGE(OFFSET(INDEX(Donnees_Brutes_Omia_3[Connecteur 6],1),COUNT(Donnees_Brutes_Omia_3[Connecteur 6])-30,0,30))+H5+H6</f>
        <v>#REF!</v>
      </c>
      <c r="I18" s="43" t="e">
        <f ca="1">AVERAGE(OFFSET(INDEX(Donnees_Brutes_Omia_3[Connecteur 7],1),COUNT(Donnees_Brutes_Omia_3[Connecteur 7])-30,0,30))+I5+I6</f>
        <v>#REF!</v>
      </c>
      <c r="J18" s="43" t="e">
        <f ca="1">AVERAGE(OFFSET(INDEX(Donnees_Brutes_Omia_3[Connecteur 8],1),COUNT(Donnees_Brutes_Omia_3[Connecteur 8])-30,0,30))+J5+J6</f>
        <v>#REF!</v>
      </c>
      <c r="K18" s="43" t="e">
        <f ca="1">AVERAGE(OFFSET(INDEX(Donnees_Brutes_Omia_3[Connecteur 9],1),COUNT(Donnees_Brutes_Omia_3[Connecteur 9])-30,0,30))+K5+K6</f>
        <v>#REF!</v>
      </c>
      <c r="L18" s="43" t="e">
        <f ca="1">AVERAGE(OFFSET(INDEX(Donnees_Brutes_Omia_3[Connecteur 10],1),COUNT(Donnees_Brutes_Omia_3[Connecteur 10])-30,0,30))+L5+L6</f>
        <v>#REF!</v>
      </c>
      <c r="M18" s="43" t="e">
        <f ca="1">AVERAGE(OFFSET(INDEX(Donnees_Brutes_Omia_3[Connecteur 11],1),COUNT(Donnees_Brutes_Omia_3[Connecteur 11])-30,0,30))+M5+M6</f>
        <v>#REF!</v>
      </c>
      <c r="N18" s="43" t="e">
        <f ca="1">AVERAGE(OFFSET(INDEX(Donnees_Brutes_Omia_3[Connecteur 12],1),COUNT(Donnees_Brutes_Omia_3[Connecteur 12])-30,0,30))+N5+N6</f>
        <v>#REF!</v>
      </c>
      <c r="O18" s="43" t="e">
        <f ca="1">AVERAGE(OFFSET(INDEX(Donnees_Brutes_Omia_3[Connecteur 13],1),COUNT(Donnees_Brutes_Omia_3[Connecteur 13])-30,0,30))+O5+O6</f>
        <v>#REF!</v>
      </c>
      <c r="P18" s="33"/>
      <c r="Q18" s="33"/>
      <c r="R18" s="36" t="s">
        <v>94</v>
      </c>
      <c r="S18" s="35" t="str">
        <f>"-" &amp; Mesures_Omia!B21 &amp; "°C"</f>
        <v>-°C</v>
      </c>
    </row>
    <row r="19" spans="1:19" s="27" customFormat="1" x14ac:dyDescent="0.25">
      <c r="B19" s="42" t="s">
        <v>96</v>
      </c>
      <c r="C19" s="45" t="e">
        <f ca="1">C16-C17</f>
        <v>#REF!</v>
      </c>
      <c r="D19" s="45" t="e">
        <f ca="1">D16-D17</f>
        <v>#REF!</v>
      </c>
      <c r="E19" s="45" t="e">
        <f t="shared" ref="E19:O19" ca="1" si="0">E16-E17</f>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5" t="e">
        <f t="shared" ca="1" si="0"/>
        <v>#REF!</v>
      </c>
      <c r="P19" s="33"/>
    </row>
    <row r="20" spans="1:19" s="27" customFormat="1" x14ac:dyDescent="0.25">
      <c r="B20" s="42" t="s">
        <v>97</v>
      </c>
      <c r="C20" s="493" t="e">
        <f ca="1">ABS(MAX(C16:N16)-MIN(C17:N17))</f>
        <v>#REF!</v>
      </c>
      <c r="D20" s="494"/>
      <c r="E20" s="494"/>
      <c r="F20" s="494"/>
      <c r="G20" s="494"/>
      <c r="H20" s="494"/>
      <c r="I20" s="494"/>
      <c r="J20" s="494"/>
      <c r="K20" s="494"/>
      <c r="L20" s="494"/>
      <c r="M20" s="494"/>
      <c r="N20" s="494"/>
      <c r="O20" s="494"/>
      <c r="P20" s="495"/>
    </row>
    <row r="21" spans="1:19" s="27" customFormat="1" x14ac:dyDescent="0.25">
      <c r="B21" s="42" t="s">
        <v>98</v>
      </c>
      <c r="C21" s="493" t="e">
        <f ca="1">AVERAGE(C18:N18)</f>
        <v>#REF!</v>
      </c>
      <c r="D21" s="494"/>
      <c r="E21" s="494"/>
      <c r="F21" s="494"/>
      <c r="G21" s="494"/>
      <c r="H21" s="494"/>
      <c r="I21" s="494"/>
      <c r="J21" s="494"/>
      <c r="K21" s="494"/>
      <c r="L21" s="494"/>
      <c r="M21" s="494"/>
      <c r="N21" s="494"/>
      <c r="O21" s="494"/>
      <c r="P21" s="495"/>
    </row>
    <row r="22" spans="1:19" s="27" customFormat="1" x14ac:dyDescent="0.25">
      <c r="B22" s="36" t="s">
        <v>99</v>
      </c>
      <c r="C22" s="46" t="e">
        <f ca="1">STDEV(OFFSET(INDEX(Donnees_Brutes_Omia_3[Connecteur 1],1),COUNT(Donnees_Brutes_Omia_3[Connecteur 1])-30,0,30))+C5+C6</f>
        <v>#REF!</v>
      </c>
      <c r="D22" s="46" t="e">
        <f ca="1">STDEV(OFFSET(INDEX(Donnees_Brutes_Omia_3[Connecteur 2],1),COUNT(Donnees_Brutes_Omia_3[Connecteur 2])-30,0,30))+D5+D6</f>
        <v>#REF!</v>
      </c>
      <c r="E22" s="46" t="e">
        <f ca="1">STDEV(OFFSET(INDEX(Donnees_Brutes_Omia_3[Connecteur 3],1),COUNT(Donnees_Brutes_Omia_3[Connecteur 3])-30,0,30))+E5+E6</f>
        <v>#REF!</v>
      </c>
      <c r="F22" s="46" t="e">
        <f ca="1">STDEV(OFFSET(INDEX(Donnees_Brutes_Omia_3[Connecteur 4],1),COUNT(Donnees_Brutes_Omia_3[Connecteur 4])-30,0,30))+F5+F6</f>
        <v>#REF!</v>
      </c>
      <c r="G22" s="46" t="e">
        <f ca="1">STDEV(OFFSET(INDEX(Donnees_Brutes_Omia_3[Connecteur 5],1),COUNT(Donnees_Brutes_Omia_3[Connecteur 5])-30,0,30))+G5+G6</f>
        <v>#REF!</v>
      </c>
      <c r="H22" s="46" t="e">
        <f ca="1">STDEV(OFFSET(INDEX(Donnees_Brutes_Omia_3[Connecteur 6],1),COUNT(Donnees_Brutes_Omia_3[Connecteur 6])-30,0,30))+H5+H6</f>
        <v>#REF!</v>
      </c>
      <c r="I22" s="46" t="e">
        <f ca="1">STDEV(OFFSET(INDEX(Donnees_Brutes_Omia_3[Connecteur 7],1),COUNT(Donnees_Brutes_Omia_3[Connecteur 7])-30,0,30))+I5+I6</f>
        <v>#REF!</v>
      </c>
      <c r="J22" s="46" t="e">
        <f ca="1">STDEV(OFFSET(INDEX(Donnees_Brutes_Omia_3[Connecteur 8],1),COUNT(Donnees_Brutes_Omia_3[Connecteur 8])-30,0,30))+J5+J6</f>
        <v>#REF!</v>
      </c>
      <c r="K22" s="46" t="e">
        <f ca="1">STDEV(OFFSET(INDEX(Donnees_Brutes_Omia_3[Connecteur 9],1),COUNT(Donnees_Brutes_Omia_3[Connecteur 9])-30,0,30))+K5+K6</f>
        <v>#REF!</v>
      </c>
      <c r="L22" s="46" t="e">
        <f ca="1">STDEV(OFFSET(INDEX(Donnees_Brutes_Omia_3[Connecteur 10],1),COUNT(Donnees_Brutes_Omia_3[Connecteur 10])-30,0,30))+L5+L6</f>
        <v>#REF!</v>
      </c>
      <c r="M22" s="46" t="e">
        <f ca="1">STDEV(OFFSET(INDEX(Donnees_Brutes_Omia_3[Connecteur 11],1),COUNT(Donnees_Brutes_Omia_3[Connecteur 11])-30,0,30))+M5+M6</f>
        <v>#REF!</v>
      </c>
      <c r="N22" s="46" t="e">
        <f ca="1">STDEV(OFFSET(INDEX(Donnees_Brutes_Omia_3[Connecteur 12],1),COUNT(Donnees_Brutes_Omia_3[Connecteur 12])-30,0,30))+N5+N6</f>
        <v>#REF!</v>
      </c>
      <c r="O22" s="46" t="e">
        <f ca="1">STDEV(OFFSET(INDEX(Donnees_Brutes_Omia_3[Connecteur 13],1),COUNT(Donnees_Brutes_Omia_3[Connecteur 13])-30,0,30))+O5+O6</f>
        <v>#REF!</v>
      </c>
      <c r="P22" s="33"/>
    </row>
    <row r="23" spans="1:19" s="27" customFormat="1" x14ac:dyDescent="0.25">
      <c r="A23"/>
      <c r="B23"/>
      <c r="C23"/>
      <c r="D23"/>
      <c r="E23"/>
      <c r="F23"/>
      <c r="G23"/>
      <c r="H23"/>
      <c r="I23"/>
      <c r="J23"/>
      <c r="K23"/>
      <c r="L23"/>
      <c r="M23"/>
      <c r="N23"/>
      <c r="O23"/>
      <c r="P23"/>
    </row>
  </sheetData>
  <sheetProtection algorithmName="SHA-512" hashValue="hQAagKTWFC4dry4D77ImcoLKuydL84JOe2hPcC3Lu3GJzbe2bQn9bTytBn0ACzkR39QtBasl+O0VqLdVU4oYMQ==" saltValue="Lzx5BlMPmYdXcdnNbutg1Q==" spinCount="100000" sheet="1" objects="1" scenarios="1"/>
  <dataConsolidate/>
  <mergeCells count="5">
    <mergeCell ref="C21:P21"/>
    <mergeCell ref="A1:S3"/>
    <mergeCell ref="A9:N9"/>
    <mergeCell ref="C20:P20"/>
    <mergeCell ref="A13:O13"/>
  </mergeCells>
  <conditionalFormatting sqref="C16:O16">
    <cfRule type="cellIs" dxfId="28" priority="3" operator="greaterThan">
      <formula>$P$16</formula>
    </cfRule>
  </conditionalFormatting>
  <conditionalFormatting sqref="C17:O17">
    <cfRule type="cellIs" dxfId="27" priority="4" operator="lessThan">
      <formula>$P$17</formula>
    </cfRule>
  </conditionalFormatting>
  <conditionalFormatting sqref="C15:O15">
    <cfRule type="cellIs" dxfId="26" priority="1" operator="greaterThan">
      <formula>$P$15</formula>
    </cfRule>
    <cfRule type="cellIs" dxfId="25" priority="2" operator="lessThan">
      <formula>$P$17</formula>
    </cfRule>
  </conditionalFormatting>
  <pageMargins left="0.7" right="0.7" top="0.75" bottom="0.75" header="0.3" footer="0.3"/>
  <pageSetup paperSize="9"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1"/>
  <sheetViews>
    <sheetView view="pageBreakPreview" topLeftCell="A466" zoomScale="60" zoomScaleNormal="100" zoomScalePageLayoutView="60" workbookViewId="0">
      <selection activeCell="E507" sqref="E507"/>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7" t="s">
        <v>246</v>
      </c>
      <c r="C4" s="498"/>
      <c r="D4" s="498"/>
      <c r="E4" s="498"/>
      <c r="F4" s="498"/>
    </row>
    <row r="5" spans="2:9" ht="26.25" x14ac:dyDescent="0.25">
      <c r="B5" s="498"/>
      <c r="C5" s="498"/>
      <c r="D5" s="498"/>
      <c r="E5" s="498"/>
      <c r="F5" s="498"/>
      <c r="G5" s="87"/>
      <c r="H5" s="87"/>
      <c r="I5" s="88"/>
    </row>
    <row r="6" spans="2:9" ht="58.5" customHeight="1" x14ac:dyDescent="0.25">
      <c r="B6" s="498"/>
      <c r="C6" s="498"/>
      <c r="D6" s="498"/>
      <c r="E6" s="498"/>
      <c r="F6" s="498"/>
    </row>
    <row r="10" spans="2:9" ht="21" x14ac:dyDescent="0.25">
      <c r="C10" s="438" t="s">
        <v>138</v>
      </c>
      <c r="D10" s="438"/>
      <c r="E10" s="459">
        <f>Mesures_Omia!D6</f>
        <v>0</v>
      </c>
      <c r="F10" s="459"/>
    </row>
    <row r="11" spans="2:9" ht="21" x14ac:dyDescent="0.25">
      <c r="C11" s="89"/>
      <c r="D11" s="89"/>
      <c r="E11" s="90"/>
      <c r="F11" s="90"/>
    </row>
    <row r="12" spans="2:9" x14ac:dyDescent="0.25">
      <c r="C12" s="91" t="s">
        <v>1</v>
      </c>
      <c r="D12" s="146">
        <f>Mesures_Omia!C8</f>
        <v>0</v>
      </c>
      <c r="F12" s="91" t="s">
        <v>18</v>
      </c>
      <c r="G12" s="146">
        <f>Mesures_Omia!G8</f>
        <v>0</v>
      </c>
    </row>
    <row r="13" spans="2:9" ht="15.75" x14ac:dyDescent="0.25">
      <c r="C13" s="93" t="s">
        <v>2</v>
      </c>
      <c r="D13" s="147">
        <f>Mesures_Omia!C9</f>
        <v>0</v>
      </c>
      <c r="F13" s="95" t="s">
        <v>19</v>
      </c>
      <c r="G13" s="147">
        <f>Mesures_Omia!G9</f>
        <v>0</v>
      </c>
    </row>
    <row r="14" spans="2:9" ht="15.75" x14ac:dyDescent="0.25">
      <c r="C14" s="96"/>
      <c r="D14" s="97"/>
      <c r="G14" s="98"/>
    </row>
    <row r="15" spans="2:9" ht="15.75" x14ac:dyDescent="0.25">
      <c r="C15" s="99" t="s">
        <v>139</v>
      </c>
      <c r="D15" s="100">
        <f>Mesures_Omia!C15</f>
        <v>0</v>
      </c>
      <c r="F15" s="91" t="s">
        <v>140</v>
      </c>
      <c r="G15" s="9">
        <f>Mesures_Omia!C16</f>
        <v>0</v>
      </c>
    </row>
    <row r="16" spans="2:9" ht="15.75" x14ac:dyDescent="0.25">
      <c r="C16" s="99" t="s">
        <v>141</v>
      </c>
      <c r="D16" s="102">
        <f>Mesures_Omia!G12</f>
        <v>15</v>
      </c>
      <c r="F16" s="91" t="s">
        <v>142</v>
      </c>
      <c r="G16" s="9">
        <f>Mesures_Omia!G13</f>
        <v>0</v>
      </c>
    </row>
    <row r="17" spans="1:9" ht="15.75" x14ac:dyDescent="0.25">
      <c r="C17" s="96"/>
      <c r="D17" s="97"/>
      <c r="F17" s="96"/>
      <c r="G17" s="1"/>
    </row>
    <row r="18" spans="1:9" ht="15.75" x14ac:dyDescent="0.25">
      <c r="C18" s="99" t="s">
        <v>143</v>
      </c>
      <c r="D18" s="148">
        <f>Mesures_Omia!C12</f>
        <v>0</v>
      </c>
      <c r="F18" s="91" t="s">
        <v>144</v>
      </c>
      <c r="G18" s="155">
        <f>Mesures_Omia!G11</f>
        <v>0</v>
      </c>
    </row>
    <row r="19" spans="1:9" ht="15.75" x14ac:dyDescent="0.25">
      <c r="C19" s="93" t="s">
        <v>145</v>
      </c>
      <c r="D19" s="148">
        <f>Mesures_Omia!C12</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222</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8" ht="36" x14ac:dyDescent="0.25">
      <c r="C51" s="461" t="s">
        <v>148</v>
      </c>
      <c r="D51" s="461"/>
      <c r="E51" s="461"/>
      <c r="F51" s="461"/>
    </row>
    <row r="52" spans="2:8" ht="17.25" x14ac:dyDescent="0.25">
      <c r="B52" s="104"/>
    </row>
    <row r="53" spans="2:8" ht="23.25" x14ac:dyDescent="0.25">
      <c r="B53" s="105" t="s">
        <v>149</v>
      </c>
    </row>
    <row r="55" spans="2:8" ht="21" x14ac:dyDescent="0.25">
      <c r="B55" s="106" t="s">
        <v>223</v>
      </c>
      <c r="E55" s="458" t="s">
        <v>224</v>
      </c>
      <c r="F55" s="458"/>
      <c r="G55" s="106"/>
      <c r="H55" s="107"/>
    </row>
    <row r="56" spans="2:8" ht="21" x14ac:dyDescent="0.25">
      <c r="B56" s="106" t="s">
        <v>225</v>
      </c>
      <c r="E56" s="458" t="s">
        <v>226</v>
      </c>
      <c r="F56" s="458"/>
      <c r="G56" s="458"/>
      <c r="H56" s="106"/>
    </row>
    <row r="57" spans="2:8" ht="21" x14ac:dyDescent="0.25">
      <c r="B57" s="458" t="s">
        <v>227</v>
      </c>
      <c r="C57" s="458"/>
      <c r="E57" s="458" t="s">
        <v>155</v>
      </c>
      <c r="F57" s="458"/>
      <c r="G57" s="107"/>
      <c r="H57" s="107"/>
    </row>
    <row r="59" spans="2:8" ht="23.25" x14ac:dyDescent="0.25">
      <c r="B59" s="105" t="s">
        <v>156</v>
      </c>
    </row>
    <row r="61" spans="2:8" ht="21" x14ac:dyDescent="0.25">
      <c r="B61" s="458" t="s">
        <v>228</v>
      </c>
      <c r="C61" s="458"/>
      <c r="D61" s="106"/>
      <c r="E61" s="458"/>
      <c r="F61" s="458"/>
      <c r="G61" s="458"/>
    </row>
    <row r="62" spans="2:8" ht="21" x14ac:dyDescent="0.25">
      <c r="B62" s="458" t="s">
        <v>229</v>
      </c>
      <c r="C62" s="458"/>
      <c r="D62" s="106"/>
    </row>
    <row r="64" spans="2:8" ht="21" x14ac:dyDescent="0.25">
      <c r="B64" s="106" t="s">
        <v>160</v>
      </c>
    </row>
    <row r="66" spans="2:9" ht="21" x14ac:dyDescent="0.25">
      <c r="B66" s="106" t="s">
        <v>230</v>
      </c>
      <c r="C66" s="106"/>
      <c r="D66" s="106"/>
      <c r="E66" s="499" t="s">
        <v>231</v>
      </c>
      <c r="F66" s="499"/>
      <c r="G66" s="106"/>
      <c r="H66" s="106"/>
      <c r="I66" s="106"/>
    </row>
    <row r="67" spans="2:9" ht="21" x14ac:dyDescent="0.25">
      <c r="B67" s="149" t="s">
        <v>231</v>
      </c>
      <c r="C67" s="106"/>
      <c r="D67" s="106"/>
      <c r="E67" s="458" t="s">
        <v>232</v>
      </c>
      <c r="F67" s="458"/>
      <c r="G67" s="458"/>
      <c r="H67" s="458"/>
      <c r="I67" s="106"/>
    </row>
    <row r="68" spans="2:9" ht="21" x14ac:dyDescent="0.25">
      <c r="B68" s="458"/>
      <c r="C68" s="458"/>
      <c r="D68" s="458"/>
      <c r="E68" s="458"/>
      <c r="F68" s="458"/>
      <c r="G68" s="458"/>
      <c r="H68" s="458"/>
      <c r="I68" s="458"/>
    </row>
    <row r="69" spans="2:9" ht="21" x14ac:dyDescent="0.25">
      <c r="B69" s="458"/>
      <c r="C69" s="458"/>
      <c r="D69" s="458"/>
      <c r="E69" s="458"/>
      <c r="F69" s="458"/>
      <c r="G69" s="458"/>
      <c r="H69" s="458"/>
      <c r="I69" s="107"/>
    </row>
    <row r="85" spans="1:9" ht="36" x14ac:dyDescent="0.25">
      <c r="C85" s="461" t="s">
        <v>170</v>
      </c>
      <c r="D85" s="461"/>
      <c r="E85" s="461"/>
      <c r="F85" s="461"/>
      <c r="G85" s="461"/>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4"/>
      <c r="E94" s="454"/>
      <c r="F94" s="454"/>
      <c r="G94" s="454"/>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Mesures_Omia!A45</f>
        <v xml:space="preserve">Sonde </v>
      </c>
      <c r="D96" s="444"/>
      <c r="E96" s="10" cm="1">
        <f t="array" ref="E96:H108">Mesures_Omia!C45:F57</f>
        <v>0</v>
      </c>
      <c r="F96" s="10">
        <v>0</v>
      </c>
      <c r="G96" s="10">
        <v>0</v>
      </c>
      <c r="H96" s="10">
        <v>0</v>
      </c>
      <c r="I96" s="110"/>
    </row>
    <row r="97" spans="1:9" ht="17.25" x14ac:dyDescent="0.25">
      <c r="A97" s="110"/>
      <c r="B97" s="110"/>
      <c r="C97" s="443" t="str">
        <f>Mesures_Omia!A46</f>
        <v xml:space="preserve">Sonde </v>
      </c>
      <c r="D97" s="444"/>
      <c r="E97" s="10">
        <v>0</v>
      </c>
      <c r="F97" s="10">
        <v>0</v>
      </c>
      <c r="G97" s="10">
        <v>0</v>
      </c>
      <c r="H97" s="10">
        <v>0</v>
      </c>
      <c r="I97" s="110"/>
    </row>
    <row r="98" spans="1:9" ht="17.25" x14ac:dyDescent="0.25">
      <c r="A98" s="110"/>
      <c r="B98" s="110"/>
      <c r="C98" s="443" t="str">
        <f>Mesures_Omia!A47</f>
        <v xml:space="preserve">Sonde </v>
      </c>
      <c r="D98" s="444"/>
      <c r="E98" s="10">
        <v>0</v>
      </c>
      <c r="F98" s="10">
        <v>0</v>
      </c>
      <c r="G98" s="10">
        <v>0</v>
      </c>
      <c r="H98" s="10">
        <v>0</v>
      </c>
      <c r="I98" s="110"/>
    </row>
    <row r="99" spans="1:9" ht="17.25" x14ac:dyDescent="0.25">
      <c r="A99" s="110"/>
      <c r="B99" s="110"/>
      <c r="C99" s="443" t="str">
        <f>Mesures_Omia!A48</f>
        <v xml:space="preserve">Sonde </v>
      </c>
      <c r="D99" s="444"/>
      <c r="E99" s="10">
        <v>0</v>
      </c>
      <c r="F99" s="10">
        <v>0</v>
      </c>
      <c r="G99" s="10">
        <v>0</v>
      </c>
      <c r="H99" s="10">
        <v>0</v>
      </c>
      <c r="I99" s="110"/>
    </row>
    <row r="100" spans="1:9" ht="17.25" x14ac:dyDescent="0.25">
      <c r="A100" s="110"/>
      <c r="B100" s="110"/>
      <c r="C100" s="443" t="str">
        <f>Mesures_Omia!A49</f>
        <v xml:space="preserve">Sonde </v>
      </c>
      <c r="D100" s="444"/>
      <c r="E100" s="10">
        <v>0</v>
      </c>
      <c r="F100" s="10">
        <v>0</v>
      </c>
      <c r="G100" s="10">
        <v>0</v>
      </c>
      <c r="H100" s="10">
        <v>0</v>
      </c>
      <c r="I100" s="110"/>
    </row>
    <row r="101" spans="1:9" ht="17.25" x14ac:dyDescent="0.25">
      <c r="A101" s="110"/>
      <c r="B101" s="110"/>
      <c r="C101" s="443" t="str">
        <f>Mesures_Omia!A50</f>
        <v xml:space="preserve">Sonde </v>
      </c>
      <c r="D101" s="444"/>
      <c r="E101" s="10">
        <v>0</v>
      </c>
      <c r="F101" s="10">
        <v>0</v>
      </c>
      <c r="G101" s="10">
        <v>0</v>
      </c>
      <c r="H101" s="10">
        <v>0</v>
      </c>
      <c r="I101" s="110"/>
    </row>
    <row r="102" spans="1:9" ht="17.25" x14ac:dyDescent="0.25">
      <c r="A102" s="110"/>
      <c r="B102" s="110"/>
      <c r="C102" s="443" t="str">
        <f>Mesures_Omia!A51</f>
        <v xml:space="preserve">Sonde </v>
      </c>
      <c r="D102" s="444"/>
      <c r="E102" s="10">
        <v>0</v>
      </c>
      <c r="F102" s="10">
        <v>0</v>
      </c>
      <c r="G102" s="10">
        <v>0</v>
      </c>
      <c r="H102" s="10">
        <v>0</v>
      </c>
      <c r="I102" s="110"/>
    </row>
    <row r="103" spans="1:9" ht="17.25" x14ac:dyDescent="0.25">
      <c r="A103" s="110"/>
      <c r="B103" s="110"/>
      <c r="C103" s="443" t="str">
        <f>Mesures_Omia!A52</f>
        <v xml:space="preserve">Sonde </v>
      </c>
      <c r="D103" s="444"/>
      <c r="E103" s="10">
        <v>0</v>
      </c>
      <c r="F103" s="10">
        <v>0</v>
      </c>
      <c r="G103" s="10">
        <v>0</v>
      </c>
      <c r="H103" s="10">
        <v>0</v>
      </c>
      <c r="I103" s="110"/>
    </row>
    <row r="104" spans="1:9" ht="17.25" x14ac:dyDescent="0.25">
      <c r="A104" s="110"/>
      <c r="B104" s="110"/>
      <c r="C104" s="443" t="str">
        <f>Mesures_Omia!A53</f>
        <v xml:space="preserve">Sonde </v>
      </c>
      <c r="D104" s="444"/>
      <c r="E104" s="10">
        <v>0</v>
      </c>
      <c r="F104" s="10">
        <v>0</v>
      </c>
      <c r="G104" s="10">
        <v>0</v>
      </c>
      <c r="H104" s="10">
        <v>0</v>
      </c>
      <c r="I104" s="110"/>
    </row>
    <row r="105" spans="1:9" ht="17.25" x14ac:dyDescent="0.25">
      <c r="A105" s="110"/>
      <c r="B105" s="110"/>
      <c r="C105" s="443" t="str">
        <f>Mesures_Omia!A54</f>
        <v xml:space="preserve">Sonde </v>
      </c>
      <c r="D105" s="444"/>
      <c r="E105" s="10">
        <v>0</v>
      </c>
      <c r="F105" s="10">
        <v>0</v>
      </c>
      <c r="G105" s="10">
        <v>0</v>
      </c>
      <c r="H105" s="10">
        <v>0</v>
      </c>
      <c r="I105" s="110"/>
    </row>
    <row r="106" spans="1:9" ht="17.25" x14ac:dyDescent="0.25">
      <c r="A106" s="110"/>
      <c r="B106" s="110"/>
      <c r="C106" s="443" t="str">
        <f>Mesures_Omia!A55</f>
        <v xml:space="preserve">Sonde </v>
      </c>
      <c r="D106" s="444"/>
      <c r="E106" s="10">
        <v>0</v>
      </c>
      <c r="F106" s="10">
        <v>0</v>
      </c>
      <c r="G106" s="10">
        <v>0</v>
      </c>
      <c r="H106" s="10">
        <v>0</v>
      </c>
      <c r="I106" s="110"/>
    </row>
    <row r="107" spans="1:9" ht="17.25" x14ac:dyDescent="0.25">
      <c r="A107" s="110"/>
      <c r="B107" s="110"/>
      <c r="C107" s="443" t="str">
        <f>Mesures_Omia!A56</f>
        <v xml:space="preserve">Sonde </v>
      </c>
      <c r="D107" s="444"/>
      <c r="E107" s="10">
        <v>0</v>
      </c>
      <c r="F107" s="10">
        <v>0</v>
      </c>
      <c r="G107" s="10">
        <v>0</v>
      </c>
      <c r="H107" s="10">
        <v>0</v>
      </c>
      <c r="I107" s="110"/>
    </row>
    <row r="108" spans="1:9" ht="17.25" x14ac:dyDescent="0.25">
      <c r="A108" s="110"/>
      <c r="B108" s="110"/>
      <c r="C108" s="443" t="str">
        <f>Mesures_Omia!A57</f>
        <v xml:space="preserve">Sonde </v>
      </c>
      <c r="D108" s="444"/>
      <c r="E108" s="10">
        <v>0</v>
      </c>
      <c r="F108" s="10">
        <v>0</v>
      </c>
      <c r="G108" s="10">
        <v>0</v>
      </c>
      <c r="H108" s="10">
        <v>0</v>
      </c>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17.25" x14ac:dyDescent="0.25">
      <c r="A112" s="110"/>
      <c r="B112" s="110"/>
      <c r="C112" s="110"/>
      <c r="D112" s="110"/>
      <c r="E112" s="110"/>
      <c r="F112" s="110"/>
      <c r="G112" s="110"/>
      <c r="H112" s="110"/>
      <c r="I112" s="110"/>
    </row>
    <row r="113" spans="1:9" ht="17.25" x14ac:dyDescent="0.25">
      <c r="A113" s="110"/>
      <c r="B113" s="110"/>
      <c r="C113" s="110"/>
      <c r="D113" s="110"/>
      <c r="E113" s="110"/>
      <c r="F113" s="110"/>
      <c r="G113" s="110"/>
      <c r="H113" s="110"/>
      <c r="I113" s="110"/>
    </row>
    <row r="114" spans="1:9" ht="17.25" x14ac:dyDescent="0.25">
      <c r="A114" s="110"/>
      <c r="B114" s="110"/>
      <c r="C114" s="110"/>
      <c r="D114" s="110"/>
      <c r="E114" s="110"/>
      <c r="F114" s="110"/>
      <c r="G114" s="110"/>
      <c r="H114" s="110"/>
      <c r="I114" s="110"/>
    </row>
    <row r="115" spans="1:9" ht="17.25" x14ac:dyDescent="0.25">
      <c r="A115" s="110"/>
      <c r="B115" s="110"/>
      <c r="C115" s="110"/>
      <c r="D115" s="110"/>
      <c r="E115" s="110"/>
      <c r="F115" s="110"/>
      <c r="G115" s="110"/>
      <c r="H115" s="110"/>
      <c r="I115" s="110"/>
    </row>
    <row r="116" spans="1:9" ht="21" x14ac:dyDescent="0.25">
      <c r="B116" s="464" t="s">
        <v>176</v>
      </c>
      <c r="C116" s="464"/>
      <c r="D116" s="464"/>
      <c r="E116" s="464"/>
      <c r="F116" s="464"/>
    </row>
    <row r="118" spans="1:9" ht="26.25" x14ac:dyDescent="0.25">
      <c r="B118" s="108" t="s">
        <v>177</v>
      </c>
    </row>
    <row r="119" spans="1:9" ht="21" x14ac:dyDescent="0.3">
      <c r="E119" s="106" t="s">
        <v>178</v>
      </c>
      <c r="F119" s="106"/>
      <c r="G119" s="115">
        <f>Mesures_Omia!K45</f>
        <v>0</v>
      </c>
    </row>
    <row r="120" spans="1:9" ht="21" x14ac:dyDescent="0.3">
      <c r="B120" s="116" t="s">
        <v>179</v>
      </c>
      <c r="C120" s="106" t="s">
        <v>180</v>
      </c>
      <c r="E120" s="106" t="s">
        <v>181</v>
      </c>
      <c r="F120" s="106"/>
      <c r="G120" s="115">
        <f>Mesures_Omia!L45</f>
        <v>0</v>
      </c>
    </row>
    <row r="121" spans="1:9" ht="21" x14ac:dyDescent="0.25">
      <c r="B121" s="116" t="s">
        <v>182</v>
      </c>
      <c r="C121" s="109" t="s">
        <v>183</v>
      </c>
      <c r="E121" s="106" t="s">
        <v>184</v>
      </c>
      <c r="F121" s="106"/>
      <c r="G121" s="117">
        <f>Mesures_Omia!M45</f>
        <v>0</v>
      </c>
    </row>
    <row r="122" spans="1:9" ht="21" x14ac:dyDescent="0.35">
      <c r="B122" s="118" t="s">
        <v>185</v>
      </c>
      <c r="C122" s="119" t="s">
        <v>186</v>
      </c>
      <c r="E122" s="106" t="s">
        <v>187</v>
      </c>
      <c r="F122" s="106"/>
      <c r="G122" s="120" t="e">
        <f>"±" &amp;  SUBSTITUTE(ROUND(AVERAGE(Mesures_Omia!D24:F36),2),"-"," ") &amp; "°C"</f>
        <v>#DIV/0!</v>
      </c>
    </row>
    <row r="127" spans="1:9" ht="36" x14ac:dyDescent="0.25">
      <c r="C127" s="461" t="s">
        <v>188</v>
      </c>
      <c r="D127" s="461"/>
      <c r="E127" s="461"/>
      <c r="F127" s="461"/>
    </row>
    <row r="128" spans="1:9" ht="36" x14ac:dyDescent="0.25">
      <c r="B128" s="103"/>
      <c r="C128" s="103"/>
      <c r="D128" s="103"/>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63" spans="1:8" ht="36" x14ac:dyDescent="0.25">
      <c r="C163" s="461" t="s">
        <v>236</v>
      </c>
      <c r="D163" s="461"/>
      <c r="E163" s="461"/>
      <c r="F163" s="461"/>
      <c r="G163" s="461"/>
      <c r="H163" s="461"/>
    </row>
    <row r="166" spans="1:8" ht="15.75" thickBot="1" x14ac:dyDescent="0.3"/>
    <row r="167" spans="1:8" ht="15.75" thickBot="1" x14ac:dyDescent="0.3">
      <c r="A167" s="12" t="s">
        <v>9</v>
      </c>
      <c r="B167" s="13" t="s">
        <v>12</v>
      </c>
      <c r="C167" s="13" t="s">
        <v>14</v>
      </c>
    </row>
    <row r="168" spans="1:8" x14ac:dyDescent="0.25">
      <c r="A168" s="15">
        <v>1</v>
      </c>
      <c r="B168" s="16">
        <f>Mesures_Omia!B24</f>
        <v>0</v>
      </c>
      <c r="C168" s="17">
        <f>Mesures_Omia!C24</f>
        <v>0</v>
      </c>
    </row>
    <row r="169" spans="1:8" x14ac:dyDescent="0.25">
      <c r="A169" s="19">
        <v>2</v>
      </c>
      <c r="B169" s="16">
        <f>Mesures_Omia!B25</f>
        <v>0</v>
      </c>
      <c r="C169" s="17">
        <f>Mesures_Omia!C25</f>
        <v>0</v>
      </c>
    </row>
    <row r="170" spans="1:8" x14ac:dyDescent="0.25">
      <c r="A170" s="15">
        <v>3</v>
      </c>
      <c r="B170" s="16">
        <f>Mesures_Omia!B26</f>
        <v>0</v>
      </c>
      <c r="C170" s="17">
        <f>Mesures_Omia!C26</f>
        <v>0</v>
      </c>
    </row>
    <row r="171" spans="1:8" x14ac:dyDescent="0.25">
      <c r="A171" s="19">
        <v>4</v>
      </c>
      <c r="B171" s="16">
        <f>Mesures_Omia!B27</f>
        <v>0</v>
      </c>
      <c r="C171" s="17">
        <f>Mesures_Omia!C27</f>
        <v>0</v>
      </c>
    </row>
    <row r="172" spans="1:8" x14ac:dyDescent="0.25">
      <c r="A172" s="15">
        <v>5</v>
      </c>
      <c r="B172" s="16">
        <f>Mesures_Omia!B28</f>
        <v>0</v>
      </c>
      <c r="C172" s="17">
        <f>Mesures_Omia!C28</f>
        <v>0</v>
      </c>
    </row>
    <row r="173" spans="1:8" x14ac:dyDescent="0.25">
      <c r="A173" s="19">
        <v>6</v>
      </c>
      <c r="B173" s="16">
        <f>Mesures_Omia!B29</f>
        <v>0</v>
      </c>
      <c r="C173" s="17">
        <f>Mesures_Omia!C29</f>
        <v>0</v>
      </c>
    </row>
    <row r="174" spans="1:8" x14ac:dyDescent="0.25">
      <c r="A174" s="15">
        <v>7</v>
      </c>
      <c r="B174" s="16">
        <f>Mesures_Omia!B30</f>
        <v>0</v>
      </c>
      <c r="C174" s="17">
        <f>Mesures_Omia!C30</f>
        <v>0</v>
      </c>
    </row>
    <row r="175" spans="1:8" x14ac:dyDescent="0.25">
      <c r="A175" s="19">
        <v>8</v>
      </c>
      <c r="B175" s="16">
        <f>Mesures_Omia!B31</f>
        <v>0</v>
      </c>
      <c r="C175" s="17">
        <f>Mesures_Omia!C31</f>
        <v>0</v>
      </c>
    </row>
    <row r="176" spans="1:8" x14ac:dyDescent="0.25">
      <c r="A176" s="15">
        <v>9</v>
      </c>
      <c r="B176" s="16">
        <f>Mesures_Omia!B32</f>
        <v>0</v>
      </c>
      <c r="C176" s="17">
        <f>Mesures_Omia!C32</f>
        <v>0</v>
      </c>
    </row>
    <row r="177" spans="1:3" x14ac:dyDescent="0.25">
      <c r="A177" s="19">
        <v>10</v>
      </c>
      <c r="B177" s="16">
        <f>Mesures_Omia!B33</f>
        <v>0</v>
      </c>
      <c r="C177" s="17">
        <f>Mesures_Omia!C33</f>
        <v>0</v>
      </c>
    </row>
    <row r="178" spans="1:3" x14ac:dyDescent="0.25">
      <c r="A178" s="15">
        <v>11</v>
      </c>
      <c r="B178" s="16">
        <f>Mesures_Omia!B34</f>
        <v>0</v>
      </c>
      <c r="C178" s="17">
        <f>Mesures_Omia!C34</f>
        <v>0</v>
      </c>
    </row>
    <row r="179" spans="1:3" x14ac:dyDescent="0.25">
      <c r="A179" s="19">
        <v>12</v>
      </c>
      <c r="B179" s="16">
        <f>Mesures_Omia!B35</f>
        <v>0</v>
      </c>
      <c r="C179" s="17">
        <f>Mesures_Omia!C35</f>
        <v>0</v>
      </c>
    </row>
    <row r="180" spans="1:3" x14ac:dyDescent="0.25">
      <c r="A180" s="19">
        <v>13</v>
      </c>
      <c r="B180" s="16">
        <f>Mesures_Omia!B36</f>
        <v>0</v>
      </c>
      <c r="C180" s="17">
        <f>Mesures_Omia!C36</f>
        <v>0</v>
      </c>
    </row>
    <row r="196" spans="1:9" ht="36" x14ac:dyDescent="0.25">
      <c r="C196" s="461" t="str">
        <f>"6. Résultats et exploitation des résultats à " &amp; Mesures_Omia!B20 &amp; "°C"</f>
        <v>6. Résultats et exploitation des résultats à °C</v>
      </c>
      <c r="D196" s="461"/>
      <c r="E196" s="461"/>
      <c r="F196" s="461"/>
      <c r="G196" s="461"/>
      <c r="H196" s="461"/>
    </row>
    <row r="200" spans="1:9" x14ac:dyDescent="0.25">
      <c r="A200" s="121" t="s">
        <v>237</v>
      </c>
      <c r="B200" s="123">
        <f>Mesures_Omia!B20</f>
        <v>0</v>
      </c>
      <c r="G200" s="465" t="s">
        <v>190</v>
      </c>
      <c r="H200" s="466"/>
      <c r="I200" s="467"/>
    </row>
    <row r="201" spans="1:9" x14ac:dyDescent="0.25">
      <c r="A201" s="121" t="s">
        <v>238</v>
      </c>
      <c r="B201" s="150">
        <f>Mesures_Omia!B21</f>
        <v>0</v>
      </c>
      <c r="G201" s="22" t="s">
        <v>191</v>
      </c>
      <c r="H201" s="22" t="s">
        <v>192</v>
      </c>
      <c r="I201" s="22" t="s">
        <v>193</v>
      </c>
    </row>
    <row r="202" spans="1:9" x14ac:dyDescent="0.25">
      <c r="G202" s="124" t="e" cm="1">
        <f t="array" ref="G202">INDEX(Donnees_Brutes_Omia_1[Date/Heure], COUNTA(Donnees_Brutes_Omia_1[Connecteur 1])-30)</f>
        <v>#VALUE!</v>
      </c>
      <c r="H202" s="124" cm="1">
        <f t="array" ref="H202">INDEX(Donnees_Brutes_Omia_1[Date/Heure], COUNTA(Donnees_Brutes_Omia_1[Connecteur 1]))</f>
        <v>0</v>
      </c>
      <c r="I202" s="124" t="e">
        <f>H202-G202</f>
        <v>#VALUE!</v>
      </c>
    </row>
    <row r="205" spans="1:9" ht="23.25" x14ac:dyDescent="0.25">
      <c r="B205" s="468" t="s">
        <v>194</v>
      </c>
      <c r="C205" s="468"/>
    </row>
    <row r="208" spans="1:9" ht="30" x14ac:dyDescent="0.25">
      <c r="B208" s="125" t="s">
        <v>195</v>
      </c>
      <c r="C208" s="126" t="s">
        <v>196</v>
      </c>
      <c r="D208" s="126" t="s">
        <v>112</v>
      </c>
      <c r="E208" s="127" t="s">
        <v>197</v>
      </c>
      <c r="F208" s="126" t="s">
        <v>198</v>
      </c>
    </row>
    <row r="209" spans="1:6" x14ac:dyDescent="0.25">
      <c r="B209" s="128" t="s">
        <v>199</v>
      </c>
      <c r="C209" s="129" t="str">
        <f>Mesures_Omia!B20 &amp; "°C"</f>
        <v>°C</v>
      </c>
      <c r="D209" s="129" t="s">
        <v>200</v>
      </c>
      <c r="E209" s="129" t="s">
        <v>200</v>
      </c>
      <c r="F209" s="130" t="s">
        <v>200</v>
      </c>
    </row>
    <row r="210" spans="1:6" x14ac:dyDescent="0.25">
      <c r="B210" s="128" t="s">
        <v>201</v>
      </c>
      <c r="C210" s="129" t="str">
        <f>Mesures_Omia!B20 &amp; "°C"</f>
        <v>°C</v>
      </c>
      <c r="D210" s="129" t="s">
        <v>200</v>
      </c>
      <c r="E210" s="129" t="s">
        <v>200</v>
      </c>
      <c r="F210" s="130" t="s">
        <v>200</v>
      </c>
    </row>
    <row r="211" spans="1:6" x14ac:dyDescent="0.25">
      <c r="A211" s="469" t="s">
        <v>202</v>
      </c>
      <c r="B211" s="128" t="s">
        <v>203</v>
      </c>
      <c r="C211" s="131" t="e">
        <f ca="1">MAX(Omia_1!C16:O16)</f>
        <v>#REF!</v>
      </c>
      <c r="D211" s="129" t="e">
        <f ca="1">_xlfn.XLOOKUP(INT(SUBSTITUTE(E211,"Connecteur ","")),Mesures_Omia!C24:C36,Mesures_Omia!A24:A36)</f>
        <v>#REF!</v>
      </c>
      <c r="E211" s="129" t="e" cm="1">
        <f t="array" aca="1" ref="E211" ca="1">_xlfn.XLOOKUP(MAX(Omia_1!C16:O16),Omia_1!C16:O16,_xlfn.ANCHORARRAY(Omia_1!C14))</f>
        <v>#REF!</v>
      </c>
      <c r="F211" s="129" t="e">
        <f ca="1">_xlfn.XLOOKUP(INT(SUBSTITUTE(E211,"Connecteur ","")),Mesures_Omia!C24:C36,Mesures_Omia!B24:B36)</f>
        <v>#REF!</v>
      </c>
    </row>
    <row r="212" spans="1:6" x14ac:dyDescent="0.25">
      <c r="A212" s="469"/>
      <c r="B212" s="128" t="s">
        <v>204</v>
      </c>
      <c r="C212" s="131" t="e">
        <f ca="1">MIN(Omia_1!C16:O16)</f>
        <v>#REF!</v>
      </c>
      <c r="D212" s="129" t="e">
        <f ca="1">_xlfn.XLOOKUP(INT(SUBSTITUTE(E212,"Connecteur ","")),Mesures_Omia!C24:C36,Mesures_Omia!A24:A36)</f>
        <v>#REF!</v>
      </c>
      <c r="E212" s="129" t="e" cm="1">
        <f t="array" aca="1" ref="E212" ca="1">_xlfn.XLOOKUP(MIN(Omia_1!C16:O16),Omia_1!C16:O16,_xlfn.ANCHORARRAY(Omia_1!C14))</f>
        <v>#REF!</v>
      </c>
      <c r="F212" s="130" t="e">
        <f ca="1">_xlfn.XLOOKUP(INT(SUBSTITUTE(E212,"Connecteur ","")),Mesures_Omia!C24:C36,Mesures_Omia!B24:B36)</f>
        <v>#REF!</v>
      </c>
    </row>
    <row r="213" spans="1:6" x14ac:dyDescent="0.25">
      <c r="A213" s="469"/>
      <c r="B213" s="128" t="s">
        <v>205</v>
      </c>
      <c r="C213" s="131" t="e">
        <f ca="1">MIN(Omia_1!C17:O17)</f>
        <v>#REF!</v>
      </c>
      <c r="D213" s="129" t="e">
        <f ca="1">_xlfn.XLOOKUP(INT(SUBSTITUTE(E213,"Connecteur ","")),Mesures_Omia!C24:C36,Mesures_Omia!A24:A36)</f>
        <v>#REF!</v>
      </c>
      <c r="E213" s="129" t="e" cm="1">
        <f t="array" aca="1" ref="E213" ca="1">_xlfn.XLOOKUP(MIN(Omia_1!C17:O17),Omia_1!C17:O17,_xlfn.ANCHORARRAY(Omia_1!C14))</f>
        <v>#REF!</v>
      </c>
      <c r="F213" s="130" t="e">
        <f ca="1">_xlfn.XLOOKUP(INT(SUBSTITUTE(E213,"Connecteur ","")),Mesures_Omia!C24:C36,Mesures_Omia!B24:B36)</f>
        <v>#REF!</v>
      </c>
    </row>
    <row r="214" spans="1:6" x14ac:dyDescent="0.25">
      <c r="A214" s="469"/>
      <c r="B214" s="128" t="s">
        <v>206</v>
      </c>
      <c r="C214" s="131" t="e">
        <f ca="1">AVERAGE(Omia_1!C18:O18)</f>
        <v>#REF!</v>
      </c>
      <c r="D214" s="129" t="s">
        <v>200</v>
      </c>
      <c r="E214" s="129" t="s">
        <v>200</v>
      </c>
      <c r="F214" s="130" t="s">
        <v>200</v>
      </c>
    </row>
    <row r="215" spans="1:6" x14ac:dyDescent="0.25">
      <c r="C215" s="88"/>
      <c r="D215" s="88"/>
      <c r="E215" s="88"/>
      <c r="F215" s="88"/>
    </row>
    <row r="226" spans="1:14" ht="36" x14ac:dyDescent="0.25">
      <c r="B226" s="461" t="str">
        <f>"7. Résultats et exploitation des résultats à " &amp; Mesures_Omia!B20 &amp; "°C"</f>
        <v>7. Résultats et exploitation des résultats à °C</v>
      </c>
      <c r="C226" s="461"/>
      <c r="D226" s="461"/>
      <c r="E226" s="461"/>
      <c r="F226" s="461"/>
    </row>
    <row r="229" spans="1:14" x14ac:dyDescent="0.25">
      <c r="B229" s="352" t="s">
        <v>207</v>
      </c>
      <c r="C229" s="352"/>
    </row>
    <row r="233" spans="1:14" x14ac:dyDescent="0.25">
      <c r="A233" s="1"/>
      <c r="B233" s="151" t="str" cm="1">
        <f t="array" ref="B233:N233">Donnees_Brutes_Omia_1[[#Headers],[Connecteur 1]:[Connecteur 13]]</f>
        <v>Connecteur 1</v>
      </c>
      <c r="C233" s="151" t="str">
        <v>Connecteur 2</v>
      </c>
      <c r="D233" s="151" t="str">
        <v>Connecteur 3</v>
      </c>
      <c r="E233" s="151" t="str">
        <v>Connecteur 4</v>
      </c>
      <c r="F233" s="151" t="str">
        <v>Connecteur 5</v>
      </c>
      <c r="G233" s="151" t="str">
        <v>Connecteur 6</v>
      </c>
      <c r="H233" s="151" t="str">
        <v>Connecteur 7</v>
      </c>
      <c r="I233" s="151" t="str">
        <v>Connecteur 8</v>
      </c>
      <c r="J233" s="151" t="str">
        <v>Connecteur 9</v>
      </c>
      <c r="K233" s="151" t="str">
        <v>Connecteur 10</v>
      </c>
      <c r="L233" s="151" t="str">
        <v>Connecteur 11</v>
      </c>
      <c r="M233" s="151" t="str">
        <v>Connecteur 12</v>
      </c>
      <c r="N233" s="151" t="str">
        <v>Connecteur 13</v>
      </c>
    </row>
    <row r="234" spans="1:14" x14ac:dyDescent="0.25">
      <c r="A234" s="42" t="s">
        <v>91</v>
      </c>
      <c r="B234" s="43" t="e">
        <f ca="1">Omia_1!C16</f>
        <v>#REF!</v>
      </c>
      <c r="C234" s="43" t="e">
        <f ca="1">Omia_1!D16</f>
        <v>#REF!</v>
      </c>
      <c r="D234" s="43" t="e">
        <f ca="1">Omia_1!E16</f>
        <v>#REF!</v>
      </c>
      <c r="E234" s="43" t="e">
        <f ca="1">Omia_1!F16</f>
        <v>#REF!</v>
      </c>
      <c r="F234" s="43" t="e">
        <f ca="1">Omia_1!G16</f>
        <v>#REF!</v>
      </c>
      <c r="G234" s="43" t="e">
        <f ca="1">Omia_1!H16</f>
        <v>#REF!</v>
      </c>
      <c r="H234" s="43" t="e">
        <f ca="1">Omia_1!I16</f>
        <v>#REF!</v>
      </c>
      <c r="I234" s="43" t="e">
        <f ca="1">Omia_1!J16</f>
        <v>#REF!</v>
      </c>
      <c r="J234" s="43" t="e">
        <f ca="1">Omia_1!K16</f>
        <v>#REF!</v>
      </c>
      <c r="K234" s="43" t="e">
        <f ca="1">Omia_1!L16</f>
        <v>#REF!</v>
      </c>
      <c r="L234" s="43" t="e">
        <f ca="1">Omia_1!M16</f>
        <v>#REF!</v>
      </c>
      <c r="M234" s="43" t="e">
        <f ca="1">Omia_1!N16</f>
        <v>#REF!</v>
      </c>
      <c r="N234" s="43" t="e">
        <f ca="1">Omia_1!O16</f>
        <v>#REF!</v>
      </c>
    </row>
    <row r="235" spans="1:14" x14ac:dyDescent="0.25">
      <c r="A235" s="42" t="s">
        <v>93</v>
      </c>
      <c r="B235" s="43" t="e">
        <f ca="1">Omia_1!C17</f>
        <v>#REF!</v>
      </c>
      <c r="C235" s="43" t="e">
        <f ca="1">Omia_1!D17</f>
        <v>#REF!</v>
      </c>
      <c r="D235" s="43" t="e">
        <f ca="1">Omia_1!E17</f>
        <v>#REF!</v>
      </c>
      <c r="E235" s="43" t="e">
        <f ca="1">Omia_1!F17</f>
        <v>#REF!</v>
      </c>
      <c r="F235" s="43" t="e">
        <f ca="1">Omia_1!G17</f>
        <v>#REF!</v>
      </c>
      <c r="G235" s="43" t="e">
        <f ca="1">Omia_1!H17</f>
        <v>#REF!</v>
      </c>
      <c r="H235" s="43" t="e">
        <f ca="1">Omia_1!I17</f>
        <v>#REF!</v>
      </c>
      <c r="I235" s="43" t="e">
        <f ca="1">Omia_1!J17</f>
        <v>#REF!</v>
      </c>
      <c r="J235" s="43" t="e">
        <f ca="1">Omia_1!K17</f>
        <v>#REF!</v>
      </c>
      <c r="K235" s="43" t="e">
        <f ca="1">Omia_1!L17</f>
        <v>#REF!</v>
      </c>
      <c r="L235" s="43" t="e">
        <f ca="1">Omia_1!M17</f>
        <v>#REF!</v>
      </c>
      <c r="M235" s="43" t="e">
        <f ca="1">Omia_1!N17</f>
        <v>#REF!</v>
      </c>
      <c r="N235" s="43" t="e">
        <f ca="1">Omia_1!O17</f>
        <v>#REF!</v>
      </c>
    </row>
    <row r="236" spans="1:14" x14ac:dyDescent="0.25">
      <c r="A236" s="42" t="s">
        <v>95</v>
      </c>
      <c r="B236" s="43" t="e">
        <f ca="1">Omia_1!C18</f>
        <v>#REF!</v>
      </c>
      <c r="C236" s="43" t="e">
        <f ca="1">Omia_1!D18</f>
        <v>#REF!</v>
      </c>
      <c r="D236" s="43" t="e">
        <f ca="1">Omia_1!E18</f>
        <v>#REF!</v>
      </c>
      <c r="E236" s="43" t="e">
        <f ca="1">Omia_1!F18</f>
        <v>#REF!</v>
      </c>
      <c r="F236" s="43" t="e">
        <f ca="1">Omia_1!G18</f>
        <v>#REF!</v>
      </c>
      <c r="G236" s="43" t="e">
        <f ca="1">Omia_1!H18</f>
        <v>#REF!</v>
      </c>
      <c r="H236" s="43" t="e">
        <f ca="1">Omia_1!I18</f>
        <v>#REF!</v>
      </c>
      <c r="I236" s="43" t="e">
        <f ca="1">Omia_1!J18</f>
        <v>#REF!</v>
      </c>
      <c r="J236" s="43" t="e">
        <f ca="1">Omia_1!K18</f>
        <v>#REF!</v>
      </c>
      <c r="K236" s="43" t="e">
        <f ca="1">Omia_1!L18</f>
        <v>#REF!</v>
      </c>
      <c r="L236" s="43" t="e">
        <f ca="1">Omia_1!M18</f>
        <v>#REF!</v>
      </c>
      <c r="M236" s="43" t="e">
        <f ca="1">Omia_1!N18</f>
        <v>#REF!</v>
      </c>
      <c r="N236" s="43" t="e">
        <f ca="1">Omia_1!O18</f>
        <v>#REF!</v>
      </c>
    </row>
    <row r="237" spans="1:14" x14ac:dyDescent="0.25">
      <c r="A237" s="42" t="s">
        <v>96</v>
      </c>
      <c r="B237" s="43" t="e">
        <f ca="1">Omia_1!C19</f>
        <v>#REF!</v>
      </c>
      <c r="C237" s="43" t="e">
        <f ca="1">Omia_1!D19</f>
        <v>#REF!</v>
      </c>
      <c r="D237" s="43" t="e">
        <f ca="1">Omia_1!E19</f>
        <v>#REF!</v>
      </c>
      <c r="E237" s="43" t="e">
        <f ca="1">Omia_1!F19</f>
        <v>#REF!</v>
      </c>
      <c r="F237" s="43" t="e">
        <f ca="1">Omia_1!G19</f>
        <v>#REF!</v>
      </c>
      <c r="G237" s="43" t="e">
        <f ca="1">Omia_1!H19</f>
        <v>#REF!</v>
      </c>
      <c r="H237" s="43" t="e">
        <f ca="1">Omia_1!I19</f>
        <v>#REF!</v>
      </c>
      <c r="I237" s="43" t="e">
        <f ca="1">Omia_1!J19</f>
        <v>#REF!</v>
      </c>
      <c r="J237" s="43" t="e">
        <f ca="1">Omia_1!K19</f>
        <v>#REF!</v>
      </c>
      <c r="K237" s="43" t="e">
        <f ca="1">Omia_1!L19</f>
        <v>#REF!</v>
      </c>
      <c r="L237" s="43" t="e">
        <f ca="1">Omia_1!M19</f>
        <v>#REF!</v>
      </c>
      <c r="M237" s="43" t="e">
        <f ca="1">Omia_1!N19</f>
        <v>#REF!</v>
      </c>
      <c r="N237" s="43" t="e">
        <f ca="1">Omia_1!O19</f>
        <v>#REF!</v>
      </c>
    </row>
    <row r="238" spans="1:14" x14ac:dyDescent="0.25">
      <c r="A238" s="42" t="s">
        <v>97</v>
      </c>
      <c r="B238" s="500" t="e">
        <f ca="1">Omia_1!C20</f>
        <v>#REF!</v>
      </c>
      <c r="C238" s="501"/>
      <c r="D238" s="501"/>
      <c r="E238" s="501"/>
      <c r="F238" s="501"/>
      <c r="G238" s="501"/>
      <c r="H238" s="501"/>
      <c r="I238" s="501"/>
      <c r="J238" s="501"/>
      <c r="K238" s="501"/>
      <c r="L238" s="501"/>
      <c r="M238" s="501"/>
      <c r="N238" s="502"/>
    </row>
    <row r="239" spans="1:14" x14ac:dyDescent="0.25">
      <c r="A239" s="42" t="s">
        <v>98</v>
      </c>
      <c r="B239" s="500" t="e">
        <f ca="1">Omia_1!C21</f>
        <v>#REF!</v>
      </c>
      <c r="C239" s="501"/>
      <c r="D239" s="501"/>
      <c r="E239" s="501"/>
      <c r="F239" s="501"/>
      <c r="G239" s="501"/>
      <c r="H239" s="501"/>
      <c r="I239" s="501"/>
      <c r="J239" s="501"/>
      <c r="K239" s="501"/>
      <c r="L239" s="501"/>
      <c r="M239" s="501"/>
      <c r="N239" s="502"/>
    </row>
    <row r="240" spans="1:14" x14ac:dyDescent="0.25">
      <c r="A240" s="36" t="s">
        <v>99</v>
      </c>
      <c r="B240" s="152" t="e" cm="1">
        <f t="array" aca="1" ref="B240:N240" ca="1">Omia_1!C22:O22</f>
        <v>#REF!</v>
      </c>
      <c r="C240" s="153" t="e">
        <f ca="1"/>
        <v>#REF!</v>
      </c>
      <c r="D240" s="153" t="e">
        <f ca="1"/>
        <v>#REF!</v>
      </c>
      <c r="E240" s="153" t="e">
        <f ca="1"/>
        <v>#REF!</v>
      </c>
      <c r="F240" s="153" t="e">
        <f ca="1"/>
        <v>#REF!</v>
      </c>
      <c r="G240" s="153" t="e">
        <f ca="1"/>
        <v>#REF!</v>
      </c>
      <c r="H240" s="153" t="e">
        <f ca="1"/>
        <v>#REF!</v>
      </c>
      <c r="I240" s="153" t="e">
        <f ca="1"/>
        <v>#REF!</v>
      </c>
      <c r="J240" s="153" t="e">
        <f ca="1"/>
        <v>#REF!</v>
      </c>
      <c r="K240" s="153" t="e">
        <f ca="1"/>
        <v>#REF!</v>
      </c>
      <c r="L240" s="153" t="e">
        <f ca="1"/>
        <v>#REF!</v>
      </c>
      <c r="M240" s="153" t="e">
        <f ca="1"/>
        <v>#REF!</v>
      </c>
      <c r="N240" s="153" t="e">
        <f ca="1"/>
        <v>#REF!</v>
      </c>
    </row>
    <row r="252" spans="2:6" x14ac:dyDescent="0.25">
      <c r="B252" s="134"/>
    </row>
    <row r="254" spans="2:6" ht="36" x14ac:dyDescent="0.3">
      <c r="C254" s="135" t="str">
        <f>"8. Résultats et exploitation des résultats à " &amp; Mesures_Omia!B20 &amp; "°C"</f>
        <v>8. Résultats et exploitation des résultats à °C</v>
      </c>
      <c r="D254" s="136"/>
      <c r="E254" s="136"/>
      <c r="F254" s="136"/>
    </row>
    <row r="257" spans="2:2" x14ac:dyDescent="0.25">
      <c r="B257" t="s">
        <v>213</v>
      </c>
    </row>
    <row r="291" spans="1:9" ht="36" x14ac:dyDescent="0.25">
      <c r="B291" s="135" t="str">
        <f>"9. Résultats et exploitation des résultats à " &amp; Mesures_Omia!C20 &amp; "°C"</f>
        <v>9. Résultats et exploitation des résultats à °C</v>
      </c>
    </row>
    <row r="299" spans="1:9" x14ac:dyDescent="0.25">
      <c r="A299" s="121" t="s">
        <v>237</v>
      </c>
      <c r="B299" s="123">
        <f>Mesures_Omia!C20</f>
        <v>0</v>
      </c>
      <c r="G299" s="465" t="s">
        <v>190</v>
      </c>
      <c r="H299" s="466"/>
      <c r="I299" s="467"/>
    </row>
    <row r="300" spans="1:9" x14ac:dyDescent="0.25">
      <c r="A300" s="121" t="s">
        <v>238</v>
      </c>
      <c r="B300" s="150">
        <f>Mesures_Omia!B21</f>
        <v>0</v>
      </c>
      <c r="G300" s="22" t="s">
        <v>191</v>
      </c>
      <c r="H300" s="22" t="s">
        <v>192</v>
      </c>
      <c r="I300" s="22" t="s">
        <v>193</v>
      </c>
    </row>
    <row r="301" spans="1:9" x14ac:dyDescent="0.25">
      <c r="G301" s="124" t="e" cm="1">
        <f t="array" ref="G301">INDEX(Donnees_Brutes_Omia_2[Date/Heure], COUNTA(Donnees_Brutes_Omia_2[Connecteur 1])-30)</f>
        <v>#VALUE!</v>
      </c>
      <c r="H301" s="124" cm="1">
        <f t="array" ref="H301">INDEX(Donnees_Brutes_Omia_2[Date/Heure], COUNTA(Donnees_Brutes_Omia_2[Connecteur 1]))</f>
        <v>0</v>
      </c>
      <c r="I301" s="124" t="e">
        <f>H301-G301</f>
        <v>#VALUE!</v>
      </c>
    </row>
    <row r="304" spans="1:9" ht="23.25" x14ac:dyDescent="0.25">
      <c r="B304" s="468" t="s">
        <v>194</v>
      </c>
      <c r="C304" s="468"/>
    </row>
    <row r="307" spans="1:6" ht="30" x14ac:dyDescent="0.25">
      <c r="B307" s="125" t="s">
        <v>195</v>
      </c>
      <c r="C307" s="126" t="s">
        <v>196</v>
      </c>
      <c r="D307" s="126" t="s">
        <v>112</v>
      </c>
      <c r="E307" s="127" t="s">
        <v>197</v>
      </c>
      <c r="F307" s="126" t="s">
        <v>198</v>
      </c>
    </row>
    <row r="308" spans="1:6" x14ac:dyDescent="0.25">
      <c r="B308" s="128" t="s">
        <v>199</v>
      </c>
      <c r="C308" s="129" t="str">
        <f>Mesures_Omia!C20 &amp; "°C"</f>
        <v>°C</v>
      </c>
      <c r="D308" s="129" t="s">
        <v>200</v>
      </c>
      <c r="E308" s="129" t="s">
        <v>200</v>
      </c>
      <c r="F308" s="130" t="s">
        <v>200</v>
      </c>
    </row>
    <row r="309" spans="1:6" x14ac:dyDescent="0.25">
      <c r="B309" s="128" t="s">
        <v>201</v>
      </c>
      <c r="C309" s="129" t="str">
        <f>Mesures_Omia!C20 &amp; "°C"</f>
        <v>°C</v>
      </c>
      <c r="D309" s="129" t="s">
        <v>200</v>
      </c>
      <c r="E309" s="129" t="s">
        <v>200</v>
      </c>
      <c r="F309" s="130" t="s">
        <v>200</v>
      </c>
    </row>
    <row r="310" spans="1:6" x14ac:dyDescent="0.25">
      <c r="A310" s="469" t="s">
        <v>202</v>
      </c>
      <c r="B310" s="128" t="s">
        <v>203</v>
      </c>
      <c r="C310" s="131" t="e">
        <f ca="1">MAX(Omia_2!C16:O16)</f>
        <v>#REF!</v>
      </c>
      <c r="D310" s="129" t="e">
        <f ca="1">_xlfn.XLOOKUP(INT(SUBSTITUTE(E310,"Connecteur ","")),Mesures_Omia!C24:C36,Mesures_Omia!A24:A36)</f>
        <v>#REF!</v>
      </c>
      <c r="E310" s="129" t="e" cm="1">
        <f t="array" aca="1" ref="E310" ca="1">_xlfn.XLOOKUP(MAX(Omia_2!C16:O16),Omia_2!C16:O16,_xlfn.ANCHORARRAY(Omia_2!C14))</f>
        <v>#REF!</v>
      </c>
      <c r="F310" s="129" t="e">
        <f ca="1">_xlfn.XLOOKUP(INT(SUBSTITUTE(E310,"Connecteur ","")),Mesures_Omia!C24:C36,Mesures_Omia!B24:B36)</f>
        <v>#REF!</v>
      </c>
    </row>
    <row r="311" spans="1:6" x14ac:dyDescent="0.25">
      <c r="A311" s="469"/>
      <c r="B311" s="128" t="s">
        <v>204</v>
      </c>
      <c r="C311" s="131" t="e">
        <f ca="1">MIN(Omia_2!C16:O16)</f>
        <v>#REF!</v>
      </c>
      <c r="D311" s="129" t="e">
        <f ca="1">_xlfn.XLOOKUP(INT(SUBSTITUTE(E311,"Connecteur ","")),Mesures_Omia!C24:C36,Mesures_Omia!A24:A36)</f>
        <v>#REF!</v>
      </c>
      <c r="E311" s="129" t="e" cm="1">
        <f t="array" aca="1" ref="E311" ca="1">_xlfn.XLOOKUP(MIN(Omia_2!C16:O16),Omia_2!C16:O16,_xlfn.ANCHORARRAY(Omia_2!C14))</f>
        <v>#REF!</v>
      </c>
      <c r="F311" s="130" t="e">
        <f ca="1">_xlfn.XLOOKUP(INT(SUBSTITUTE(E311,"Connecteur ","")),Mesures_Omia!C24:C36,Mesures_Omia!B24:B36)</f>
        <v>#REF!</v>
      </c>
    </row>
    <row r="312" spans="1:6" x14ac:dyDescent="0.25">
      <c r="A312" s="469"/>
      <c r="B312" s="128" t="s">
        <v>205</v>
      </c>
      <c r="C312" s="131" t="e">
        <f ca="1">MIN(Omia_2!C16:O16)</f>
        <v>#REF!</v>
      </c>
      <c r="D312" s="129" t="e">
        <f ca="1">_xlfn.XLOOKUP(INT(SUBSTITUTE(E312,"Connecteur ","")),Mesures_Omia!C25:C37,Mesures_Omia!A25:A37)</f>
        <v>#REF!</v>
      </c>
      <c r="E312" s="129" t="e" cm="1">
        <f t="array" aca="1" ref="E312" ca="1">_xlfn.XLOOKUP(MIN(Omia_2!C17:O17),Omia_2!C17:O17,_xlfn.ANCHORARRAY(Omia_2!C14))</f>
        <v>#REF!</v>
      </c>
      <c r="F312" s="130" t="e">
        <f ca="1">_xlfn.XLOOKUP(INT(SUBSTITUTE(E312,"Connecteur ","")),Mesures_Omia!C25:C37,Mesures_Omia!B25:B37)</f>
        <v>#REF!</v>
      </c>
    </row>
    <row r="313" spans="1:6" x14ac:dyDescent="0.25">
      <c r="A313" s="469"/>
      <c r="B313" s="128" t="s">
        <v>206</v>
      </c>
      <c r="C313" s="131" t="e">
        <f ca="1">AVERAGE(Omia_2!C16:O16)</f>
        <v>#REF!</v>
      </c>
      <c r="D313" s="129" t="s">
        <v>200</v>
      </c>
      <c r="E313" s="129" t="s">
        <v>200</v>
      </c>
      <c r="F313" s="130" t="s">
        <v>200</v>
      </c>
    </row>
    <row r="314" spans="1:6" x14ac:dyDescent="0.25">
      <c r="C314" s="88"/>
      <c r="D314" s="88"/>
      <c r="E314" s="88"/>
      <c r="F314" s="88"/>
    </row>
    <row r="324" spans="1:14" ht="36" x14ac:dyDescent="0.25">
      <c r="B324" s="461" t="str">
        <f>"10. Résultats et exploitation des résultats à " &amp; Mesures_Omia!C20 &amp; "°C"</f>
        <v>10. Résultats et exploitation des résultats à °C</v>
      </c>
      <c r="C324" s="461"/>
      <c r="D324" s="461"/>
      <c r="E324" s="461"/>
      <c r="F324" s="461"/>
    </row>
    <row r="327" spans="1:14" x14ac:dyDescent="0.25">
      <c r="B327" s="352" t="s">
        <v>207</v>
      </c>
      <c r="C327" s="352"/>
    </row>
    <row r="331" spans="1:14" x14ac:dyDescent="0.25">
      <c r="A331" s="1"/>
      <c r="B331" s="151" t="str" cm="1">
        <f t="array" ref="B331:N331">Donnees_Brutes_Omia_1[[#Headers],[Connecteur 1]:[Connecteur 13]]</f>
        <v>Connecteur 1</v>
      </c>
      <c r="C331" s="151" t="str">
        <v>Connecteur 2</v>
      </c>
      <c r="D331" s="151" t="str">
        <v>Connecteur 3</v>
      </c>
      <c r="E331" s="151" t="str">
        <v>Connecteur 4</v>
      </c>
      <c r="F331" s="151" t="str">
        <v>Connecteur 5</v>
      </c>
      <c r="G331" s="151" t="str">
        <v>Connecteur 6</v>
      </c>
      <c r="H331" s="151" t="str">
        <v>Connecteur 7</v>
      </c>
      <c r="I331" s="151" t="str">
        <v>Connecteur 8</v>
      </c>
      <c r="J331" s="151" t="str">
        <v>Connecteur 9</v>
      </c>
      <c r="K331" s="151" t="str">
        <v>Connecteur 10</v>
      </c>
      <c r="L331" s="151" t="str">
        <v>Connecteur 11</v>
      </c>
      <c r="M331" s="151" t="str">
        <v>Connecteur 12</v>
      </c>
      <c r="N331" s="151" t="str">
        <v>Connecteur 13</v>
      </c>
    </row>
    <row r="332" spans="1:14" x14ac:dyDescent="0.25">
      <c r="A332" s="42" t="s">
        <v>91</v>
      </c>
      <c r="B332" s="43" t="e" cm="1">
        <f t="array" aca="1" ref="B332:N335" ca="1">Omia_2!C16:O19</f>
        <v>#REF!</v>
      </c>
      <c r="C332" s="43" t="e">
        <f ca="1"/>
        <v>#REF!</v>
      </c>
      <c r="D332" s="43" t="e">
        <f ca="1"/>
        <v>#REF!</v>
      </c>
      <c r="E332" s="43" t="e">
        <f ca="1"/>
        <v>#REF!</v>
      </c>
      <c r="F332" s="43" t="e">
        <f ca="1"/>
        <v>#REF!</v>
      </c>
      <c r="G332" s="43" t="e">
        <f ca="1"/>
        <v>#REF!</v>
      </c>
      <c r="H332" s="43" t="e">
        <f ca="1"/>
        <v>#REF!</v>
      </c>
      <c r="I332" s="43" t="e">
        <f ca="1"/>
        <v>#REF!</v>
      </c>
      <c r="J332" s="43" t="e">
        <f ca="1"/>
        <v>#REF!</v>
      </c>
      <c r="K332" s="43" t="e">
        <f ca="1"/>
        <v>#REF!</v>
      </c>
      <c r="L332" s="43" t="e">
        <f ca="1"/>
        <v>#REF!</v>
      </c>
      <c r="M332" s="43" t="e">
        <f ca="1"/>
        <v>#REF!</v>
      </c>
      <c r="N332" s="43" t="e">
        <f ca="1"/>
        <v>#REF!</v>
      </c>
    </row>
    <row r="333" spans="1:14" x14ac:dyDescent="0.25">
      <c r="A333" s="42" t="s">
        <v>93</v>
      </c>
      <c r="B333" s="43" t="e">
        <f ca="1"/>
        <v>#REF!</v>
      </c>
      <c r="C333" s="43" t="e">
        <f ca="1"/>
        <v>#REF!</v>
      </c>
      <c r="D333" s="43" t="e">
        <f ca="1"/>
        <v>#REF!</v>
      </c>
      <c r="E333" s="43" t="e">
        <f ca="1"/>
        <v>#REF!</v>
      </c>
      <c r="F333" s="43" t="e">
        <f ca="1"/>
        <v>#REF!</v>
      </c>
      <c r="G333" s="43" t="e">
        <f ca="1"/>
        <v>#REF!</v>
      </c>
      <c r="H333" s="43" t="e">
        <f ca="1"/>
        <v>#REF!</v>
      </c>
      <c r="I333" s="43" t="e">
        <f ca="1"/>
        <v>#REF!</v>
      </c>
      <c r="J333" s="43" t="e">
        <f ca="1"/>
        <v>#REF!</v>
      </c>
      <c r="K333" s="43" t="e">
        <f ca="1"/>
        <v>#REF!</v>
      </c>
      <c r="L333" s="43" t="e">
        <f ca="1"/>
        <v>#REF!</v>
      </c>
      <c r="M333" s="43" t="e">
        <f ca="1"/>
        <v>#REF!</v>
      </c>
      <c r="N333" s="43" t="e">
        <f ca="1"/>
        <v>#REF!</v>
      </c>
    </row>
    <row r="334" spans="1:14" x14ac:dyDescent="0.25">
      <c r="A334" s="42" t="s">
        <v>95</v>
      </c>
      <c r="B334" s="43" t="e">
        <f ca="1"/>
        <v>#REF!</v>
      </c>
      <c r="C334" s="43" t="e">
        <f ca="1"/>
        <v>#REF!</v>
      </c>
      <c r="D334" s="43" t="e">
        <f ca="1"/>
        <v>#REF!</v>
      </c>
      <c r="E334" s="43" t="e">
        <f ca="1"/>
        <v>#REF!</v>
      </c>
      <c r="F334" s="43" t="e">
        <f ca="1"/>
        <v>#REF!</v>
      </c>
      <c r="G334" s="43" t="e">
        <f ca="1"/>
        <v>#REF!</v>
      </c>
      <c r="H334" s="43" t="e">
        <f ca="1"/>
        <v>#REF!</v>
      </c>
      <c r="I334" s="43" t="e">
        <f ca="1"/>
        <v>#REF!</v>
      </c>
      <c r="J334" s="43" t="e">
        <f ca="1"/>
        <v>#REF!</v>
      </c>
      <c r="K334" s="43" t="e">
        <f ca="1"/>
        <v>#REF!</v>
      </c>
      <c r="L334" s="43" t="e">
        <f ca="1"/>
        <v>#REF!</v>
      </c>
      <c r="M334" s="43" t="e">
        <f ca="1"/>
        <v>#REF!</v>
      </c>
      <c r="N334" s="43" t="e">
        <f ca="1"/>
        <v>#REF!</v>
      </c>
    </row>
    <row r="335" spans="1:14" x14ac:dyDescent="0.25">
      <c r="A335" s="42" t="s">
        <v>96</v>
      </c>
      <c r="B335" s="43" t="e">
        <f ca="1"/>
        <v>#REF!</v>
      </c>
      <c r="C335" s="43" t="e">
        <f ca="1"/>
        <v>#REF!</v>
      </c>
      <c r="D335" s="43" t="e">
        <f ca="1"/>
        <v>#REF!</v>
      </c>
      <c r="E335" s="43" t="e">
        <f ca="1"/>
        <v>#REF!</v>
      </c>
      <c r="F335" s="43" t="e">
        <f ca="1"/>
        <v>#REF!</v>
      </c>
      <c r="G335" s="43" t="e">
        <f ca="1"/>
        <v>#REF!</v>
      </c>
      <c r="H335" s="43" t="e">
        <f ca="1"/>
        <v>#REF!</v>
      </c>
      <c r="I335" s="43" t="e">
        <f ca="1"/>
        <v>#REF!</v>
      </c>
      <c r="J335" s="43" t="e">
        <f ca="1"/>
        <v>#REF!</v>
      </c>
      <c r="K335" s="43" t="e">
        <f ca="1"/>
        <v>#REF!</v>
      </c>
      <c r="L335" s="43" t="e">
        <f ca="1"/>
        <v>#REF!</v>
      </c>
      <c r="M335" s="43" t="e">
        <f ca="1"/>
        <v>#REF!</v>
      </c>
      <c r="N335" s="43" t="e">
        <f ca="1"/>
        <v>#REF!</v>
      </c>
    </row>
    <row r="336" spans="1:14" x14ac:dyDescent="0.25">
      <c r="A336" s="42" t="s">
        <v>97</v>
      </c>
      <c r="B336" s="500" t="e">
        <f ca="1">Omia_2!C20</f>
        <v>#REF!</v>
      </c>
      <c r="C336" s="501"/>
      <c r="D336" s="501"/>
      <c r="E336" s="501"/>
      <c r="F336" s="501"/>
      <c r="G336" s="501"/>
      <c r="H336" s="501"/>
      <c r="I336" s="501"/>
      <c r="J336" s="501"/>
      <c r="K336" s="501"/>
      <c r="L336" s="501"/>
      <c r="M336" s="501"/>
      <c r="N336" s="502"/>
    </row>
    <row r="337" spans="1:14" x14ac:dyDescent="0.25">
      <c r="A337" s="42" t="s">
        <v>98</v>
      </c>
      <c r="B337" s="500" t="e">
        <f ca="1">Omia_2!C21</f>
        <v>#REF!</v>
      </c>
      <c r="C337" s="501"/>
      <c r="D337" s="501"/>
      <c r="E337" s="501"/>
      <c r="F337" s="501"/>
      <c r="G337" s="501"/>
      <c r="H337" s="501"/>
      <c r="I337" s="501"/>
      <c r="J337" s="501"/>
      <c r="K337" s="501"/>
      <c r="L337" s="501"/>
      <c r="M337" s="501"/>
      <c r="N337" s="502"/>
    </row>
    <row r="338" spans="1:14" x14ac:dyDescent="0.25">
      <c r="A338" s="36" t="s">
        <v>99</v>
      </c>
      <c r="B338" s="152" t="e" cm="1">
        <f t="array" aca="1" ref="B338:N338" ca="1">Omia_2!C22:O22</f>
        <v>#REF!</v>
      </c>
      <c r="C338" s="153" t="e">
        <f ca="1"/>
        <v>#REF!</v>
      </c>
      <c r="D338" s="153" t="e">
        <f ca="1"/>
        <v>#REF!</v>
      </c>
      <c r="E338" s="153" t="e">
        <f ca="1"/>
        <v>#REF!</v>
      </c>
      <c r="F338" s="153" t="e">
        <f ca="1"/>
        <v>#REF!</v>
      </c>
      <c r="G338" s="153" t="e">
        <f ca="1"/>
        <v>#REF!</v>
      </c>
      <c r="H338" s="153" t="e">
        <f ca="1"/>
        <v>#REF!</v>
      </c>
      <c r="I338" s="153" t="e">
        <f ca="1"/>
        <v>#REF!</v>
      </c>
      <c r="J338" s="153" t="e">
        <f ca="1"/>
        <v>#REF!</v>
      </c>
      <c r="K338" s="153" t="e">
        <f ca="1"/>
        <v>#REF!</v>
      </c>
      <c r="L338" s="153" t="e">
        <f ca="1"/>
        <v>#REF!</v>
      </c>
      <c r="M338" s="153" t="e">
        <f ca="1"/>
        <v>#REF!</v>
      </c>
      <c r="N338" s="153" t="e">
        <f ca="1"/>
        <v>#REF!</v>
      </c>
    </row>
    <row r="348" spans="1:14" x14ac:dyDescent="0.25">
      <c r="B348" s="134"/>
    </row>
    <row r="350" spans="1:14" ht="36" x14ac:dyDescent="0.3">
      <c r="C350" s="135" t="str">
        <f>"11. Résultats et exploitation des résultats à " &amp; Mesures_Omia!C20 &amp; "°C"</f>
        <v>11. Résultats et exploitation des résultats à °C</v>
      </c>
      <c r="D350" s="136"/>
      <c r="E350" s="136"/>
      <c r="F350" s="136"/>
    </row>
    <row r="353" spans="2:2" x14ac:dyDescent="0.25">
      <c r="B353" t="s">
        <v>213</v>
      </c>
    </row>
    <row r="402" spans="1:9" ht="36" x14ac:dyDescent="0.25">
      <c r="B402" s="135" t="str">
        <f>"12. Résultats et exploitation des résultats à " &amp; Mesures_Omia!D20 &amp; "°C"</f>
        <v>12. Résultats et exploitation des résultats à °C</v>
      </c>
    </row>
    <row r="409" spans="1:9" x14ac:dyDescent="0.25">
      <c r="A409" s="121" t="s">
        <v>237</v>
      </c>
      <c r="B409" s="123">
        <f>Mesures_Omia!D20</f>
        <v>0</v>
      </c>
      <c r="G409" s="465" t="s">
        <v>190</v>
      </c>
      <c r="H409" s="466"/>
      <c r="I409" s="467"/>
    </row>
    <row r="410" spans="1:9" x14ac:dyDescent="0.25">
      <c r="A410" s="121" t="s">
        <v>238</v>
      </c>
      <c r="B410" s="150">
        <f>Mesures_Omia!B21</f>
        <v>0</v>
      </c>
      <c r="G410" s="22" t="s">
        <v>191</v>
      </c>
      <c r="H410" s="22" t="s">
        <v>192</v>
      </c>
      <c r="I410" s="22" t="s">
        <v>193</v>
      </c>
    </row>
    <row r="411" spans="1:9" x14ac:dyDescent="0.25">
      <c r="G411" s="124" t="e" cm="1">
        <f t="array" ref="G411">INDEX(Donnees_Brutes_Omia_3[Date/Heure], COUNTA(Donnees_Brutes_Omia_3[Connecteur 1])-30)</f>
        <v>#VALUE!</v>
      </c>
      <c r="H411" s="124" cm="1">
        <f t="array" ref="H411">INDEX(Donnees_Brutes_Omia_3[Date/Heure], COUNTA(Donnees_Brutes_Omia_3[Connecteur 1]))</f>
        <v>0</v>
      </c>
      <c r="I411" s="124" t="e">
        <f>H411-G411</f>
        <v>#VALUE!</v>
      </c>
    </row>
    <row r="414" spans="1:9" ht="23.25" x14ac:dyDescent="0.25">
      <c r="B414" s="468" t="s">
        <v>194</v>
      </c>
      <c r="C414" s="468"/>
    </row>
    <row r="417" spans="1:6" ht="30" x14ac:dyDescent="0.25">
      <c r="B417" s="125" t="s">
        <v>195</v>
      </c>
      <c r="C417" s="126" t="s">
        <v>196</v>
      </c>
      <c r="D417" s="126" t="s">
        <v>112</v>
      </c>
      <c r="E417" s="127" t="s">
        <v>197</v>
      </c>
      <c r="F417" s="126" t="s">
        <v>198</v>
      </c>
    </row>
    <row r="418" spans="1:6" x14ac:dyDescent="0.25">
      <c r="B418" s="128" t="s">
        <v>199</v>
      </c>
      <c r="C418" s="129" t="str">
        <f>Mesures_Omia!D20 &amp; "°C"</f>
        <v>°C</v>
      </c>
      <c r="D418" s="129" t="s">
        <v>200</v>
      </c>
      <c r="E418" s="129" t="s">
        <v>200</v>
      </c>
      <c r="F418" s="130" t="s">
        <v>200</v>
      </c>
    </row>
    <row r="419" spans="1:6" x14ac:dyDescent="0.25">
      <c r="B419" s="128" t="s">
        <v>201</v>
      </c>
      <c r="C419" s="129" t="str">
        <f>Mesures_Omia!D20 &amp; "°C"</f>
        <v>°C</v>
      </c>
      <c r="D419" s="129" t="s">
        <v>200</v>
      </c>
      <c r="E419" s="129" t="s">
        <v>200</v>
      </c>
      <c r="F419" s="130" t="s">
        <v>200</v>
      </c>
    </row>
    <row r="420" spans="1:6" x14ac:dyDescent="0.25">
      <c r="A420" s="469" t="s">
        <v>202</v>
      </c>
      <c r="B420" s="128" t="s">
        <v>203</v>
      </c>
      <c r="C420" s="131" t="e">
        <f ca="1">MAX(Omia_3!C16:O16)</f>
        <v>#REF!</v>
      </c>
      <c r="D420" s="129" t="e">
        <f ca="1">_xlfn.XLOOKUP(INT(SUBSTITUTE(E420,"Connecteur ","")),Mesures_Omia!C24:C36,Mesures_Omia!A24:A36)</f>
        <v>#REF!</v>
      </c>
      <c r="E420" s="129" t="e" cm="1">
        <f t="array" aca="1" ref="E420" ca="1">_xlfn.XLOOKUP(MAX(Omia_3!C16:O16),Omia_3!C16:O16,_xlfn.ANCHORARRAY(Omia_3!C14))</f>
        <v>#REF!</v>
      </c>
      <c r="F420" s="129" t="e">
        <f ca="1">_xlfn.XLOOKUP(INT(SUBSTITUTE(E420,"Connecteur ","")),Mesures_Omia!C24:C36,Mesures_Omia!B24:B36)</f>
        <v>#REF!</v>
      </c>
    </row>
    <row r="421" spans="1:6" x14ac:dyDescent="0.25">
      <c r="A421" s="469"/>
      <c r="B421" s="128" t="s">
        <v>204</v>
      </c>
      <c r="C421" s="131" t="e">
        <f ca="1">MIN(Omia_3!C16:O16)</f>
        <v>#REF!</v>
      </c>
      <c r="D421" s="129" t="e">
        <f ca="1">_xlfn.XLOOKUP(INT(SUBSTITUTE(E421,"Connecteur ","")),Mesures_Omia!C24:C36,Mesures_Omia!A24:A36)</f>
        <v>#REF!</v>
      </c>
      <c r="E421" s="129" t="e" cm="1">
        <f t="array" aca="1" ref="E421" ca="1">_xlfn.XLOOKUP(MIN(Omia_3!C16:O16),Omia_3!C16:O16,_xlfn.ANCHORARRAY(Omia_3!C14))</f>
        <v>#REF!</v>
      </c>
      <c r="F421" s="130" t="e">
        <f ca="1">_xlfn.XLOOKUP(INT(SUBSTITUTE(E421,"Connecteur ","")),Mesures_Omia!C24:C36,Mesures_Omia!B24:B36)</f>
        <v>#REF!</v>
      </c>
    </row>
    <row r="422" spans="1:6" x14ac:dyDescent="0.25">
      <c r="A422" s="469"/>
      <c r="B422" s="128" t="s">
        <v>205</v>
      </c>
      <c r="C422" s="131" t="e">
        <f ca="1">MIN(Omia_3!C17:O17)</f>
        <v>#REF!</v>
      </c>
      <c r="D422" s="129" t="e">
        <f ca="1">_xlfn.XLOOKUP(INT(SUBSTITUTE(E422,"Connecteur ","")),Mesures_Omia!C24:C36,Mesures_Omia!A24:A36)</f>
        <v>#REF!</v>
      </c>
      <c r="E422" s="129" t="e" cm="1">
        <f t="array" aca="1" ref="E422" ca="1">_xlfn.XLOOKUP(MAX(Omia_3!C17:O17),Omia_3!C17:O17,_xlfn.ANCHORARRAY(Omia_3!C14))</f>
        <v>#REF!</v>
      </c>
      <c r="F422" s="130" t="e">
        <f ca="1">_xlfn.XLOOKUP(INT(SUBSTITUTE(E422,"Connecteur ","")),Mesures_Omia!C24:C36,Mesures_Omia!B24:B36)</f>
        <v>#REF!</v>
      </c>
    </row>
    <row r="423" spans="1:6" x14ac:dyDescent="0.25">
      <c r="A423" s="469"/>
      <c r="B423" s="128" t="s">
        <v>206</v>
      </c>
      <c r="C423" s="131" t="e">
        <f ca="1">AVERAGE(Omia_3!C18:O18)</f>
        <v>#REF!</v>
      </c>
      <c r="D423" s="129" t="s">
        <v>200</v>
      </c>
      <c r="E423" s="129" t="s">
        <v>200</v>
      </c>
      <c r="F423" s="130" t="s">
        <v>200</v>
      </c>
    </row>
    <row r="424" spans="1:6" x14ac:dyDescent="0.25">
      <c r="C424" s="88"/>
      <c r="D424" s="88"/>
      <c r="E424" s="88"/>
      <c r="F424" s="88"/>
    </row>
    <row r="433" spans="1:14" ht="36" x14ac:dyDescent="0.25">
      <c r="B433" s="461" t="str">
        <f>"13. Résultats et exploitation des résultats à " &amp; Mesures_Omia!D20 &amp; "°C"</f>
        <v>13. Résultats et exploitation des résultats à °C</v>
      </c>
      <c r="C433" s="461"/>
      <c r="D433" s="461"/>
      <c r="E433" s="461"/>
      <c r="F433" s="461"/>
    </row>
    <row r="436" spans="1:14" x14ac:dyDescent="0.25">
      <c r="B436" s="352" t="s">
        <v>207</v>
      </c>
      <c r="C436" s="352"/>
    </row>
    <row r="440" spans="1:14" x14ac:dyDescent="0.25">
      <c r="A440" s="1"/>
      <c r="B440" s="151" t="str" cm="1">
        <f t="array" ref="B440:N440">Donnees_Brutes_Omia_1[[#Headers],[Connecteur 1]:[Connecteur 13]]</f>
        <v>Connecteur 1</v>
      </c>
      <c r="C440" s="151" t="str">
        <v>Connecteur 2</v>
      </c>
      <c r="D440" s="151" t="str">
        <v>Connecteur 3</v>
      </c>
      <c r="E440" s="151" t="str">
        <v>Connecteur 4</v>
      </c>
      <c r="F440" s="151" t="str">
        <v>Connecteur 5</v>
      </c>
      <c r="G440" s="151" t="str">
        <v>Connecteur 6</v>
      </c>
      <c r="H440" s="151" t="str">
        <v>Connecteur 7</v>
      </c>
      <c r="I440" s="151" t="str">
        <v>Connecteur 8</v>
      </c>
      <c r="J440" s="151" t="str">
        <v>Connecteur 9</v>
      </c>
      <c r="K440" s="151" t="str">
        <v>Connecteur 10</v>
      </c>
      <c r="L440" s="151" t="str">
        <v>Connecteur 11</v>
      </c>
      <c r="M440" s="151" t="str">
        <v>Connecteur 12</v>
      </c>
      <c r="N440" s="151" t="str">
        <v>Connecteur 13</v>
      </c>
    </row>
    <row r="441" spans="1:14" x14ac:dyDescent="0.25">
      <c r="A441" s="42" t="s">
        <v>91</v>
      </c>
      <c r="B441" s="43" t="e" cm="1">
        <f t="array" aca="1" ref="B441:N444" ca="1">Omia_3!C16:O19</f>
        <v>#REF!</v>
      </c>
      <c r="C441" s="43" t="e">
        <f ca="1"/>
        <v>#REF!</v>
      </c>
      <c r="D441" s="43" t="e">
        <f ca="1"/>
        <v>#REF!</v>
      </c>
      <c r="E441" s="43" t="e">
        <f ca="1"/>
        <v>#REF!</v>
      </c>
      <c r="F441" s="43" t="e">
        <f ca="1"/>
        <v>#REF!</v>
      </c>
      <c r="G441" s="43" t="e">
        <f ca="1"/>
        <v>#REF!</v>
      </c>
      <c r="H441" s="43" t="e">
        <f ca="1"/>
        <v>#REF!</v>
      </c>
      <c r="I441" s="43" t="e">
        <f ca="1"/>
        <v>#REF!</v>
      </c>
      <c r="J441" s="43" t="e">
        <f ca="1"/>
        <v>#REF!</v>
      </c>
      <c r="K441" s="43" t="e">
        <f ca="1"/>
        <v>#REF!</v>
      </c>
      <c r="L441" s="43" t="e">
        <f ca="1"/>
        <v>#REF!</v>
      </c>
      <c r="M441" s="43" t="e">
        <f ca="1"/>
        <v>#REF!</v>
      </c>
      <c r="N441" s="43" t="e">
        <f ca="1"/>
        <v>#REF!</v>
      </c>
    </row>
    <row r="442" spans="1:14" x14ac:dyDescent="0.25">
      <c r="A442" s="42" t="s">
        <v>93</v>
      </c>
      <c r="B442" s="43" t="e">
        <f ca="1"/>
        <v>#REF!</v>
      </c>
      <c r="C442" s="43" t="e">
        <f ca="1"/>
        <v>#REF!</v>
      </c>
      <c r="D442" s="43" t="e">
        <f ca="1"/>
        <v>#REF!</v>
      </c>
      <c r="E442" s="43" t="e">
        <f ca="1"/>
        <v>#REF!</v>
      </c>
      <c r="F442" s="43" t="e">
        <f ca="1"/>
        <v>#REF!</v>
      </c>
      <c r="G442" s="43" t="e">
        <f ca="1"/>
        <v>#REF!</v>
      </c>
      <c r="H442" s="43" t="e">
        <f ca="1"/>
        <v>#REF!</v>
      </c>
      <c r="I442" s="43" t="e">
        <f ca="1"/>
        <v>#REF!</v>
      </c>
      <c r="J442" s="43" t="e">
        <f ca="1"/>
        <v>#REF!</v>
      </c>
      <c r="K442" s="43" t="e">
        <f ca="1"/>
        <v>#REF!</v>
      </c>
      <c r="L442" s="43" t="e">
        <f ca="1"/>
        <v>#REF!</v>
      </c>
      <c r="M442" s="43" t="e">
        <f ca="1"/>
        <v>#REF!</v>
      </c>
      <c r="N442" s="43" t="e">
        <f ca="1"/>
        <v>#REF!</v>
      </c>
    </row>
    <row r="443" spans="1:14" x14ac:dyDescent="0.25">
      <c r="A443" s="42" t="s">
        <v>95</v>
      </c>
      <c r="B443" s="43" t="e">
        <f ca="1"/>
        <v>#REF!</v>
      </c>
      <c r="C443" s="43" t="e">
        <f ca="1"/>
        <v>#REF!</v>
      </c>
      <c r="D443" s="43" t="e">
        <f ca="1"/>
        <v>#REF!</v>
      </c>
      <c r="E443" s="43" t="e">
        <f ca="1"/>
        <v>#REF!</v>
      </c>
      <c r="F443" s="43" t="e">
        <f ca="1"/>
        <v>#REF!</v>
      </c>
      <c r="G443" s="43" t="e">
        <f ca="1"/>
        <v>#REF!</v>
      </c>
      <c r="H443" s="43" t="e">
        <f ca="1"/>
        <v>#REF!</v>
      </c>
      <c r="I443" s="43" t="e">
        <f ca="1"/>
        <v>#REF!</v>
      </c>
      <c r="J443" s="43" t="e">
        <f ca="1"/>
        <v>#REF!</v>
      </c>
      <c r="K443" s="43" t="e">
        <f ca="1"/>
        <v>#REF!</v>
      </c>
      <c r="L443" s="43" t="e">
        <f ca="1"/>
        <v>#REF!</v>
      </c>
      <c r="M443" s="43" t="e">
        <f ca="1"/>
        <v>#REF!</v>
      </c>
      <c r="N443" s="43" t="e">
        <f ca="1"/>
        <v>#REF!</v>
      </c>
    </row>
    <row r="444" spans="1:14" x14ac:dyDescent="0.25">
      <c r="A444" s="42" t="s">
        <v>96</v>
      </c>
      <c r="B444" s="43" t="e">
        <f ca="1"/>
        <v>#REF!</v>
      </c>
      <c r="C444" s="43" t="e">
        <f ca="1"/>
        <v>#REF!</v>
      </c>
      <c r="D444" s="43" t="e">
        <f ca="1"/>
        <v>#REF!</v>
      </c>
      <c r="E444" s="43" t="e">
        <f ca="1"/>
        <v>#REF!</v>
      </c>
      <c r="F444" s="43" t="e">
        <f ca="1"/>
        <v>#REF!</v>
      </c>
      <c r="G444" s="43" t="e">
        <f ca="1"/>
        <v>#REF!</v>
      </c>
      <c r="H444" s="43" t="e">
        <f ca="1"/>
        <v>#REF!</v>
      </c>
      <c r="I444" s="43" t="e">
        <f ca="1"/>
        <v>#REF!</v>
      </c>
      <c r="J444" s="43" t="e">
        <f ca="1"/>
        <v>#REF!</v>
      </c>
      <c r="K444" s="43" t="e">
        <f ca="1"/>
        <v>#REF!</v>
      </c>
      <c r="L444" s="43" t="e">
        <f ca="1"/>
        <v>#REF!</v>
      </c>
      <c r="M444" s="43" t="e">
        <f ca="1"/>
        <v>#REF!</v>
      </c>
      <c r="N444" s="43" t="e">
        <f ca="1"/>
        <v>#REF!</v>
      </c>
    </row>
    <row r="445" spans="1:14" x14ac:dyDescent="0.25">
      <c r="A445" s="42" t="s">
        <v>97</v>
      </c>
      <c r="B445" s="500" t="e">
        <f ca="1">Omia_3!C20</f>
        <v>#REF!</v>
      </c>
      <c r="C445" s="501"/>
      <c r="D445" s="501"/>
      <c r="E445" s="501"/>
      <c r="F445" s="501"/>
      <c r="G445" s="501"/>
      <c r="H445" s="501"/>
      <c r="I445" s="501"/>
      <c r="J445" s="501"/>
      <c r="K445" s="501"/>
      <c r="L445" s="501"/>
      <c r="M445" s="501"/>
      <c r="N445" s="502"/>
    </row>
    <row r="446" spans="1:14" x14ac:dyDescent="0.25">
      <c r="A446" s="42" t="s">
        <v>98</v>
      </c>
      <c r="B446" s="500" t="e">
        <f ca="1">Omia_3!C21</f>
        <v>#REF!</v>
      </c>
      <c r="C446" s="501"/>
      <c r="D446" s="501"/>
      <c r="E446" s="501"/>
      <c r="F446" s="501"/>
      <c r="G446" s="501"/>
      <c r="H446" s="501"/>
      <c r="I446" s="501"/>
      <c r="J446" s="501"/>
      <c r="K446" s="501"/>
      <c r="L446" s="501"/>
      <c r="M446" s="501"/>
      <c r="N446" s="502"/>
    </row>
    <row r="447" spans="1:14" x14ac:dyDescent="0.25">
      <c r="A447" s="36" t="s">
        <v>99</v>
      </c>
      <c r="B447" s="152" t="e" cm="1">
        <f t="array" aca="1" ref="B447:N447" ca="1">Omia_3!C22:O22</f>
        <v>#REF!</v>
      </c>
      <c r="C447" s="153" t="e">
        <f ca="1"/>
        <v>#REF!</v>
      </c>
      <c r="D447" s="153" t="e">
        <f ca="1"/>
        <v>#REF!</v>
      </c>
      <c r="E447" s="153" t="e">
        <f ca="1"/>
        <v>#REF!</v>
      </c>
      <c r="F447" s="153" t="e">
        <f ca="1"/>
        <v>#REF!</v>
      </c>
      <c r="G447" s="153" t="e">
        <f ca="1"/>
        <v>#REF!</v>
      </c>
      <c r="H447" s="153" t="e">
        <f ca="1"/>
        <v>#REF!</v>
      </c>
      <c r="I447" s="153" t="e">
        <f ca="1"/>
        <v>#REF!</v>
      </c>
      <c r="J447" s="153" t="e">
        <f ca="1"/>
        <v>#REF!</v>
      </c>
      <c r="K447" s="153" t="e">
        <f ca="1"/>
        <v>#REF!</v>
      </c>
      <c r="L447" s="153" t="e">
        <f ca="1"/>
        <v>#REF!</v>
      </c>
      <c r="M447" s="153" t="e">
        <f ca="1"/>
        <v>#REF!</v>
      </c>
      <c r="N447" s="153" t="e">
        <f ca="1"/>
        <v>#REF!</v>
      </c>
    </row>
    <row r="453" spans="2:6" x14ac:dyDescent="0.25">
      <c r="B453" s="134"/>
    </row>
    <row r="455" spans="2:6" ht="36" x14ac:dyDescent="0.3">
      <c r="C455" s="135" t="str">
        <f>"14. Résultats et exploitation des résultats à " &amp; Mesures_Omia!D20 &amp; "°C"</f>
        <v>14. Résultats et exploitation des résultats à °C</v>
      </c>
      <c r="D455" s="136"/>
      <c r="E455" s="136"/>
      <c r="F455" s="136"/>
    </row>
    <row r="458" spans="2:6" x14ac:dyDescent="0.25">
      <c r="B458" t="s">
        <v>213</v>
      </c>
    </row>
    <row r="505" spans="3:7" x14ac:dyDescent="0.25">
      <c r="C505" s="128" t="s">
        <v>215</v>
      </c>
      <c r="D505" s="128"/>
      <c r="E505" s="22" t="str">
        <f>Mesures_Omia!B20 &amp; "°C"</f>
        <v>°C</v>
      </c>
      <c r="F505" s="22" t="str">
        <f>Mesures_Omia!C20 &amp; "°C"</f>
        <v>°C</v>
      </c>
      <c r="G505" s="22" t="str">
        <f>Mesures_Omia!D20 &amp; "°C"</f>
        <v>°C</v>
      </c>
    </row>
    <row r="506" spans="3:7" x14ac:dyDescent="0.25">
      <c r="C506" s="471" t="s">
        <v>216</v>
      </c>
      <c r="D506" s="472"/>
      <c r="E506" s="129">
        <f>Mesures_Omia!B20</f>
        <v>0</v>
      </c>
      <c r="F506" s="129">
        <f>Mesures_Omia!C20</f>
        <v>0</v>
      </c>
      <c r="G506" s="129">
        <f>Mesures_Omia!D20</f>
        <v>0</v>
      </c>
    </row>
    <row r="507" spans="3:7" x14ac:dyDescent="0.25">
      <c r="C507" s="471" t="s">
        <v>217</v>
      </c>
      <c r="D507" s="472"/>
      <c r="E507" s="131" t="e">
        <f ca="1">Omia_1!C20</f>
        <v>#REF!</v>
      </c>
      <c r="F507" s="131" t="e">
        <f ca="1">Omia_2!C20</f>
        <v>#REF!</v>
      </c>
      <c r="G507" s="131" t="e">
        <f ca="1">Omia_3!C20</f>
        <v>#REF!</v>
      </c>
    </row>
    <row r="508" spans="3:7" x14ac:dyDescent="0.25">
      <c r="C508" s="471" t="s">
        <v>218</v>
      </c>
      <c r="D508" s="472"/>
      <c r="E508" s="154">
        <f>Mesures_Omia!B21</f>
        <v>0</v>
      </c>
      <c r="F508" s="154">
        <f>Mesures_Omia!B21</f>
        <v>0</v>
      </c>
      <c r="G508" s="154">
        <f>Mesures_Omia!B21</f>
        <v>0</v>
      </c>
    </row>
    <row r="509" spans="3:7" x14ac:dyDescent="0.25">
      <c r="C509" s="471" t="s">
        <v>239</v>
      </c>
      <c r="D509" s="472"/>
      <c r="E509" s="129" t="e">
        <f ca="1">IF(MIN(Omia_1!C17:O17)&lt;Omia_1!P17,"NON CONFORME","CONFORME")</f>
        <v>#REF!</v>
      </c>
      <c r="F509" s="129" t="e">
        <f ca="1">IF(MIN(Omia_2!C17:O17)&lt;Omia_2!P17,"NON CONFORME","CONFORME")</f>
        <v>#REF!</v>
      </c>
      <c r="G509" s="129" t="e">
        <f ca="1">IF(MIN(Omia_3!C17:O17)&lt;Omia_3!P17,"NON CONFORME","CONFORME")</f>
        <v>#REF!</v>
      </c>
    </row>
    <row r="510" spans="3:7" x14ac:dyDescent="0.25">
      <c r="C510" s="471" t="s">
        <v>240</v>
      </c>
      <c r="D510" s="472"/>
      <c r="E510" s="129" t="e">
        <f ca="1">IF(MAX(Omia_1!C16:O16)&gt;Omia_1!P16,"NON CONFORME","CONFORME")</f>
        <v>#REF!</v>
      </c>
      <c r="F510" s="129" t="e">
        <f ca="1">IF(MAX(Omia_2!C16:O16)&gt;Omia_2!P16,"NON CONFORME","CONFORME")</f>
        <v>#REF!</v>
      </c>
      <c r="G510" s="129" t="e">
        <f ca="1">IF(MAX(Omia_3!C16:O16)&gt;Omia_3!P16,"NON CONFORME","CONFORME")</f>
        <v>#REF!</v>
      </c>
    </row>
    <row r="511" spans="3:7" x14ac:dyDescent="0.25">
      <c r="C511" s="471" t="s">
        <v>241</v>
      </c>
      <c r="D511" s="472"/>
      <c r="E511" s="129" t="e">
        <f ca="1">IF(OR(Omia_1!C21&lt;Omia_1!P17,Omia_1!C21&gt;Omia_1!P16),"NON CONFORME","CONFORME")</f>
        <v>#REF!</v>
      </c>
      <c r="F511" s="129" t="e">
        <f ca="1">IF(OR(Omia_2!C21&lt;Omia_2!P17,Omia_2!C21&gt;Omia_2!P16),"NON CONFORME","CONFORME")</f>
        <v>#REF!</v>
      </c>
      <c r="G511" s="129" t="e">
        <f ca="1">IF(OR(Omia_3!C21&lt;Omia_3!P17,Omia_3!C21&gt;Omia_3!P16),"NON CONFORME","CONFORME")</f>
        <v>#REF!</v>
      </c>
    </row>
  </sheetData>
  <sheetProtection algorithmName="SHA-512" hashValue="gK0+scHX0G+aQ5fZLIQd043q2WELdC1YRr0p+DrSRmA3nvge+c1uQBRa4RkB70bUwhwJc9aOFF7RxHEoBpEQNg==" saltValue="p1BpAs0QVmw5C07jQPCjvw==" spinCount="100000" sheet="1" objects="1" scenarios="1"/>
  <mergeCells count="67">
    <mergeCell ref="C511:D511"/>
    <mergeCell ref="C506:D506"/>
    <mergeCell ref="C507:D507"/>
    <mergeCell ref="C508:D508"/>
    <mergeCell ref="C509:D509"/>
    <mergeCell ref="C510:D510"/>
    <mergeCell ref="B446:N446"/>
    <mergeCell ref="A310:A313"/>
    <mergeCell ref="B324:F324"/>
    <mergeCell ref="B327:C327"/>
    <mergeCell ref="B336:N336"/>
    <mergeCell ref="B337:N337"/>
    <mergeCell ref="G409:I409"/>
    <mergeCell ref="B414:C414"/>
    <mergeCell ref="A420:A423"/>
    <mergeCell ref="B433:F433"/>
    <mergeCell ref="B436:C436"/>
    <mergeCell ref="B445:N445"/>
    <mergeCell ref="B304:C304"/>
    <mergeCell ref="B129:I144"/>
    <mergeCell ref="C163:H163"/>
    <mergeCell ref="C196:H196"/>
    <mergeCell ref="G200:I200"/>
    <mergeCell ref="B205:C205"/>
    <mergeCell ref="B226:F226"/>
    <mergeCell ref="B229:C229"/>
    <mergeCell ref="B238:N238"/>
    <mergeCell ref="B239:N239"/>
    <mergeCell ref="G299:I299"/>
    <mergeCell ref="A211:A214"/>
    <mergeCell ref="C105:D105"/>
    <mergeCell ref="C106:D106"/>
    <mergeCell ref="C107:D107"/>
    <mergeCell ref="C108:D108"/>
    <mergeCell ref="B116:F116"/>
    <mergeCell ref="C127:F127"/>
    <mergeCell ref="C104:D104"/>
    <mergeCell ref="C85:G85"/>
    <mergeCell ref="C94:H94"/>
    <mergeCell ref="C95:D95"/>
    <mergeCell ref="C96:D96"/>
    <mergeCell ref="C97:D97"/>
    <mergeCell ref="C98:D98"/>
    <mergeCell ref="C99:D99"/>
    <mergeCell ref="C100:D100"/>
    <mergeCell ref="C101:D101"/>
    <mergeCell ref="C102:D102"/>
    <mergeCell ref="C103:D103"/>
    <mergeCell ref="B69:D69"/>
    <mergeCell ref="E69:H69"/>
    <mergeCell ref="E55:F55"/>
    <mergeCell ref="E56:G56"/>
    <mergeCell ref="B57:C57"/>
    <mergeCell ref="E57:F57"/>
    <mergeCell ref="B61:C61"/>
    <mergeCell ref="E61:G61"/>
    <mergeCell ref="B62:C62"/>
    <mergeCell ref="E66:F66"/>
    <mergeCell ref="E67:H67"/>
    <mergeCell ref="B68:D68"/>
    <mergeCell ref="E68:I68"/>
    <mergeCell ref="C51:F51"/>
    <mergeCell ref="B4:F6"/>
    <mergeCell ref="C10:D10"/>
    <mergeCell ref="E10:F10"/>
    <mergeCell ref="A28:B28"/>
    <mergeCell ref="A30:I47"/>
  </mergeCells>
  <conditionalFormatting sqref="E509">
    <cfRule type="containsText" dxfId="24" priority="6" operator="containsText" text="NON CONFORME">
      <formula>NOT(ISERROR(SEARCH("NON CONFORME",E509)))</formula>
    </cfRule>
  </conditionalFormatting>
  <conditionalFormatting sqref="E510">
    <cfRule type="containsText" dxfId="23" priority="5" operator="containsText" text="NON CONFORME">
      <formula>NOT(ISERROR(SEARCH("NON CONFORME",E510)))</formula>
    </cfRule>
  </conditionalFormatting>
  <conditionalFormatting sqref="F509">
    <cfRule type="containsText" dxfId="22" priority="4" operator="containsText" text="NON CONFORME">
      <formula>NOT(ISERROR(SEARCH("NON CONFORME",F509)))</formula>
    </cfRule>
  </conditionalFormatting>
  <conditionalFormatting sqref="F510">
    <cfRule type="containsText" dxfId="21" priority="3" operator="containsText" text="NON CONFORME">
      <formula>NOT(ISERROR(SEARCH("NON CONFORME",F510)))</formula>
    </cfRule>
  </conditionalFormatting>
  <conditionalFormatting sqref="G509">
    <cfRule type="containsText" dxfId="20" priority="2" operator="containsText" text="NON CONFORME">
      <formula>NOT(ISERROR(SEARCH("NON CONFORME",G509)))</formula>
    </cfRule>
  </conditionalFormatting>
  <conditionalFormatting sqref="G510">
    <cfRule type="containsText" dxfId="19" priority="1" operator="containsText" text="NON CONFORME">
      <formula>NOT(ISERROR(SEARCH("NON CONFORME",G510)))</formula>
    </cfRule>
  </conditionalFormatting>
  <pageMargins left="0.7" right="0.7" top="0.75" bottom="0.75" header="0.3" footer="0.3"/>
  <pageSetup paperSize="9" scale="23" orientation="landscape" r:id="rId1"/>
  <headerFooter>
    <oddFooter>&amp;RIMP 472 ind O du 07-02-2024 (PV de l'étuve OMIA LVT)</oddFooter>
  </headerFooter>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1:O49"/>
  <sheetViews>
    <sheetView topLeftCell="A13" zoomScale="115" zoomScaleNormal="115" workbookViewId="0">
      <selection activeCell="D6" sqref="D6"/>
    </sheetView>
  </sheetViews>
  <sheetFormatPr baseColWidth="10" defaultRowHeight="15" x14ac:dyDescent="0.25"/>
  <cols>
    <col min="1" max="1" width="15.85546875" bestFit="1" customWidth="1"/>
    <col min="2" max="2" width="14.7109375" bestFit="1" customWidth="1"/>
    <col min="3" max="3" width="18.85546875" bestFit="1" customWidth="1"/>
    <col min="4" max="4" width="17.85546875" customWidth="1"/>
    <col min="5" max="5" width="17.5703125" customWidth="1"/>
    <col min="6" max="6" width="18.85546875" customWidth="1"/>
    <col min="7" max="7" width="16.28515625" bestFit="1" customWidth="1"/>
    <col min="8" max="9" width="17.42578125" bestFit="1" customWidth="1"/>
    <col min="11" max="11" width="21.42578125" bestFit="1" customWidth="1"/>
    <col min="12" max="12" width="17.28515625" bestFit="1" customWidth="1"/>
    <col min="13" max="13" width="25.85546875" bestFit="1" customWidth="1"/>
  </cols>
  <sheetData>
    <row r="1" spans="1:13" x14ac:dyDescent="0.25">
      <c r="A1" s="326"/>
    </row>
    <row r="2" spans="1:13" x14ac:dyDescent="0.25">
      <c r="B2" s="445" t="s">
        <v>558</v>
      </c>
      <c r="C2" s="446"/>
      <c r="D2" s="446"/>
      <c r="E2" s="446"/>
      <c r="F2" s="446"/>
      <c r="G2" s="446"/>
      <c r="H2" s="446"/>
      <c r="I2" s="446"/>
      <c r="J2" s="446"/>
      <c r="K2" s="446"/>
    </row>
    <row r="3" spans="1:13" ht="75" customHeight="1" x14ac:dyDescent="0.25">
      <c r="B3" s="446"/>
      <c r="C3" s="446"/>
      <c r="D3" s="446"/>
      <c r="E3" s="446"/>
      <c r="F3" s="446"/>
      <c r="G3" s="446"/>
      <c r="H3" s="446"/>
      <c r="I3" s="446"/>
      <c r="J3" s="446"/>
      <c r="K3" s="446"/>
    </row>
    <row r="4" spans="1:13" ht="47.25" customHeight="1" x14ac:dyDescent="0.25">
      <c r="A4" s="1"/>
      <c r="B4" s="2"/>
      <c r="C4" s="2"/>
      <c r="D4" s="2"/>
      <c r="E4" s="2"/>
      <c r="F4" s="2"/>
      <c r="G4" s="2"/>
    </row>
    <row r="5" spans="1:13" ht="16.5" customHeight="1" x14ac:dyDescent="0.25">
      <c r="A5" s="447" t="s">
        <v>537</v>
      </c>
      <c r="B5" s="447"/>
      <c r="C5" s="447"/>
      <c r="D5" s="161" t="str">
        <f>Choose_TUS!L2 &amp; "( TUS de l'étuve de polymération ENATT)"</f>
        <v>IMP 472 ind O du 07-02-2024 ( TUS de l'étuve de polymération ENATT)</v>
      </c>
      <c r="E5" s="2"/>
      <c r="F5" s="2"/>
      <c r="G5" s="2"/>
    </row>
    <row r="6" spans="1:13" x14ac:dyDescent="0.25">
      <c r="A6" s="447" t="s">
        <v>0</v>
      </c>
      <c r="B6" s="447"/>
      <c r="C6" s="447"/>
      <c r="D6" s="161"/>
      <c r="E6" s="1"/>
      <c r="F6" s="1"/>
    </row>
    <row r="7" spans="1:13" x14ac:dyDescent="0.25">
      <c r="A7" s="1"/>
      <c r="B7" s="1"/>
      <c r="C7" s="1"/>
      <c r="D7" s="1"/>
      <c r="E7" s="1"/>
      <c r="F7" s="1"/>
      <c r="G7" s="1"/>
    </row>
    <row r="8" spans="1:13" x14ac:dyDescent="0.25">
      <c r="A8" s="447" t="s">
        <v>1</v>
      </c>
      <c r="B8" s="447"/>
      <c r="C8" s="4"/>
      <c r="D8" s="1"/>
      <c r="E8" s="447" t="s">
        <v>18</v>
      </c>
      <c r="F8" s="447"/>
      <c r="G8" s="4"/>
      <c r="H8" s="156"/>
      <c r="M8" s="5"/>
    </row>
    <row r="9" spans="1:13" x14ac:dyDescent="0.25">
      <c r="A9" s="447" t="s">
        <v>2</v>
      </c>
      <c r="B9" s="447"/>
      <c r="C9" s="6"/>
      <c r="D9" s="1"/>
      <c r="E9" s="447" t="s">
        <v>19</v>
      </c>
      <c r="F9" s="447"/>
      <c r="G9" s="6"/>
      <c r="M9" s="5"/>
    </row>
    <row r="10" spans="1:13" x14ac:dyDescent="0.25">
      <c r="A10" s="1"/>
      <c r="B10" s="1"/>
      <c r="C10" s="1"/>
      <c r="D10" s="1"/>
      <c r="E10" s="1"/>
      <c r="F10" s="1"/>
      <c r="G10" s="1"/>
      <c r="M10" s="5"/>
    </row>
    <row r="11" spans="1:13" x14ac:dyDescent="0.25">
      <c r="A11" s="443" t="s">
        <v>3</v>
      </c>
      <c r="B11" s="444"/>
      <c r="C11" s="7"/>
      <c r="D11" s="1"/>
      <c r="E11" s="443" t="s">
        <v>20</v>
      </c>
      <c r="F11" s="444"/>
      <c r="G11" s="8"/>
    </row>
    <row r="12" spans="1:13" x14ac:dyDescent="0.25">
      <c r="A12" s="443" t="s">
        <v>4</v>
      </c>
      <c r="B12" s="444"/>
      <c r="C12" s="8"/>
      <c r="D12" s="1"/>
      <c r="E12" s="447" t="s">
        <v>21</v>
      </c>
      <c r="F12" s="447"/>
      <c r="G12" s="159">
        <v>15</v>
      </c>
    </row>
    <row r="13" spans="1:13" x14ac:dyDescent="0.25">
      <c r="A13" s="1"/>
      <c r="B13" s="1"/>
      <c r="C13" s="1"/>
      <c r="D13" s="1"/>
      <c r="E13" s="447" t="s">
        <v>22</v>
      </c>
      <c r="F13" s="447"/>
      <c r="G13" s="10"/>
    </row>
    <row r="14" spans="1:13" x14ac:dyDescent="0.25">
      <c r="A14" s="1"/>
      <c r="B14" s="1"/>
      <c r="C14" s="1"/>
      <c r="D14" s="1"/>
      <c r="E14" s="1"/>
      <c r="F14" s="1"/>
      <c r="G14" s="1"/>
    </row>
    <row r="15" spans="1:13" x14ac:dyDescent="0.25">
      <c r="A15" s="443" t="s">
        <v>5</v>
      </c>
      <c r="B15" s="444"/>
      <c r="C15" s="4"/>
      <c r="D15" s="1"/>
      <c r="E15" s="1"/>
      <c r="F15" s="1"/>
      <c r="G15" s="1"/>
    </row>
    <row r="16" spans="1:13" x14ac:dyDescent="0.25">
      <c r="A16" s="443" t="s">
        <v>6</v>
      </c>
      <c r="B16" s="444"/>
      <c r="C16" s="10"/>
      <c r="D16" s="1"/>
      <c r="E16" s="1"/>
      <c r="F16" s="1"/>
      <c r="G16" s="1"/>
    </row>
    <row r="17" spans="1:9" x14ac:dyDescent="0.25">
      <c r="A17" s="1"/>
      <c r="B17" s="1"/>
      <c r="C17" s="1"/>
      <c r="D17" s="5"/>
      <c r="E17" s="1"/>
      <c r="F17" s="1"/>
      <c r="G17" s="1"/>
    </row>
    <row r="18" spans="1:9" x14ac:dyDescent="0.25">
      <c r="A18" s="1"/>
      <c r="B18" s="1"/>
      <c r="C18" s="1"/>
      <c r="D18" s="5"/>
      <c r="E18" s="1"/>
      <c r="F18" s="1"/>
      <c r="G18" s="1"/>
      <c r="H18" s="1"/>
    </row>
    <row r="19" spans="1:9" x14ac:dyDescent="0.25">
      <c r="A19" s="1"/>
      <c r="B19" s="3" t="s">
        <v>280</v>
      </c>
      <c r="C19" s="3" t="s">
        <v>281</v>
      </c>
      <c r="D19" s="3" t="s">
        <v>282</v>
      </c>
      <c r="E19" s="1"/>
      <c r="F19" s="1"/>
      <c r="G19" s="1"/>
      <c r="H19" s="1"/>
    </row>
    <row r="20" spans="1:9" x14ac:dyDescent="0.25">
      <c r="A20" s="3" t="s">
        <v>559</v>
      </c>
      <c r="B20" s="11"/>
      <c r="C20" s="11"/>
      <c r="D20" s="11"/>
      <c r="E20" s="1"/>
    </row>
    <row r="21" spans="1:9" x14ac:dyDescent="0.25">
      <c r="A21" s="3" t="s">
        <v>549</v>
      </c>
      <c r="B21" s="11"/>
      <c r="C21" s="1"/>
      <c r="D21" s="1"/>
      <c r="E21" s="1"/>
      <c r="F21" s="1"/>
      <c r="G21" s="1"/>
    </row>
    <row r="22" spans="1:9" ht="15.75" thickBot="1" x14ac:dyDescent="0.3">
      <c r="A22" s="1"/>
      <c r="B22" s="1"/>
      <c r="C22" s="1"/>
      <c r="D22" s="1"/>
      <c r="E22" s="1"/>
      <c r="F22" s="1"/>
      <c r="G22" s="1"/>
    </row>
    <row r="23" spans="1:9" ht="30.75" thickBot="1" x14ac:dyDescent="0.3">
      <c r="A23" s="12" t="s">
        <v>9</v>
      </c>
      <c r="B23" s="13" t="s">
        <v>12</v>
      </c>
      <c r="C23" s="13" t="s">
        <v>14</v>
      </c>
      <c r="D23" s="25" t="str">
        <f>"Décalage Enregistreur " &amp; B20 &amp; "°C"</f>
        <v>Décalage Enregistreur °C</v>
      </c>
      <c r="E23" s="25" t="str">
        <f>"Décalage Enregistreur " &amp; C20 &amp; "°C"</f>
        <v>Décalage Enregistreur °C</v>
      </c>
      <c r="F23" s="25" t="str">
        <f>"Décalage Enregistreur " &amp; D20 &amp; "°C"</f>
        <v>Décalage Enregistreur °C</v>
      </c>
      <c r="G23" s="26" t="str">
        <f>"Décalage Enregistreur " &amp; B20 &amp; "°C"</f>
        <v>Décalage Enregistreur °C</v>
      </c>
      <c r="H23" s="26" t="str">
        <f>"Décalage Enregistreur " &amp; C20 &amp; "°C"</f>
        <v>Décalage Enregistreur °C</v>
      </c>
      <c r="I23" s="26" t="str">
        <f>"Décalage Enregistreur " &amp; D20 &amp; "°C"</f>
        <v>Décalage Enregistreur °C</v>
      </c>
    </row>
    <row r="24" spans="1:9" x14ac:dyDescent="0.25">
      <c r="A24" s="15">
        <v>1</v>
      </c>
      <c r="B24" s="11"/>
      <c r="C24" s="11"/>
      <c r="D24" s="18"/>
      <c r="E24" s="18"/>
      <c r="F24" s="18"/>
      <c r="G24" s="18"/>
      <c r="H24" s="18"/>
      <c r="I24" s="18"/>
    </row>
    <row r="25" spans="1:9" x14ac:dyDescent="0.25">
      <c r="A25" s="19">
        <v>2</v>
      </c>
      <c r="B25" s="11"/>
      <c r="C25" s="11"/>
      <c r="D25" s="18"/>
      <c r="E25" s="18"/>
      <c r="F25" s="18"/>
      <c r="G25" s="18"/>
      <c r="H25" s="18"/>
      <c r="I25" s="18"/>
    </row>
    <row r="26" spans="1:9" x14ac:dyDescent="0.25">
      <c r="A26" s="15">
        <v>3</v>
      </c>
      <c r="B26" s="11"/>
      <c r="C26" s="11"/>
      <c r="D26" s="18"/>
      <c r="E26" s="18"/>
      <c r="F26" s="18"/>
      <c r="G26" s="18"/>
      <c r="H26" s="18"/>
      <c r="I26" s="18"/>
    </row>
    <row r="27" spans="1:9" x14ac:dyDescent="0.25">
      <c r="A27" s="19">
        <v>4</v>
      </c>
      <c r="B27" s="11"/>
      <c r="C27" s="11"/>
      <c r="D27" s="18"/>
      <c r="E27" s="18"/>
      <c r="F27" s="18"/>
      <c r="G27" s="18"/>
      <c r="H27" s="18"/>
      <c r="I27" s="18"/>
    </row>
    <row r="28" spans="1:9" x14ac:dyDescent="0.25">
      <c r="A28" s="15">
        <v>5</v>
      </c>
      <c r="B28" s="11"/>
      <c r="C28" s="11"/>
      <c r="D28" s="18"/>
      <c r="E28" s="18"/>
      <c r="F28" s="18"/>
      <c r="G28" s="18"/>
      <c r="H28" s="18"/>
      <c r="I28" s="18"/>
    </row>
    <row r="29" spans="1:9" x14ac:dyDescent="0.25">
      <c r="A29" s="19">
        <v>6</v>
      </c>
      <c r="B29" s="11"/>
      <c r="C29" s="11"/>
      <c r="D29" s="18"/>
      <c r="E29" s="18"/>
      <c r="F29" s="18"/>
      <c r="G29" s="18"/>
      <c r="H29" s="18"/>
      <c r="I29" s="18"/>
    </row>
    <row r="30" spans="1:9" x14ac:dyDescent="0.25">
      <c r="A30" s="15">
        <v>7</v>
      </c>
      <c r="B30" s="11"/>
      <c r="C30" s="11"/>
      <c r="D30" s="18"/>
      <c r="E30" s="18"/>
      <c r="F30" s="18"/>
      <c r="G30" s="18"/>
      <c r="H30" s="18"/>
      <c r="I30" s="18"/>
    </row>
    <row r="31" spans="1:9" x14ac:dyDescent="0.25">
      <c r="A31" s="19">
        <v>8</v>
      </c>
      <c r="B31" s="11"/>
      <c r="C31" s="11"/>
      <c r="D31" s="18"/>
      <c r="E31" s="18"/>
      <c r="F31" s="18"/>
      <c r="G31" s="18"/>
      <c r="H31" s="18"/>
      <c r="I31" s="18"/>
    </row>
    <row r="32" spans="1:9" x14ac:dyDescent="0.25">
      <c r="A32" s="15">
        <v>9</v>
      </c>
      <c r="B32" s="11"/>
      <c r="C32" s="11"/>
      <c r="D32" s="18"/>
      <c r="E32" s="18"/>
      <c r="F32" s="18"/>
      <c r="G32" s="18"/>
      <c r="H32" s="18"/>
      <c r="I32" s="18"/>
    </row>
    <row r="37" spans="1:15" ht="26.25" x14ac:dyDescent="0.25">
      <c r="A37" s="1"/>
      <c r="B37" s="448" t="s">
        <v>13</v>
      </c>
      <c r="C37" s="448"/>
      <c r="D37" s="1"/>
      <c r="E37" s="1"/>
      <c r="F37" s="1"/>
      <c r="G37" s="1"/>
      <c r="H37" s="1"/>
      <c r="I37" s="1"/>
      <c r="J37" s="448" t="s">
        <v>30</v>
      </c>
      <c r="K37" s="448"/>
      <c r="L37" s="1"/>
      <c r="M37" s="1"/>
    </row>
    <row r="38" spans="1:15" x14ac:dyDescent="0.25">
      <c r="A38" s="1"/>
      <c r="B38" s="1"/>
      <c r="C38" s="1"/>
      <c r="D38" s="1"/>
      <c r="E38" s="1"/>
      <c r="F38" s="1"/>
      <c r="G38" s="1"/>
      <c r="H38" s="1"/>
      <c r="I38" s="1"/>
      <c r="J38" s="1"/>
      <c r="K38" s="1"/>
      <c r="L38" s="1"/>
      <c r="M38" s="1"/>
      <c r="N38" s="1"/>
      <c r="O38" s="1"/>
    </row>
    <row r="39" spans="1:15" x14ac:dyDescent="0.25">
      <c r="A39" s="443" t="s">
        <v>10</v>
      </c>
      <c r="B39" s="454"/>
      <c r="C39" s="454"/>
      <c r="D39" s="454"/>
      <c r="E39" s="454"/>
      <c r="F39" s="444"/>
      <c r="G39" s="1"/>
      <c r="H39" s="1"/>
      <c r="I39" s="447" t="s">
        <v>26</v>
      </c>
      <c r="J39" s="447"/>
      <c r="K39" s="447"/>
      <c r="L39" s="447"/>
      <c r="M39" s="447"/>
    </row>
    <row r="40" spans="1:15" ht="30" x14ac:dyDescent="0.25">
      <c r="A40" s="447"/>
      <c r="B40" s="447"/>
      <c r="C40" s="3" t="s">
        <v>15</v>
      </c>
      <c r="D40" s="20" t="s">
        <v>17</v>
      </c>
      <c r="E40" s="20" t="s">
        <v>24</v>
      </c>
      <c r="F40" s="20" t="s">
        <v>25</v>
      </c>
      <c r="G40" s="1"/>
      <c r="H40" s="1"/>
      <c r="I40" s="451"/>
      <c r="J40" s="451"/>
      <c r="K40" s="3" t="s">
        <v>32</v>
      </c>
      <c r="L40" s="3" t="s">
        <v>34</v>
      </c>
      <c r="M40" s="3" t="s">
        <v>35</v>
      </c>
    </row>
    <row r="41" spans="1:15" x14ac:dyDescent="0.25">
      <c r="A41" s="443" t="str">
        <f t="shared" ref="A41:A49" si="0">CONCATENATE("Sonde ", B24)</f>
        <v xml:space="preserve">Sonde </v>
      </c>
      <c r="B41" s="444"/>
      <c r="C41" s="10"/>
      <c r="D41" s="10"/>
      <c r="E41" s="10"/>
      <c r="F41" s="10"/>
      <c r="G41" s="1"/>
      <c r="H41" s="1"/>
      <c r="I41" s="452" t="s">
        <v>27</v>
      </c>
      <c r="J41" s="453"/>
      <c r="K41" s="10"/>
      <c r="L41" s="10"/>
      <c r="M41" s="10"/>
    </row>
    <row r="42" spans="1:15" x14ac:dyDescent="0.25">
      <c r="A42" s="443" t="str">
        <f t="shared" si="0"/>
        <v xml:space="preserve">Sonde </v>
      </c>
      <c r="B42" s="444"/>
      <c r="C42" s="10"/>
      <c r="D42" s="10"/>
      <c r="E42" s="10"/>
      <c r="F42" s="10"/>
      <c r="G42" s="1"/>
      <c r="H42" s="1"/>
      <c r="I42" s="1"/>
      <c r="J42" s="1"/>
      <c r="K42" s="1"/>
      <c r="L42" s="1"/>
      <c r="M42" s="1"/>
    </row>
    <row r="43" spans="1:15" x14ac:dyDescent="0.25">
      <c r="A43" s="443" t="str">
        <f t="shared" si="0"/>
        <v xml:space="preserve">Sonde </v>
      </c>
      <c r="B43" s="444"/>
      <c r="C43" s="10"/>
      <c r="D43" s="10"/>
      <c r="E43" s="10"/>
      <c r="F43" s="10"/>
      <c r="G43" s="1"/>
      <c r="H43" s="1"/>
      <c r="I43" s="1"/>
      <c r="J43" s="1"/>
      <c r="K43" s="1"/>
      <c r="L43" s="1"/>
      <c r="M43" s="1"/>
    </row>
    <row r="44" spans="1:15" x14ac:dyDescent="0.25">
      <c r="A44" s="443" t="str">
        <f t="shared" si="0"/>
        <v xml:space="preserve">Sonde </v>
      </c>
      <c r="B44" s="444"/>
      <c r="C44" s="10"/>
      <c r="D44" s="10"/>
      <c r="E44" s="10"/>
      <c r="F44" s="10"/>
      <c r="G44" s="1"/>
      <c r="H44" s="1"/>
      <c r="I44" s="1"/>
      <c r="J44" s="1"/>
      <c r="K44" s="1"/>
      <c r="L44" s="1"/>
      <c r="M44" s="1"/>
    </row>
    <row r="45" spans="1:15" x14ac:dyDescent="0.25">
      <c r="A45" s="443" t="str">
        <f t="shared" si="0"/>
        <v xml:space="preserve">Sonde </v>
      </c>
      <c r="B45" s="444"/>
      <c r="C45" s="10"/>
      <c r="D45" s="10"/>
      <c r="E45" s="10"/>
      <c r="F45" s="10"/>
      <c r="G45" s="1"/>
      <c r="H45" s="1"/>
      <c r="I45" s="1"/>
      <c r="J45" s="1"/>
    </row>
    <row r="46" spans="1:15" x14ac:dyDescent="0.25">
      <c r="A46" s="443" t="str">
        <f t="shared" si="0"/>
        <v xml:space="preserve">Sonde </v>
      </c>
      <c r="B46" s="444"/>
      <c r="C46" s="10"/>
      <c r="D46" s="10"/>
      <c r="E46" s="10"/>
      <c r="F46" s="10"/>
      <c r="G46" s="1"/>
      <c r="H46" s="1"/>
      <c r="I46" s="1"/>
      <c r="J46" s="1"/>
    </row>
    <row r="47" spans="1:15" x14ac:dyDescent="0.25">
      <c r="A47" s="443" t="str">
        <f t="shared" si="0"/>
        <v xml:space="preserve">Sonde </v>
      </c>
      <c r="B47" s="444"/>
      <c r="C47" s="10"/>
      <c r="D47" s="10"/>
      <c r="E47" s="10"/>
      <c r="F47" s="10"/>
      <c r="G47" s="1"/>
      <c r="H47" s="1"/>
      <c r="I47" s="1"/>
      <c r="J47" s="1"/>
    </row>
    <row r="48" spans="1:15" x14ac:dyDescent="0.25">
      <c r="A48" s="443" t="str">
        <f t="shared" si="0"/>
        <v xml:space="preserve">Sonde </v>
      </c>
      <c r="B48" s="444"/>
      <c r="C48" s="10"/>
      <c r="D48" s="10"/>
      <c r="E48" s="10"/>
      <c r="F48" s="10"/>
      <c r="G48" s="1"/>
      <c r="H48" s="1"/>
      <c r="I48" s="1"/>
      <c r="J48" s="1"/>
    </row>
    <row r="49" spans="1:10" x14ac:dyDescent="0.25">
      <c r="A49" s="443" t="str">
        <f t="shared" si="0"/>
        <v xml:space="preserve">Sonde </v>
      </c>
      <c r="B49" s="444"/>
      <c r="C49" s="10"/>
      <c r="D49" s="10"/>
      <c r="E49" s="10"/>
      <c r="F49" s="10"/>
      <c r="G49" s="1"/>
      <c r="H49" s="1"/>
      <c r="I49" s="1"/>
      <c r="J49" s="1"/>
    </row>
  </sheetData>
  <sheetProtection algorithmName="SHA-512" hashValue="S0lTOg0jglpSjExPW0+0KHBQkMRuVoSctUChQIFhCaaUSp6lXbpkKv81LCRKHw8lKM3ll00lHKtKtpDrNTl+CQ==" saltValue="1WAOO1j7ORxd/17E5DHDRw==" spinCount="100000" sheet="1" objects="1" scenarios="1"/>
  <protectedRanges>
    <protectedRange sqref="C11" name="Donnees controleur"/>
  </protectedRanges>
  <mergeCells count="30">
    <mergeCell ref="B2:K3"/>
    <mergeCell ref="A6:C6"/>
    <mergeCell ref="A8:B8"/>
    <mergeCell ref="E8:F8"/>
    <mergeCell ref="A9:B9"/>
    <mergeCell ref="E9:F9"/>
    <mergeCell ref="A5:C5"/>
    <mergeCell ref="A40:B40"/>
    <mergeCell ref="I40:J40"/>
    <mergeCell ref="A11:B11"/>
    <mergeCell ref="E11:F11"/>
    <mergeCell ref="A12:B12"/>
    <mergeCell ref="E12:F12"/>
    <mergeCell ref="E13:F13"/>
    <mergeCell ref="A15:B15"/>
    <mergeCell ref="A16:B16"/>
    <mergeCell ref="B37:C37"/>
    <mergeCell ref="J37:K37"/>
    <mergeCell ref="A39:F39"/>
    <mergeCell ref="I39:M39"/>
    <mergeCell ref="I41:J41"/>
    <mergeCell ref="A42:B42"/>
    <mergeCell ref="A43:B43"/>
    <mergeCell ref="A44:B44"/>
    <mergeCell ref="A45:B45"/>
    <mergeCell ref="A46:B46"/>
    <mergeCell ref="A47:B47"/>
    <mergeCell ref="A48:B48"/>
    <mergeCell ref="A49:B49"/>
    <mergeCell ref="A41:B41"/>
  </mergeCells>
  <conditionalFormatting sqref="A6:M6 A1:N5 A7:N50">
    <cfRule type="expression" dxfId="18" priority="1">
      <formula>AND(NOT(CELL("protege", A1)), A1="")</formula>
    </cfRule>
  </conditionalFormatting>
  <dataValidations count="2">
    <dataValidation type="list" allowBlank="1" showInputMessage="1" showErrorMessage="1" sqref="C11" xr:uid="{8E4C1123-B088-4ED5-9031-95064819C800}">
      <formula1>"BCH , LV"</formula1>
    </dataValidation>
    <dataValidation type="list" allowBlank="1" showInputMessage="1" showErrorMessage="1" sqref="C16"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7</xdr:row>
                    <xdr:rowOff>47625</xdr:rowOff>
                  </from>
                  <to>
                    <xdr:col>13</xdr:col>
                    <xdr:colOff>400050</xdr:colOff>
                    <xdr:row>13</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Jg5oTx8gmsvpCtQdCsZAUXBxO6o9ceOPGldhmGKz/ouTe3qnmQ7x6AvNcz9BHb3Dlm+SQpW8ZNKpdHWfQslWcw==" saltValue="PWiF9guvralVYNrwn1yADg==" spinCount="100000" sheet="1" objects="1" scenarios="1"/>
  <dataConsolidate/>
  <phoneticPr fontId="38"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5JwJw5gEj+5Rmxjws15jeASwuEFxl4eEGxXMRz9uFbNHcqQQTMx8b0Z2ySfh6FF88eMWTDuS6mtpf3TATrPzZQ==" saltValue="And8kKXmYX9HVVJanBARlQ==" spinCount="100000" sheet="1" objects="1" scenarios="1"/>
  <phoneticPr fontId="38"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kc1SBOujpTE6G4q5r8povMp4Cbb+JxYaTpVqmt/9j74F24F2hNPKt0Ni9LdYd9WIjqOJeqV0k/qPXklt8RURFA==" saltValue="sc8PU7zm1hFFZaqAm6n/0w==" spinCount="100000" sheet="1" objects="1" scenarios="1"/>
  <phoneticPr fontId="38"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topLeftCell="A55" workbookViewId="0">
      <selection activeCell="N77" sqref="N77"/>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Mesures_Dover!B20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286</v>
      </c>
      <c r="B11" s="144" cm="1">
        <f t="array" ref="B11">Valeurs_Brutes_Dover_1[Date/Heure]</f>
        <v>0</v>
      </c>
      <c r="C11" s="131" t="e" cm="1">
        <f t="array" ref="C11:K11">Valeurs_Brutes_Dover_1[[Connecteur 1]:[Connecteur 9]] + C5 + C6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6"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O16+Mesures_Dover!B21</f>
        <v>0</v>
      </c>
      <c r="M16" s="27"/>
      <c r="N16" s="36" t="s">
        <v>548</v>
      </c>
      <c r="O16" s="48">
        <f>Mesures_Dover!B20</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O16-Mesures_Dover!B21</f>
        <v>0</v>
      </c>
      <c r="M17" s="27"/>
      <c r="N17" s="36" t="s">
        <v>556</v>
      </c>
      <c r="O17" s="35" t="str">
        <f>"+" &amp; Mesures_Dover!B21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557</v>
      </c>
      <c r="O18" s="35" t="str">
        <f>"-" &amp; Mesures_Dover!B21 &amp; "°C"</f>
        <v>-°C</v>
      </c>
    </row>
    <row r="19" spans="1:15"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5" x14ac:dyDescent="0.25">
      <c r="A20" s="27"/>
      <c r="B20" s="42" t="s">
        <v>97</v>
      </c>
      <c r="C20" s="493" t="e">
        <f ca="1">ABS(MAX(C16:K16)-MIN(C17:K17))</f>
        <v>#REF!</v>
      </c>
      <c r="D20" s="494"/>
      <c r="E20" s="494"/>
      <c r="F20" s="494"/>
      <c r="G20" s="494"/>
      <c r="H20" s="494"/>
      <c r="I20" s="494"/>
      <c r="J20" s="494"/>
      <c r="K20" s="495"/>
    </row>
    <row r="21" spans="1:15" x14ac:dyDescent="0.25">
      <c r="A21" s="27"/>
      <c r="B21" s="42" t="s">
        <v>98</v>
      </c>
      <c r="C21" s="493" t="e">
        <f ca="1">AVERAGE(C18:K18)</f>
        <v>#REF!</v>
      </c>
      <c r="D21" s="494"/>
      <c r="E21" s="494"/>
      <c r="F21" s="494"/>
      <c r="G21" s="494"/>
      <c r="H21" s="494"/>
      <c r="I21" s="494"/>
      <c r="J21" s="494"/>
      <c r="K21" s="495"/>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y7MIeM3ai/WZnftyeCqLmLAXPsdW8iNOktshhBt2HVh1EQO05MEsTCiL0G5WpA+IQCnLk3w3BS5mH93b+MhDqw==" saltValue="OLgCqb2sMAbhrmAik91IgA==" spinCount="100000" sheet="1" objects="1" scenarios="1"/>
  <mergeCells count="5">
    <mergeCell ref="C21:K21"/>
    <mergeCell ref="C20:K20"/>
    <mergeCell ref="A1:O3"/>
    <mergeCell ref="A9:K9"/>
    <mergeCell ref="A13:XFD13"/>
  </mergeCells>
  <conditionalFormatting sqref="C16:K16">
    <cfRule type="cellIs" dxfId="17" priority="16" operator="greaterThan">
      <formula>$L$16</formula>
    </cfRule>
  </conditionalFormatting>
  <conditionalFormatting sqref="C17:K17">
    <cfRule type="cellIs" dxfId="16" priority="17" operator="lessThan">
      <formula>$L$17</formula>
    </cfRule>
  </conditionalFormatting>
  <conditionalFormatting sqref="C15:K15">
    <cfRule type="cellIs" dxfId="15"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34" workbookViewId="0">
      <selection activeCell="N61" sqref="N61"/>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7.7109375" bestFit="1" customWidth="1"/>
  </cols>
  <sheetData>
    <row r="1" spans="1:15" s="27" customFormat="1" x14ac:dyDescent="0.25">
      <c r="A1" s="456" t="str">
        <f>Mesures_Dover!C20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286</v>
      </c>
      <c r="B11" s="144" cm="1">
        <f t="array" ref="B11">Valeurs_Brutes_Dover_2[Date/Heure]</f>
        <v>0</v>
      </c>
      <c r="C11" s="131" t="e" cm="1">
        <f t="array" ref="C11:K11">Valeurs_Brutes_Dover_2[[Connecteur 1]:[Connecteur 9]] + C5:K5 +C6:K6</f>
        <v>#N/A</v>
      </c>
      <c r="D11" s="131" t="e">
        <v>#N/A</v>
      </c>
      <c r="E11" s="131" t="e">
        <v>#N/A</v>
      </c>
      <c r="F11" s="131" t="e">
        <v>#N/A</v>
      </c>
      <c r="G11" s="131" t="e">
        <v>#N/A</v>
      </c>
      <c r="H11" s="131" t="e">
        <v>#N/A</v>
      </c>
      <c r="I11" s="131" t="e">
        <v>#N/A</v>
      </c>
      <c r="J11" s="131" t="e">
        <v>#N/A</v>
      </c>
      <c r="K11" s="131" t="e">
        <v>#N/A</v>
      </c>
      <c r="L11" s="33"/>
    </row>
    <row r="12" spans="1:15" s="27" customFormat="1" ht="13.5" customHeight="1" x14ac:dyDescent="0.25">
      <c r="A12" s="318" t="s">
        <v>89</v>
      </c>
      <c r="B12" s="178"/>
      <c r="C12" s="188"/>
      <c r="D12" s="188"/>
      <c r="E12" s="188"/>
      <c r="F12" s="188"/>
      <c r="G12" s="188"/>
      <c r="H12" s="188"/>
      <c r="I12" s="188"/>
      <c r="J12" s="188"/>
      <c r="K12" s="188"/>
      <c r="L12" s="33"/>
    </row>
    <row r="13" spans="1:15" s="457"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Mesures_Dover!C20+Mesures_Dover!B21</f>
        <v>0</v>
      </c>
      <c r="M16" s="27"/>
      <c r="N16" s="36" t="s">
        <v>548</v>
      </c>
      <c r="O16" s="48">
        <f>Mesures_Dover!C20</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Mesures_Dover!C20-Mesures_Dover!B21</f>
        <v>0</v>
      </c>
      <c r="M17" s="27"/>
      <c r="N17" s="36" t="s">
        <v>556</v>
      </c>
      <c r="O17" s="35" t="str">
        <f>"+" &amp; Mesures_Dover!B21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557</v>
      </c>
      <c r="O18" s="35" t="str">
        <f>"-" &amp; Mesures_Dover!B21 &amp; "°C"</f>
        <v>-°C</v>
      </c>
    </row>
    <row r="19" spans="1:18"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8" x14ac:dyDescent="0.25">
      <c r="A20" s="27"/>
      <c r="B20" s="42" t="s">
        <v>97</v>
      </c>
      <c r="C20" s="493" t="e">
        <f ca="1">ABS(MAX(C16:K16)-MIN(C17:K17))</f>
        <v>#REF!</v>
      </c>
      <c r="D20" s="494"/>
      <c r="E20" s="494"/>
      <c r="F20" s="494"/>
      <c r="G20" s="494"/>
      <c r="H20" s="494"/>
      <c r="I20" s="494"/>
      <c r="J20" s="494"/>
      <c r="K20" s="495"/>
    </row>
    <row r="21" spans="1:18" x14ac:dyDescent="0.25">
      <c r="A21" s="27"/>
      <c r="B21" s="42" t="s">
        <v>98</v>
      </c>
      <c r="C21" s="493" t="e">
        <f ca="1">AVERAGE(C18:K18)</f>
        <v>#REF!</v>
      </c>
      <c r="D21" s="494"/>
      <c r="E21" s="494"/>
      <c r="F21" s="494"/>
      <c r="G21" s="494"/>
      <c r="H21" s="494"/>
      <c r="I21" s="494"/>
      <c r="J21" s="494"/>
      <c r="K21" s="495"/>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WDgXVdfGgpBArkstKZNaRepxfvYUuthN5guqkYpFCRE1RORfwNFowI+wGN137Sm61cPl7kImcazNu7TtCBPvKQ==" saltValue="WNeEoP/s8HtUEoxpBdAlGA==" spinCount="100000" sheet="1" objects="1" scenarios="1"/>
  <dataConsolidate/>
  <mergeCells count="5">
    <mergeCell ref="C21:K21"/>
    <mergeCell ref="C20:K20"/>
    <mergeCell ref="A1:O3"/>
    <mergeCell ref="A9:K9"/>
    <mergeCell ref="A13:XFD13"/>
  </mergeCells>
  <conditionalFormatting sqref="C16:K16">
    <cfRule type="cellIs" dxfId="14" priority="2" operator="greaterThan">
      <formula>$L$16</formula>
    </cfRule>
  </conditionalFormatting>
  <conditionalFormatting sqref="C17:K17">
    <cfRule type="cellIs" dxfId="13" priority="3" operator="lessThan">
      <formula>$L$17</formula>
    </cfRule>
  </conditionalFormatting>
  <conditionalFormatting sqref="C15:K15">
    <cfRule type="cellIs" dxfId="12"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topLeftCell="A46" workbookViewId="0">
      <selection activeCell="N74" sqref="N74"/>
    </sheetView>
  </sheetViews>
  <sheetFormatPr baseColWidth="10" defaultRowHeight="15" x14ac:dyDescent="0.25"/>
  <cols>
    <col min="2" max="2" width="15" bestFit="1" customWidth="1"/>
    <col min="3" max="11" width="12.7109375" bestFit="1" customWidth="1"/>
    <col min="14" max="14" width="17.7109375" bestFit="1" customWidth="1"/>
  </cols>
  <sheetData>
    <row r="1" spans="1:15" s="27" customFormat="1" x14ac:dyDescent="0.25">
      <c r="A1" s="456" t="str">
        <f>Mesures_Dover!D20 &amp; "°C"</f>
        <v>°C</v>
      </c>
      <c r="B1" s="456"/>
      <c r="C1" s="456"/>
      <c r="D1" s="456"/>
      <c r="E1" s="456"/>
      <c r="F1" s="456"/>
      <c r="G1" s="456"/>
      <c r="H1" s="456"/>
      <c r="I1" s="456"/>
      <c r="J1" s="456"/>
      <c r="K1" s="456"/>
      <c r="L1" s="456"/>
      <c r="M1" s="456"/>
      <c r="N1" s="456"/>
      <c r="O1" s="456"/>
    </row>
    <row r="2" spans="1:15" s="27" customFormat="1" x14ac:dyDescent="0.25">
      <c r="A2" s="456"/>
      <c r="B2" s="456"/>
      <c r="C2" s="456"/>
      <c r="D2" s="456"/>
      <c r="E2" s="456"/>
      <c r="F2" s="456"/>
      <c r="G2" s="456"/>
      <c r="H2" s="456"/>
      <c r="I2" s="456"/>
      <c r="J2" s="456"/>
      <c r="K2" s="456"/>
      <c r="L2" s="456"/>
      <c r="M2" s="456"/>
      <c r="N2" s="456"/>
      <c r="O2" s="456"/>
    </row>
    <row r="3" spans="1:15" s="27" customFormat="1" x14ac:dyDescent="0.25">
      <c r="A3" s="456"/>
      <c r="B3" s="456"/>
      <c r="C3" s="456"/>
      <c r="D3" s="456"/>
      <c r="E3" s="456"/>
      <c r="F3" s="456"/>
      <c r="G3" s="456"/>
      <c r="H3" s="456"/>
      <c r="I3" s="456"/>
      <c r="J3" s="456"/>
      <c r="K3" s="456"/>
      <c r="L3" s="456"/>
      <c r="M3" s="456"/>
      <c r="N3" s="456"/>
      <c r="O3" s="456"/>
    </row>
    <row r="4" spans="1:15" s="27" customFormat="1" x14ac:dyDescent="0.25">
      <c r="L4" s="33"/>
    </row>
    <row r="5" spans="1:15" s="27" customFormat="1" x14ac:dyDescent="0.25">
      <c r="B5" s="34" t="s">
        <v>23</v>
      </c>
      <c r="C5" s="35" t="e">
        <f>_xlfn.XLOOKUP(INT(SUBSTITUTE(C14,"Connecteur ","")),Mesures_Dover!C24:C32,Mesures_Dover!G24:G32)</f>
        <v>#N/A</v>
      </c>
      <c r="D5" s="35" t="e">
        <f>_xlfn.XLOOKUP(INT(SUBSTITUTE(D14,"Connecteur ","")),Mesures_Dover!C24:C32,Mesures_Dover!G24:G32)</f>
        <v>#N/A</v>
      </c>
      <c r="E5" s="35" t="e">
        <f>_xlfn.XLOOKUP(INT(SUBSTITUTE(E14,"Connecteur ","")),Mesures_Dover!C24:C32,Mesures_Dover!G24:G32)</f>
        <v>#N/A</v>
      </c>
      <c r="F5" s="35" t="e">
        <f>_xlfn.XLOOKUP(INT(SUBSTITUTE(F14,"Connecteur ","")),Mesures_Dover!C24:C32,Mesures_Dover!G24:G32)</f>
        <v>#N/A</v>
      </c>
      <c r="G5" s="35" t="e">
        <f>_xlfn.XLOOKUP(INT(SUBSTITUTE(G14,"Connecteur ","")),Mesures_Dover!C24:C32,Mesures_Dover!G24:G32)</f>
        <v>#N/A</v>
      </c>
      <c r="H5" s="35" t="e">
        <f>_xlfn.XLOOKUP(INT(SUBSTITUTE(H14,"Connecteur ","")),Mesures_Dover!C24:C32,Mesures_Dover!G24:G32)</f>
        <v>#N/A</v>
      </c>
      <c r="I5" s="35" t="e">
        <f>_xlfn.XLOOKUP(INT(SUBSTITUTE(I14,"Connecteur ","")),Mesures_Dover!C24:C32,Mesures_Dover!G24:G32)</f>
        <v>#N/A</v>
      </c>
      <c r="J5" s="35" t="e">
        <f>_xlfn.XLOOKUP(INT(SUBSTITUTE(J14,"Connecteur ","")),Mesures_Dover!C24:C32,Mesures_Dover!G24:G32)</f>
        <v>#N/A</v>
      </c>
      <c r="K5" s="35" t="e">
        <f>_xlfn.XLOOKUP(INT(SUBSTITUTE(K14,"Connecteur ","")),Mesures_Dover!C24:C32,Mesures_Dover!G24:G32)</f>
        <v>#N/A</v>
      </c>
      <c r="L5" s="33"/>
    </row>
    <row r="6" spans="1:15" s="27" customFormat="1" x14ac:dyDescent="0.25">
      <c r="B6" s="34" t="s">
        <v>87</v>
      </c>
      <c r="C6" s="35" t="e">
        <f>_xlfn.XLOOKUP(INT(SUBSTITUTE(C14,"Connecteur ","")),Mesures_Dover!C24:C32,Mesures_Dover!D24:D32)</f>
        <v>#N/A</v>
      </c>
      <c r="D6" s="35" t="e">
        <f>_xlfn.XLOOKUP(INT(SUBSTITUTE(D14,"Connecteur ","")),Mesures_Dover!C24:C32,Mesures_Dover!D24:D32)</f>
        <v>#N/A</v>
      </c>
      <c r="E6" s="35" t="e">
        <f>_xlfn.XLOOKUP(INT(SUBSTITUTE(E14,"Connecteur ","")),Mesures_Dover!C24:C32,Mesures_Dover!D24:D32)</f>
        <v>#N/A</v>
      </c>
      <c r="F6" s="35" t="e">
        <f>_xlfn.XLOOKUP(INT(SUBSTITUTE(F14,"Connecteur ","")),Mesures_Dover!C24:C32,Mesures_Dover!D24:D32)</f>
        <v>#N/A</v>
      </c>
      <c r="G6" s="35" t="e">
        <f>_xlfn.XLOOKUP(INT(SUBSTITUTE(G14,"Connecteur ","")),Mesures_Dover!C24:C32,Mesures_Dover!D24:D32)</f>
        <v>#N/A</v>
      </c>
      <c r="H6" s="35" t="e">
        <f>_xlfn.XLOOKUP(INT(SUBSTITUTE(H14,"Connecteur ","")),Mesures_Dover!C24:C32,Mesures_Dover!D24:D32)</f>
        <v>#N/A</v>
      </c>
      <c r="I6" s="35" t="e">
        <f>_xlfn.XLOOKUP(INT(SUBSTITUTE(I14,"Connecteur ","")),Mesures_Dover!C24:C32,Mesures_Dover!D24:D32)</f>
        <v>#N/A</v>
      </c>
      <c r="J6" s="35" t="e">
        <f>_xlfn.XLOOKUP(INT(SUBSTITUTE(J14,"Connecteur ","")),Mesures_Dover!C24:C32,Mesures_Dover!D24:D32)</f>
        <v>#N/A</v>
      </c>
      <c r="K6" s="35" t="e">
        <f>_xlfn.XLOOKUP(INT(SUBSTITUTE(K14,"Connecteur ","")),Mesures_Dover!C24:C32,Mesures_Dover!D24:D32)</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17" t="s">
        <v>286</v>
      </c>
      <c r="B11" s="144" cm="1">
        <f t="array" ref="B11">Valeurs_Brutes_Dover_3[Date/Heure]</f>
        <v>0</v>
      </c>
      <c r="C11" s="129" t="e" cm="1">
        <f t="array" ref="C11:K11">Valeurs_Brutes_Dover_3[[Connecteur 1]:[Connecteur 9]] + C5:K5 +C6:K6</f>
        <v>#N/A</v>
      </c>
      <c r="D11" s="129" t="e">
        <v>#N/A</v>
      </c>
      <c r="E11" s="129" t="e">
        <v>#N/A</v>
      </c>
      <c r="F11" s="129" t="e">
        <v>#N/A</v>
      </c>
      <c r="G11" s="129" t="e">
        <v>#N/A</v>
      </c>
      <c r="H11" s="129" t="e">
        <v>#N/A</v>
      </c>
      <c r="I11" s="129" t="e">
        <v>#N/A</v>
      </c>
      <c r="J11" s="129" t="e">
        <v>#N/A</v>
      </c>
      <c r="K11" s="129" t="e">
        <v>#N/A</v>
      </c>
      <c r="L11" s="33"/>
    </row>
    <row r="12" spans="1:15" s="27" customFormat="1" ht="13.5" customHeight="1" x14ac:dyDescent="0.25">
      <c r="A12" s="318" t="s">
        <v>89</v>
      </c>
      <c r="B12" s="178"/>
      <c r="C12" s="190"/>
      <c r="D12" s="190"/>
      <c r="E12" s="190"/>
      <c r="F12" s="190"/>
      <c r="G12" s="190"/>
      <c r="H12" s="190"/>
      <c r="I12" s="190"/>
      <c r="J12" s="190"/>
      <c r="K12" s="190"/>
      <c r="L12" s="33"/>
    </row>
    <row r="13" spans="1:15" s="457"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Mesures_Dover!D20+Mesures_Dover!B21</f>
        <v>0</v>
      </c>
      <c r="N16" s="36" t="s">
        <v>548</v>
      </c>
      <c r="O16" s="48">
        <f>Mesures_Dover!D20</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Mesures_Dover!D20-Mesures_Dover!B21</f>
        <v>0</v>
      </c>
      <c r="N17" s="36" t="s">
        <v>556</v>
      </c>
      <c r="O17" s="35" t="str">
        <f>"+" &amp; Mesures_Dover!B21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557</v>
      </c>
      <c r="O18" s="35" t="str">
        <f>"-" &amp; Mesures_Dover!B21 &amp; "°C"</f>
        <v>-°C</v>
      </c>
    </row>
    <row r="19" spans="2:15" s="27" customFormat="1" x14ac:dyDescent="0.25">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row>
    <row r="20" spans="2:15" s="27" customFormat="1" x14ac:dyDescent="0.25">
      <c r="B20" s="42" t="s">
        <v>97</v>
      </c>
      <c r="C20" s="493" t="e">
        <f ca="1">ABS(MAX(C16:K16)-MIN(C17:K17))</f>
        <v>#REF!</v>
      </c>
      <c r="D20" s="494"/>
      <c r="E20" s="494"/>
      <c r="F20" s="494"/>
      <c r="G20" s="494"/>
      <c r="H20" s="494"/>
      <c r="I20" s="494"/>
      <c r="J20" s="494"/>
      <c r="K20" s="495"/>
      <c r="L20" s="33"/>
    </row>
    <row r="21" spans="2:15" s="27" customFormat="1" x14ac:dyDescent="0.25">
      <c r="B21" s="42" t="s">
        <v>98</v>
      </c>
      <c r="C21" s="493" t="e">
        <f ca="1">AVERAGE(C18:K18)</f>
        <v>#REF!</v>
      </c>
      <c r="D21" s="494"/>
      <c r="E21" s="494"/>
      <c r="F21" s="494"/>
      <c r="G21" s="494"/>
      <c r="H21" s="494"/>
      <c r="I21" s="494"/>
      <c r="J21" s="494"/>
      <c r="K21" s="495"/>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KJkk++OwSIgOhkqWE7C+UVeqsQ5EtLUnabGC82huL0CBSDtJg21isAznSKRk1XNEVTtamYZ/Om/1lXBDDoQWeQ==" saltValue="6jjmboDjwseQfZAnYpx74g==" spinCount="100000" sheet="1" objects="1" scenarios="1"/>
  <mergeCells count="4">
    <mergeCell ref="C21:K21"/>
    <mergeCell ref="C20:K20"/>
    <mergeCell ref="A1:O3"/>
    <mergeCell ref="A13:XFD13"/>
  </mergeCells>
  <conditionalFormatting sqref="C16:K16">
    <cfRule type="cellIs" dxfId="11" priority="3" operator="greaterThan">
      <formula>$L$16</formula>
    </cfRule>
  </conditionalFormatting>
  <conditionalFormatting sqref="C17:K17">
    <cfRule type="cellIs" dxfId="10" priority="4" operator="lessThan">
      <formula>$L$17</formula>
    </cfRule>
  </conditionalFormatting>
  <conditionalFormatting sqref="C15:K15">
    <cfRule type="cellIs" dxfId="9"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355" zoomScale="70" zoomScaleNormal="100" zoomScaleSheetLayoutView="70" zoomScalePageLayoutView="50" workbookViewId="0">
      <selection activeCell="A521" sqref="A521"/>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497" t="s">
        <v>247</v>
      </c>
      <c r="C4" s="498"/>
      <c r="D4" s="498"/>
      <c r="E4" s="498"/>
      <c r="F4" s="498"/>
    </row>
    <row r="5" spans="2:9" ht="26.25" x14ac:dyDescent="0.25">
      <c r="B5" s="498"/>
      <c r="C5" s="498"/>
      <c r="D5" s="498"/>
      <c r="E5" s="498"/>
      <c r="F5" s="498"/>
      <c r="G5" s="87"/>
      <c r="H5" s="87"/>
      <c r="I5" s="88"/>
    </row>
    <row r="6" spans="2:9" ht="58.5" customHeight="1" x14ac:dyDescent="0.25">
      <c r="B6" s="498"/>
      <c r="C6" s="498"/>
      <c r="D6" s="498"/>
      <c r="E6" s="498"/>
      <c r="F6" s="498"/>
    </row>
    <row r="10" spans="2:9" ht="21" x14ac:dyDescent="0.25">
      <c r="C10" s="438" t="s">
        <v>138</v>
      </c>
      <c r="D10" s="438"/>
      <c r="E10" s="459">
        <f>Mesures_Dover!D6</f>
        <v>0</v>
      </c>
      <c r="F10" s="459"/>
    </row>
    <row r="11" spans="2:9" ht="21" x14ac:dyDescent="0.25">
      <c r="C11" s="89"/>
      <c r="D11" s="89"/>
      <c r="E11" s="90"/>
      <c r="F11" s="90"/>
    </row>
    <row r="12" spans="2:9" x14ac:dyDescent="0.25">
      <c r="C12" s="91" t="s">
        <v>1</v>
      </c>
      <c r="D12" s="146">
        <f>Mesures_Dover!C8</f>
        <v>0</v>
      </c>
      <c r="F12" s="91" t="s">
        <v>18</v>
      </c>
      <c r="G12" s="146">
        <f>Mesures_Dover!G8</f>
        <v>0</v>
      </c>
    </row>
    <row r="13" spans="2:9" ht="15.75" x14ac:dyDescent="0.25">
      <c r="C13" s="93" t="s">
        <v>2</v>
      </c>
      <c r="D13" s="147">
        <f>Mesures_Dover!C9</f>
        <v>0</v>
      </c>
      <c r="F13" s="95" t="s">
        <v>19</v>
      </c>
      <c r="G13" s="147">
        <f>Mesures_Dover!G9</f>
        <v>0</v>
      </c>
    </row>
    <row r="14" spans="2:9" ht="15.75" x14ac:dyDescent="0.25">
      <c r="C14" s="96"/>
      <c r="D14" s="97"/>
      <c r="G14" s="98"/>
    </row>
    <row r="15" spans="2:9" ht="15.75" x14ac:dyDescent="0.25">
      <c r="C15" s="99" t="s">
        <v>139</v>
      </c>
      <c r="D15" s="100">
        <f>Mesures_Dover!C15</f>
        <v>0</v>
      </c>
      <c r="F15" s="91" t="s">
        <v>140</v>
      </c>
      <c r="G15" s="9">
        <f>Mesures_Dover!C16</f>
        <v>0</v>
      </c>
    </row>
    <row r="16" spans="2:9" ht="15.75" x14ac:dyDescent="0.25">
      <c r="C16" s="99" t="s">
        <v>141</v>
      </c>
      <c r="D16" s="102">
        <f>Mesures_Dover!G12</f>
        <v>15</v>
      </c>
      <c r="F16" s="91" t="s">
        <v>142</v>
      </c>
      <c r="G16" s="9">
        <f>Mesures_Dover!G13</f>
        <v>0</v>
      </c>
    </row>
    <row r="17" spans="1:9" ht="15.75" x14ac:dyDescent="0.25">
      <c r="C17" s="96"/>
      <c r="D17" s="97"/>
      <c r="F17" s="96"/>
      <c r="G17" s="1"/>
    </row>
    <row r="18" spans="1:9" ht="15.75" x14ac:dyDescent="0.25">
      <c r="C18" s="99" t="s">
        <v>143</v>
      </c>
      <c r="D18" s="148">
        <f>Mesures_Dover!C12</f>
        <v>0</v>
      </c>
      <c r="F18" s="91" t="s">
        <v>144</v>
      </c>
      <c r="G18" s="155">
        <f>Mesures_Dover!G11</f>
        <v>0</v>
      </c>
    </row>
    <row r="19" spans="1:9" ht="15.75" x14ac:dyDescent="0.25">
      <c r="C19" s="93" t="s">
        <v>145</v>
      </c>
      <c r="D19" s="148">
        <f>Mesures_Dover!C12</f>
        <v>0</v>
      </c>
    </row>
    <row r="20" spans="1:9" ht="15.75" x14ac:dyDescent="0.25">
      <c r="C20" s="96"/>
      <c r="D20" s="97"/>
    </row>
    <row r="21" spans="1:9" ht="15.75" x14ac:dyDescent="0.25">
      <c r="C21" s="96"/>
      <c r="D21" s="97"/>
    </row>
    <row r="28" spans="1:9" ht="36" x14ac:dyDescent="0.55000000000000004">
      <c r="A28" s="460" t="s">
        <v>146</v>
      </c>
      <c r="B28" s="460"/>
    </row>
    <row r="30" spans="1:9" x14ac:dyDescent="0.25">
      <c r="A30" s="436" t="s">
        <v>248</v>
      </c>
      <c r="B30" s="436"/>
      <c r="C30" s="436"/>
      <c r="D30" s="436"/>
      <c r="E30" s="436"/>
      <c r="F30" s="436"/>
      <c r="G30" s="436"/>
      <c r="H30" s="436"/>
      <c r="I30" s="436"/>
    </row>
    <row r="31" spans="1:9" x14ac:dyDescent="0.25">
      <c r="A31" s="436"/>
      <c r="B31" s="436"/>
      <c r="C31" s="436"/>
      <c r="D31" s="436"/>
      <c r="E31" s="436"/>
      <c r="F31" s="436"/>
      <c r="G31" s="436"/>
      <c r="H31" s="436"/>
      <c r="I31" s="436"/>
    </row>
    <row r="32" spans="1:9" x14ac:dyDescent="0.25">
      <c r="A32" s="436"/>
      <c r="B32" s="436"/>
      <c r="C32" s="436"/>
      <c r="D32" s="436"/>
      <c r="E32" s="436"/>
      <c r="F32" s="436"/>
      <c r="G32" s="436"/>
      <c r="H32" s="436"/>
      <c r="I32" s="436"/>
    </row>
    <row r="33" spans="1:9" x14ac:dyDescent="0.25">
      <c r="A33" s="436"/>
      <c r="B33" s="436"/>
      <c r="C33" s="436"/>
      <c r="D33" s="436"/>
      <c r="E33" s="436"/>
      <c r="F33" s="436"/>
      <c r="G33" s="436"/>
      <c r="H33" s="436"/>
      <c r="I33" s="436"/>
    </row>
    <row r="34" spans="1:9" x14ac:dyDescent="0.25">
      <c r="A34" s="436"/>
      <c r="B34" s="436"/>
      <c r="C34" s="436"/>
      <c r="D34" s="436"/>
      <c r="E34" s="436"/>
      <c r="F34" s="436"/>
      <c r="G34" s="436"/>
      <c r="H34" s="436"/>
      <c r="I34" s="436"/>
    </row>
    <row r="35" spans="1:9" x14ac:dyDescent="0.25">
      <c r="A35" s="436"/>
      <c r="B35" s="436"/>
      <c r="C35" s="436"/>
      <c r="D35" s="436"/>
      <c r="E35" s="436"/>
      <c r="F35" s="436"/>
      <c r="G35" s="436"/>
      <c r="H35" s="436"/>
      <c r="I35" s="436"/>
    </row>
    <row r="36" spans="1:9" x14ac:dyDescent="0.25">
      <c r="A36" s="436"/>
      <c r="B36" s="436"/>
      <c r="C36" s="436"/>
      <c r="D36" s="436"/>
      <c r="E36" s="436"/>
      <c r="F36" s="436"/>
      <c r="G36" s="436"/>
      <c r="H36" s="436"/>
      <c r="I36" s="436"/>
    </row>
    <row r="37" spans="1:9" x14ac:dyDescent="0.25">
      <c r="A37" s="436"/>
      <c r="B37" s="436"/>
      <c r="C37" s="436"/>
      <c r="D37" s="436"/>
      <c r="E37" s="436"/>
      <c r="F37" s="436"/>
      <c r="G37" s="436"/>
      <c r="H37" s="436"/>
      <c r="I37" s="436"/>
    </row>
    <row r="38" spans="1:9" x14ac:dyDescent="0.25">
      <c r="A38" s="436"/>
      <c r="B38" s="436"/>
      <c r="C38" s="436"/>
      <c r="D38" s="436"/>
      <c r="E38" s="436"/>
      <c r="F38" s="436"/>
      <c r="G38" s="436"/>
      <c r="H38" s="436"/>
      <c r="I38" s="436"/>
    </row>
    <row r="39" spans="1:9" x14ac:dyDescent="0.25">
      <c r="A39" s="436"/>
      <c r="B39" s="436"/>
      <c r="C39" s="436"/>
      <c r="D39" s="436"/>
      <c r="E39" s="436"/>
      <c r="F39" s="436"/>
      <c r="G39" s="436"/>
      <c r="H39" s="436"/>
      <c r="I39" s="436"/>
    </row>
    <row r="40" spans="1:9" x14ac:dyDescent="0.25">
      <c r="A40" s="436"/>
      <c r="B40" s="436"/>
      <c r="C40" s="436"/>
      <c r="D40" s="436"/>
      <c r="E40" s="436"/>
      <c r="F40" s="436"/>
      <c r="G40" s="436"/>
      <c r="H40" s="436"/>
      <c r="I40" s="436"/>
    </row>
    <row r="41" spans="1:9" x14ac:dyDescent="0.25">
      <c r="A41" s="436"/>
      <c r="B41" s="436"/>
      <c r="C41" s="436"/>
      <c r="D41" s="436"/>
      <c r="E41" s="436"/>
      <c r="F41" s="436"/>
      <c r="G41" s="436"/>
      <c r="H41" s="436"/>
      <c r="I41" s="436"/>
    </row>
    <row r="42" spans="1:9" x14ac:dyDescent="0.25">
      <c r="A42" s="436"/>
      <c r="B42" s="436"/>
      <c r="C42" s="436"/>
      <c r="D42" s="436"/>
      <c r="E42" s="436"/>
      <c r="F42" s="436"/>
      <c r="G42" s="436"/>
      <c r="H42" s="436"/>
      <c r="I42" s="436"/>
    </row>
    <row r="43" spans="1:9" x14ac:dyDescent="0.25">
      <c r="A43" s="436"/>
      <c r="B43" s="436"/>
      <c r="C43" s="436"/>
      <c r="D43" s="436"/>
      <c r="E43" s="436"/>
      <c r="F43" s="436"/>
      <c r="G43" s="436"/>
      <c r="H43" s="436"/>
      <c r="I43" s="436"/>
    </row>
    <row r="44" spans="1:9" x14ac:dyDescent="0.25">
      <c r="A44" s="436"/>
      <c r="B44" s="436"/>
      <c r="C44" s="436"/>
      <c r="D44" s="436"/>
      <c r="E44" s="436"/>
      <c r="F44" s="436"/>
      <c r="G44" s="436"/>
      <c r="H44" s="436"/>
      <c r="I44" s="436"/>
    </row>
    <row r="45" spans="1:9" x14ac:dyDescent="0.25">
      <c r="A45" s="436"/>
      <c r="B45" s="436"/>
      <c r="C45" s="436"/>
      <c r="D45" s="436"/>
      <c r="E45" s="436"/>
      <c r="F45" s="436"/>
      <c r="G45" s="436"/>
      <c r="H45" s="436"/>
      <c r="I45" s="436"/>
    </row>
    <row r="46" spans="1:9" x14ac:dyDescent="0.25">
      <c r="A46" s="436"/>
      <c r="B46" s="436"/>
      <c r="C46" s="436"/>
      <c r="D46" s="436"/>
      <c r="E46" s="436"/>
      <c r="F46" s="436"/>
      <c r="G46" s="436"/>
      <c r="H46" s="436"/>
      <c r="I46" s="436"/>
    </row>
    <row r="47" spans="1:9" x14ac:dyDescent="0.25">
      <c r="A47" s="436"/>
      <c r="B47" s="436"/>
      <c r="C47" s="436"/>
      <c r="D47" s="436"/>
      <c r="E47" s="436"/>
      <c r="F47" s="436"/>
      <c r="G47" s="436"/>
      <c r="H47" s="436"/>
      <c r="I47" s="436"/>
    </row>
    <row r="51" spans="2:6" ht="36" x14ac:dyDescent="0.25">
      <c r="C51" s="461" t="s">
        <v>148</v>
      </c>
      <c r="D51" s="461"/>
      <c r="E51" s="461"/>
      <c r="F51" s="461"/>
    </row>
    <row r="52" spans="2:6" ht="17.25" x14ac:dyDescent="0.25">
      <c r="B52" s="104"/>
    </row>
    <row r="53" spans="2:6" ht="18.75" x14ac:dyDescent="0.25">
      <c r="B53" s="163" t="s">
        <v>249</v>
      </c>
      <c r="C53" s="164"/>
      <c r="E53" s="165"/>
      <c r="F53" s="165"/>
    </row>
    <row r="54" spans="2:6" ht="15.75" x14ac:dyDescent="0.25">
      <c r="C54" s="165"/>
      <c r="D54" s="165"/>
      <c r="E54" s="165"/>
      <c r="F54" s="165"/>
    </row>
    <row r="55" spans="2:6" ht="18.75" x14ac:dyDescent="0.25">
      <c r="B55" s="440" t="s">
        <v>250</v>
      </c>
      <c r="C55" s="440"/>
      <c r="D55" s="165"/>
      <c r="E55" s="165"/>
      <c r="F55" s="166" t="s">
        <v>251</v>
      </c>
    </row>
    <row r="56" spans="2:6" ht="15.75" x14ac:dyDescent="0.25">
      <c r="B56" s="157" t="s">
        <v>252</v>
      </c>
      <c r="C56" s="157" t="s">
        <v>253</v>
      </c>
      <c r="E56" s="165"/>
      <c r="F56" s="165" t="s">
        <v>254</v>
      </c>
    </row>
    <row r="57" spans="2:6" ht="15.75" x14ac:dyDescent="0.25">
      <c r="B57" s="157" t="s">
        <v>255</v>
      </c>
      <c r="C57" s="157" t="s">
        <v>256</v>
      </c>
      <c r="E57" s="165"/>
      <c r="F57" s="165" t="s">
        <v>257</v>
      </c>
    </row>
    <row r="58" spans="2:6" ht="15.75" x14ac:dyDescent="0.25">
      <c r="B58" s="157" t="s">
        <v>258</v>
      </c>
      <c r="C58" t="s">
        <v>259</v>
      </c>
      <c r="E58" s="165"/>
      <c r="F58" s="165" t="s">
        <v>260</v>
      </c>
    </row>
    <row r="59" spans="2:6" ht="15.75" x14ac:dyDescent="0.25">
      <c r="B59" s="157" t="s">
        <v>261</v>
      </c>
      <c r="C59" s="157">
        <v>250</v>
      </c>
      <c r="E59" s="165"/>
      <c r="F59" s="165"/>
    </row>
    <row r="60" spans="2:6" ht="15.75" x14ac:dyDescent="0.25">
      <c r="B60" s="157" t="s">
        <v>262</v>
      </c>
      <c r="C60" s="167">
        <v>44158</v>
      </c>
      <c r="E60" s="165"/>
      <c r="F60" s="165"/>
    </row>
    <row r="61" spans="2:6" ht="15.75" x14ac:dyDescent="0.25">
      <c r="B61" s="157" t="s">
        <v>263</v>
      </c>
      <c r="C61" s="157" t="s">
        <v>264</v>
      </c>
      <c r="E61" s="165"/>
      <c r="F61" s="165"/>
    </row>
    <row r="62" spans="2:6" ht="15.75" x14ac:dyDescent="0.25">
      <c r="B62" s="157" t="s">
        <v>265</v>
      </c>
      <c r="C62" s="157" t="s">
        <v>266</v>
      </c>
      <c r="E62" s="165"/>
      <c r="F62" s="165"/>
    </row>
    <row r="63" spans="2:6" ht="15.75" x14ac:dyDescent="0.25">
      <c r="B63" s="157" t="s">
        <v>267</v>
      </c>
      <c r="C63" s="157"/>
    </row>
    <row r="65" spans="2:9" ht="15.75" x14ac:dyDescent="0.25">
      <c r="B65" s="157" t="s">
        <v>268</v>
      </c>
    </row>
    <row r="67" spans="2:9" x14ac:dyDescent="0.25">
      <c r="B67" s="168" t="s">
        <v>269</v>
      </c>
      <c r="C67" s="169" t="s">
        <v>270</v>
      </c>
      <c r="D67" s="170" t="s">
        <v>270</v>
      </c>
    </row>
    <row r="69" spans="2:9" ht="21" x14ac:dyDescent="0.25">
      <c r="B69" s="171" t="s">
        <v>271</v>
      </c>
      <c r="D69" s="106"/>
      <c r="E69" s="106"/>
      <c r="F69" s="106"/>
      <c r="G69" s="106"/>
      <c r="H69" s="106"/>
      <c r="I69" s="107"/>
    </row>
    <row r="70" spans="2:9" x14ac:dyDescent="0.25">
      <c r="B70" s="172" t="s">
        <v>272</v>
      </c>
      <c r="C70" s="172">
        <v>117</v>
      </c>
    </row>
    <row r="71" spans="2:9" x14ac:dyDescent="0.25">
      <c r="B71" s="172" t="s">
        <v>273</v>
      </c>
      <c r="C71" s="173">
        <v>64</v>
      </c>
    </row>
    <row r="72" spans="2:9" x14ac:dyDescent="0.25">
      <c r="B72" s="172" t="s">
        <v>274</v>
      </c>
      <c r="C72" s="172">
        <v>93</v>
      </c>
    </row>
    <row r="73" spans="2:9" x14ac:dyDescent="0.25">
      <c r="B73" s="173" t="s">
        <v>275</v>
      </c>
      <c r="C73" s="172">
        <f>+C70*C71*C72*10^-6</f>
        <v>0.696384</v>
      </c>
    </row>
    <row r="74" spans="2:9" x14ac:dyDescent="0.25">
      <c r="B74" s="88"/>
    </row>
    <row r="75" spans="2:9" x14ac:dyDescent="0.25">
      <c r="B75" s="171" t="s">
        <v>276</v>
      </c>
    </row>
    <row r="76" spans="2:9" x14ac:dyDescent="0.25">
      <c r="B76" s="172" t="s">
        <v>272</v>
      </c>
      <c r="C76" s="172">
        <v>100</v>
      </c>
    </row>
    <row r="77" spans="2:9" x14ac:dyDescent="0.25">
      <c r="B77" s="172" t="s">
        <v>273</v>
      </c>
      <c r="C77" s="173">
        <v>45</v>
      </c>
    </row>
    <row r="78" spans="2:9" x14ac:dyDescent="0.25">
      <c r="B78" s="172" t="s">
        <v>274</v>
      </c>
      <c r="C78" s="172">
        <v>60</v>
      </c>
    </row>
    <row r="79" spans="2:9" x14ac:dyDescent="0.25">
      <c r="B79" s="173" t="s">
        <v>275</v>
      </c>
      <c r="C79" s="172">
        <f>+C76*C77*C78*10^-6</f>
        <v>0.26999999999999996</v>
      </c>
    </row>
    <row r="85" spans="1:9" ht="36" x14ac:dyDescent="0.25">
      <c r="C85" s="461" t="s">
        <v>170</v>
      </c>
      <c r="D85" s="461"/>
      <c r="E85" s="461"/>
      <c r="F85" s="461"/>
      <c r="G85" s="461"/>
    </row>
    <row r="87" spans="1:9" ht="26.25" x14ac:dyDescent="0.25">
      <c r="B87" s="108" t="s">
        <v>171</v>
      </c>
    </row>
    <row r="89" spans="1:9" ht="21" x14ac:dyDescent="0.25">
      <c r="B89" s="106" t="s">
        <v>233</v>
      </c>
      <c r="C89" s="106"/>
      <c r="E89" s="106"/>
      <c r="F89" s="106"/>
      <c r="G89" s="106"/>
      <c r="H89" s="107"/>
    </row>
    <row r="90" spans="1:9" ht="21" x14ac:dyDescent="0.25">
      <c r="B90" s="106" t="s">
        <v>173</v>
      </c>
      <c r="C90" s="106"/>
      <c r="E90" s="106"/>
      <c r="F90" s="106"/>
      <c r="G90" s="106"/>
      <c r="H90" s="107"/>
    </row>
    <row r="91" spans="1:9" ht="21" x14ac:dyDescent="0.25">
      <c r="B91" s="106" t="s">
        <v>234</v>
      </c>
      <c r="C91" s="106"/>
      <c r="E91" s="106"/>
      <c r="F91" s="106"/>
      <c r="G91" s="106"/>
      <c r="H91" s="107"/>
    </row>
    <row r="92" spans="1:9" ht="21" x14ac:dyDescent="0.25">
      <c r="B92" s="106" t="s">
        <v>235</v>
      </c>
      <c r="C92" s="106"/>
      <c r="E92" s="106"/>
      <c r="F92" s="106"/>
      <c r="G92" s="106"/>
      <c r="H92" s="107"/>
    </row>
    <row r="93" spans="1:9" ht="21" x14ac:dyDescent="0.25">
      <c r="B93" s="109"/>
      <c r="C93" s="109"/>
      <c r="E93" s="106"/>
      <c r="F93" s="106"/>
      <c r="G93" s="106"/>
      <c r="H93" s="107"/>
    </row>
    <row r="94" spans="1:9" ht="17.25" x14ac:dyDescent="0.25">
      <c r="A94" s="110"/>
      <c r="C94" s="443" t="s">
        <v>10</v>
      </c>
      <c r="D94" s="454"/>
      <c r="E94" s="454"/>
      <c r="F94" s="454"/>
      <c r="G94" s="454"/>
      <c r="H94" s="444"/>
      <c r="I94" s="110"/>
    </row>
    <row r="95" spans="1:9" ht="30" x14ac:dyDescent="0.25">
      <c r="A95" s="110"/>
      <c r="B95" s="110"/>
      <c r="C95" s="447"/>
      <c r="D95" s="447"/>
      <c r="E95" s="3" t="s">
        <v>15</v>
      </c>
      <c r="F95" s="20" t="s">
        <v>17</v>
      </c>
      <c r="G95" s="20" t="s">
        <v>24</v>
      </c>
      <c r="H95" s="20" t="s">
        <v>25</v>
      </c>
      <c r="I95" s="113"/>
    </row>
    <row r="96" spans="1:9" ht="17.25" x14ac:dyDescent="0.25">
      <c r="A96" s="110"/>
      <c r="B96" s="110"/>
      <c r="C96" s="443" t="str">
        <f>Mesures_Dover!A41</f>
        <v xml:space="preserve">Sonde </v>
      </c>
      <c r="D96" s="444"/>
      <c r="E96" s="10" cm="1">
        <f t="array" ref="E96:H104">Mesures_Dover!C41:F49</f>
        <v>0</v>
      </c>
      <c r="F96" s="10">
        <v>0</v>
      </c>
      <c r="G96" s="10">
        <v>0</v>
      </c>
      <c r="H96" s="10">
        <v>0</v>
      </c>
      <c r="I96" s="110"/>
    </row>
    <row r="97" spans="1:9" ht="17.25" x14ac:dyDescent="0.25">
      <c r="A97" s="110"/>
      <c r="B97" s="110"/>
      <c r="C97" s="443" t="str">
        <f>Mesures_Dover!A42</f>
        <v xml:space="preserve">Sonde </v>
      </c>
      <c r="D97" s="444"/>
      <c r="E97" s="10">
        <v>0</v>
      </c>
      <c r="F97" s="10">
        <v>0</v>
      </c>
      <c r="G97" s="10">
        <v>0</v>
      </c>
      <c r="H97" s="10">
        <v>0</v>
      </c>
      <c r="I97" s="110"/>
    </row>
    <row r="98" spans="1:9" ht="17.25" x14ac:dyDescent="0.25">
      <c r="A98" s="110"/>
      <c r="B98" s="110"/>
      <c r="C98" s="443" t="str">
        <f>Mesures_Dover!A43</f>
        <v xml:space="preserve">Sonde </v>
      </c>
      <c r="D98" s="444"/>
      <c r="E98" s="10">
        <v>0</v>
      </c>
      <c r="F98" s="10">
        <v>0</v>
      </c>
      <c r="G98" s="10">
        <v>0</v>
      </c>
      <c r="H98" s="10">
        <v>0</v>
      </c>
      <c r="I98" s="110"/>
    </row>
    <row r="99" spans="1:9" ht="17.25" x14ac:dyDescent="0.25">
      <c r="A99" s="110"/>
      <c r="B99" s="110"/>
      <c r="C99" s="443" t="str">
        <f>Mesures_Dover!A44</f>
        <v xml:space="preserve">Sonde </v>
      </c>
      <c r="D99" s="444"/>
      <c r="E99" s="10">
        <v>0</v>
      </c>
      <c r="F99" s="10">
        <v>0</v>
      </c>
      <c r="G99" s="10">
        <v>0</v>
      </c>
      <c r="H99" s="10">
        <v>0</v>
      </c>
      <c r="I99" s="110"/>
    </row>
    <row r="100" spans="1:9" ht="17.25" x14ac:dyDescent="0.25">
      <c r="A100" s="110"/>
      <c r="B100" s="110"/>
      <c r="C100" s="443" t="str">
        <f>Mesures_Dover!A45</f>
        <v xml:space="preserve">Sonde </v>
      </c>
      <c r="D100" s="444"/>
      <c r="E100" s="10">
        <v>0</v>
      </c>
      <c r="F100" s="10">
        <v>0</v>
      </c>
      <c r="G100" s="10">
        <v>0</v>
      </c>
      <c r="H100" s="10">
        <v>0</v>
      </c>
      <c r="I100" s="110"/>
    </row>
    <row r="101" spans="1:9" ht="17.25" x14ac:dyDescent="0.25">
      <c r="A101" s="110"/>
      <c r="B101" s="110"/>
      <c r="C101" s="443" t="str">
        <f>Mesures_Dover!A46</f>
        <v xml:space="preserve">Sonde </v>
      </c>
      <c r="D101" s="444"/>
      <c r="E101" s="10">
        <v>0</v>
      </c>
      <c r="F101" s="10">
        <v>0</v>
      </c>
      <c r="G101" s="10">
        <v>0</v>
      </c>
      <c r="H101" s="10">
        <v>0</v>
      </c>
      <c r="I101" s="110"/>
    </row>
    <row r="102" spans="1:9" ht="17.25" x14ac:dyDescent="0.25">
      <c r="A102" s="110"/>
      <c r="B102" s="110"/>
      <c r="C102" s="443" t="str">
        <f>Mesures_Dover!A47</f>
        <v xml:space="preserve">Sonde </v>
      </c>
      <c r="D102" s="444"/>
      <c r="E102" s="10">
        <v>0</v>
      </c>
      <c r="F102" s="10">
        <v>0</v>
      </c>
      <c r="G102" s="10">
        <v>0</v>
      </c>
      <c r="H102" s="10">
        <v>0</v>
      </c>
      <c r="I102" s="110"/>
    </row>
    <row r="103" spans="1:9" ht="17.25" x14ac:dyDescent="0.25">
      <c r="A103" s="110"/>
      <c r="B103" s="110"/>
      <c r="C103" s="443" t="str">
        <f>Mesures_Dover!A48</f>
        <v xml:space="preserve">Sonde </v>
      </c>
      <c r="D103" s="444"/>
      <c r="E103" s="10">
        <v>0</v>
      </c>
      <c r="F103" s="10">
        <v>0</v>
      </c>
      <c r="G103" s="10">
        <v>0</v>
      </c>
      <c r="H103" s="10">
        <v>0</v>
      </c>
      <c r="I103" s="110"/>
    </row>
    <row r="104" spans="1:9" ht="17.25" x14ac:dyDescent="0.25">
      <c r="A104" s="110"/>
      <c r="B104" s="110"/>
      <c r="C104" s="443" t="str">
        <f>Mesures_Dover!A49</f>
        <v xml:space="preserve">Sonde </v>
      </c>
      <c r="D104" s="444"/>
      <c r="E104" s="10">
        <v>0</v>
      </c>
      <c r="F104" s="10">
        <v>0</v>
      </c>
      <c r="G104" s="10">
        <v>0</v>
      </c>
      <c r="H104" s="10">
        <v>0</v>
      </c>
      <c r="I104" s="110"/>
    </row>
    <row r="105" spans="1:9" ht="17.25" x14ac:dyDescent="0.25">
      <c r="A105" s="110"/>
      <c r="B105" s="110"/>
      <c r="C105" s="110"/>
      <c r="D105" s="110"/>
      <c r="E105" s="110"/>
      <c r="F105" s="110"/>
      <c r="G105" s="110"/>
      <c r="H105" s="110"/>
      <c r="I105" s="110"/>
    </row>
    <row r="106" spans="1:9" ht="17.25" x14ac:dyDescent="0.25">
      <c r="A106" s="110"/>
      <c r="B106" s="110"/>
      <c r="C106" s="110"/>
      <c r="D106" s="110"/>
      <c r="E106" s="110"/>
      <c r="F106" s="110"/>
      <c r="G106" s="110"/>
      <c r="H106" s="110"/>
      <c r="I106" s="110"/>
    </row>
    <row r="107" spans="1:9" ht="17.25" x14ac:dyDescent="0.25">
      <c r="A107" s="110"/>
      <c r="B107" s="110"/>
      <c r="C107" s="110"/>
      <c r="D107" s="110"/>
      <c r="E107" s="110"/>
      <c r="F107" s="110"/>
      <c r="G107" s="110"/>
      <c r="H107" s="110"/>
      <c r="I107" s="110"/>
    </row>
    <row r="108" spans="1:9" ht="17.25" x14ac:dyDescent="0.25">
      <c r="A108" s="110"/>
      <c r="B108" s="110"/>
      <c r="C108" s="110"/>
      <c r="D108" s="110"/>
      <c r="E108" s="110"/>
      <c r="F108" s="110"/>
      <c r="G108" s="110"/>
      <c r="H108" s="110"/>
      <c r="I108" s="110"/>
    </row>
    <row r="109" spans="1:9" ht="17.25" x14ac:dyDescent="0.25">
      <c r="A109" s="110"/>
      <c r="B109" s="110"/>
      <c r="C109" s="110"/>
      <c r="D109" s="110"/>
      <c r="E109" s="110"/>
      <c r="F109" s="110"/>
      <c r="G109" s="110"/>
      <c r="H109" s="110"/>
      <c r="I109" s="110"/>
    </row>
    <row r="110" spans="1:9" ht="17.25" x14ac:dyDescent="0.25">
      <c r="A110" s="110"/>
      <c r="B110" s="110"/>
      <c r="C110" s="110"/>
      <c r="D110" s="110"/>
      <c r="E110" s="110"/>
      <c r="F110" s="110"/>
      <c r="G110" s="110"/>
      <c r="H110" s="110"/>
      <c r="I110" s="110"/>
    </row>
    <row r="111" spans="1:9" ht="17.25" x14ac:dyDescent="0.25">
      <c r="A111" s="110"/>
      <c r="B111" s="110"/>
      <c r="C111" s="110"/>
      <c r="D111" s="110"/>
      <c r="E111" s="110"/>
      <c r="F111" s="110"/>
      <c r="G111" s="110"/>
      <c r="H111" s="110"/>
      <c r="I111" s="110"/>
    </row>
    <row r="112" spans="1:9" ht="21" x14ac:dyDescent="0.25">
      <c r="B112" s="464" t="s">
        <v>176</v>
      </c>
      <c r="C112" s="464"/>
      <c r="D112" s="464"/>
      <c r="E112" s="464"/>
      <c r="F112" s="464"/>
    </row>
    <row r="114" spans="2:9" ht="26.25" x14ac:dyDescent="0.25">
      <c r="B114" s="108" t="s">
        <v>177</v>
      </c>
    </row>
    <row r="116" spans="2:9" ht="21" x14ac:dyDescent="0.3">
      <c r="B116" s="116" t="s">
        <v>179</v>
      </c>
      <c r="C116" s="106" t="s">
        <v>180</v>
      </c>
      <c r="E116" s="106" t="s">
        <v>178</v>
      </c>
      <c r="F116" s="106"/>
      <c r="G116" s="120">
        <f>Mesures_Dover!K45</f>
        <v>0</v>
      </c>
    </row>
    <row r="117" spans="2:9" ht="21" x14ac:dyDescent="0.3">
      <c r="B117" s="116" t="s">
        <v>182</v>
      </c>
      <c r="C117" s="109" t="s">
        <v>183</v>
      </c>
      <c r="E117" s="106" t="s">
        <v>181</v>
      </c>
      <c r="F117" s="106"/>
      <c r="G117" s="115">
        <f>Mesures_Dover!L45</f>
        <v>0</v>
      </c>
    </row>
    <row r="118" spans="2:9" ht="21" x14ac:dyDescent="0.35">
      <c r="B118" s="118" t="s">
        <v>185</v>
      </c>
      <c r="C118" s="119" t="s">
        <v>186</v>
      </c>
      <c r="E118" s="106" t="s">
        <v>184</v>
      </c>
      <c r="F118" s="106"/>
      <c r="G118" s="117">
        <f>Mesures_Dover!M45</f>
        <v>0</v>
      </c>
    </row>
    <row r="123" spans="2:9" ht="36" x14ac:dyDescent="0.25">
      <c r="C123" s="461" t="s">
        <v>188</v>
      </c>
      <c r="D123" s="461"/>
      <c r="E123" s="461"/>
      <c r="F123" s="461"/>
    </row>
    <row r="124" spans="2:9" ht="36" x14ac:dyDescent="0.25">
      <c r="B124" s="103"/>
      <c r="C124" s="103"/>
      <c r="D124" s="103"/>
    </row>
    <row r="125" spans="2:9" x14ac:dyDescent="0.25">
      <c r="B125" s="352"/>
      <c r="C125" s="352"/>
      <c r="D125" s="352"/>
      <c r="E125" s="352"/>
      <c r="F125" s="352"/>
      <c r="G125" s="352"/>
      <c r="H125" s="352"/>
      <c r="I125" s="352"/>
    </row>
    <row r="126" spans="2:9" x14ac:dyDescent="0.25">
      <c r="B126" s="352"/>
      <c r="C126" s="352"/>
      <c r="D126" s="352"/>
      <c r="E126" s="352"/>
      <c r="F126" s="352"/>
      <c r="G126" s="352"/>
      <c r="H126" s="352"/>
      <c r="I126" s="352"/>
    </row>
    <row r="127" spans="2:9" x14ac:dyDescent="0.25">
      <c r="B127" s="352"/>
      <c r="C127" s="352"/>
      <c r="D127" s="352"/>
      <c r="E127" s="352"/>
      <c r="F127" s="352"/>
      <c r="G127" s="352"/>
      <c r="H127" s="352"/>
      <c r="I127" s="352"/>
    </row>
    <row r="128" spans="2:9" x14ac:dyDescent="0.25">
      <c r="B128" s="352"/>
      <c r="C128" s="352"/>
      <c r="D128" s="352"/>
      <c r="E128" s="352"/>
      <c r="F128" s="352"/>
      <c r="G128" s="352"/>
      <c r="H128" s="352"/>
      <c r="I128" s="352"/>
    </row>
    <row r="129" spans="2:9" x14ac:dyDescent="0.25">
      <c r="B129" s="352"/>
      <c r="C129" s="352"/>
      <c r="D129" s="352"/>
      <c r="E129" s="352"/>
      <c r="F129" s="352"/>
      <c r="G129" s="352"/>
      <c r="H129" s="352"/>
      <c r="I129" s="352"/>
    </row>
    <row r="130" spans="2:9" x14ac:dyDescent="0.25">
      <c r="B130" s="352"/>
      <c r="C130" s="352"/>
      <c r="D130" s="352"/>
      <c r="E130" s="352"/>
      <c r="F130" s="352"/>
      <c r="G130" s="352"/>
      <c r="H130" s="352"/>
      <c r="I130" s="352"/>
    </row>
    <row r="131" spans="2:9" x14ac:dyDescent="0.25">
      <c r="B131" s="352"/>
      <c r="C131" s="352"/>
      <c r="D131" s="352"/>
      <c r="E131" s="352"/>
      <c r="F131" s="352"/>
      <c r="G131" s="352"/>
      <c r="H131" s="352"/>
      <c r="I131" s="352"/>
    </row>
    <row r="132" spans="2:9" x14ac:dyDescent="0.25">
      <c r="B132" s="352"/>
      <c r="C132" s="352"/>
      <c r="D132" s="352"/>
      <c r="E132" s="352"/>
      <c r="F132" s="352"/>
      <c r="G132" s="352"/>
      <c r="H132" s="352"/>
      <c r="I132" s="352"/>
    </row>
    <row r="133" spans="2:9" x14ac:dyDescent="0.25">
      <c r="B133" s="352"/>
      <c r="C133" s="352"/>
      <c r="D133" s="352"/>
      <c r="E133" s="352"/>
      <c r="F133" s="352"/>
      <c r="G133" s="352"/>
      <c r="H133" s="352"/>
      <c r="I133" s="352"/>
    </row>
    <row r="134" spans="2:9" x14ac:dyDescent="0.25">
      <c r="B134" s="352"/>
      <c r="C134" s="352"/>
      <c r="D134" s="352"/>
      <c r="E134" s="352"/>
      <c r="F134" s="352"/>
      <c r="G134" s="352"/>
      <c r="H134" s="352"/>
      <c r="I134" s="352"/>
    </row>
    <row r="135" spans="2:9" x14ac:dyDescent="0.25">
      <c r="B135" s="352"/>
      <c r="C135" s="352"/>
      <c r="D135" s="352"/>
      <c r="E135" s="352"/>
      <c r="F135" s="352"/>
      <c r="G135" s="352"/>
      <c r="H135" s="352"/>
      <c r="I135" s="352"/>
    </row>
    <row r="136" spans="2:9" x14ac:dyDescent="0.25">
      <c r="B136" s="352"/>
      <c r="C136" s="352"/>
      <c r="D136" s="352"/>
      <c r="E136" s="352"/>
      <c r="F136" s="352"/>
      <c r="G136" s="352"/>
      <c r="H136" s="352"/>
      <c r="I136" s="352"/>
    </row>
    <row r="137" spans="2:9" x14ac:dyDescent="0.25">
      <c r="B137" s="352"/>
      <c r="C137" s="352"/>
      <c r="D137" s="352"/>
      <c r="E137" s="352"/>
      <c r="F137" s="352"/>
      <c r="G137" s="352"/>
      <c r="H137" s="352"/>
      <c r="I137" s="352"/>
    </row>
    <row r="138" spans="2:9" x14ac:dyDescent="0.25">
      <c r="B138" s="352"/>
      <c r="C138" s="352"/>
      <c r="D138" s="352"/>
      <c r="E138" s="352"/>
      <c r="F138" s="352"/>
      <c r="G138" s="352"/>
      <c r="H138" s="352"/>
      <c r="I138" s="352"/>
    </row>
    <row r="139" spans="2:9" x14ac:dyDescent="0.25">
      <c r="B139" s="352"/>
      <c r="C139" s="352"/>
      <c r="D139" s="352"/>
      <c r="E139" s="352"/>
      <c r="F139" s="352"/>
      <c r="G139" s="352"/>
      <c r="H139" s="352"/>
      <c r="I139" s="352"/>
    </row>
    <row r="140" spans="2:9" x14ac:dyDescent="0.25">
      <c r="B140" s="352"/>
      <c r="C140" s="352"/>
      <c r="D140" s="352"/>
      <c r="E140" s="352"/>
      <c r="F140" s="352"/>
      <c r="G140" s="352"/>
      <c r="H140" s="352"/>
      <c r="I140" s="352"/>
    </row>
    <row r="141" spans="2:9" x14ac:dyDescent="0.25">
      <c r="B141" s="352"/>
      <c r="C141" s="352"/>
      <c r="D141" s="352"/>
      <c r="E141" s="352"/>
      <c r="F141" s="352"/>
      <c r="G141" s="352"/>
      <c r="H141" s="352"/>
      <c r="I141" s="352"/>
    </row>
    <row r="142" spans="2:9" x14ac:dyDescent="0.25">
      <c r="B142" s="352"/>
      <c r="C142" s="352"/>
      <c r="D142" s="352"/>
      <c r="E142" s="352"/>
      <c r="F142" s="352"/>
      <c r="G142" s="352"/>
      <c r="H142" s="352"/>
      <c r="I142" s="352"/>
    </row>
    <row r="143" spans="2:9" x14ac:dyDescent="0.25">
      <c r="B143" s="352"/>
      <c r="C143" s="352"/>
      <c r="D143" s="352"/>
      <c r="E143" s="352"/>
      <c r="F143" s="352"/>
      <c r="G143" s="352"/>
      <c r="H143" s="352"/>
      <c r="I143" s="352"/>
    </row>
    <row r="144" spans="2:9" x14ac:dyDescent="0.25">
      <c r="B144" s="352"/>
      <c r="C144" s="352"/>
      <c r="D144" s="352"/>
      <c r="E144" s="352"/>
      <c r="F144" s="352"/>
      <c r="G144" s="352"/>
      <c r="H144" s="352"/>
      <c r="I144" s="352"/>
    </row>
    <row r="145" spans="2:9" x14ac:dyDescent="0.25">
      <c r="B145" s="352"/>
      <c r="C145" s="352"/>
      <c r="D145" s="352"/>
      <c r="E145" s="352"/>
      <c r="F145" s="352"/>
      <c r="G145" s="352"/>
      <c r="H145" s="352"/>
      <c r="I145" s="352"/>
    </row>
    <row r="146" spans="2:9" x14ac:dyDescent="0.25">
      <c r="B146" s="352"/>
      <c r="C146" s="352"/>
      <c r="D146" s="352"/>
      <c r="E146" s="352"/>
      <c r="F146" s="352"/>
      <c r="G146" s="352"/>
      <c r="H146" s="352"/>
      <c r="I146" s="352"/>
    </row>
    <row r="147" spans="2:9" x14ac:dyDescent="0.25">
      <c r="B147" s="352"/>
      <c r="C147" s="352"/>
      <c r="D147" s="352"/>
      <c r="E147" s="352"/>
      <c r="F147" s="352"/>
      <c r="G147" s="352"/>
      <c r="H147" s="352"/>
      <c r="I147" s="352"/>
    </row>
    <row r="148" spans="2:9" x14ac:dyDescent="0.25">
      <c r="B148" s="352"/>
      <c r="C148" s="352"/>
      <c r="D148" s="352"/>
      <c r="E148" s="352"/>
      <c r="F148" s="352"/>
      <c r="G148" s="352"/>
      <c r="H148" s="352"/>
      <c r="I148" s="352"/>
    </row>
    <row r="149" spans="2:9" x14ac:dyDescent="0.25">
      <c r="B149" s="352"/>
      <c r="C149" s="352"/>
      <c r="D149" s="352"/>
      <c r="E149" s="352"/>
      <c r="F149" s="352"/>
      <c r="G149" s="352"/>
      <c r="H149" s="352"/>
      <c r="I149" s="352"/>
    </row>
    <row r="150" spans="2:9" x14ac:dyDescent="0.25">
      <c r="B150" s="352"/>
      <c r="C150" s="352"/>
      <c r="D150" s="352"/>
      <c r="E150" s="352"/>
      <c r="F150" s="352"/>
      <c r="G150" s="352"/>
      <c r="H150" s="352"/>
      <c r="I150" s="352"/>
    </row>
    <row r="151" spans="2:9" x14ac:dyDescent="0.25">
      <c r="B151" s="352"/>
      <c r="C151" s="352"/>
      <c r="D151" s="352"/>
      <c r="E151" s="352"/>
      <c r="F151" s="352"/>
      <c r="G151" s="352"/>
      <c r="H151" s="352"/>
      <c r="I151" s="352"/>
    </row>
    <row r="152" spans="2:9" x14ac:dyDescent="0.25">
      <c r="B152" s="352"/>
      <c r="C152" s="352"/>
      <c r="D152" s="352"/>
      <c r="E152" s="352"/>
      <c r="F152" s="352"/>
      <c r="G152" s="352"/>
      <c r="H152" s="352"/>
      <c r="I152" s="352"/>
    </row>
    <row r="153" spans="2:9" x14ac:dyDescent="0.25">
      <c r="B153" s="352"/>
      <c r="C153" s="352"/>
      <c r="D153" s="352"/>
      <c r="E153" s="352"/>
      <c r="F153" s="352"/>
      <c r="G153" s="352"/>
      <c r="H153" s="352"/>
      <c r="I153" s="352"/>
    </row>
    <row r="154" spans="2:9" x14ac:dyDescent="0.25">
      <c r="B154" s="352"/>
      <c r="C154" s="352"/>
      <c r="D154" s="352"/>
      <c r="E154" s="352"/>
      <c r="F154" s="352"/>
      <c r="G154" s="352"/>
      <c r="H154" s="352"/>
      <c r="I154" s="352"/>
    </row>
    <row r="155" spans="2:9" x14ac:dyDescent="0.25">
      <c r="B155" s="352"/>
      <c r="C155" s="352"/>
      <c r="D155" s="352"/>
      <c r="E155" s="352"/>
      <c r="F155" s="352"/>
      <c r="G155" s="352"/>
      <c r="H155" s="352"/>
      <c r="I155" s="352"/>
    </row>
    <row r="156" spans="2:9" x14ac:dyDescent="0.25">
      <c r="B156" s="352"/>
      <c r="C156" s="352"/>
      <c r="D156" s="352"/>
      <c r="E156" s="352"/>
      <c r="F156" s="352"/>
      <c r="G156" s="352"/>
      <c r="H156" s="352"/>
      <c r="I156" s="352"/>
    </row>
    <row r="159" spans="2:9" ht="36" x14ac:dyDescent="0.25">
      <c r="C159" s="461" t="s">
        <v>236</v>
      </c>
      <c r="D159" s="461"/>
      <c r="E159" s="461"/>
      <c r="F159" s="461"/>
      <c r="G159" s="461"/>
      <c r="H159" s="461"/>
    </row>
    <row r="162" spans="1:3" ht="15.75" thickBot="1" x14ac:dyDescent="0.3"/>
    <row r="163" spans="1:3" ht="15.75" thickBot="1" x14ac:dyDescent="0.3">
      <c r="A163" s="12" t="s">
        <v>9</v>
      </c>
      <c r="B163" s="13" t="s">
        <v>12</v>
      </c>
      <c r="C163" s="13" t="s">
        <v>14</v>
      </c>
    </row>
    <row r="164" spans="1:3" x14ac:dyDescent="0.25">
      <c r="A164" s="15" cm="1">
        <f t="array" ref="A164:C172">Mesures_Dover!A24:C32</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1" t="str">
        <f>"6. Résultats et exploitation des résultats à " &amp; Mesures_Dover!B20 &amp; "°C"</f>
        <v>6. Résultats et exploitation des résultats à °C</v>
      </c>
      <c r="D188" s="461"/>
      <c r="E188" s="461"/>
      <c r="F188" s="461"/>
      <c r="G188" s="461"/>
      <c r="H188" s="461"/>
    </row>
    <row r="192" spans="1:9" x14ac:dyDescent="0.25">
      <c r="A192" s="121" t="str" cm="1">
        <f t="array" ref="A192:A193">Mesures_Dover!A20:A21</f>
        <v>Consigne °C</v>
      </c>
      <c r="B192" s="150" cm="1">
        <f t="array" ref="B192:B193">Mesures_Dover!B20:B21</f>
        <v>0</v>
      </c>
      <c r="G192" s="465" t="s">
        <v>190</v>
      </c>
      <c r="H192" s="466"/>
      <c r="I192" s="467"/>
    </row>
    <row r="193" spans="1:9" x14ac:dyDescent="0.25">
      <c r="A193" s="121" t="str">
        <v>Tolérances +/- °C</v>
      </c>
      <c r="B193" s="150">
        <v>0</v>
      </c>
      <c r="G193" s="22" t="s">
        <v>191</v>
      </c>
      <c r="H193" s="22" t="s">
        <v>192</v>
      </c>
      <c r="I193" s="22" t="s">
        <v>193</v>
      </c>
    </row>
    <row r="194" spans="1:9" x14ac:dyDescent="0.25">
      <c r="G194" s="124" t="e" cm="1">
        <f t="array" ref="G194">INDEX(Valeurs_Brutes_Dover_1[Date/Heure], COUNTA(Valeurs_Brutes_Dover_1[Connecteur 1])-30)</f>
        <v>#VALUE!</v>
      </c>
      <c r="H194" s="124" cm="1">
        <f t="array" ref="H194">INDEX(Valeurs_Brutes_Dover_1[Date/Heure],COUNTA(Valeurs_Brutes_Dover_1[Date/Heure]))</f>
        <v>0</v>
      </c>
      <c r="I194" s="124" t="e">
        <f>H194-G194</f>
        <v>#VALUE!</v>
      </c>
    </row>
    <row r="197" spans="1:9" ht="23.25" x14ac:dyDescent="0.25">
      <c r="B197" s="468" t="s">
        <v>194</v>
      </c>
      <c r="C197" s="468"/>
    </row>
    <row r="200" spans="1:9" ht="30" x14ac:dyDescent="0.25">
      <c r="B200" s="125" t="s">
        <v>195</v>
      </c>
      <c r="C200" s="126" t="s">
        <v>196</v>
      </c>
      <c r="D200" s="126" t="s">
        <v>112</v>
      </c>
      <c r="E200" s="127" t="s">
        <v>197</v>
      </c>
      <c r="F200" s="126" t="s">
        <v>198</v>
      </c>
    </row>
    <row r="201" spans="1:9" x14ac:dyDescent="0.25">
      <c r="B201" s="128" t="s">
        <v>199</v>
      </c>
      <c r="C201" s="129" t="str">
        <f>Mesures_Dover!B20 &amp; "°C"</f>
        <v>°C</v>
      </c>
      <c r="D201" s="129" t="s">
        <v>200</v>
      </c>
      <c r="E201" s="129" t="s">
        <v>200</v>
      </c>
      <c r="F201" s="130" t="s">
        <v>200</v>
      </c>
    </row>
    <row r="202" spans="1:9" x14ac:dyDescent="0.25">
      <c r="B202" s="128" t="s">
        <v>201</v>
      </c>
      <c r="C202" s="129" t="str">
        <f>Mesures_Dover!B20 &amp; "°C"</f>
        <v>°C</v>
      </c>
      <c r="D202" s="129" t="s">
        <v>200</v>
      </c>
      <c r="E202" s="129" t="s">
        <v>200</v>
      </c>
      <c r="F202" s="130" t="s">
        <v>200</v>
      </c>
    </row>
    <row r="203" spans="1:9" x14ac:dyDescent="0.25">
      <c r="A203" s="469" t="s">
        <v>202</v>
      </c>
      <c r="B203" s="128" t="s">
        <v>203</v>
      </c>
      <c r="C203" s="131" t="e">
        <f ca="1">MAX(Dover_1!C16:K16)</f>
        <v>#REF!</v>
      </c>
      <c r="D203" s="129" t="e">
        <f ca="1">_xlfn.XLOOKUP(INT(SUBSTITUTE(E203,"Connecteur ","")),Mesures_Dover!C24:C32,Mesures_Dover!A24:A32)</f>
        <v>#REF!</v>
      </c>
      <c r="E203" s="129" t="e" cm="1">
        <f t="array" aca="1" ref="E203" ca="1">_xlfn.XLOOKUP(MAX(Dover_1!C16:K16),Dover_1!C16:K16,_xlfn.ANCHORARRAY(Dover_1!C14))</f>
        <v>#REF!</v>
      </c>
      <c r="F203" s="129" t="e">
        <f ca="1">_xlfn.XLOOKUP(INT(SUBSTITUTE(E203,"Connecteur ","")),Mesures_Dover!C24:C32,Mesures_Dover!B24:B32)</f>
        <v>#REF!</v>
      </c>
    </row>
    <row r="204" spans="1:9" x14ac:dyDescent="0.25">
      <c r="A204" s="469"/>
      <c r="B204" s="128" t="s">
        <v>204</v>
      </c>
      <c r="C204" s="131" t="e">
        <f ca="1">MIN(Dover_1!C16:K16)</f>
        <v>#REF!</v>
      </c>
      <c r="D204" s="129" t="e">
        <f ca="1">_xlfn.XLOOKUP(INT(SUBSTITUTE(E204,"Connecteur ","")),Mesures_Dover!C24:C32,Mesures_Dover!A24:A32)</f>
        <v>#REF!</v>
      </c>
      <c r="E204" s="129" t="e" cm="1">
        <f t="array" aca="1" ref="E204" ca="1">_xlfn.XLOOKUP(MIN(Dover_1!C16:K16),Dover_1!C16:K16,_xlfn.ANCHORARRAY(Dover_1!C14))</f>
        <v>#REF!</v>
      </c>
      <c r="F204" s="130" t="e">
        <f ca="1">_xlfn.XLOOKUP(INT(SUBSTITUTE(E204,"Connecteur ","")),Mesures_Dover!C24:C32,Mesures_Dover!B24:B32)</f>
        <v>#REF!</v>
      </c>
    </row>
    <row r="205" spans="1:9" x14ac:dyDescent="0.25">
      <c r="A205" s="469"/>
      <c r="B205" s="128" t="s">
        <v>205</v>
      </c>
      <c r="C205" s="131" t="e">
        <f ca="1">MIN(Dover_1!C17:K17)</f>
        <v>#REF!</v>
      </c>
      <c r="D205" s="129" t="e">
        <f ca="1">_xlfn.XLOOKUP(INT(SUBSTITUTE(E205,"Connecteur ","")),Mesures_Dover!C24:C32,Mesures_Dover!A24:A32)</f>
        <v>#REF!</v>
      </c>
      <c r="E205" s="129" t="e">
        <f ca="1">_xlfn.XLOOKUP(MIN(Dover_1!C17:K17),Dover_1!C17:K17,Dover_1!C10:K10)</f>
        <v>#REF!</v>
      </c>
      <c r="F205" s="130" t="e">
        <f ca="1">_xlfn.XLOOKUP(INT(SUBSTITUTE(E205,"Connecteur ","")),Mesures_Dover!C24:C32,Mesures_Dover!B24:B32)</f>
        <v>#REF!</v>
      </c>
    </row>
    <row r="206" spans="1:9" x14ac:dyDescent="0.25">
      <c r="A206" s="469"/>
      <c r="B206" s="128" t="s">
        <v>206</v>
      </c>
      <c r="C206" s="131" t="e">
        <f ca="1">Dover_1!C21</f>
        <v>#REF!</v>
      </c>
      <c r="D206" s="129" t="s">
        <v>200</v>
      </c>
      <c r="E206" s="129" t="s">
        <v>200</v>
      </c>
      <c r="F206" s="130" t="s">
        <v>200</v>
      </c>
    </row>
    <row r="207" spans="1:9" x14ac:dyDescent="0.25">
      <c r="C207" s="88"/>
      <c r="D207" s="88"/>
      <c r="E207" s="88"/>
      <c r="F207" s="88"/>
    </row>
    <row r="218" spans="2:6" ht="36" x14ac:dyDescent="0.25">
      <c r="B218" s="461" t="str">
        <f>"7. Résultats et exploitation des résultats à " &amp; Mesures_Dover!B20 &amp; "°C"</f>
        <v>7. Résultats et exploitation des résultats à °C</v>
      </c>
      <c r="C218" s="461"/>
      <c r="D218" s="461"/>
      <c r="E218" s="461"/>
      <c r="F218" s="461"/>
    </row>
    <row r="221" spans="2:6" x14ac:dyDescent="0.25">
      <c r="B221" s="352" t="s">
        <v>207</v>
      </c>
      <c r="C221" s="352"/>
    </row>
    <row r="225" spans="1:10" x14ac:dyDescent="0.25">
      <c r="A225" s="1"/>
      <c r="B225" s="151" t="str" cm="1">
        <f t="array" ref="B225:J225">Valeurs_Brutes_Dover_1[[#Headers],[Connecteur 1]:[Connecteur 9]]</f>
        <v>Connecteur 1</v>
      </c>
      <c r="C225" s="151" t="str">
        <v>Connecteur 2</v>
      </c>
      <c r="D225" s="151" t="str">
        <v>Connecteur 3</v>
      </c>
      <c r="E225" s="151" t="str">
        <v>Connecteur 4</v>
      </c>
      <c r="F225" s="151" t="str">
        <v>Connecteur 5</v>
      </c>
      <c r="G225" s="151" t="str">
        <v>Connecteur 6</v>
      </c>
      <c r="H225" s="151" t="str">
        <v>Connecteur 7</v>
      </c>
      <c r="I225" s="151" t="str">
        <v>Connecteur 8</v>
      </c>
      <c r="J225" s="151"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500" t="e">
        <f ca="1">Dover_1!C20</f>
        <v>#REF!</v>
      </c>
      <c r="C230" s="503"/>
      <c r="D230" s="503"/>
      <c r="E230" s="503"/>
      <c r="F230" s="503"/>
      <c r="G230" s="503"/>
      <c r="H230" s="503"/>
      <c r="I230" s="503"/>
      <c r="J230" s="503"/>
    </row>
    <row r="231" spans="1:10" x14ac:dyDescent="0.25">
      <c r="A231" s="42" t="s">
        <v>98</v>
      </c>
      <c r="B231" s="500" t="e">
        <f ca="1">Dover_1!C21</f>
        <v>#REF!</v>
      </c>
      <c r="C231" s="503"/>
      <c r="D231" s="503"/>
      <c r="E231" s="503"/>
      <c r="F231" s="503"/>
      <c r="G231" s="503"/>
      <c r="H231" s="503"/>
      <c r="I231" s="503"/>
      <c r="J231" s="503"/>
    </row>
    <row r="232" spans="1:10" x14ac:dyDescent="0.25">
      <c r="A232" s="36" t="s">
        <v>99</v>
      </c>
      <c r="B232" s="152" t="e" cm="1">
        <f t="array" aca="1" ref="B232:J232" ca="1">Dover_1!C22:K22</f>
        <v>#REF!</v>
      </c>
      <c r="C232" s="153" t="e">
        <f ca="1"/>
        <v>#REF!</v>
      </c>
      <c r="D232" s="153" t="e">
        <f ca="1"/>
        <v>#REF!</v>
      </c>
      <c r="E232" s="153" t="e">
        <f ca="1"/>
        <v>#REF!</v>
      </c>
      <c r="F232" s="153" t="e">
        <f ca="1"/>
        <v>#REF!</v>
      </c>
      <c r="G232" s="153" t="e">
        <f ca="1"/>
        <v>#REF!</v>
      </c>
      <c r="H232" s="153" t="e">
        <f ca="1"/>
        <v>#REF!</v>
      </c>
      <c r="I232" s="153" t="e">
        <f ca="1"/>
        <v>#REF!</v>
      </c>
      <c r="J232" s="153" t="e">
        <f ca="1"/>
        <v>#REF!</v>
      </c>
    </row>
    <row r="244" spans="2:6" x14ac:dyDescent="0.25">
      <c r="B244" s="134"/>
    </row>
    <row r="246" spans="2:6" ht="36" x14ac:dyDescent="0.3">
      <c r="C246" s="135" t="str">
        <f>"8. Résultats et exploitation des résultats à " &amp; Mesures_Dover!B20 &amp; "°C"</f>
        <v>8. Résultats et exploitation des résultats à °C</v>
      </c>
      <c r="D246" s="136"/>
      <c r="E246" s="136"/>
      <c r="F246" s="136"/>
    </row>
    <row r="249" spans="2:6" x14ac:dyDescent="0.25">
      <c r="B249" t="s">
        <v>213</v>
      </c>
    </row>
    <row r="284" spans="2:6" ht="36" x14ac:dyDescent="0.25">
      <c r="B284" s="461" t="str">
        <f>"9. Résultats et exploitation des résultats à " &amp; Mesures_Dover!C20 &amp; "°C"</f>
        <v>9. Résultats et exploitation des résultats à °C</v>
      </c>
      <c r="C284" s="461"/>
      <c r="D284" s="461"/>
      <c r="E284" s="461"/>
      <c r="F284" s="461"/>
    </row>
    <row r="291" spans="1:9" x14ac:dyDescent="0.25">
      <c r="A291" s="121" t="s">
        <v>237</v>
      </c>
      <c r="B291" s="150">
        <f>Mesures_Dover!C20</f>
        <v>0</v>
      </c>
      <c r="G291" s="465" t="s">
        <v>190</v>
      </c>
      <c r="H291" s="466"/>
      <c r="I291" s="467"/>
    </row>
    <row r="292" spans="1:9" x14ac:dyDescent="0.25">
      <c r="A292" s="121" t="s">
        <v>238</v>
      </c>
      <c r="B292" s="150">
        <f>Mesures_Dover!B21</f>
        <v>0</v>
      </c>
      <c r="G292" s="22" t="s">
        <v>191</v>
      </c>
      <c r="H292" s="22" t="s">
        <v>192</v>
      </c>
      <c r="I292" s="22" t="s">
        <v>193</v>
      </c>
    </row>
    <row r="293" spans="1:9" x14ac:dyDescent="0.25">
      <c r="G293" s="124" t="e" cm="1">
        <f t="array" ref="G293">INDEX(Valeurs_Brutes_Dover_2[Date/Heure], COUNTA(Valeurs_Brutes_Dover_2[Connecteur 1])-30)</f>
        <v>#VALUE!</v>
      </c>
      <c r="H293" s="124" cm="1">
        <f t="array" ref="H293">INDEX(Valeurs_Brutes_Dover_2[Date/Heure],COUNTA(Valeurs_Brutes_Dover_2[Date/Heure]))</f>
        <v>0</v>
      </c>
      <c r="I293" s="124" t="e">
        <f>H293-G293</f>
        <v>#VALUE!</v>
      </c>
    </row>
    <row r="296" spans="1:9" ht="23.25" x14ac:dyDescent="0.25">
      <c r="B296" s="468" t="s">
        <v>194</v>
      </c>
      <c r="C296" s="468"/>
    </row>
    <row r="299" spans="1:9" ht="30" x14ac:dyDescent="0.25">
      <c r="B299" s="125" t="s">
        <v>195</v>
      </c>
      <c r="C299" s="126" t="s">
        <v>196</v>
      </c>
      <c r="D299" s="126" t="s">
        <v>112</v>
      </c>
      <c r="E299" s="127" t="s">
        <v>197</v>
      </c>
      <c r="F299" s="126" t="s">
        <v>198</v>
      </c>
    </row>
    <row r="300" spans="1:9" x14ac:dyDescent="0.25">
      <c r="B300" s="128" t="s">
        <v>199</v>
      </c>
      <c r="C300" s="154" t="str">
        <f>Mesures_Dover!C20 &amp; "°C"</f>
        <v>°C</v>
      </c>
      <c r="D300" s="129" t="s">
        <v>200</v>
      </c>
      <c r="E300" s="129" t="s">
        <v>200</v>
      </c>
      <c r="F300" s="130" t="s">
        <v>200</v>
      </c>
    </row>
    <row r="301" spans="1:9" x14ac:dyDescent="0.25">
      <c r="B301" s="128" t="s">
        <v>201</v>
      </c>
      <c r="C301" s="154" t="str">
        <f>Mesures_Dover!C20 &amp; "°C"</f>
        <v>°C</v>
      </c>
      <c r="D301" s="129" t="s">
        <v>200</v>
      </c>
      <c r="E301" s="129" t="s">
        <v>200</v>
      </c>
      <c r="F301" s="130" t="s">
        <v>200</v>
      </c>
    </row>
    <row r="302" spans="1:9" x14ac:dyDescent="0.25">
      <c r="A302" s="469" t="s">
        <v>202</v>
      </c>
      <c r="B302" s="128" t="s">
        <v>203</v>
      </c>
      <c r="C302" s="131" t="e">
        <f ca="1">MAX(Dover_2!C16:K16)</f>
        <v>#REF!</v>
      </c>
      <c r="D302" s="129" t="e">
        <f ca="1">_xlfn.XLOOKUP(INT(SUBSTITUTE(E302,"Connecteur ","")),Mesures_Dover!C24:C32,Mesures_Dover!A24:A32)</f>
        <v>#REF!</v>
      </c>
      <c r="E302" s="129" t="e" cm="1">
        <f t="array" aca="1" ref="E302" ca="1">_xlfn.XLOOKUP(MAX(Dover_2!C16:K16),Dover_2!C16:K16,_xlfn.ANCHORARRAY(Dover_2!C14))</f>
        <v>#REF!</v>
      </c>
      <c r="F302" s="129" t="e">
        <f ca="1">_xlfn.XLOOKUP(INT(SUBSTITUTE(E302,"Connecteur ","")),Mesures_Dover!C24:C32,Mesures_Dover!B24:B32)</f>
        <v>#REF!</v>
      </c>
    </row>
    <row r="303" spans="1:9" x14ac:dyDescent="0.25">
      <c r="A303" s="469"/>
      <c r="B303" s="128" t="s">
        <v>204</v>
      </c>
      <c r="C303" s="131" t="e">
        <f ca="1">MIN(Dover_2!C16:K16)</f>
        <v>#REF!</v>
      </c>
      <c r="D303" s="129" t="e">
        <f ca="1">_xlfn.XLOOKUP(INT(SUBSTITUTE(E303,"Connecteur ","")),Mesures_Dover!C24:C32,Mesures_Dover!A24:A32)</f>
        <v>#REF!</v>
      </c>
      <c r="E303" s="129" t="e" cm="1">
        <f t="array" aca="1" ref="E303" ca="1">_xlfn.XLOOKUP(MIN(Dover_2!C16:K16),Dover_2!C16:K16,_xlfn.ANCHORARRAY(Dover_2!C14))</f>
        <v>#REF!</v>
      </c>
      <c r="F303" s="130" t="e">
        <f ca="1">_xlfn.XLOOKUP(INT(SUBSTITUTE(E303,"Connecteur ","")),Mesures_Dover!C24:C32,Mesures_Dover!B24:B32)</f>
        <v>#REF!</v>
      </c>
    </row>
    <row r="304" spans="1:9" x14ac:dyDescent="0.25">
      <c r="A304" s="469"/>
      <c r="B304" s="128" t="s">
        <v>205</v>
      </c>
      <c r="C304" s="131" t="e">
        <f ca="1">MIN(Dover_2!C16:K16)</f>
        <v>#REF!</v>
      </c>
      <c r="D304" s="129" t="e">
        <f ca="1">_xlfn.XLOOKUP(INT(SUBSTITUTE(E304,"Connecteur ","")),Mesures_Dover!C24:C32,Mesures_Dover!A24:A32)</f>
        <v>#REF!</v>
      </c>
      <c r="E304" s="129" t="e">
        <f ca="1">_xlfn.XLOOKUP(MIN(Dover_2!C17:K17),Dover_2!C17:K17,Dover_2!C10:K10)</f>
        <v>#REF!</v>
      </c>
      <c r="F304" s="130" t="e">
        <f ca="1">_xlfn.XLOOKUP(INT(SUBSTITUTE(E304,"Connecteur ","")),Mesures_Dover!C24:C32,Mesures_Dover!B24:B32)</f>
        <v>#REF!</v>
      </c>
    </row>
    <row r="305" spans="1:6" x14ac:dyDescent="0.25">
      <c r="A305" s="469"/>
      <c r="B305" s="128" t="s">
        <v>206</v>
      </c>
      <c r="C305" s="131" t="e">
        <f ca="1">AVERAGE(Dover_2!C16:K16)</f>
        <v>#REF!</v>
      </c>
      <c r="D305" s="129" t="s">
        <v>200</v>
      </c>
      <c r="E305" s="129" t="s">
        <v>200</v>
      </c>
      <c r="F305" s="130" t="s">
        <v>200</v>
      </c>
    </row>
    <row r="306" spans="1:6" x14ac:dyDescent="0.25">
      <c r="C306" s="88"/>
      <c r="D306" s="88"/>
      <c r="E306" s="88"/>
      <c r="F306" s="88"/>
    </row>
    <row r="316" spans="1:6" ht="36" x14ac:dyDescent="0.25">
      <c r="B316" s="461" t="str">
        <f>"10. Résultats et exploitation des résultats à " &amp; Mesures_Dover!C20 &amp; "°C"</f>
        <v>10. Résultats et exploitation des résultats à °C</v>
      </c>
      <c r="C316" s="461"/>
      <c r="D316" s="461"/>
      <c r="E316" s="461"/>
      <c r="F316" s="461"/>
    </row>
    <row r="319" spans="1:6" x14ac:dyDescent="0.25">
      <c r="B319" s="352" t="s">
        <v>207</v>
      </c>
      <c r="C319" s="352"/>
    </row>
    <row r="323" spans="1:10" x14ac:dyDescent="0.25">
      <c r="A323" s="1"/>
      <c r="B323" s="151" t="str" cm="1">
        <f t="array" ref="B323:J323">Valeurs_Brutes_Dover_2[[#Headers],[Connecteur 1]:[Connecteur 9]]</f>
        <v>Connecteur 1</v>
      </c>
      <c r="C323" s="151" t="str">
        <v>Connecteur 2</v>
      </c>
      <c r="D323" s="151" t="str">
        <v>Connecteur 3</v>
      </c>
      <c r="E323" s="151" t="str">
        <v>Connecteur 4</v>
      </c>
      <c r="F323" s="151" t="str">
        <v>Connecteur 5</v>
      </c>
      <c r="G323" s="151" t="str">
        <v>Connecteur 6</v>
      </c>
      <c r="H323" s="151" t="str">
        <v>Connecteur 7</v>
      </c>
      <c r="I323" s="151" t="str">
        <v>Connecteur 8</v>
      </c>
      <c r="J323" s="151"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500" t="e">
        <f ca="1">Dover_2!C20</f>
        <v>#REF!</v>
      </c>
      <c r="C328" s="503"/>
      <c r="D328" s="503"/>
      <c r="E328" s="503"/>
      <c r="F328" s="503"/>
      <c r="G328" s="503"/>
      <c r="H328" s="503"/>
      <c r="I328" s="503"/>
      <c r="J328" s="503"/>
    </row>
    <row r="329" spans="1:10" x14ac:dyDescent="0.25">
      <c r="A329" s="42" t="s">
        <v>98</v>
      </c>
      <c r="B329" s="500" t="e">
        <f ca="1">Dover_2!C21</f>
        <v>#REF!</v>
      </c>
      <c r="C329" s="503"/>
      <c r="D329" s="503"/>
      <c r="E329" s="503"/>
      <c r="F329" s="503"/>
      <c r="G329" s="503"/>
      <c r="H329" s="503"/>
      <c r="I329" s="503"/>
      <c r="J329" s="503"/>
    </row>
    <row r="330" spans="1:10" x14ac:dyDescent="0.25">
      <c r="A330" s="36" t="s">
        <v>99</v>
      </c>
      <c r="B330" s="152" t="e" cm="1">
        <f t="array" aca="1" ref="B330:J330" ca="1">Dover_2!C22:K22</f>
        <v>#REF!</v>
      </c>
      <c r="C330" s="153" t="e">
        <f ca="1"/>
        <v>#REF!</v>
      </c>
      <c r="D330" s="153" t="e">
        <f ca="1"/>
        <v>#REF!</v>
      </c>
      <c r="E330" s="153" t="e">
        <f ca="1"/>
        <v>#REF!</v>
      </c>
      <c r="F330" s="153" t="e">
        <f ca="1"/>
        <v>#REF!</v>
      </c>
      <c r="G330" s="153" t="e">
        <f ca="1"/>
        <v>#REF!</v>
      </c>
      <c r="H330" s="153" t="e">
        <f ca="1"/>
        <v>#REF!</v>
      </c>
      <c r="I330" s="153" t="e">
        <f ca="1"/>
        <v>#REF!</v>
      </c>
      <c r="J330" s="153" t="e">
        <f ca="1"/>
        <v>#REF!</v>
      </c>
    </row>
    <row r="340" spans="2:6" x14ac:dyDescent="0.25">
      <c r="B340" s="134"/>
    </row>
    <row r="342" spans="2:6" ht="36" x14ac:dyDescent="0.3">
      <c r="C342" s="135" t="str">
        <f>"11. Résultats et exploitation des résultats à " &amp; Mesures_Dover!C20 &amp; "°C"</f>
        <v>11. Résultats et exploitation des résultats à °C</v>
      </c>
      <c r="D342" s="136"/>
      <c r="E342" s="136"/>
      <c r="F342" s="136"/>
    </row>
    <row r="345" spans="2:6" x14ac:dyDescent="0.25">
      <c r="B345" t="s">
        <v>213</v>
      </c>
    </row>
    <row r="395" spans="3:3" ht="36" x14ac:dyDescent="0.25">
      <c r="C395" s="135" t="str">
        <f>"12. Résultats et exploitation des résultats à " &amp; Mesures_Dover!D20 &amp; "°C"</f>
        <v>12. Résultats et exploitation des résultats à °C</v>
      </c>
    </row>
    <row r="401" spans="1:9" x14ac:dyDescent="0.25">
      <c r="A401" s="121" t="s">
        <v>237</v>
      </c>
      <c r="B401" s="123">
        <v>150</v>
      </c>
      <c r="G401" s="465" t="s">
        <v>190</v>
      </c>
      <c r="H401" s="466"/>
      <c r="I401" s="467"/>
    </row>
    <row r="402" spans="1:9" x14ac:dyDescent="0.25">
      <c r="A402" s="121" t="s">
        <v>238</v>
      </c>
      <c r="B402" s="150">
        <f>Mesures_Dover!B21</f>
        <v>0</v>
      </c>
      <c r="G402" s="22" t="s">
        <v>191</v>
      </c>
      <c r="H402" s="22" t="s">
        <v>192</v>
      </c>
      <c r="I402" s="22" t="s">
        <v>193</v>
      </c>
    </row>
    <row r="403" spans="1:9" x14ac:dyDescent="0.25">
      <c r="G403" s="124" t="e" cm="1">
        <f t="array" ref="G403">INDEX(Valeurs_Brutes_Dover_3[Date/Heure], COUNTA(Valeurs_Brutes_Dover_3[Connecteur 1])-30)</f>
        <v>#VALUE!</v>
      </c>
      <c r="H403" s="124" cm="1">
        <f t="array" ref="H403">INDEX(Valeurs_Brutes_Dover_3[Date/Heure], COUNTA(Valeurs_Brutes_Dover_3[Connecteur 1]))</f>
        <v>0</v>
      </c>
      <c r="I403" s="124" t="e">
        <f>H403-G403</f>
        <v>#VALUE!</v>
      </c>
    </row>
    <row r="406" spans="1:9" ht="23.25" x14ac:dyDescent="0.25">
      <c r="B406" s="468" t="s">
        <v>194</v>
      </c>
      <c r="C406" s="468"/>
    </row>
    <row r="409" spans="1:9" ht="30" x14ac:dyDescent="0.25">
      <c r="B409" s="125" t="s">
        <v>195</v>
      </c>
      <c r="C409" s="126" t="s">
        <v>196</v>
      </c>
      <c r="D409" s="126" t="s">
        <v>112</v>
      </c>
      <c r="E409" s="127" t="s">
        <v>197</v>
      </c>
      <c r="F409" s="126" t="s">
        <v>198</v>
      </c>
    </row>
    <row r="410" spans="1:9" x14ac:dyDescent="0.25">
      <c r="B410" s="128" t="s">
        <v>199</v>
      </c>
      <c r="C410" s="129" t="str">
        <f>"150°C"</f>
        <v>150°C</v>
      </c>
      <c r="D410" s="129" t="s">
        <v>200</v>
      </c>
      <c r="E410" s="129" t="s">
        <v>200</v>
      </c>
      <c r="F410" s="130" t="s">
        <v>200</v>
      </c>
    </row>
    <row r="411" spans="1:9" x14ac:dyDescent="0.25">
      <c r="B411" s="128" t="s">
        <v>201</v>
      </c>
      <c r="C411" s="129" t="str">
        <f>"150°C"</f>
        <v>150°C</v>
      </c>
      <c r="D411" s="129" t="s">
        <v>200</v>
      </c>
      <c r="E411" s="129" t="s">
        <v>200</v>
      </c>
      <c r="F411" s="130" t="s">
        <v>200</v>
      </c>
    </row>
    <row r="412" spans="1:9" x14ac:dyDescent="0.25">
      <c r="A412" s="469" t="s">
        <v>202</v>
      </c>
      <c r="B412" s="128" t="s">
        <v>203</v>
      </c>
      <c r="C412" s="131" t="e">
        <f ca="1">MAX(Dover_3!C16:K16)</f>
        <v>#REF!</v>
      </c>
      <c r="D412" s="129" t="e">
        <f ca="1">_xlfn.XLOOKUP(INT(SUBSTITUTE(E412,"Connecteur ","")),Mesures_Dover!C24:C32,Mesures_Dover!A24:A32)</f>
        <v>#REF!</v>
      </c>
      <c r="E412" s="129" t="e" cm="1">
        <f t="array" aca="1" ref="E412" ca="1">_xlfn.XLOOKUP(MAX(Dover_3!C16:K16),Dover_3!C16:K16,_xlfn.ANCHORARRAY(Dover_3!C14))</f>
        <v>#REF!</v>
      </c>
      <c r="F412" s="129" t="e">
        <f ca="1">_xlfn.XLOOKUP(INT(SUBSTITUTE(E412,"Connecteur ","")),Mesures_Dover!C24:C32,Mesures_Dover!B24:B32)</f>
        <v>#REF!</v>
      </c>
    </row>
    <row r="413" spans="1:9" x14ac:dyDescent="0.25">
      <c r="A413" s="469"/>
      <c r="B413" s="128" t="s">
        <v>204</v>
      </c>
      <c r="C413" s="131" t="e">
        <f ca="1">MIN(Dover_3!C16:K16)</f>
        <v>#REF!</v>
      </c>
      <c r="D413" s="129" t="e">
        <f ca="1">_xlfn.XLOOKUP(INT(SUBSTITUTE(E413,"Connecteur ","")),Mesures_Dover!C24:C32,Mesures_Dover!A24:A32)</f>
        <v>#REF!</v>
      </c>
      <c r="E413" s="129" t="e" cm="1">
        <f t="array" aca="1" ref="E413" ca="1">_xlfn.XLOOKUP(MIN(Dover_3!C16:K16),Dover_3!C16:K16,_xlfn.ANCHORARRAY(Dover_3!C14))</f>
        <v>#REF!</v>
      </c>
      <c r="F413" s="130" t="e">
        <f ca="1">_xlfn.XLOOKUP(INT(SUBSTITUTE(E413,"Connecteur ","")),Mesures_Dover!C24:C32,Mesures_Dover!B24:B32)</f>
        <v>#REF!</v>
      </c>
    </row>
    <row r="414" spans="1:9" x14ac:dyDescent="0.25">
      <c r="A414" s="469"/>
      <c r="B414" s="128" t="s">
        <v>205</v>
      </c>
      <c r="C414" s="131" t="e">
        <f ca="1">MIN(Dover_3!C17:O17)</f>
        <v>#REF!</v>
      </c>
      <c r="D414" s="129" t="e">
        <f ca="1">_xlfn.XLOOKUP(INT(SUBSTITUTE(E414,"Connecteur ","")),Mesures_Dover!C24:C32,Mesures_Dover!A24:A32)</f>
        <v>#REF!</v>
      </c>
      <c r="E414" s="129" t="e" cm="1">
        <f t="array" aca="1" ref="E414" ca="1">_xlfn.XLOOKUP(MAX(Dover_3!C17:K17),Dover_3!C17:K17,_xlfn.ANCHORARRAY(Dover_3!C14))</f>
        <v>#REF!</v>
      </c>
      <c r="F414" s="130" t="e">
        <f ca="1">_xlfn.XLOOKUP(INT(SUBSTITUTE(E414,"Connecteur ","")),Mesures_Dover!C24:C32,Mesures_Dover!B24:B32)</f>
        <v>#REF!</v>
      </c>
    </row>
    <row r="415" spans="1:9" x14ac:dyDescent="0.25">
      <c r="A415" s="469"/>
      <c r="B415" s="128" t="s">
        <v>206</v>
      </c>
      <c r="C415" s="131" t="e">
        <f ca="1">AVERAGE(Dover_3!C18:O18)</f>
        <v>#REF!</v>
      </c>
      <c r="D415" s="129" t="s">
        <v>200</v>
      </c>
      <c r="E415" s="129" t="s">
        <v>200</v>
      </c>
      <c r="F415" s="130" t="s">
        <v>200</v>
      </c>
    </row>
    <row r="416" spans="1:9" x14ac:dyDescent="0.25">
      <c r="C416" s="88"/>
      <c r="D416" s="88"/>
      <c r="E416" s="88"/>
      <c r="F416" s="88"/>
    </row>
    <row r="425" spans="1:10" ht="36" x14ac:dyDescent="0.25">
      <c r="B425" s="461" t="str">
        <f>"13. Résultats et exploitation des résultats à " &amp; Mesures_Dover!D20 &amp; "°C"</f>
        <v>13. Résultats et exploitation des résultats à °C</v>
      </c>
      <c r="C425" s="461"/>
      <c r="D425" s="461"/>
      <c r="E425" s="461"/>
      <c r="F425" s="461"/>
    </row>
    <row r="428" spans="1:10" x14ac:dyDescent="0.25">
      <c r="B428" s="352" t="s">
        <v>207</v>
      </c>
      <c r="C428" s="352"/>
    </row>
    <row r="432" spans="1:10" x14ac:dyDescent="0.25">
      <c r="A432" s="1"/>
      <c r="B432" s="151" t="str" cm="1">
        <f t="array" ref="B432:J432">Valeurs_Brutes_Dover_3[[#Headers],[Connecteur 1]:[Connecteur 9]]</f>
        <v>Connecteur 1</v>
      </c>
      <c r="C432" s="151" t="str">
        <v>Connecteur 2</v>
      </c>
      <c r="D432" s="151" t="str">
        <v>Connecteur 3</v>
      </c>
      <c r="E432" s="151" t="str">
        <v>Connecteur 4</v>
      </c>
      <c r="F432" s="151" t="str">
        <v>Connecteur 5</v>
      </c>
      <c r="G432" s="151" t="str">
        <v>Connecteur 6</v>
      </c>
      <c r="H432" s="151" t="str">
        <v>Connecteur 7</v>
      </c>
      <c r="I432" s="151" t="str">
        <v>Connecteur 8</v>
      </c>
      <c r="J432" s="151"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500" t="e">
        <f ca="1">Dover_3!C20</f>
        <v>#REF!</v>
      </c>
      <c r="C437" s="503"/>
      <c r="D437" s="503"/>
      <c r="E437" s="503"/>
      <c r="F437" s="503"/>
      <c r="G437" s="503"/>
      <c r="H437" s="503"/>
      <c r="I437" s="503"/>
      <c r="J437" s="503"/>
    </row>
    <row r="438" spans="1:10" x14ac:dyDescent="0.25">
      <c r="A438" s="42" t="s">
        <v>98</v>
      </c>
      <c r="B438" s="500" t="e">
        <f ca="1">Dover_3!C21</f>
        <v>#REF!</v>
      </c>
      <c r="C438" s="503"/>
      <c r="D438" s="503"/>
      <c r="E438" s="503"/>
      <c r="F438" s="503"/>
      <c r="G438" s="503"/>
      <c r="H438" s="503"/>
      <c r="I438" s="503"/>
      <c r="J438" s="503"/>
    </row>
    <row r="439" spans="1:10" x14ac:dyDescent="0.25">
      <c r="A439" s="36" t="s">
        <v>99</v>
      </c>
      <c r="B439" s="152" t="e" cm="1">
        <f t="array" aca="1" ref="B439:J439" ca="1">Dover_3!C22:K22</f>
        <v>#REF!</v>
      </c>
      <c r="C439" s="153" t="e">
        <f ca="1"/>
        <v>#REF!</v>
      </c>
      <c r="D439" s="153" t="e">
        <f ca="1"/>
        <v>#REF!</v>
      </c>
      <c r="E439" s="153" t="e">
        <f ca="1"/>
        <v>#REF!</v>
      </c>
      <c r="F439" s="153" t="e">
        <f ca="1"/>
        <v>#REF!</v>
      </c>
      <c r="G439" s="153" t="e">
        <f ca="1"/>
        <v>#REF!</v>
      </c>
      <c r="H439" s="153" t="e">
        <f ca="1"/>
        <v>#REF!</v>
      </c>
      <c r="I439" s="153" t="e">
        <f ca="1"/>
        <v>#REF!</v>
      </c>
      <c r="J439" s="153" t="e">
        <f ca="1"/>
        <v>#REF!</v>
      </c>
    </row>
    <row r="445" spans="1:10" x14ac:dyDescent="0.25">
      <c r="B445" s="134"/>
    </row>
    <row r="447" spans="1:10" ht="36" x14ac:dyDescent="0.3">
      <c r="C447" s="135" t="str">
        <f>"14. Résultats et exploitation des résultats à " &amp; Mesures_Dover!D20 &amp; "°C"</f>
        <v>14. Résultats et exploitation des résultats à °C</v>
      </c>
      <c r="D447" s="136"/>
      <c r="E447" s="136"/>
      <c r="F447" s="136"/>
    </row>
    <row r="450" spans="2:2" x14ac:dyDescent="0.25">
      <c r="B450" t="s">
        <v>213</v>
      </c>
    </row>
    <row r="489" spans="3:3" x14ac:dyDescent="0.25">
      <c r="C489" t="s">
        <v>321</v>
      </c>
    </row>
    <row r="497" spans="3:7" x14ac:dyDescent="0.25">
      <c r="C497" s="128" t="s">
        <v>215</v>
      </c>
      <c r="D497" s="128"/>
      <c r="E497" s="189" t="str">
        <f>Dover_1!O16 &amp; "°C"</f>
        <v>0°C</v>
      </c>
      <c r="F497" s="22" t="str">
        <f>Dover_2!O16 &amp; "°C"</f>
        <v>0°C</v>
      </c>
      <c r="G497" s="22" t="str">
        <f>Dover_3!O16 &amp; "°C"</f>
        <v>0°C</v>
      </c>
    </row>
    <row r="498" spans="3:7" x14ac:dyDescent="0.25">
      <c r="C498" s="471" t="s">
        <v>216</v>
      </c>
      <c r="D498" s="472"/>
      <c r="E498" s="154">
        <f>Dover_1!O16</f>
        <v>0</v>
      </c>
      <c r="F498" s="154">
        <f>Dover_2!O16</f>
        <v>0</v>
      </c>
      <c r="G498" s="154">
        <f>Dover_3!O16</f>
        <v>0</v>
      </c>
    </row>
    <row r="499" spans="3:7" x14ac:dyDescent="0.25">
      <c r="C499" s="471" t="s">
        <v>217</v>
      </c>
      <c r="D499" s="472"/>
      <c r="E499" s="131" t="e">
        <f ca="1">Dover_1!C20</f>
        <v>#REF!</v>
      </c>
      <c r="F499" s="131" t="e">
        <f ca="1">Dover_2!C20</f>
        <v>#REF!</v>
      </c>
      <c r="G499" s="131" t="e">
        <f ca="1">Dover_3!C20</f>
        <v>#REF!</v>
      </c>
    </row>
    <row r="500" spans="3:7" x14ac:dyDescent="0.25">
      <c r="C500" s="471" t="s">
        <v>218</v>
      </c>
      <c r="D500" s="472"/>
      <c r="E500" s="154">
        <f>Mesures_Dover!B21</f>
        <v>0</v>
      </c>
      <c r="F500" s="154">
        <f>Mesures_Dover!B21</f>
        <v>0</v>
      </c>
      <c r="G500" s="154">
        <f>Mesures_Dover!B21</f>
        <v>0</v>
      </c>
    </row>
    <row r="501" spans="3:7" x14ac:dyDescent="0.25">
      <c r="C501" s="471" t="s">
        <v>239</v>
      </c>
      <c r="D501" s="472"/>
      <c r="E501" s="129" t="e">
        <f ca="1">IF(MIN(Dover_1!C17:K17)&lt;Dover_1!L17,"NON CONFORME","CONFORME")</f>
        <v>#REF!</v>
      </c>
      <c r="F501" s="129" t="e">
        <f ca="1">IF(MIN(Dover_2!C17:K17)&lt;Dover_2!L17,"NON CONFORME","CONFORME")</f>
        <v>#REF!</v>
      </c>
      <c r="G501" s="129" t="e">
        <f ca="1">IF(MIN(Dover_3!C17:K17)&lt;Dover_3!L17,"NON CONFORME","CONFORME")</f>
        <v>#REF!</v>
      </c>
    </row>
    <row r="502" spans="3:7" x14ac:dyDescent="0.25">
      <c r="C502" s="471" t="s">
        <v>240</v>
      </c>
      <c r="D502" s="472"/>
      <c r="E502" s="129" t="e">
        <f ca="1">IF(MAX(Dover_1!C16:K16)&gt;Dover_1!L16,"NON CONFORME","CONFORME")</f>
        <v>#REF!</v>
      </c>
      <c r="F502" s="129" t="e">
        <f ca="1">IF(MAX(Dover_2!C16:K16)&gt;Dover_2!L16,"NON CONFORME","CONFORME")</f>
        <v>#REF!</v>
      </c>
      <c r="G502" s="129" t="e">
        <f ca="1">IF(MAX(Dover_3!C16:K16)&gt;Dover_3!L16,"NON CONFORME","CONFORME")</f>
        <v>#REF!</v>
      </c>
    </row>
    <row r="503" spans="3:7" x14ac:dyDescent="0.25">
      <c r="C503" s="471" t="s">
        <v>241</v>
      </c>
      <c r="D503" s="472"/>
      <c r="E503" s="129" t="e">
        <f ca="1">IF(OR(Dover_1!C21&lt;Dover_1!L17,Dover_1!C21&gt;Dover_1!L16),"NON CONFORME","CONFORME")</f>
        <v>#REF!</v>
      </c>
      <c r="F503" s="129" t="e">
        <f ca="1">IF(OR(Dover_2!C21&lt;Dover_2!L17,Dover_2!C21&gt;Dover_2!L16),"NON CONFORME","CONFORME")</f>
        <v>#REF!</v>
      </c>
      <c r="G503" s="129" t="e">
        <f ca="1">IF(OR(Dover_3!C21&lt;Dover_3!L17,Dover_3!C21&gt;Dover_3!L16),"NON CONFORME","CONFORME")</f>
        <v>#REF!</v>
      </c>
    </row>
    <row r="504" spans="3:7" x14ac:dyDescent="0.25">
      <c r="C504" s="471" t="s">
        <v>220</v>
      </c>
      <c r="D504" s="472"/>
      <c r="E504" s="129" t="e">
        <f ca="1">(MAX(Dover_1!C16:K16)- MIN(Dover_1!C17:K17))/2</f>
        <v>#REF!</v>
      </c>
      <c r="F504" s="129" t="e">
        <f ca="1">(MAX(Dover_2!C16:K16)- MIN(Dover_2!C17:K17))/2</f>
        <v>#REF!</v>
      </c>
      <c r="G504" s="129" t="e">
        <f ca="1">(MAX(Dover_3!C16:K16)- MIN(Dover_3!C17:K17))/2</f>
        <v>#REF!</v>
      </c>
    </row>
  </sheetData>
  <sheetProtection algorithmName="SHA-512" hashValue="FqmEStpoynQaU2iTvHI1QsVY+oRLsFGswfgGhDJHcCPD3LEWyYOLNMfCGOtx4CS/7w6LWsGQx09xgOoUT8uWHA==" saltValue="ccymPhiIjepitMw+HcXNNw==" spinCount="100000" sheet="1" objects="1" scenarios="1"/>
  <dataConsolidate/>
  <mergeCells count="54">
    <mergeCell ref="C98:D98"/>
    <mergeCell ref="B4:F6"/>
    <mergeCell ref="C10:D10"/>
    <mergeCell ref="E10:F10"/>
    <mergeCell ref="A28:B28"/>
    <mergeCell ref="A30:I47"/>
    <mergeCell ref="C51:F51"/>
    <mergeCell ref="C85:G85"/>
    <mergeCell ref="C94:H94"/>
    <mergeCell ref="C95:D95"/>
    <mergeCell ref="C96:D96"/>
    <mergeCell ref="C97:D97"/>
    <mergeCell ref="A203:A206"/>
    <mergeCell ref="B112:F112"/>
    <mergeCell ref="C123:F123"/>
    <mergeCell ref="C99:D99"/>
    <mergeCell ref="C100:D100"/>
    <mergeCell ref="C101:D101"/>
    <mergeCell ref="C102:D102"/>
    <mergeCell ref="C103:D103"/>
    <mergeCell ref="C104:D104"/>
    <mergeCell ref="B221:C221"/>
    <mergeCell ref="G291:I291"/>
    <mergeCell ref="B296:C296"/>
    <mergeCell ref="B125:I140"/>
    <mergeCell ref="C159:H159"/>
    <mergeCell ref="C188:H188"/>
    <mergeCell ref="G192:I192"/>
    <mergeCell ref="B197:C197"/>
    <mergeCell ref="B284:F284"/>
    <mergeCell ref="A412:A415"/>
    <mergeCell ref="B425:F425"/>
    <mergeCell ref="B428:C428"/>
    <mergeCell ref="A302:A305"/>
    <mergeCell ref="B316:F316"/>
    <mergeCell ref="B319:C319"/>
    <mergeCell ref="B328:J328"/>
    <mergeCell ref="B329:J329"/>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s>
  <conditionalFormatting sqref="E501">
    <cfRule type="containsText" dxfId="8" priority="10" operator="containsText" text="NON CONFORME">
      <formula>NOT(ISERROR(SEARCH("NON CONFORME",E501)))</formula>
    </cfRule>
  </conditionalFormatting>
  <conditionalFormatting sqref="E502">
    <cfRule type="containsText" dxfId="7" priority="9" operator="containsText" text="NON CONFORME">
      <formula>NOT(ISERROR(SEARCH("NON CONFORME",E502)))</formula>
    </cfRule>
  </conditionalFormatting>
  <conditionalFormatting sqref="F501">
    <cfRule type="containsText" dxfId="6" priority="8" operator="containsText" text="NON CONFORME">
      <formula>NOT(ISERROR(SEARCH("NON CONFORME",F501)))</formula>
    </cfRule>
  </conditionalFormatting>
  <conditionalFormatting sqref="F502">
    <cfRule type="containsText" dxfId="5" priority="7" operator="containsText" text="NON CONFORME">
      <formula>NOT(ISERROR(SEARCH("NON CONFORME",F502)))</formula>
    </cfRule>
  </conditionalFormatting>
  <conditionalFormatting sqref="G501">
    <cfRule type="containsText" dxfId="4" priority="6" operator="containsText" text="NON CONFORME">
      <formula>NOT(ISERROR(SEARCH("NON CONFORME",G501)))</formula>
    </cfRule>
  </conditionalFormatting>
  <conditionalFormatting sqref="G502">
    <cfRule type="containsText" dxfId="3" priority="5" operator="containsText" text="NON CONFORME">
      <formula>NOT(ISERROR(SEARCH("NON CONFORME",G502)))</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headerFooter>
    <oddFooter>&amp;RIMP 472 ind O du 07-02-2024 ( TUS de l'étuve de polymération ENATT)</oddFooter>
  </headerFooter>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63</vt:i4>
      </vt:variant>
    </vt:vector>
  </HeadingPairs>
  <TitlesOfParts>
    <vt:vector size="110"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Mesures_Congel!Consignes</vt:lpstr>
      <vt:lpstr>Mesures_Ressuage_BCH!Consignes</vt:lpstr>
      <vt:lpstr>Entete_Congel</vt:lpstr>
      <vt:lpstr>Entete_DOVER</vt:lpstr>
      <vt:lpstr>Entete_Etuve_Sechoir</vt:lpstr>
      <vt:lpstr>Entete_OMIA</vt:lpstr>
      <vt:lpstr>Entete_Ressuage_BCH</vt:lpstr>
      <vt:lpstr>Entêtes_Four</vt:lpstr>
      <vt:lpstr>Entêtes_Transfert</vt:lpstr>
      <vt:lpstr>Mesures_Congel!IMP</vt:lpstr>
      <vt:lpstr>Mesures_Dover!IMP</vt:lpstr>
      <vt:lpstr>Mesures_Four!IMP</vt:lpstr>
      <vt:lpstr>Mesures_Omia!IMP</vt:lpstr>
      <vt:lpstr>Mesures_Ressuage_BCH!IMP</vt:lpstr>
      <vt:lpstr>Mesures_Sechoir!IMP</vt:lpstr>
      <vt:lpstr>'200°C'!MT1_30</vt:lpstr>
      <vt:lpstr>'385°C'!MT1_30</vt:lpstr>
      <vt:lpstr>'535°C'!MT1_30</vt:lpstr>
      <vt:lpstr>'80°C'!MT1_30</vt:lpstr>
      <vt:lpstr>Congel!MT1_30</vt:lpstr>
      <vt:lpstr>Dover_1!MT1_30</vt:lpstr>
      <vt:lpstr>Dover_2!MT1_30</vt:lpstr>
      <vt:lpstr>Dover_3!MT1_30</vt:lpstr>
      <vt:lpstr>Omia_1!MT1_30</vt:lpstr>
      <vt:lpstr>Omia_2!MT1_30</vt:lpstr>
      <vt:lpstr>Omia_3!MT1_30</vt:lpstr>
      <vt:lpstr>Ressuage_BCH!MT1_30</vt:lpstr>
      <vt:lpstr>Sechoir!MT1_30</vt:lpstr>
      <vt:lpstr>'200°C'!MT2_30</vt:lpstr>
      <vt:lpstr>'385°C'!MT2_30</vt:lpstr>
      <vt:lpstr>'535°C'!MT2_30</vt:lpstr>
      <vt:lpstr>'80°C'!MT2_30</vt:lpstr>
      <vt:lpstr>Congel!MT2_30</vt:lpstr>
      <vt:lpstr>Dover_1!MT2_30</vt:lpstr>
      <vt:lpstr>Dover_2!MT2_30</vt:lpstr>
      <vt:lpstr>Dover_3!MT2_30</vt:lpstr>
      <vt:lpstr>Omia_1!MT2_30</vt:lpstr>
      <vt:lpstr>Omia_2!MT2_30</vt:lpstr>
      <vt:lpstr>Omia_3!MT2_30</vt:lpstr>
      <vt:lpstr>Ressuage_BCH!MT2_30</vt:lpstr>
      <vt:lpstr>Sechoir!MT2_30</vt:lpstr>
      <vt:lpstr>NomDoc</vt:lpstr>
      <vt:lpstr>'200°C'!test_propagation</vt:lpstr>
      <vt:lpstr>'385°C'!test_propagation</vt:lpstr>
      <vt:lpstr>'535°C'!test_propagation</vt:lpstr>
      <vt:lpstr>'80°C'!test_propagation</vt:lpstr>
      <vt:lpstr>Congel!test_propagation</vt:lpstr>
      <vt:lpstr>Dover_1!test_propagation</vt:lpstr>
      <vt:lpstr>Dover_2!test_propagation</vt:lpstr>
      <vt:lpstr>Dover_3!test_propagation</vt:lpstr>
      <vt:lpstr>Omia_1!test_propagation</vt:lpstr>
      <vt:lpstr>Omia_2!test_propagation</vt:lpstr>
      <vt:lpstr>Omia_3!test_propagation</vt:lpstr>
      <vt:lpstr>Ressuage_BCH!test_propagation</vt:lpstr>
      <vt:lpstr>Sechoir!test_propagation</vt:lpstr>
      <vt:lpstr>Mesures_Congel!Tolérances_TUS</vt:lpstr>
      <vt:lpstr>Mesures_Ressuage_BCH!Tolérances_TUS</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cp:lastPrinted>2024-02-19T07:49:15Z</cp:lastPrinted>
  <dcterms:created xsi:type="dcterms:W3CDTF">2015-06-05T18:19:34Z</dcterms:created>
  <dcterms:modified xsi:type="dcterms:W3CDTF">2024-02-21T08:14:23Z</dcterms:modified>
</cp:coreProperties>
</file>