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8.xml" ContentType="application/vnd.openxmlformats-officedocument.drawing+xml"/>
  <Override PartName="/xl/ctrlProps/ctrlProp3.xml" ContentType="application/vnd.ms-excel.controlproperties+xml"/>
  <Override PartName="/xl/tables/table9.xml" ContentType="application/vnd.openxmlformats-officedocument.spreadsheetml.table+xml"/>
  <Override PartName="/xl/drawings/drawing9.xml" ContentType="application/vnd.openxmlformats-officedocument.drawing+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charts/chart10.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2.xml" ContentType="application/vnd.openxmlformats-officedocument.drawing+xml"/>
  <Override PartName="/xl/ctrlProps/ctrlProp4.xml" ContentType="application/vnd.ms-excel.controlproperties+xml"/>
  <Override PartName="/xl/tables/table10.xml" ContentType="application/vnd.openxmlformats-officedocument.spreadsheetml.table+xml"/>
  <Override PartName="/xl/drawings/drawing13.xml" ContentType="application/vnd.openxmlformats-officedocument.drawing+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4.xml" ContentType="application/vnd.openxmlformats-officedocument.drawing+xml"/>
  <Override PartName="/xl/charts/chart13.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trlProps/ctrlProp5.xml" ContentType="application/vnd.ms-excel.controlproperties+xml"/>
  <Override PartName="/xl/tables/table11.xml" ContentType="application/vnd.openxmlformats-officedocument.spreadsheetml.table+xml"/>
  <Override PartName="/xl/drawings/drawing17.xml" ContentType="application/vnd.openxmlformats-officedocument.drawing+xml"/>
  <Override PartName="/xl/charts/chart14.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8.xml" ContentType="application/vnd.openxmlformats-officedocument.drawing+xml"/>
  <Override PartName="/xl/charts/chart15.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9.xml" ContentType="application/vnd.openxmlformats-officedocument.drawing+xml"/>
  <Override PartName="/xl/ctrlProps/ctrlProp6.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20.xml" ContentType="application/vnd.openxmlformats-officedocument.drawing+xml"/>
  <Override PartName="/xl/charts/chart1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1.xml" ContentType="application/vnd.openxmlformats-officedocument.drawing+xml"/>
  <Override PartName="/xl/charts/chart1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2.xml" ContentType="application/vnd.openxmlformats-officedocument.drawing+xml"/>
  <Override PartName="/xl/charts/chart1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3.xml" ContentType="application/vnd.openxmlformats-officedocument.drawing+xml"/>
  <Override PartName="/xl/charts/chart19.xml" ContentType="application/vnd.openxmlformats-officedocument.drawingml.chart+xml"/>
  <Override PartName="/xl/charts/style11.xml" ContentType="application/vnd.ms-office.chartstyle+xml"/>
  <Override PartName="/xl/charts/colors11.xml" ContentType="application/vnd.ms-office.chartcolorstyle+xml"/>
  <Override PartName="/xl/charts/chart20.xml" ContentType="application/vnd.openxmlformats-officedocument.drawingml.chart+xml"/>
  <Override PartName="/xl/charts/style12.xml" ContentType="application/vnd.ms-office.chartstyle+xml"/>
  <Override PartName="/xl/charts/colors12.xml" ContentType="application/vnd.ms-office.chartcolorstyle+xml"/>
  <Override PartName="/xl/charts/chart21.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4.xml" ContentType="application/vnd.openxmlformats-officedocument.drawing+xml"/>
  <Override PartName="/xl/ctrlProps/ctrlProp7.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25.xml" ContentType="application/vnd.openxmlformats-officedocument.drawing+xml"/>
  <Override PartName="/xl/charts/chart22.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6.xml" ContentType="application/vnd.openxmlformats-officedocument.drawing+xml"/>
  <Override PartName="/xl/charts/chart23.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7.xml" ContentType="application/vnd.openxmlformats-officedocument.drawing+xml"/>
  <Override PartName="/xl/charts/chart24.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8.xml" ContentType="application/vnd.openxmlformats-officedocument.drawing+xml"/>
  <Override PartName="/xl/charts/chart25.xml" ContentType="application/vnd.openxmlformats-officedocument.drawingml.chart+xml"/>
  <Override PartName="/xl/charts/style17.xml" ContentType="application/vnd.ms-office.chartstyle+xml"/>
  <Override PartName="/xl/charts/colors17.xml" ContentType="application/vnd.ms-office.chartcolorstyle+xml"/>
  <Override PartName="/xl/charts/chart26.xml" ContentType="application/vnd.openxmlformats-officedocument.drawingml.chart+xml"/>
  <Override PartName="/xl/charts/style18.xml" ContentType="application/vnd.ms-office.chartstyle+xml"/>
  <Override PartName="/xl/charts/colors18.xml" ContentType="application/vnd.ms-office.chartcolorstyle+xml"/>
  <Override PartName="/xl/charts/chart27.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C:\Users\pberne\Desktop\projet_git\Macro_VBA_TUS\Regroupement_TUS\src\"/>
    </mc:Choice>
  </mc:AlternateContent>
  <xr:revisionPtr revIDLastSave="0" documentId="13_ncr:1_{016B307D-EACE-4F84-B20D-3D53BB5A16EB}" xr6:coauthVersionLast="47" xr6:coauthVersionMax="47" xr10:uidLastSave="{00000000-0000-0000-0000-000000000000}"/>
  <bookViews>
    <workbookView xWindow="-28920" yWindow="-120" windowWidth="29040" windowHeight="15840" tabRatio="771" firstSheet="2" activeTab="2" xr2:uid="{00000000-000D-0000-FFFF-FFFF00000000}"/>
  </bookViews>
  <sheets>
    <sheet name="Group-1" sheetId="17" state="hidden" r:id="rId1"/>
    <sheet name="Entete" sheetId="18" state="hidden" r:id="rId2"/>
    <sheet name="Choose_TUS" sheetId="1" r:id="rId3"/>
    <sheet name="Mesures_Four" sheetId="45" state="hidden" r:id="rId4"/>
    <sheet name="transfert 80" sheetId="46" state="hidden" r:id="rId5"/>
    <sheet name="transfert 200" sheetId="50" state="hidden" r:id="rId6"/>
    <sheet name="transfert 385" sheetId="47" state="hidden" r:id="rId7"/>
    <sheet name="transfert 535" sheetId="48" state="hidden" r:id="rId8"/>
    <sheet name="Four 80" sheetId="49" state="hidden" r:id="rId9"/>
    <sheet name="Four 200" sheetId="51" state="hidden" r:id="rId10"/>
    <sheet name="Four 385" sheetId="52" state="hidden" r:id="rId11"/>
    <sheet name="Four 535" sheetId="53" state="hidden" r:id="rId12"/>
    <sheet name="80°C" sheetId="41" state="hidden" r:id="rId13"/>
    <sheet name="200°C" sheetId="42" state="hidden" r:id="rId14"/>
    <sheet name="385°C" sheetId="40" state="hidden" r:id="rId15"/>
    <sheet name="535°C" sheetId="43" state="hidden" r:id="rId16"/>
    <sheet name="Four_PV" sheetId="44" state="hidden" r:id="rId17"/>
    <sheet name="Mesures_Ressuage_BCH" sheetId="35" state="hidden" r:id="rId18"/>
    <sheet name="Donnee_Ressuage_BCH" sheetId="36" state="hidden" r:id="rId19"/>
    <sheet name="Ressuage_BCH" sheetId="37" state="hidden" r:id="rId20"/>
    <sheet name="Ressuage_PV_BCH" sheetId="38" state="hidden" r:id="rId21"/>
    <sheet name="Verif_periodique_Ressuage_BCH" sheetId="39" state="hidden" r:id="rId22"/>
    <sheet name="Mesures_Congel" sheetId="2" state="hidden" r:id="rId23"/>
    <sheet name="Donnee_Congel" sheetId="16" state="hidden" r:id="rId24"/>
    <sheet name="Congel" sheetId="54" state="hidden" r:id="rId25"/>
    <sheet name="Congel_PV" sheetId="20" state="hidden" r:id="rId26"/>
    <sheet name="Verif_periodique_Congel" sheetId="19" state="hidden" r:id="rId27"/>
    <sheet name="Mesures_Sechoir" sheetId="29" state="hidden" r:id="rId28"/>
    <sheet name="Donnee_Sechoir" sheetId="30" state="hidden" r:id="rId29"/>
    <sheet name="Sechoir" sheetId="31" state="hidden" r:id="rId30"/>
    <sheet name="Sechoir_PV" sheetId="32" state="hidden" r:id="rId31"/>
    <sheet name="Mesures_Omia" sheetId="4" state="hidden" r:id="rId32"/>
    <sheet name="Donnee_Omia_1" sheetId="21" state="hidden" r:id="rId33"/>
    <sheet name="Donnee_Omia_2" sheetId="22" state="hidden" r:id="rId34"/>
    <sheet name="Donnee_Omia_3" sheetId="23" state="hidden" r:id="rId35"/>
    <sheet name="Omia_1" sheetId="6" state="hidden" r:id="rId36"/>
    <sheet name="Omia_2" sheetId="7" state="hidden" r:id="rId37"/>
    <sheet name="Omia_3" sheetId="8" state="hidden" r:id="rId38"/>
    <sheet name="Omia_PV" sheetId="24" state="hidden" r:id="rId39"/>
    <sheet name="Mesures_Dover" sheetId="3" state="hidden" r:id="rId40"/>
    <sheet name="Donnee_Dover_1" sheetId="25" state="hidden" r:id="rId41"/>
    <sheet name="Donnee_Dover_2" sheetId="26" state="hidden" r:id="rId42"/>
    <sheet name="Donnee_Dover_3" sheetId="27" state="hidden" r:id="rId43"/>
    <sheet name="Dover_1" sheetId="9" state="hidden" r:id="rId44"/>
    <sheet name="Dover_2" sheetId="10" state="hidden" r:id="rId45"/>
    <sheet name="Dover_3" sheetId="11" state="hidden" r:id="rId46"/>
    <sheet name="Dover_PV" sheetId="28" state="hidden" r:id="rId47"/>
  </sheets>
  <functionGroups builtInGroupCount="19"/>
  <definedNames>
    <definedName name="Consignes" localSheetId="22">Mesures_Congel!$B$18</definedName>
    <definedName name="Consignes" localSheetId="17">Mesures_Ressuage_BCH!$B$18</definedName>
    <definedName name="Entete_Congel">Entete!$A$2:$N$21</definedName>
    <definedName name="Entete_DOVER">Entete!$A$46:$K$59</definedName>
    <definedName name="Entete_Etuve_Sechoir">Entete!$A$64:$J$75</definedName>
    <definedName name="Entete_OMIA">Entete!$A$25:$O$42</definedName>
    <definedName name="Entete_Ressuage_BCH">Entete!$A$80:$Q$99</definedName>
    <definedName name="Entêtes_Four">Entete!$A$127:$L$136</definedName>
    <definedName name="Entêtes_Transfert">Entete!$A$104:$Q$123</definedName>
    <definedName name="IMP" localSheetId="22">Mesures_Congel!$D$5</definedName>
    <definedName name="IMP" localSheetId="39">Mesures_Dover!$D$5</definedName>
    <definedName name="IMP" localSheetId="3">Mesures_Four!$B$4</definedName>
    <definedName name="IMP" localSheetId="31">Mesures_Omia!$D$5</definedName>
    <definedName name="IMP" localSheetId="17">Mesures_Ressuage_BCH!$D$5</definedName>
    <definedName name="IMP" localSheetId="27">Mesures_Sechoir!$D$5</definedName>
    <definedName name="MT1_30" localSheetId="13">'200°C'!$M$7</definedName>
    <definedName name="MT1_30" localSheetId="14">'385°C'!$M$7</definedName>
    <definedName name="MT1_30" localSheetId="15">'535°C'!$M$7</definedName>
    <definedName name="MT1_30" localSheetId="12">'80°C'!$M$7</definedName>
    <definedName name="MT1_30" localSheetId="24">Congel!$A$11</definedName>
    <definedName name="MT1_30" localSheetId="43">Dover_1!$A$11</definedName>
    <definedName name="MT1_30" localSheetId="44">Dover_2!$A$11</definedName>
    <definedName name="MT1_30" localSheetId="45">Dover_3!$A$11</definedName>
    <definedName name="MT1_30" localSheetId="35">Omia_1!$A$11</definedName>
    <definedName name="MT1_30" localSheetId="36">Omia_2!$A$11</definedName>
    <definedName name="MT1_30" localSheetId="37">Omia_3!$A$11</definedName>
    <definedName name="MT1_30" localSheetId="19">Ressuage_BCH!$A$11</definedName>
    <definedName name="MT1_30" localSheetId="29">Sechoir!$A$11</definedName>
    <definedName name="MT2_30" localSheetId="13">'200°C'!$M$8</definedName>
    <definedName name="MT2_30" localSheetId="14">'385°C'!$M$8</definedName>
    <definedName name="MT2_30" localSheetId="15">'535°C'!$M$8</definedName>
    <definedName name="MT2_30" localSheetId="12">'80°C'!$M$8</definedName>
    <definedName name="MT2_30" localSheetId="24">Congel!$A$12</definedName>
    <definedName name="MT2_30" localSheetId="43">Dover_1!$A$12</definedName>
    <definedName name="MT2_30" localSheetId="44">Dover_2!$A$12</definedName>
    <definedName name="MT2_30" localSheetId="45">Dover_3!$A$12</definedName>
    <definedName name="MT2_30" localSheetId="35">Omia_1!$A$12</definedName>
    <definedName name="MT2_30" localSheetId="36">Omia_2!$A$12</definedName>
    <definedName name="MT2_30" localSheetId="37">Omia_3!$A$12</definedName>
    <definedName name="MT2_30" localSheetId="19">Ressuage_BCH!$A$12</definedName>
    <definedName name="MT2_30" localSheetId="29">Sechoir!$A$12</definedName>
    <definedName name="NomDoc">Mesures_Four!$B$4</definedName>
    <definedName name="test_propagation" localSheetId="13">'200°C'!$N$7</definedName>
    <definedName name="test_propagation" localSheetId="14">'385°C'!$N$7</definedName>
    <definedName name="test_propagation" localSheetId="15">'535°C'!$N$7</definedName>
    <definedName name="test_propagation" localSheetId="12">'80°C'!$N$7</definedName>
    <definedName name="test_propagation" localSheetId="24">Congel!$B$11</definedName>
    <definedName name="test_propagation" localSheetId="43">Dover_1!$B$11</definedName>
    <definedName name="test_propagation" localSheetId="44">Dover_2!$B$11</definedName>
    <definedName name="test_propagation" localSheetId="45">Dover_3!$B$11</definedName>
    <definedName name="test_propagation" localSheetId="35">Omia_1!$B$11</definedName>
    <definedName name="test_propagation" localSheetId="36">Omia_2!$B$11</definedName>
    <definedName name="test_propagation" localSheetId="37">Omia_3!$B$11</definedName>
    <definedName name="test_propagation" localSheetId="19">Ressuage_BCH!$B$11</definedName>
    <definedName name="test_propagation" localSheetId="29">Sechoir!$B$11</definedName>
    <definedName name="Tolérances_TUS" localSheetId="22">Mesures_Congel!$B$21</definedName>
    <definedName name="Tolérances_TUS" localSheetId="17">Mesures_Ressuage_BCH!$B$21</definedName>
    <definedName name="_xlnm.Print_Area" localSheetId="46">Dover_PV!$A$1:$O$511</definedName>
    <definedName name="_xlnm.Print_Area" localSheetId="16">Four_PV!$A$1:$I$616</definedName>
    <definedName name="_xlnm.Print_Area" localSheetId="38">Omia_PV!$A$1:$O$519</definedName>
    <definedName name="_xlnm.Print_Area" localSheetId="20">Ressuage_PV_BCH!$A$1:$J$318</definedName>
    <definedName name="_xlnm.Print_Area" localSheetId="30">Sechoir_PV!$A$1:$J$318</definedName>
    <definedName name="_xlnm.Print_Area" localSheetId="21">Verif_periodique_Ressuage_BCH!$A$1:$I$67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05" i="20" l="1"/>
  <c r="B4" i="45" l="1"/>
  <c r="D5" i="35"/>
  <c r="D5" i="3"/>
  <c r="D5" i="4"/>
  <c r="D5" i="2"/>
  <c r="D5" i="29"/>
  <c r="E56" i="38"/>
  <c r="G194" i="28" a="1"/>
  <c r="G194" i="28" s="1"/>
  <c r="G293" i="28" a="1"/>
  <c r="G293" i="28" s="1"/>
  <c r="G403" i="28" a="1"/>
  <c r="G403" i="28" s="1"/>
  <c r="G500" i="28"/>
  <c r="F500" i="28"/>
  <c r="E500" i="28"/>
  <c r="C447" i="28"/>
  <c r="B432" i="28" a="1"/>
  <c r="B432" i="28" s="1"/>
  <c r="B425" i="28"/>
  <c r="C411" i="28"/>
  <c r="C410" i="28"/>
  <c r="H403" i="28" a="1"/>
  <c r="H403" i="28" s="1"/>
  <c r="B402" i="28"/>
  <c r="C395" i="28"/>
  <c r="C342" i="28"/>
  <c r="B323" i="28" a="1"/>
  <c r="B323" i="28" s="1"/>
  <c r="B316" i="28"/>
  <c r="C301" i="28"/>
  <c r="C300" i="28"/>
  <c r="H293" i="28" a="1"/>
  <c r="H293" i="28" s="1"/>
  <c r="B292" i="28"/>
  <c r="B291" i="28"/>
  <c r="B284" i="28"/>
  <c r="C246" i="28"/>
  <c r="B225" i="28" a="1"/>
  <c r="B225" i="28" s="1"/>
  <c r="B218" i="28"/>
  <c r="C202" i="28"/>
  <c r="C201" i="28"/>
  <c r="H194" i="28" a="1"/>
  <c r="H194" i="28" s="1"/>
  <c r="B192" i="28" a="1"/>
  <c r="B192" i="28" s="1"/>
  <c r="A192" i="28" a="1"/>
  <c r="A192" i="28" s="1"/>
  <c r="C188" i="28"/>
  <c r="A164" i="28" a="1"/>
  <c r="A164" i="28" s="1"/>
  <c r="G118" i="28"/>
  <c r="G117" i="28"/>
  <c r="G116" i="28"/>
  <c r="E96" i="28" a="1"/>
  <c r="E96" i="28" s="1"/>
  <c r="C79" i="28"/>
  <c r="C73" i="28"/>
  <c r="D19" i="28"/>
  <c r="G18" i="28"/>
  <c r="D18" i="28"/>
  <c r="G16" i="28"/>
  <c r="D16" i="28"/>
  <c r="G15" i="28"/>
  <c r="D15" i="28"/>
  <c r="G13" i="28"/>
  <c r="D13" i="28"/>
  <c r="G12" i="28"/>
  <c r="D12" i="28"/>
  <c r="E10" i="28"/>
  <c r="O18" i="11"/>
  <c r="K18" i="11"/>
  <c r="J18" i="11"/>
  <c r="I18" i="11"/>
  <c r="H18" i="11"/>
  <c r="G18" i="11"/>
  <c r="F18" i="11"/>
  <c r="E18" i="11"/>
  <c r="D18" i="11"/>
  <c r="C18" i="11"/>
  <c r="O17" i="11"/>
  <c r="L17" i="11"/>
  <c r="K17" i="11"/>
  <c r="J17" i="11"/>
  <c r="I17" i="11"/>
  <c r="H17" i="11"/>
  <c r="G17" i="11"/>
  <c r="F17" i="11"/>
  <c r="E17" i="11"/>
  <c r="D17" i="11"/>
  <c r="C17" i="11"/>
  <c r="O16" i="11"/>
  <c r="G498" i="28" s="1"/>
  <c r="L16" i="11"/>
  <c r="K16" i="11"/>
  <c r="J16" i="11"/>
  <c r="I16" i="11"/>
  <c r="H16" i="11"/>
  <c r="G16" i="11"/>
  <c r="F16" i="11"/>
  <c r="E16" i="11"/>
  <c r="D16" i="11"/>
  <c r="C16" i="11"/>
  <c r="C14" i="11" a="1"/>
  <c r="C14" i="11" s="1"/>
  <c r="B11" i="11" a="1"/>
  <c r="B11" i="11" s="1"/>
  <c r="B10" i="11" a="1"/>
  <c r="B10" i="11" s="1"/>
  <c r="A1" i="11"/>
  <c r="O18" i="10"/>
  <c r="K18" i="10"/>
  <c r="J18" i="10"/>
  <c r="I18" i="10"/>
  <c r="H18" i="10"/>
  <c r="G18" i="10"/>
  <c r="F18" i="10"/>
  <c r="E18" i="10"/>
  <c r="D18" i="10"/>
  <c r="C18" i="10"/>
  <c r="O17" i="10"/>
  <c r="L17" i="10"/>
  <c r="K17" i="10"/>
  <c r="J17" i="10"/>
  <c r="I17" i="10"/>
  <c r="H17" i="10"/>
  <c r="G17" i="10"/>
  <c r="F17" i="10"/>
  <c r="E17" i="10"/>
  <c r="D17" i="10"/>
  <c r="C17" i="10"/>
  <c r="O16" i="10"/>
  <c r="F498" i="28" s="1"/>
  <c r="L16" i="10"/>
  <c r="K16" i="10"/>
  <c r="J16" i="10"/>
  <c r="I16" i="10"/>
  <c r="H16" i="10"/>
  <c r="G16" i="10"/>
  <c r="F16" i="10"/>
  <c r="E16" i="10"/>
  <c r="D16" i="10"/>
  <c r="C16" i="10"/>
  <c r="C14" i="10" a="1"/>
  <c r="J6" i="10" s="1"/>
  <c r="B11" i="10" a="1"/>
  <c r="B11" i="10" s="1"/>
  <c r="B10" i="10" a="1"/>
  <c r="B10" i="10" s="1"/>
  <c r="A1" i="10"/>
  <c r="K22" i="9"/>
  <c r="J22" i="9"/>
  <c r="I22" i="9"/>
  <c r="H22" i="9"/>
  <c r="G22" i="9"/>
  <c r="F22" i="9"/>
  <c r="E22" i="9"/>
  <c r="D22" i="9"/>
  <c r="C22" i="9"/>
  <c r="O18" i="9"/>
  <c r="K18" i="9"/>
  <c r="J228" i="28" s="1"/>
  <c r="J18" i="9"/>
  <c r="I228" i="28" s="1"/>
  <c r="I18" i="9"/>
  <c r="H228" i="28" s="1"/>
  <c r="H18" i="9"/>
  <c r="G228" i="28" s="1"/>
  <c r="G18" i="9"/>
  <c r="F228" i="28" s="1"/>
  <c r="F18" i="9"/>
  <c r="E228" i="28" s="1"/>
  <c r="E18" i="9"/>
  <c r="D228" i="28" s="1"/>
  <c r="D18" i="9"/>
  <c r="C228" i="28" s="1"/>
  <c r="C18" i="9"/>
  <c r="B228" i="28" s="1"/>
  <c r="O17" i="9"/>
  <c r="K17" i="9"/>
  <c r="J227" i="28" s="1"/>
  <c r="J17" i="9"/>
  <c r="I227" i="28" s="1"/>
  <c r="I17" i="9"/>
  <c r="H227" i="28" s="1"/>
  <c r="H17" i="9"/>
  <c r="G227" i="28" s="1"/>
  <c r="G17" i="9"/>
  <c r="F227" i="28" s="1"/>
  <c r="F17" i="9"/>
  <c r="E227" i="28" s="1"/>
  <c r="E17" i="9"/>
  <c r="D227" i="28" s="1"/>
  <c r="D17" i="9"/>
  <c r="C227" i="28" s="1"/>
  <c r="C17" i="9"/>
  <c r="O16" i="9"/>
  <c r="E497" i="28" s="1"/>
  <c r="K16" i="9"/>
  <c r="J226" i="28" s="1"/>
  <c r="J16" i="9"/>
  <c r="I226" i="28" s="1"/>
  <c r="I16" i="9"/>
  <c r="H226" i="28" s="1"/>
  <c r="H16" i="9"/>
  <c r="G16" i="9"/>
  <c r="F226" i="28" s="1"/>
  <c r="F16" i="9"/>
  <c r="E226" i="28" s="1"/>
  <c r="E16" i="9"/>
  <c r="D226" i="28" s="1"/>
  <c r="D16" i="9"/>
  <c r="C226" i="28" s="1"/>
  <c r="C16" i="9"/>
  <c r="C14" i="9" a="1"/>
  <c r="F6" i="9" s="1"/>
  <c r="B11" i="9" a="1"/>
  <c r="B11" i="9" s="1"/>
  <c r="B10" i="9" a="1"/>
  <c r="B10" i="9" s="1"/>
  <c r="A1" i="9"/>
  <c r="A49" i="3"/>
  <c r="C104" i="28" s="1"/>
  <c r="A48" i="3"/>
  <c r="C103" i="28" s="1"/>
  <c r="A47" i="3"/>
  <c r="C102" i="28" s="1"/>
  <c r="A46" i="3"/>
  <c r="C101" i="28" s="1"/>
  <c r="A45" i="3"/>
  <c r="C100" i="28" s="1"/>
  <c r="A44" i="3"/>
  <c r="C99" i="28" s="1"/>
  <c r="A43" i="3"/>
  <c r="C98" i="28" s="1"/>
  <c r="A42" i="3"/>
  <c r="C97" i="28" s="1"/>
  <c r="A41" i="3"/>
  <c r="C96" i="28" s="1"/>
  <c r="I23" i="3"/>
  <c r="H23" i="3"/>
  <c r="G23" i="3"/>
  <c r="F23" i="3"/>
  <c r="E23" i="3"/>
  <c r="D23" i="3"/>
  <c r="G508" i="24"/>
  <c r="F508" i="24"/>
  <c r="E508" i="24"/>
  <c r="G506" i="24"/>
  <c r="F506" i="24"/>
  <c r="E506" i="24"/>
  <c r="G505" i="24"/>
  <c r="F505" i="24"/>
  <c r="E505" i="24"/>
  <c r="C455" i="24"/>
  <c r="B440" i="24" a="1"/>
  <c r="B440" i="24" s="1"/>
  <c r="B433" i="24"/>
  <c r="C419" i="24"/>
  <c r="C418" i="24"/>
  <c r="H411" i="24" a="1"/>
  <c r="H411" i="24" s="1"/>
  <c r="G411" i="24" a="1"/>
  <c r="G411" i="24" s="1"/>
  <c r="B410" i="24"/>
  <c r="B409" i="24"/>
  <c r="B402" i="24"/>
  <c r="C350" i="24"/>
  <c r="B331" i="24" a="1"/>
  <c r="B331" i="24" s="1"/>
  <c r="B324" i="24"/>
  <c r="C309" i="24"/>
  <c r="C308" i="24"/>
  <c r="H301" i="24" a="1"/>
  <c r="H301" i="24" s="1"/>
  <c r="G301" i="24" a="1"/>
  <c r="G301" i="24" s="1"/>
  <c r="B300" i="24"/>
  <c r="B299" i="24"/>
  <c r="B291" i="24"/>
  <c r="C254" i="24"/>
  <c r="B233" i="24" a="1"/>
  <c r="B233" i="24" s="1"/>
  <c r="B226" i="24"/>
  <c r="C210" i="24"/>
  <c r="C209" i="24"/>
  <c r="H202" i="24" a="1"/>
  <c r="H202" i="24" s="1"/>
  <c r="G202" i="24" a="1"/>
  <c r="G202" i="24" s="1"/>
  <c r="B201" i="24"/>
  <c r="B200" i="24"/>
  <c r="C196" i="24"/>
  <c r="C180" i="24"/>
  <c r="B180" i="24"/>
  <c r="C179" i="24"/>
  <c r="B179" i="24"/>
  <c r="C178" i="24"/>
  <c r="B178" i="24"/>
  <c r="C177" i="24"/>
  <c r="B177" i="24"/>
  <c r="C176" i="24"/>
  <c r="B176" i="24"/>
  <c r="C175" i="24"/>
  <c r="B175" i="24"/>
  <c r="C174" i="24"/>
  <c r="B174" i="24"/>
  <c r="C173" i="24"/>
  <c r="B173" i="24"/>
  <c r="C172" i="24"/>
  <c r="B172" i="24"/>
  <c r="C171" i="24"/>
  <c r="B171" i="24"/>
  <c r="C170" i="24"/>
  <c r="B170" i="24"/>
  <c r="C169" i="24"/>
  <c r="B169" i="24"/>
  <c r="C168" i="24"/>
  <c r="B168" i="24"/>
  <c r="G122" i="24"/>
  <c r="G121" i="24"/>
  <c r="G120" i="24"/>
  <c r="E96" i="24" a="1"/>
  <c r="E96" i="24" s="1"/>
  <c r="D19" i="24"/>
  <c r="G18" i="24"/>
  <c r="D18" i="24"/>
  <c r="G16" i="24"/>
  <c r="D16" i="24"/>
  <c r="G15" i="24"/>
  <c r="D15" i="24"/>
  <c r="G13" i="24"/>
  <c r="D13" i="24"/>
  <c r="G12" i="24"/>
  <c r="D12" i="24"/>
  <c r="E10" i="24"/>
  <c r="S18" i="8"/>
  <c r="S17" i="8"/>
  <c r="S16" i="8"/>
  <c r="P17" i="8" s="1"/>
  <c r="C14" i="8" a="1"/>
  <c r="J6" i="8" s="1"/>
  <c r="B11" i="8" a="1"/>
  <c r="B11" i="8" s="1"/>
  <c r="C10" i="8" a="1"/>
  <c r="C10" i="8" s="1"/>
  <c r="B10" i="8"/>
  <c r="A1" i="8"/>
  <c r="S18" i="7"/>
  <c r="S17" i="7"/>
  <c r="S16" i="7"/>
  <c r="P17" i="7" s="1"/>
  <c r="C14" i="7" a="1"/>
  <c r="I6" i="7" s="1"/>
  <c r="C11" i="7" a="1"/>
  <c r="C11" i="7" s="1"/>
  <c r="B11" i="7" a="1"/>
  <c r="B11" i="7" s="1"/>
  <c r="C10" i="7" a="1"/>
  <c r="C10" i="7" s="1"/>
  <c r="B10" i="7"/>
  <c r="A1" i="7"/>
  <c r="S18" i="6"/>
  <c r="S17" i="6"/>
  <c r="S16" i="6"/>
  <c r="P17" i="6" s="1"/>
  <c r="C14" i="6" a="1"/>
  <c r="C14" i="6" s="1"/>
  <c r="C11" i="6" a="1"/>
  <c r="C11" i="6" s="1"/>
  <c r="B11" i="6" a="1"/>
  <c r="B11" i="6" s="1"/>
  <c r="C10" i="6" a="1"/>
  <c r="C10" i="6" s="1"/>
  <c r="B10" i="6"/>
  <c r="A1" i="6"/>
  <c r="A57" i="4"/>
  <c r="C108" i="24" s="1"/>
  <c r="A56" i="4"/>
  <c r="C107" i="24" s="1"/>
  <c r="A55" i="4"/>
  <c r="C106" i="24" s="1"/>
  <c r="A54" i="4"/>
  <c r="C105" i="24" s="1"/>
  <c r="A53" i="4"/>
  <c r="C104" i="24" s="1"/>
  <c r="A52" i="4"/>
  <c r="C103" i="24" s="1"/>
  <c r="A51" i="4"/>
  <c r="C102" i="24" s="1"/>
  <c r="A50" i="4"/>
  <c r="C101" i="24" s="1"/>
  <c r="A49" i="4"/>
  <c r="C100" i="24" s="1"/>
  <c r="A48" i="4"/>
  <c r="C99" i="24" s="1"/>
  <c r="A47" i="4"/>
  <c r="C98" i="24" s="1"/>
  <c r="A46" i="4"/>
  <c r="C97" i="24" s="1"/>
  <c r="A45" i="4"/>
  <c r="C96" i="24" s="1"/>
  <c r="I23" i="4"/>
  <c r="H23" i="4"/>
  <c r="G23" i="4"/>
  <c r="F23" i="4"/>
  <c r="E23" i="4"/>
  <c r="D23" i="4"/>
  <c r="E306" i="32"/>
  <c r="E304" i="32"/>
  <c r="E303" i="32"/>
  <c r="C254" i="32"/>
  <c r="C234" i="32" a="1"/>
  <c r="C234" i="32" s="1"/>
  <c r="B226" i="32"/>
  <c r="H202" i="32" a="1"/>
  <c r="H202" i="32" s="1"/>
  <c r="G202" i="32" a="1"/>
  <c r="G202" i="32" s="1"/>
  <c r="A200" i="32" a="1"/>
  <c r="A200" i="32" s="1"/>
  <c r="C196" i="32"/>
  <c r="A167" i="32" a="1"/>
  <c r="A167" i="32" s="1"/>
  <c r="G122" i="32"/>
  <c r="G121" i="32"/>
  <c r="G120" i="32"/>
  <c r="D19" i="32"/>
  <c r="G18" i="32"/>
  <c r="D18" i="32"/>
  <c r="G16" i="32"/>
  <c r="D16" i="32"/>
  <c r="G15" i="32"/>
  <c r="D15" i="32"/>
  <c r="G13" i="32"/>
  <c r="D13" i="32"/>
  <c r="G12" i="32"/>
  <c r="D12" i="32"/>
  <c r="E10" i="32"/>
  <c r="O17" i="31"/>
  <c r="O16" i="31"/>
  <c r="O15" i="31"/>
  <c r="L17" i="31" s="1"/>
  <c r="C14" i="31" a="1"/>
  <c r="C14" i="31" s="1"/>
  <c r="C11" i="31" a="1"/>
  <c r="C11" i="31" s="1"/>
  <c r="B11" i="31" a="1"/>
  <c r="B11" i="31" s="1"/>
  <c r="B10" i="31" a="1"/>
  <c r="B10" i="31" s="1"/>
  <c r="A1" i="31"/>
  <c r="B51" i="29"/>
  <c r="B50" i="29"/>
  <c r="B49" i="29"/>
  <c r="B48" i="29"/>
  <c r="B47" i="29"/>
  <c r="B46" i="29"/>
  <c r="B45" i="29"/>
  <c r="B44" i="29"/>
  <c r="B43" i="29"/>
  <c r="K36" i="19"/>
  <c r="K37" i="19" s="1"/>
  <c r="F34" i="19"/>
  <c r="B34" i="19"/>
  <c r="F31" i="19"/>
  <c r="B31" i="19"/>
  <c r="F28" i="19"/>
  <c r="A24" i="19"/>
  <c r="G22" i="19"/>
  <c r="C22" i="19"/>
  <c r="G21" i="19"/>
  <c r="C21" i="19"/>
  <c r="G20" i="19"/>
  <c r="C20" i="19"/>
  <c r="B15" i="19"/>
  <c r="I11" i="19" s="1"/>
  <c r="B14" i="19"/>
  <c r="H10" i="19" s="1"/>
  <c r="B13" i="19"/>
  <c r="G10" i="19" s="1"/>
  <c r="E306" i="20"/>
  <c r="E304" i="20"/>
  <c r="E303" i="20"/>
  <c r="C254" i="20"/>
  <c r="C234" i="20" a="1"/>
  <c r="B226" i="20"/>
  <c r="A203" i="20"/>
  <c r="H202" i="20" a="1"/>
  <c r="H202" i="20" s="1"/>
  <c r="G202" i="20" a="1"/>
  <c r="G202" i="20" s="1"/>
  <c r="B202" i="20" a="1"/>
  <c r="B202" i="20" s="1"/>
  <c r="A200" i="20" a="1"/>
  <c r="C210" i="20" s="1"/>
  <c r="C196" i="20"/>
  <c r="A167" i="20" a="1"/>
  <c r="A167" i="20" s="1"/>
  <c r="G122" i="20"/>
  <c r="G121" i="20"/>
  <c r="G120" i="20"/>
  <c r="D96" i="20" a="1"/>
  <c r="D96" i="20" s="1"/>
  <c r="D19" i="20"/>
  <c r="G18" i="20"/>
  <c r="D18" i="20"/>
  <c r="G16" i="20"/>
  <c r="D16" i="20"/>
  <c r="G15" i="20"/>
  <c r="D15" i="20"/>
  <c r="G13" i="20"/>
  <c r="D13" i="20"/>
  <c r="G12" i="20"/>
  <c r="D12" i="20"/>
  <c r="E10" i="20"/>
  <c r="R17" i="54"/>
  <c r="R16" i="54"/>
  <c r="R15" i="54"/>
  <c r="O15" i="54" s="1"/>
  <c r="C11" i="54" a="1"/>
  <c r="C11" i="54" s="1"/>
  <c r="B11" i="54" a="1"/>
  <c r="B11" i="54" s="1"/>
  <c r="A28" i="19" s="1"/>
  <c r="A31" i="19" s="1"/>
  <c r="B10" i="54" a="1"/>
  <c r="C14" i="54" s="1" a="1"/>
  <c r="A1" i="54"/>
  <c r="A54" i="2"/>
  <c r="A53" i="2"/>
  <c r="A52" i="2"/>
  <c r="A51" i="2"/>
  <c r="A50" i="2"/>
  <c r="A49" i="2"/>
  <c r="A48" i="2"/>
  <c r="A47" i="2"/>
  <c r="A46" i="2"/>
  <c r="A45" i="2"/>
  <c r="A44" i="2"/>
  <c r="A43" i="2"/>
  <c r="F28" i="39"/>
  <c r="C28" i="39"/>
  <c r="B28" i="39"/>
  <c r="B23" i="39"/>
  <c r="A23" i="39"/>
  <c r="H19" i="39"/>
  <c r="C19" i="39"/>
  <c r="H14" i="39"/>
  <c r="C14" i="39"/>
  <c r="B14" i="39"/>
  <c r="H13" i="39"/>
  <c r="C13" i="39"/>
  <c r="E306" i="38"/>
  <c r="E304" i="38"/>
  <c r="E303" i="38"/>
  <c r="C254" i="38"/>
  <c r="C234" i="38" a="1"/>
  <c r="C234" i="38" s="1"/>
  <c r="B226" i="38"/>
  <c r="C210" i="38"/>
  <c r="C209" i="38"/>
  <c r="H202" i="38" a="1"/>
  <c r="H202" i="38" s="1"/>
  <c r="G202" i="38" a="1"/>
  <c r="G202" i="38" s="1"/>
  <c r="A202" i="38"/>
  <c r="B201" i="38" a="1"/>
  <c r="B201" i="38" s="1"/>
  <c r="A199" i="38" a="1"/>
  <c r="A199" i="38" s="1"/>
  <c r="C196" i="38"/>
  <c r="A167" i="38" a="1"/>
  <c r="A167" i="38" s="1"/>
  <c r="G122" i="38"/>
  <c r="G121" i="38"/>
  <c r="G120" i="38"/>
  <c r="G119" i="38"/>
  <c r="D96" i="38" a="1"/>
  <c r="D96" i="38" s="1"/>
  <c r="D19" i="38"/>
  <c r="G18" i="38"/>
  <c r="D18" i="38"/>
  <c r="G16" i="38"/>
  <c r="D16" i="38"/>
  <c r="G15" i="38"/>
  <c r="D15" i="38"/>
  <c r="G13" i="38"/>
  <c r="D13" i="38"/>
  <c r="G12" i="38"/>
  <c r="D12" i="38"/>
  <c r="E10" i="38"/>
  <c r="P17" i="37"/>
  <c r="P16" i="37"/>
  <c r="P15" i="37"/>
  <c r="M16" i="37" s="1"/>
  <c r="B11" i="37" a="1"/>
  <c r="B11" i="37" s="1"/>
  <c r="A28" i="39" s="1"/>
  <c r="B10" i="37" a="1"/>
  <c r="C14" i="37" s="1" a="1"/>
  <c r="A1" i="37"/>
  <c r="A52" i="35"/>
  <c r="A51" i="35"/>
  <c r="A50" i="35"/>
  <c r="A49" i="35"/>
  <c r="A48" i="35"/>
  <c r="A47" i="35"/>
  <c r="A46" i="35"/>
  <c r="A45" i="35"/>
  <c r="A44" i="35"/>
  <c r="A43" i="35"/>
  <c r="B602" i="44"/>
  <c r="G587" i="44"/>
  <c r="F587" i="44"/>
  <c r="E587" i="44"/>
  <c r="D587" i="44"/>
  <c r="G585" i="44"/>
  <c r="F585" i="44"/>
  <c r="E585" i="44"/>
  <c r="D585" i="44"/>
  <c r="G584" i="44"/>
  <c r="F584" i="44"/>
  <c r="E584" i="44"/>
  <c r="D584" i="44"/>
  <c r="F575" i="44"/>
  <c r="B575" i="44"/>
  <c r="E566" i="44"/>
  <c r="C560" i="44"/>
  <c r="C559" i="44"/>
  <c r="D501" i="44"/>
  <c r="D500" i="44"/>
  <c r="C488" i="44"/>
  <c r="B488" i="44"/>
  <c r="F487" i="44"/>
  <c r="F486" i="44"/>
  <c r="F485" i="44"/>
  <c r="C485" i="44"/>
  <c r="B485" i="44"/>
  <c r="B482" i="44"/>
  <c r="F474" i="44"/>
  <c r="B474" i="44"/>
  <c r="E465" i="44"/>
  <c r="C459" i="44"/>
  <c r="C458" i="44"/>
  <c r="D399" i="44"/>
  <c r="D398" i="44"/>
  <c r="C386" i="44"/>
  <c r="B386" i="44"/>
  <c r="F385" i="44"/>
  <c r="F384" i="44"/>
  <c r="F383" i="44"/>
  <c r="C383" i="44"/>
  <c r="B383" i="44"/>
  <c r="B380" i="44"/>
  <c r="F372" i="44"/>
  <c r="B372" i="44"/>
  <c r="E363" i="44"/>
  <c r="C357" i="44"/>
  <c r="C356" i="44"/>
  <c r="D297" i="44"/>
  <c r="D296" i="44"/>
  <c r="C284" i="44"/>
  <c r="B284" i="44"/>
  <c r="F283" i="44"/>
  <c r="F282" i="44"/>
  <c r="F281" i="44"/>
  <c r="C281" i="44"/>
  <c r="B281" i="44"/>
  <c r="B278" i="44"/>
  <c r="F270" i="44"/>
  <c r="B270" i="44"/>
  <c r="E261" i="44"/>
  <c r="C255" i="44"/>
  <c r="C254" i="44"/>
  <c r="D197" i="44"/>
  <c r="D196" i="44"/>
  <c r="C184" i="44"/>
  <c r="B184" i="44"/>
  <c r="F183" i="44"/>
  <c r="F182" i="44"/>
  <c r="F181" i="44"/>
  <c r="C181" i="44"/>
  <c r="B181" i="44"/>
  <c r="B178" i="44"/>
  <c r="D155" i="44"/>
  <c r="C155" i="44"/>
  <c r="B155" i="44"/>
  <c r="D154" i="44"/>
  <c r="C154" i="44"/>
  <c r="B154" i="44"/>
  <c r="D153" i="44"/>
  <c r="C153" i="44"/>
  <c r="B153" i="44"/>
  <c r="D152" i="44"/>
  <c r="C152" i="44"/>
  <c r="B152" i="44"/>
  <c r="D151" i="44"/>
  <c r="C151" i="44"/>
  <c r="B151" i="44"/>
  <c r="D150" i="44"/>
  <c r="C150" i="44"/>
  <c r="B150" i="44"/>
  <c r="D149" i="44"/>
  <c r="C149" i="44"/>
  <c r="B149" i="44"/>
  <c r="D148" i="44"/>
  <c r="C148" i="44"/>
  <c r="B148" i="44"/>
  <c r="D147" i="44"/>
  <c r="C147" i="44"/>
  <c r="B147" i="44"/>
  <c r="B116" i="44"/>
  <c r="E111" i="44"/>
  <c r="E110" i="44"/>
  <c r="E112" i="44" s="1"/>
  <c r="D110" i="44"/>
  <c r="D112" i="44" s="1"/>
  <c r="E109" i="44"/>
  <c r="D109" i="44"/>
  <c r="E108" i="44"/>
  <c r="D108" i="44"/>
  <c r="E107" i="44"/>
  <c r="D107" i="44"/>
  <c r="G106" i="44"/>
  <c r="G108" i="44" s="1"/>
  <c r="E106" i="44"/>
  <c r="G105" i="44"/>
  <c r="G104" i="44"/>
  <c r="C90" i="44"/>
  <c r="C84" i="44"/>
  <c r="E75" i="44"/>
  <c r="D75" i="44"/>
  <c r="E74" i="44"/>
  <c r="D74" i="44"/>
  <c r="E73" i="44"/>
  <c r="D73" i="44"/>
  <c r="D18" i="44"/>
  <c r="D17" i="44"/>
  <c r="G15" i="44"/>
  <c r="D14" i="44"/>
  <c r="D13" i="44"/>
  <c r="G12" i="44"/>
  <c r="D12" i="44"/>
  <c r="D11" i="44"/>
  <c r="E8" i="44" s="1"/>
  <c r="AC15" i="43"/>
  <c r="F494" i="44" s="1"/>
  <c r="AB15" i="43"/>
  <c r="F493" i="44" s="1"/>
  <c r="AA15" i="43"/>
  <c r="F495" i="44" s="1"/>
  <c r="AC14" i="43"/>
  <c r="E494" i="44" s="1"/>
  <c r="AB14" i="43"/>
  <c r="E493" i="44" s="1"/>
  <c r="AA14" i="43"/>
  <c r="AC13" i="43"/>
  <c r="D494" i="44" s="1"/>
  <c r="AB13" i="43"/>
  <c r="D493" i="44" s="1"/>
  <c r="AA13" i="43"/>
  <c r="D495" i="44" s="1"/>
  <c r="AC12" i="43"/>
  <c r="AB12" i="43"/>
  <c r="AA12" i="43"/>
  <c r="V19" i="43"/>
  <c r="U19" i="43"/>
  <c r="T19" i="43"/>
  <c r="S19" i="43"/>
  <c r="R19" i="43"/>
  <c r="Q19" i="43"/>
  <c r="P19" i="43"/>
  <c r="O19" i="43"/>
  <c r="N19" i="43"/>
  <c r="N18" i="43" a="1"/>
  <c r="N18" i="43" s="1"/>
  <c r="Z6" i="43" a="1"/>
  <c r="AA11" i="43" s="1" a="1"/>
  <c r="AA11" i="43" s="1"/>
  <c r="W6" i="43" a="1"/>
  <c r="W6" i="43" s="1"/>
  <c r="N6" i="43" a="1"/>
  <c r="N6" i="43" s="1"/>
  <c r="N3" i="43" s="1" a="1"/>
  <c r="N3" i="43" s="1"/>
  <c r="A6" i="43" a="1"/>
  <c r="A6" i="43" s="1"/>
  <c r="A1" i="43"/>
  <c r="AC15" i="40"/>
  <c r="F392" i="44" s="1"/>
  <c r="AB15" i="40"/>
  <c r="F391" i="44" s="1"/>
  <c r="AA15" i="40"/>
  <c r="F393" i="44" s="1"/>
  <c r="AC14" i="40"/>
  <c r="E392" i="44" s="1"/>
  <c r="AB14" i="40"/>
  <c r="E391" i="44" s="1"/>
  <c r="AA14" i="40"/>
  <c r="AC13" i="40"/>
  <c r="D392" i="44" s="1"/>
  <c r="AB13" i="40"/>
  <c r="D391" i="44" s="1"/>
  <c r="AA13" i="40"/>
  <c r="D393" i="44" s="1"/>
  <c r="AC12" i="40"/>
  <c r="AB12" i="40"/>
  <c r="AA12" i="40"/>
  <c r="V19" i="40"/>
  <c r="U19" i="40"/>
  <c r="T19" i="40"/>
  <c r="S19" i="40"/>
  <c r="R19" i="40"/>
  <c r="Q19" i="40"/>
  <c r="P19" i="40"/>
  <c r="O19" i="40"/>
  <c r="N19" i="40"/>
  <c r="N18" i="40" a="1"/>
  <c r="N18" i="40" s="1"/>
  <c r="Z6" i="40" a="1"/>
  <c r="AA11" i="40" s="1" a="1"/>
  <c r="AA11" i="40" s="1"/>
  <c r="W6" i="40" a="1"/>
  <c r="W6" i="40" s="1"/>
  <c r="N6" i="40" a="1"/>
  <c r="N6" i="40" s="1"/>
  <c r="N3" i="40" s="1" a="1"/>
  <c r="N3" i="40" s="1"/>
  <c r="A6" i="40" a="1"/>
  <c r="A6" i="40" s="1"/>
  <c r="A1" i="40"/>
  <c r="AC15" i="42"/>
  <c r="F290" i="44" s="1"/>
  <c r="AB15" i="42"/>
  <c r="F289" i="44" s="1"/>
  <c r="AA15" i="42"/>
  <c r="F291" i="44" s="1"/>
  <c r="AC14" i="42"/>
  <c r="E290" i="44" s="1"/>
  <c r="AB14" i="42"/>
  <c r="E289" i="44" s="1"/>
  <c r="AA14" i="42"/>
  <c r="E291" i="44" s="1"/>
  <c r="AC13" i="42"/>
  <c r="AB13" i="42"/>
  <c r="D289" i="44" s="1"/>
  <c r="AA13" i="42"/>
  <c r="D291" i="44" s="1"/>
  <c r="AC12" i="42"/>
  <c r="AB12" i="42"/>
  <c r="AA12" i="42"/>
  <c r="V19" i="42"/>
  <c r="U19" i="42"/>
  <c r="T19" i="42"/>
  <c r="S19" i="42"/>
  <c r="R19" i="42"/>
  <c r="Q19" i="42"/>
  <c r="P19" i="42"/>
  <c r="O19" i="42"/>
  <c r="N19" i="42"/>
  <c r="N18" i="42" a="1"/>
  <c r="N18" i="42" s="1"/>
  <c r="Z6" i="42" a="1"/>
  <c r="Z6" i="42" s="1"/>
  <c r="W6" i="42" a="1"/>
  <c r="W6" i="42" s="1"/>
  <c r="N6" i="42" a="1"/>
  <c r="N6" i="42" s="1"/>
  <c r="N3" i="42" s="1" a="1"/>
  <c r="N3" i="42" s="1"/>
  <c r="A6" i="42" a="1"/>
  <c r="A6" i="42" s="1"/>
  <c r="A1" i="42"/>
  <c r="AC14" i="41"/>
  <c r="F190" i="44" s="1"/>
  <c r="AB14" i="41"/>
  <c r="F189" i="44" s="1"/>
  <c r="AA14" i="41"/>
  <c r="F191" i="44" s="1"/>
  <c r="AC13" i="41"/>
  <c r="E190" i="44" s="1"/>
  <c r="AB13" i="41"/>
  <c r="E189" i="44" s="1"/>
  <c r="AA13" i="41"/>
  <c r="E191" i="44" s="1"/>
  <c r="AC12" i="41"/>
  <c r="AB12" i="41"/>
  <c r="D189" i="44" s="1"/>
  <c r="AA12" i="41"/>
  <c r="D191" i="44" s="1"/>
  <c r="AC11" i="41"/>
  <c r="AB11" i="41"/>
  <c r="AA11" i="41"/>
  <c r="V18" i="41"/>
  <c r="U18" i="41"/>
  <c r="T18" i="41"/>
  <c r="S18" i="41"/>
  <c r="R18" i="41"/>
  <c r="Q18" i="41"/>
  <c r="P18" i="41"/>
  <c r="O18" i="41"/>
  <c r="N18" i="41"/>
  <c r="N17" i="41" a="1"/>
  <c r="N17" i="41" s="1"/>
  <c r="Z6" i="41" a="1"/>
  <c r="AA10" i="41" s="1" a="1"/>
  <c r="AA10" i="41" s="1"/>
  <c r="W6" i="41" a="1"/>
  <c r="W6" i="41" s="1"/>
  <c r="N6" i="41" a="1"/>
  <c r="N6" i="41" s="1"/>
  <c r="N3" i="41" s="1" a="1"/>
  <c r="N3" i="41" s="1"/>
  <c r="A6" i="41" a="1"/>
  <c r="A6" i="41" s="1"/>
  <c r="A1" i="41"/>
  <c r="G39" i="45"/>
  <c r="F39" i="45"/>
  <c r="E39" i="45"/>
  <c r="D39" i="45"/>
  <c r="G38" i="45"/>
  <c r="G27" i="45"/>
  <c r="F27" i="45"/>
  <c r="E27" i="45"/>
  <c r="D27" i="45"/>
  <c r="A126" i="18"/>
  <c r="A103" i="18"/>
  <c r="D34" i="19"/>
  <c r="D31" i="19"/>
  <c r="H612" i="44" l="1"/>
  <c r="H614" i="44"/>
  <c r="O3" i="43" a="1"/>
  <c r="O3" i="43" s="1"/>
  <c r="R3" i="41" a="1"/>
  <c r="R3" i="41" s="1"/>
  <c r="P3" i="43" a="1"/>
  <c r="P3" i="43" s="1"/>
  <c r="Q3" i="43" a="1"/>
  <c r="Q3" i="43" s="1"/>
  <c r="R3" i="43" a="1"/>
  <c r="R3" i="43" s="1"/>
  <c r="S3" i="43" a="1"/>
  <c r="S3" i="43" s="1"/>
  <c r="T3" i="43" a="1"/>
  <c r="T3" i="43" s="1"/>
  <c r="U3" i="43" a="1"/>
  <c r="U3" i="43" s="1"/>
  <c r="V3" i="43" a="1"/>
  <c r="V3" i="43" s="1"/>
  <c r="P3" i="40" a="1"/>
  <c r="P3" i="40" s="1"/>
  <c r="Q3" i="40" a="1"/>
  <c r="Q3" i="40" s="1"/>
  <c r="R3" i="40" a="1"/>
  <c r="R3" i="40" s="1"/>
  <c r="S3" i="40" a="1"/>
  <c r="S3" i="40" s="1"/>
  <c r="T3" i="40" a="1"/>
  <c r="T3" i="40" s="1"/>
  <c r="U3" i="40" a="1"/>
  <c r="U3" i="40" s="1"/>
  <c r="V3" i="40" a="1"/>
  <c r="V3" i="40" s="1"/>
  <c r="O3" i="40" a="1"/>
  <c r="O3" i="40" s="1"/>
  <c r="S3" i="42" a="1"/>
  <c r="S3" i="42" s="1"/>
  <c r="T3" i="42" a="1"/>
  <c r="T3" i="42" s="1"/>
  <c r="Q3" i="42" a="1"/>
  <c r="Q3" i="42" s="1"/>
  <c r="U3" i="42" a="1"/>
  <c r="U3" i="42" s="1"/>
  <c r="V3" i="42" a="1"/>
  <c r="V3" i="42" s="1"/>
  <c r="R3" i="42" a="1"/>
  <c r="R3" i="42" s="1"/>
  <c r="O3" i="42" a="1"/>
  <c r="O3" i="42" s="1"/>
  <c r="P3" i="42" a="1"/>
  <c r="P3" i="42" s="1"/>
  <c r="S3" i="41" a="1"/>
  <c r="S3" i="41" s="1"/>
  <c r="T3" i="41" a="1"/>
  <c r="T3" i="41" s="1"/>
  <c r="U3" i="41" a="1"/>
  <c r="U3" i="41" s="1"/>
  <c r="V3" i="41" a="1"/>
  <c r="V3" i="41" s="1"/>
  <c r="O3" i="41" a="1"/>
  <c r="O3" i="41" s="1"/>
  <c r="P3" i="41" a="1"/>
  <c r="P3" i="41" s="1"/>
  <c r="Q3" i="41" a="1"/>
  <c r="Q3" i="41" s="1"/>
  <c r="R2" i="40"/>
  <c r="Q2" i="43"/>
  <c r="R2" i="43"/>
  <c r="S2" i="43"/>
  <c r="T2" i="43"/>
  <c r="U2" i="43"/>
  <c r="N2" i="43"/>
  <c r="N14" i="43" s="1"/>
  <c r="F516" i="44" s="1"/>
  <c r="V2" i="43"/>
  <c r="O2" i="43"/>
  <c r="P2" i="43"/>
  <c r="S2" i="40"/>
  <c r="T2" i="40"/>
  <c r="U2" i="40"/>
  <c r="N2" i="40"/>
  <c r="N12" i="40" s="1"/>
  <c r="D414" i="44" s="1"/>
  <c r="V2" i="40"/>
  <c r="O2" i="40"/>
  <c r="P2" i="40"/>
  <c r="Q2" i="40"/>
  <c r="T2" i="42"/>
  <c r="U2" i="42"/>
  <c r="N2" i="42"/>
  <c r="N11" i="42" s="1"/>
  <c r="H312" i="44" s="1"/>
  <c r="V2" i="42"/>
  <c r="O2" i="42"/>
  <c r="P2" i="42"/>
  <c r="Q2" i="42"/>
  <c r="R2" i="42"/>
  <c r="S2" i="42"/>
  <c r="N2" i="41"/>
  <c r="O2" i="41"/>
  <c r="P2" i="41"/>
  <c r="Q2" i="41"/>
  <c r="R2" i="41"/>
  <c r="S2" i="41"/>
  <c r="T2" i="41"/>
  <c r="U2" i="41"/>
  <c r="V2" i="41"/>
  <c r="C518" i="44"/>
  <c r="C216" i="44"/>
  <c r="C315" i="44"/>
  <c r="C417" i="44"/>
  <c r="C519" i="44"/>
  <c r="C316" i="44"/>
  <c r="C520" i="44"/>
  <c r="C218" i="44"/>
  <c r="C317" i="44"/>
  <c r="C419" i="44"/>
  <c r="C521" i="44"/>
  <c r="C217" i="44"/>
  <c r="C219" i="44"/>
  <c r="C318" i="44"/>
  <c r="C420" i="44"/>
  <c r="C522" i="44"/>
  <c r="C418" i="44"/>
  <c r="C220" i="44"/>
  <c r="C319" i="44"/>
  <c r="C421" i="44"/>
  <c r="C523" i="44"/>
  <c r="C213" i="44"/>
  <c r="C221" i="44"/>
  <c r="C312" i="44"/>
  <c r="C320" i="44"/>
  <c r="C414" i="44"/>
  <c r="C422" i="44"/>
  <c r="C516" i="44"/>
  <c r="C524" i="44"/>
  <c r="C214" i="44"/>
  <c r="C313" i="44"/>
  <c r="C415" i="44"/>
  <c r="C517" i="44"/>
  <c r="C215" i="44"/>
  <c r="C314" i="44"/>
  <c r="C416" i="44"/>
  <c r="W19" i="43"/>
  <c r="W19" i="40"/>
  <c r="W19" i="42"/>
  <c r="W18" i="41"/>
  <c r="I202" i="38"/>
  <c r="E5" i="31"/>
  <c r="G34" i="19"/>
  <c r="G28" i="19"/>
  <c r="Z6" i="43"/>
  <c r="Z6" i="40"/>
  <c r="AA11" i="42" a="1"/>
  <c r="AA11" i="42" s="1"/>
  <c r="Z6" i="41"/>
  <c r="L6" i="37"/>
  <c r="D6" i="37"/>
  <c r="F5" i="37"/>
  <c r="K6" i="37"/>
  <c r="E5" i="37"/>
  <c r="C14" i="37"/>
  <c r="J6" i="37"/>
  <c r="L5" i="37"/>
  <c r="D5" i="37"/>
  <c r="I6" i="37"/>
  <c r="K5" i="37"/>
  <c r="H6" i="37"/>
  <c r="J5" i="37"/>
  <c r="G6" i="37"/>
  <c r="I5" i="37"/>
  <c r="F6" i="37"/>
  <c r="H5" i="37"/>
  <c r="E6" i="37"/>
  <c r="G5" i="37"/>
  <c r="B10" i="37"/>
  <c r="M17" i="37"/>
  <c r="M15" i="37"/>
  <c r="G28" i="39"/>
  <c r="C96" i="38" a="1"/>
  <c r="C96" i="38" s="1"/>
  <c r="H5" i="8"/>
  <c r="D5" i="6"/>
  <c r="L5" i="6"/>
  <c r="N5" i="6"/>
  <c r="E6" i="31"/>
  <c r="B10" i="54"/>
  <c r="C209" i="20"/>
  <c r="D5" i="8"/>
  <c r="J5" i="8"/>
  <c r="J15" i="8" s="1"/>
  <c r="E6" i="8"/>
  <c r="I411" i="24"/>
  <c r="H6" i="8"/>
  <c r="K6" i="8"/>
  <c r="F5" i="8"/>
  <c r="G6" i="8"/>
  <c r="I5" i="8"/>
  <c r="I6" i="8"/>
  <c r="L5" i="8"/>
  <c r="L6" i="8"/>
  <c r="M5" i="8"/>
  <c r="M6" i="8"/>
  <c r="N5" i="8"/>
  <c r="P16" i="8"/>
  <c r="E5" i="8"/>
  <c r="D6" i="8"/>
  <c r="O6" i="8"/>
  <c r="K5" i="8"/>
  <c r="F6" i="8"/>
  <c r="N6" i="8"/>
  <c r="C14" i="8"/>
  <c r="G5" i="8"/>
  <c r="O5" i="8"/>
  <c r="P15" i="8"/>
  <c r="I301" i="24"/>
  <c r="I5" i="7"/>
  <c r="I16" i="7" s="1"/>
  <c r="D6" i="7"/>
  <c r="L6" i="7"/>
  <c r="G5" i="7"/>
  <c r="O5" i="7"/>
  <c r="J6" i="7"/>
  <c r="H5" i="7"/>
  <c r="K6" i="7"/>
  <c r="J5" i="7"/>
  <c r="E6" i="7"/>
  <c r="M6" i="7"/>
  <c r="C14" i="7"/>
  <c r="K5" i="7"/>
  <c r="F6" i="7"/>
  <c r="N6" i="7"/>
  <c r="D5" i="7"/>
  <c r="L5" i="7"/>
  <c r="G6" i="7"/>
  <c r="O6" i="7"/>
  <c r="E5" i="7"/>
  <c r="M5" i="7"/>
  <c r="H6" i="7"/>
  <c r="F5" i="7"/>
  <c r="N5" i="7"/>
  <c r="I202" i="24"/>
  <c r="J6" i="6"/>
  <c r="K6" i="6"/>
  <c r="I5" i="6"/>
  <c r="F6" i="6"/>
  <c r="G5" i="6"/>
  <c r="D6" i="6"/>
  <c r="M6" i="6"/>
  <c r="H5" i="6"/>
  <c r="E6" i="6"/>
  <c r="O6" i="6"/>
  <c r="J5" i="6"/>
  <c r="G6" i="6"/>
  <c r="K5" i="6"/>
  <c r="I6" i="6"/>
  <c r="F5" i="6"/>
  <c r="O5" i="6"/>
  <c r="L6" i="6"/>
  <c r="C6" i="6"/>
  <c r="C5" i="6"/>
  <c r="N6" i="6"/>
  <c r="E5" i="6"/>
  <c r="M5" i="6"/>
  <c r="H6" i="6"/>
  <c r="P16" i="6"/>
  <c r="P16" i="7"/>
  <c r="K5" i="31"/>
  <c r="D6" i="31"/>
  <c r="G5" i="31"/>
  <c r="H6" i="31"/>
  <c r="F5" i="31"/>
  <c r="J6" i="31"/>
  <c r="I5" i="31"/>
  <c r="F6" i="31"/>
  <c r="C6" i="31"/>
  <c r="C5" i="31"/>
  <c r="H5" i="31"/>
  <c r="G6" i="31"/>
  <c r="J5" i="31"/>
  <c r="I6" i="31"/>
  <c r="D5" i="31"/>
  <c r="K6" i="31"/>
  <c r="D98" i="32" a="1"/>
  <c r="D98" i="32" s="1"/>
  <c r="L15" i="31"/>
  <c r="G6" i="54"/>
  <c r="K5" i="54"/>
  <c r="N6" i="54"/>
  <c r="F6" i="54"/>
  <c r="J5" i="54"/>
  <c r="C14" i="54"/>
  <c r="M6" i="54"/>
  <c r="E6" i="54"/>
  <c r="I5" i="54"/>
  <c r="L6" i="54"/>
  <c r="D6" i="54"/>
  <c r="H5" i="54"/>
  <c r="J6" i="54"/>
  <c r="N5" i="54"/>
  <c r="F5" i="54"/>
  <c r="K6" i="54"/>
  <c r="G5" i="54"/>
  <c r="I6" i="54"/>
  <c r="M5" i="54"/>
  <c r="E5" i="54"/>
  <c r="H6" i="54"/>
  <c r="L5" i="54"/>
  <c r="D5" i="54"/>
  <c r="I202" i="20"/>
  <c r="I202" i="32"/>
  <c r="A34" i="19"/>
  <c r="G31" i="19"/>
  <c r="G13" i="19"/>
  <c r="C15" i="19" a="1"/>
  <c r="C15" i="19" s="1"/>
  <c r="I15" i="19"/>
  <c r="E34" i="19" s="1"/>
  <c r="I10" i="19"/>
  <c r="C28" i="19"/>
  <c r="C13" i="19" a="1"/>
  <c r="C13" i="19" s="1"/>
  <c r="C96" i="20" a="1"/>
  <c r="C96" i="20" s="1"/>
  <c r="G11" i="19"/>
  <c r="C14" i="19" a="1"/>
  <c r="C14" i="19" s="1"/>
  <c r="H11" i="19"/>
  <c r="C34" i="19"/>
  <c r="H14" i="19"/>
  <c r="C31" i="19"/>
  <c r="C234" i="20"/>
  <c r="O17" i="54"/>
  <c r="A200" i="20"/>
  <c r="O16" i="54"/>
  <c r="J6" i="9"/>
  <c r="C415" i="28"/>
  <c r="I5" i="10"/>
  <c r="D6" i="10"/>
  <c r="F6" i="10"/>
  <c r="G6" i="10"/>
  <c r="C21" i="10"/>
  <c r="F503" i="28" s="1"/>
  <c r="D5" i="10"/>
  <c r="H5" i="9"/>
  <c r="E205" i="28"/>
  <c r="F205" i="28" s="1"/>
  <c r="K5" i="9"/>
  <c r="F5" i="11"/>
  <c r="H5" i="11"/>
  <c r="E6" i="11"/>
  <c r="G6" i="11"/>
  <c r="J5" i="10"/>
  <c r="J22" i="10" s="1"/>
  <c r="E5" i="10"/>
  <c r="H6" i="10"/>
  <c r="G5" i="10"/>
  <c r="I6" i="10"/>
  <c r="H5" i="10"/>
  <c r="K6" i="10"/>
  <c r="I293" i="28"/>
  <c r="G6" i="9"/>
  <c r="I194" i="28"/>
  <c r="C6" i="11"/>
  <c r="C5" i="11"/>
  <c r="J5" i="11"/>
  <c r="I6" i="11"/>
  <c r="E412" i="28" a="1"/>
  <c r="E412" i="28" s="1"/>
  <c r="D412" i="28" s="1"/>
  <c r="K5" i="11"/>
  <c r="J6" i="11"/>
  <c r="D5" i="11"/>
  <c r="K6" i="11"/>
  <c r="E5" i="11"/>
  <c r="D6" i="11"/>
  <c r="G5" i="11"/>
  <c r="F6" i="11"/>
  <c r="I5" i="11"/>
  <c r="H6" i="11"/>
  <c r="I403" i="28"/>
  <c r="F5" i="10"/>
  <c r="E6" i="10"/>
  <c r="C14" i="10"/>
  <c r="K5" i="10"/>
  <c r="I5" i="9"/>
  <c r="H6" i="9"/>
  <c r="C14" i="9"/>
  <c r="J5" i="9"/>
  <c r="I6" i="9"/>
  <c r="D5" i="9"/>
  <c r="K6" i="9"/>
  <c r="E5" i="9"/>
  <c r="D6" i="9"/>
  <c r="F5" i="9"/>
  <c r="E6" i="9"/>
  <c r="G5" i="9"/>
  <c r="L17" i="9"/>
  <c r="E501" i="28" s="1"/>
  <c r="F502" i="28"/>
  <c r="G501" i="28"/>
  <c r="F497" i="28"/>
  <c r="F501" i="28"/>
  <c r="L16" i="9"/>
  <c r="E502" i="28" s="1"/>
  <c r="E498" i="28"/>
  <c r="G497" i="28"/>
  <c r="H19" i="9"/>
  <c r="G229" i="28" s="1"/>
  <c r="K19" i="10"/>
  <c r="F19" i="11"/>
  <c r="I19" i="10"/>
  <c r="D19" i="11"/>
  <c r="C209" i="32"/>
  <c r="D19" i="10"/>
  <c r="G19" i="11"/>
  <c r="C210" i="32"/>
  <c r="G19" i="10"/>
  <c r="J19" i="11"/>
  <c r="H19" i="11"/>
  <c r="J19" i="10"/>
  <c r="C414" i="28"/>
  <c r="E204" i="28" a="1"/>
  <c r="E204" i="28" s="1"/>
  <c r="F204" i="28" s="1"/>
  <c r="F19" i="10"/>
  <c r="I19" i="11"/>
  <c r="H19" i="10"/>
  <c r="G504" i="28"/>
  <c r="K19" i="11"/>
  <c r="G226" i="28"/>
  <c r="D190" i="44"/>
  <c r="E393" i="44"/>
  <c r="E19" i="11"/>
  <c r="D290" i="44"/>
  <c r="E19" i="10"/>
  <c r="B232" i="28" a="1"/>
  <c r="B232" i="28" s="1"/>
  <c r="E495" i="44"/>
  <c r="I19" i="9"/>
  <c r="H229" i="28" s="1"/>
  <c r="C203" i="28"/>
  <c r="E304" i="28"/>
  <c r="G502" i="28"/>
  <c r="J19" i="9"/>
  <c r="I229" i="28" s="1"/>
  <c r="C303" i="28"/>
  <c r="E414" i="28" a="1"/>
  <c r="E414" i="28" s="1"/>
  <c r="C19" i="9"/>
  <c r="B229" i="28" s="1"/>
  <c r="K19" i="9"/>
  <c r="J229" i="28" s="1"/>
  <c r="C19" i="10"/>
  <c r="C19" i="11"/>
  <c r="E203" i="28" a="1"/>
  <c r="E203" i="28" s="1"/>
  <c r="C205" i="28"/>
  <c r="B226" i="28"/>
  <c r="C305" i="28"/>
  <c r="C413" i="28"/>
  <c r="L16" i="31"/>
  <c r="D19" i="9"/>
  <c r="C229" i="28" s="1"/>
  <c r="C20" i="9"/>
  <c r="C20" i="10"/>
  <c r="C20" i="11"/>
  <c r="B227" i="28"/>
  <c r="E303" i="28" a="1"/>
  <c r="E303" i="28" s="1"/>
  <c r="E19" i="9"/>
  <c r="D229" i="28" s="1"/>
  <c r="C21" i="9"/>
  <c r="C21" i="11"/>
  <c r="C302" i="28"/>
  <c r="E413" i="28" a="1"/>
  <c r="E413" i="28" s="1"/>
  <c r="E504" i="28"/>
  <c r="F19" i="9"/>
  <c r="E229" i="28" s="1"/>
  <c r="C204" i="28"/>
  <c r="C412" i="28"/>
  <c r="F504" i="28"/>
  <c r="G19" i="9"/>
  <c r="F229" i="28" s="1"/>
  <c r="E302" i="28" a="1"/>
  <c r="E302" i="28" s="1"/>
  <c r="C304" i="28"/>
  <c r="D28" i="19"/>
  <c r="N13" i="43" l="1"/>
  <c r="E516" i="44" s="1"/>
  <c r="R14" i="40"/>
  <c r="F418" i="44" s="1"/>
  <c r="N12" i="43"/>
  <c r="D516" i="44" s="1"/>
  <c r="V12" i="43"/>
  <c r="D524" i="44" s="1"/>
  <c r="R13" i="42"/>
  <c r="E316" i="44" s="1"/>
  <c r="S11" i="43"/>
  <c r="H521" i="44" s="1"/>
  <c r="U11" i="42"/>
  <c r="H319" i="44" s="1"/>
  <c r="R12" i="43"/>
  <c r="D520" i="44" s="1"/>
  <c r="O13" i="40"/>
  <c r="E415" i="44" s="1"/>
  <c r="U13" i="42"/>
  <c r="E319" i="44" s="1"/>
  <c r="S12" i="42"/>
  <c r="D317" i="44" s="1"/>
  <c r="U12" i="42"/>
  <c r="D319" i="44" s="1"/>
  <c r="S11" i="40"/>
  <c r="H419" i="44" s="1"/>
  <c r="T12" i="42"/>
  <c r="D318" i="44" s="1"/>
  <c r="Q13" i="40"/>
  <c r="E417" i="44" s="1"/>
  <c r="T11" i="40"/>
  <c r="H420" i="44" s="1"/>
  <c r="P13" i="40"/>
  <c r="E416" i="44" s="1"/>
  <c r="N11" i="43"/>
  <c r="H516" i="44" s="1"/>
  <c r="U14" i="43"/>
  <c r="F523" i="44" s="1"/>
  <c r="T12" i="43"/>
  <c r="D522" i="44" s="1"/>
  <c r="T14" i="43"/>
  <c r="F522" i="44" s="1"/>
  <c r="Q12" i="43"/>
  <c r="D519" i="44" s="1"/>
  <c r="O14" i="40"/>
  <c r="F415" i="44" s="1"/>
  <c r="V11" i="42"/>
  <c r="H320" i="44" s="1"/>
  <c r="R14" i="42"/>
  <c r="F316" i="44" s="1"/>
  <c r="P12" i="40"/>
  <c r="N13" i="40"/>
  <c r="E414" i="44" s="1"/>
  <c r="G414" i="44" s="1"/>
  <c r="T12" i="40"/>
  <c r="D420" i="44" s="1"/>
  <c r="U13" i="40"/>
  <c r="E421" i="44" s="1"/>
  <c r="N14" i="42"/>
  <c r="F312" i="44" s="1"/>
  <c r="N13" i="42"/>
  <c r="E312" i="44" s="1"/>
  <c r="P13" i="42"/>
  <c r="E314" i="44" s="1"/>
  <c r="V14" i="42"/>
  <c r="F320" i="44" s="1"/>
  <c r="N12" i="42"/>
  <c r="O14" i="42"/>
  <c r="F313" i="44" s="1"/>
  <c r="T13" i="42"/>
  <c r="E318" i="44" s="1"/>
  <c r="T11" i="42"/>
  <c r="H318" i="44" s="1"/>
  <c r="R12" i="42"/>
  <c r="D316" i="44" s="1"/>
  <c r="R11" i="42"/>
  <c r="H316" i="44" s="1"/>
  <c r="T14" i="42"/>
  <c r="F318" i="44" s="1"/>
  <c r="U11" i="43"/>
  <c r="H523" i="44" s="1"/>
  <c r="T11" i="43"/>
  <c r="H522" i="44" s="1"/>
  <c r="O11" i="43"/>
  <c r="H517" i="44" s="1"/>
  <c r="V11" i="43"/>
  <c r="H524" i="44" s="1"/>
  <c r="S14" i="43"/>
  <c r="F521" i="44" s="1"/>
  <c r="T13" i="43"/>
  <c r="E522" i="44" s="1"/>
  <c r="V14" i="43"/>
  <c r="F524" i="44" s="1"/>
  <c r="P14" i="43"/>
  <c r="F518" i="44" s="1"/>
  <c r="R11" i="43"/>
  <c r="H520" i="44" s="1"/>
  <c r="U11" i="40"/>
  <c r="H421" i="44" s="1"/>
  <c r="R12" i="40"/>
  <c r="D418" i="44" s="1"/>
  <c r="P11" i="40"/>
  <c r="H416" i="44" s="1"/>
  <c r="Q14" i="40"/>
  <c r="F417" i="44" s="1"/>
  <c r="T13" i="40"/>
  <c r="E420" i="44" s="1"/>
  <c r="P14" i="40"/>
  <c r="F416" i="44" s="1"/>
  <c r="S11" i="42"/>
  <c r="H317" i="44" s="1"/>
  <c r="V12" i="42"/>
  <c r="U14" i="42"/>
  <c r="F319" i="44" s="1"/>
  <c r="V13" i="42"/>
  <c r="E320" i="44" s="1"/>
  <c r="P11" i="42"/>
  <c r="H314" i="44" s="1"/>
  <c r="Q12" i="42"/>
  <c r="D315" i="44" s="1"/>
  <c r="S13" i="43"/>
  <c r="E521" i="44" s="1"/>
  <c r="Q11" i="43"/>
  <c r="H519" i="44" s="1"/>
  <c r="U13" i="43"/>
  <c r="E523" i="44" s="1"/>
  <c r="Q14" i="43"/>
  <c r="F519" i="44" s="1"/>
  <c r="S12" i="43"/>
  <c r="D521" i="44" s="1"/>
  <c r="Q11" i="40"/>
  <c r="H417" i="44" s="1"/>
  <c r="S13" i="40"/>
  <c r="E419" i="44" s="1"/>
  <c r="R13" i="40"/>
  <c r="E418" i="44" s="1"/>
  <c r="U14" i="40"/>
  <c r="F421" i="44" s="1"/>
  <c r="N11" i="40"/>
  <c r="H414" i="44" s="1"/>
  <c r="N14" i="40"/>
  <c r="F414" i="44" s="1"/>
  <c r="S12" i="40"/>
  <c r="D419" i="44" s="1"/>
  <c r="O12" i="40"/>
  <c r="D415" i="44" s="1"/>
  <c r="Q12" i="40"/>
  <c r="D417" i="44" s="1"/>
  <c r="T14" i="40"/>
  <c r="F420" i="44" s="1"/>
  <c r="R11" i="40"/>
  <c r="H418" i="44" s="1"/>
  <c r="S14" i="40"/>
  <c r="F419" i="44" s="1"/>
  <c r="V12" i="40"/>
  <c r="D422" i="44" s="1"/>
  <c r="P12" i="42"/>
  <c r="D314" i="44" s="1"/>
  <c r="Q14" i="42"/>
  <c r="F315" i="44" s="1"/>
  <c r="Q13" i="42"/>
  <c r="E315" i="44" s="1"/>
  <c r="Q11" i="42"/>
  <c r="H315" i="44" s="1"/>
  <c r="P14" i="42"/>
  <c r="F314" i="44" s="1"/>
  <c r="S13" i="42"/>
  <c r="E317" i="44" s="1"/>
  <c r="N7" i="43" a="1"/>
  <c r="N7" i="43" s="1"/>
  <c r="V13" i="43"/>
  <c r="E524" i="44" s="1"/>
  <c r="U12" i="43"/>
  <c r="D523" i="44" s="1"/>
  <c r="R13" i="43"/>
  <c r="E520" i="44" s="1"/>
  <c r="O13" i="43"/>
  <c r="E517" i="44" s="1"/>
  <c r="R14" i="43"/>
  <c r="F520" i="44" s="1"/>
  <c r="P13" i="43"/>
  <c r="E518" i="44" s="1"/>
  <c r="P12" i="43"/>
  <c r="D518" i="44" s="1"/>
  <c r="O12" i="43"/>
  <c r="D517" i="44" s="1"/>
  <c r="O14" i="43"/>
  <c r="F517" i="44" s="1"/>
  <c r="P11" i="43"/>
  <c r="H518" i="44" s="1"/>
  <c r="Q13" i="43"/>
  <c r="E519" i="44" s="1"/>
  <c r="O11" i="40"/>
  <c r="H415" i="44" s="1"/>
  <c r="N7" i="40" a="1"/>
  <c r="N7" i="40" s="1"/>
  <c r="V13" i="40"/>
  <c r="E422" i="44" s="1"/>
  <c r="U12" i="40"/>
  <c r="D421" i="44" s="1"/>
  <c r="V14" i="40"/>
  <c r="F422" i="44" s="1"/>
  <c r="V11" i="40"/>
  <c r="H422" i="44" s="1"/>
  <c r="O11" i="42"/>
  <c r="H313" i="44" s="1"/>
  <c r="N7" i="42" a="1"/>
  <c r="N7" i="42" s="1"/>
  <c r="O12" i="42"/>
  <c r="D313" i="44" s="1"/>
  <c r="S14" i="42"/>
  <c r="F317" i="44" s="1"/>
  <c r="O13" i="42"/>
  <c r="E313" i="44" s="1"/>
  <c r="G22" i="8"/>
  <c r="H16" i="37"/>
  <c r="G239" i="38" s="1" a="1"/>
  <c r="G239" i="38" s="1"/>
  <c r="G22" i="37"/>
  <c r="K17" i="37"/>
  <c r="F242" i="38" s="1" a="1"/>
  <c r="F242" i="38" s="1"/>
  <c r="H22" i="37"/>
  <c r="E22" i="37"/>
  <c r="D15" i="37" a="1"/>
  <c r="D15" i="37" s="1"/>
  <c r="J17" i="37"/>
  <c r="F241" i="38" s="1" a="1"/>
  <c r="F241" i="38" s="1"/>
  <c r="J16" i="37"/>
  <c r="G241" i="38" s="1" a="1"/>
  <c r="G241" i="38" s="1"/>
  <c r="I17" i="37"/>
  <c r="F240" i="38" s="1" a="1"/>
  <c r="F240" i="38" s="1"/>
  <c r="D16" i="37"/>
  <c r="G235" i="38" s="1" a="1"/>
  <c r="G235" i="38" s="1"/>
  <c r="K18" i="37"/>
  <c r="H242" i="38" s="1" a="1"/>
  <c r="H242" i="38" s="1"/>
  <c r="K15" i="37" a="1"/>
  <c r="K15" i="37" s="1"/>
  <c r="I16" i="37"/>
  <c r="G240" i="38" s="1" a="1"/>
  <c r="G240" i="38" s="1"/>
  <c r="E18" i="37"/>
  <c r="H236" i="38" s="1" a="1"/>
  <c r="H236" i="38" s="1"/>
  <c r="G15" i="37" a="1"/>
  <c r="G15" i="37" s="1"/>
  <c r="D15" i="6"/>
  <c r="H22" i="8"/>
  <c r="E17" i="31"/>
  <c r="F236" i="32" s="1" a="1"/>
  <c r="F236" i="32" s="1"/>
  <c r="G18" i="54"/>
  <c r="H238" i="20" s="1"/>
  <c r="J15" i="37" a="1"/>
  <c r="J15" i="37" s="1"/>
  <c r="F18" i="37"/>
  <c r="H237" i="38" s="1" a="1"/>
  <c r="H237" i="38" s="1"/>
  <c r="J22" i="37"/>
  <c r="D17" i="37"/>
  <c r="F235" i="38" s="1" a="1"/>
  <c r="F235" i="38" s="1"/>
  <c r="K16" i="37"/>
  <c r="G242" i="38" s="1" a="1"/>
  <c r="G242" i="38" s="1"/>
  <c r="K22" i="37"/>
  <c r="J18" i="37"/>
  <c r="H241" i="38" s="1" a="1"/>
  <c r="H241" i="38" s="1"/>
  <c r="D18" i="37"/>
  <c r="H235" i="38" s="1" a="1"/>
  <c r="H235" i="38" s="1"/>
  <c r="G16" i="37"/>
  <c r="G238" i="38" s="1" a="1"/>
  <c r="G238" i="38" s="1"/>
  <c r="L18" i="37"/>
  <c r="D28" i="39" s="1" a="1"/>
  <c r="D28" i="39" s="1"/>
  <c r="E28" i="39" s="1"/>
  <c r="H28" i="39" s="1"/>
  <c r="I28" i="39" s="1"/>
  <c r="E15" i="37" a="1"/>
  <c r="E15" i="37" s="1"/>
  <c r="I22" i="37"/>
  <c r="I18" i="37"/>
  <c r="H240" i="38" s="1" a="1"/>
  <c r="H240" i="38" s="1"/>
  <c r="H15" i="37" a="1"/>
  <c r="H15" i="37" s="1"/>
  <c r="H18" i="37"/>
  <c r="H239" i="38" s="1" a="1"/>
  <c r="H239" i="38" s="1"/>
  <c r="H17" i="37"/>
  <c r="F239" i="38" s="1" a="1"/>
  <c r="F239" i="38" s="1"/>
  <c r="L17" i="37"/>
  <c r="F243" i="38" s="1" a="1"/>
  <c r="F243" i="38" s="1"/>
  <c r="D22" i="37"/>
  <c r="L16" i="37"/>
  <c r="G243" i="38" s="1" a="1"/>
  <c r="G243" i="38" s="1"/>
  <c r="G17" i="37"/>
  <c r="F238" i="38" s="1" a="1"/>
  <c r="F238" i="38" s="1"/>
  <c r="L15" i="37" a="1"/>
  <c r="L15" i="37" s="1"/>
  <c r="L22" i="37"/>
  <c r="E17" i="37"/>
  <c r="F236" i="38" s="1" a="1"/>
  <c r="F236" i="38" s="1"/>
  <c r="G18" i="37"/>
  <c r="H238" i="38" s="1" a="1"/>
  <c r="H238" i="38" s="1"/>
  <c r="F15" i="37" a="1"/>
  <c r="F15" i="37" s="1"/>
  <c r="F22" i="37"/>
  <c r="F16" i="37"/>
  <c r="G237" i="38" s="1" a="1"/>
  <c r="G237" i="38" s="1"/>
  <c r="F17" i="37"/>
  <c r="F237" i="38" s="1" a="1"/>
  <c r="F237" i="38" s="1"/>
  <c r="I15" i="37" a="1"/>
  <c r="I15" i="37" s="1"/>
  <c r="C6" i="37"/>
  <c r="C5" i="37"/>
  <c r="E16" i="37"/>
  <c r="G236" i="38" s="1" a="1"/>
  <c r="G236" i="38" s="1"/>
  <c r="H15" i="8"/>
  <c r="N22" i="6"/>
  <c r="L16" i="6"/>
  <c r="K234" i="24" s="1"/>
  <c r="M16" i="8"/>
  <c r="D18" i="8"/>
  <c r="H16" i="8"/>
  <c r="H17" i="8"/>
  <c r="H18" i="8"/>
  <c r="L22" i="6"/>
  <c r="J17" i="8"/>
  <c r="L18" i="8"/>
  <c r="L18" i="6"/>
  <c r="K236" i="24" s="1"/>
  <c r="O15" i="8"/>
  <c r="E15" i="8"/>
  <c r="G18" i="8"/>
  <c r="D15" i="8"/>
  <c r="I18" i="8"/>
  <c r="G16" i="8"/>
  <c r="J16" i="8"/>
  <c r="G15" i="8"/>
  <c r="N22" i="8"/>
  <c r="M22" i="8"/>
  <c r="D22" i="8"/>
  <c r="D16" i="8"/>
  <c r="I17" i="8"/>
  <c r="L17" i="6"/>
  <c r="K235" i="24" s="1"/>
  <c r="L15" i="6"/>
  <c r="J17" i="6"/>
  <c r="I235" i="24" s="1"/>
  <c r="I17" i="7"/>
  <c r="I19" i="7" s="1"/>
  <c r="O18" i="8"/>
  <c r="D17" i="8"/>
  <c r="L22" i="8"/>
  <c r="E22" i="8"/>
  <c r="F15" i="8"/>
  <c r="E17" i="8"/>
  <c r="E22" i="31"/>
  <c r="E16" i="31"/>
  <c r="G236" i="32" s="1" a="1"/>
  <c r="G236" i="32" s="1"/>
  <c r="E15" i="31"/>
  <c r="E18" i="31"/>
  <c r="H236" i="32" s="1" a="1"/>
  <c r="H236" i="32" s="1"/>
  <c r="K18" i="31"/>
  <c r="H242" i="32" s="1" a="1"/>
  <c r="H242" i="32" s="1"/>
  <c r="C16" i="31"/>
  <c r="G234" i="32" s="1" a="1"/>
  <c r="G234" i="32" s="1"/>
  <c r="D16" i="31"/>
  <c r="G235" i="32" s="1" a="1"/>
  <c r="G235" i="32" s="1"/>
  <c r="J18" i="31"/>
  <c r="H241" i="32" s="1" a="1"/>
  <c r="H241" i="32" s="1"/>
  <c r="K22" i="31"/>
  <c r="J16" i="31"/>
  <c r="G241" i="32" s="1" a="1"/>
  <c r="G241" i="32" s="1"/>
  <c r="K17" i="31"/>
  <c r="F242" i="32" s="1" a="1"/>
  <c r="F242" i="32" s="1"/>
  <c r="F16" i="31"/>
  <c r="G237" i="32" s="1" a="1"/>
  <c r="G237" i="32" s="1"/>
  <c r="G22" i="31"/>
  <c r="K15" i="31"/>
  <c r="H17" i="54"/>
  <c r="F239" i="20" s="1"/>
  <c r="D15" i="54" a="1"/>
  <c r="D15" i="54" s="1"/>
  <c r="L16" i="54"/>
  <c r="G243" i="20" s="1"/>
  <c r="I16" i="54"/>
  <c r="G240" i="20" s="1"/>
  <c r="L15" i="54" a="1"/>
  <c r="L15" i="54" s="1"/>
  <c r="J22" i="54"/>
  <c r="M15" i="54" a="1"/>
  <c r="M15" i="54" s="1"/>
  <c r="E18" i="54"/>
  <c r="H236" i="20" s="1"/>
  <c r="F15" i="54" a="1"/>
  <c r="F15" i="54" s="1"/>
  <c r="N16" i="54"/>
  <c r="G245" i="20" s="1"/>
  <c r="M18" i="54"/>
  <c r="H244" i="20" s="1"/>
  <c r="F16" i="54"/>
  <c r="G237" i="20" s="1"/>
  <c r="F18" i="54"/>
  <c r="H237" i="20" s="1"/>
  <c r="M22" i="54"/>
  <c r="D16" i="54"/>
  <c r="G235" i="20" s="1"/>
  <c r="L22" i="54"/>
  <c r="H22" i="54"/>
  <c r="D17" i="54"/>
  <c r="F235" i="20" s="1"/>
  <c r="H18" i="54"/>
  <c r="H239" i="20" s="1"/>
  <c r="L18" i="54"/>
  <c r="H243" i="20" s="1"/>
  <c r="J18" i="54"/>
  <c r="H241" i="20" s="1"/>
  <c r="H16" i="54"/>
  <c r="G239" i="20" s="1"/>
  <c r="K17" i="54"/>
  <c r="F242" i="20" s="1"/>
  <c r="I18" i="54"/>
  <c r="H240" i="20" s="1"/>
  <c r="M16" i="54"/>
  <c r="G244" i="20" s="1"/>
  <c r="F22" i="54"/>
  <c r="F17" i="54"/>
  <c r="F237" i="20" s="1"/>
  <c r="J15" i="54" a="1"/>
  <c r="J15" i="54" s="1"/>
  <c r="L17" i="54"/>
  <c r="F243" i="20" s="1"/>
  <c r="J16" i="54"/>
  <c r="G241" i="20" s="1"/>
  <c r="G15" i="54" a="1"/>
  <c r="G15" i="54" s="1"/>
  <c r="J17" i="54"/>
  <c r="F241" i="20" s="1"/>
  <c r="I17" i="54"/>
  <c r="F240" i="20" s="1"/>
  <c r="N15" i="54" a="1"/>
  <c r="N15" i="54" s="1"/>
  <c r="G16" i="54"/>
  <c r="G238" i="20" s="1"/>
  <c r="H15" i="54" a="1"/>
  <c r="H15" i="54" s="1"/>
  <c r="N22" i="54"/>
  <c r="K18" i="54"/>
  <c r="H242" i="20" s="1"/>
  <c r="E16" i="54"/>
  <c r="G236" i="20" s="1"/>
  <c r="I15" i="8"/>
  <c r="I16" i="8"/>
  <c r="J22" i="8"/>
  <c r="K16" i="8"/>
  <c r="L16" i="8"/>
  <c r="J18" i="8"/>
  <c r="I22" i="8"/>
  <c r="O17" i="8"/>
  <c r="E16" i="8"/>
  <c r="F16" i="8"/>
  <c r="M15" i="8"/>
  <c r="L15" i="8"/>
  <c r="M17" i="8"/>
  <c r="M18" i="8"/>
  <c r="K18" i="8"/>
  <c r="L17" i="8"/>
  <c r="N15" i="8"/>
  <c r="K22" i="8"/>
  <c r="K17" i="8"/>
  <c r="F18" i="8"/>
  <c r="O22" i="8"/>
  <c r="F17" i="8"/>
  <c r="F22" i="8"/>
  <c r="E18" i="8"/>
  <c r="G17" i="8"/>
  <c r="K15" i="8"/>
  <c r="O16" i="8"/>
  <c r="N16" i="8"/>
  <c r="N17" i="8"/>
  <c r="N18" i="8"/>
  <c r="C6" i="8"/>
  <c r="C5" i="8"/>
  <c r="E15" i="7"/>
  <c r="H17" i="7"/>
  <c r="F22" i="6"/>
  <c r="L17" i="7"/>
  <c r="C18" i="6"/>
  <c r="B236" i="24" s="1"/>
  <c r="G18" i="7"/>
  <c r="N22" i="7"/>
  <c r="D16" i="7"/>
  <c r="F16" i="7"/>
  <c r="K17" i="6"/>
  <c r="J235" i="24" s="1"/>
  <c r="H17" i="6"/>
  <c r="G235" i="24" s="1"/>
  <c r="I18" i="7"/>
  <c r="E22" i="7"/>
  <c r="L15" i="7"/>
  <c r="I15" i="7"/>
  <c r="D22" i="7"/>
  <c r="O17" i="6"/>
  <c r="N235" i="24" s="1"/>
  <c r="L16" i="7"/>
  <c r="J16" i="6"/>
  <c r="M22" i="6"/>
  <c r="D15" i="7"/>
  <c r="E16" i="6"/>
  <c r="D234" i="24" s="1"/>
  <c r="I16" i="6"/>
  <c r="H234" i="24" s="1"/>
  <c r="O22" i="6"/>
  <c r="D17" i="7"/>
  <c r="D17" i="6"/>
  <c r="C235" i="24" s="1"/>
  <c r="L22" i="7"/>
  <c r="M15" i="7"/>
  <c r="N15" i="7"/>
  <c r="F16" i="6"/>
  <c r="E234" i="24" s="1"/>
  <c r="K18" i="6"/>
  <c r="J236" i="24" s="1"/>
  <c r="I18" i="6"/>
  <c r="H236" i="24" s="1"/>
  <c r="J15" i="6"/>
  <c r="D18" i="7"/>
  <c r="N16" i="7"/>
  <c r="H18" i="7"/>
  <c r="F15" i="7"/>
  <c r="H22" i="6"/>
  <c r="D22" i="6"/>
  <c r="K15" i="6"/>
  <c r="G15" i="6"/>
  <c r="H16" i="6"/>
  <c r="G234" i="24" s="1"/>
  <c r="H15" i="7"/>
  <c r="H22" i="7"/>
  <c r="G16" i="7"/>
  <c r="G17" i="7"/>
  <c r="G17" i="6"/>
  <c r="F235" i="24" s="1"/>
  <c r="K22" i="7"/>
  <c r="D16" i="6"/>
  <c r="C234" i="24" s="1"/>
  <c r="D18" i="6"/>
  <c r="C236" i="24" s="1"/>
  <c r="G15" i="7"/>
  <c r="E22" i="6"/>
  <c r="F18" i="7"/>
  <c r="J18" i="6"/>
  <c r="I236" i="24" s="1"/>
  <c r="J22" i="6"/>
  <c r="F17" i="7"/>
  <c r="J17" i="7"/>
  <c r="E17" i="6"/>
  <c r="D235" i="24" s="1"/>
  <c r="G22" i="7"/>
  <c r="F22" i="7"/>
  <c r="I15" i="6"/>
  <c r="E18" i="6"/>
  <c r="D236" i="24" s="1"/>
  <c r="H16" i="7"/>
  <c r="E15" i="6"/>
  <c r="K16" i="6"/>
  <c r="J234" i="24" s="1"/>
  <c r="K17" i="7"/>
  <c r="L18" i="7"/>
  <c r="E16" i="7"/>
  <c r="E17" i="7"/>
  <c r="J15" i="7"/>
  <c r="I22" i="7"/>
  <c r="J16" i="7"/>
  <c r="K18" i="7"/>
  <c r="J18" i="7"/>
  <c r="N18" i="7"/>
  <c r="O16" i="7"/>
  <c r="M16" i="7"/>
  <c r="M17" i="7"/>
  <c r="J22" i="7"/>
  <c r="K16" i="7"/>
  <c r="N17" i="7"/>
  <c r="K15" i="7"/>
  <c r="E18" i="7"/>
  <c r="O15" i="7"/>
  <c r="M22" i="7"/>
  <c r="M18" i="7"/>
  <c r="O22" i="7"/>
  <c r="O17" i="7"/>
  <c r="O18" i="7"/>
  <c r="C5" i="7"/>
  <c r="C6" i="7"/>
  <c r="M15" i="6"/>
  <c r="I22" i="6"/>
  <c r="M18" i="6"/>
  <c r="L236" i="24" s="1"/>
  <c r="F15" i="6"/>
  <c r="C22" i="6"/>
  <c r="F18" i="6"/>
  <c r="E236" i="24" s="1"/>
  <c r="C17" i="6"/>
  <c r="O15" i="6"/>
  <c r="F17" i="6"/>
  <c r="E235" i="24" s="1"/>
  <c r="M17" i="6"/>
  <c r="L235" i="24" s="1"/>
  <c r="O18" i="6"/>
  <c r="N236" i="24" s="1"/>
  <c r="H15" i="6"/>
  <c r="K22" i="6"/>
  <c r="H18" i="6"/>
  <c r="G236" i="24" s="1"/>
  <c r="M16" i="6"/>
  <c r="L234" i="24" s="1"/>
  <c r="C16" i="6"/>
  <c r="I17" i="6"/>
  <c r="H235" i="24" s="1"/>
  <c r="O16" i="6"/>
  <c r="N234" i="24" s="1"/>
  <c r="C15" i="6"/>
  <c r="G16" i="6"/>
  <c r="F234" i="24" s="1"/>
  <c r="G18" i="6"/>
  <c r="F236" i="24" s="1"/>
  <c r="G22" i="6"/>
  <c r="N17" i="6"/>
  <c r="M235" i="24" s="1"/>
  <c r="N18" i="6"/>
  <c r="M236" i="24" s="1"/>
  <c r="N15" i="6"/>
  <c r="N16" i="6"/>
  <c r="M234" i="24" s="1"/>
  <c r="D17" i="31"/>
  <c r="F235" i="32" s="1" a="1"/>
  <c r="F235" i="32" s="1"/>
  <c r="F18" i="31"/>
  <c r="H237" i="32" s="1" a="1"/>
  <c r="H237" i="32" s="1"/>
  <c r="C22" i="31"/>
  <c r="J17" i="31"/>
  <c r="F241" i="32" s="1" a="1"/>
  <c r="F241" i="32" s="1"/>
  <c r="J22" i="31"/>
  <c r="F15" i="31"/>
  <c r="D18" i="31"/>
  <c r="H235" i="32" s="1" a="1"/>
  <c r="H235" i="32" s="1"/>
  <c r="K16" i="31"/>
  <c r="G242" i="32" s="1" a="1"/>
  <c r="G242" i="32" s="1"/>
  <c r="F17" i="31"/>
  <c r="F237" i="32" s="1" a="1"/>
  <c r="F237" i="32" s="1"/>
  <c r="J15" i="31"/>
  <c r="C18" i="31"/>
  <c r="C15" i="31"/>
  <c r="H22" i="31"/>
  <c r="F22" i="31"/>
  <c r="I16" i="31"/>
  <c r="G240" i="32" s="1" a="1"/>
  <c r="G240" i="32" s="1"/>
  <c r="H17" i="31"/>
  <c r="F239" i="32" s="1" a="1"/>
  <c r="F239" i="32" s="1"/>
  <c r="H16" i="31"/>
  <c r="G239" i="32" s="1" a="1"/>
  <c r="G239" i="32" s="1"/>
  <c r="H18" i="31"/>
  <c r="H239" i="32" s="1" a="1"/>
  <c r="H239" i="32" s="1"/>
  <c r="G18" i="31"/>
  <c r="H238" i="32" s="1" a="1"/>
  <c r="H238" i="32" s="1"/>
  <c r="D15" i="31"/>
  <c r="I22" i="31"/>
  <c r="I17" i="31"/>
  <c r="F240" i="32" s="1" a="1"/>
  <c r="F240" i="32" s="1"/>
  <c r="D22" i="31"/>
  <c r="G15" i="31"/>
  <c r="I18" i="31"/>
  <c r="H240" i="32" s="1" a="1"/>
  <c r="H240" i="32" s="1"/>
  <c r="G17" i="31"/>
  <c r="F238" i="32" s="1" a="1"/>
  <c r="F238" i="32" s="1"/>
  <c r="G16" i="31"/>
  <c r="G238" i="32" s="1" a="1"/>
  <c r="G238" i="32" s="1"/>
  <c r="I15" i="31"/>
  <c r="C17" i="31"/>
  <c r="F234" i="32" s="1" a="1"/>
  <c r="F234" i="32" s="1"/>
  <c r="H15" i="31"/>
  <c r="K15" i="54" a="1"/>
  <c r="K15" i="54" s="1"/>
  <c r="N18" i="54"/>
  <c r="H245" i="20" s="1"/>
  <c r="M17" i="54"/>
  <c r="F244" i="20" s="1"/>
  <c r="K16" i="54"/>
  <c r="G242" i="20" s="1"/>
  <c r="G17" i="54"/>
  <c r="F238" i="20" s="1"/>
  <c r="E17" i="54"/>
  <c r="F236" i="20" s="1"/>
  <c r="I15" i="54" a="1"/>
  <c r="I15" i="54" s="1"/>
  <c r="C5" i="54"/>
  <c r="C6" i="54"/>
  <c r="N17" i="54"/>
  <c r="F245" i="20" s="1"/>
  <c r="G22" i="54"/>
  <c r="D18" i="54"/>
  <c r="H235" i="20" s="1"/>
  <c r="K22" i="54"/>
  <c r="E22" i="54"/>
  <c r="D22" i="54"/>
  <c r="I22" i="54"/>
  <c r="E15" i="54" a="1"/>
  <c r="E15" i="54" s="1"/>
  <c r="E31" i="19"/>
  <c r="H31" i="19" s="1"/>
  <c r="E28" i="19"/>
  <c r="I28" i="19" s="1"/>
  <c r="F22" i="11"/>
  <c r="I22" i="11"/>
  <c r="G22" i="11"/>
  <c r="I22" i="10"/>
  <c r="F22" i="10"/>
  <c r="H22" i="10"/>
  <c r="D22" i="10"/>
  <c r="G22" i="10"/>
  <c r="K22" i="10"/>
  <c r="B329" i="28"/>
  <c r="D22" i="11"/>
  <c r="J22" i="11"/>
  <c r="D205" i="28"/>
  <c r="E22" i="10"/>
  <c r="E22" i="11"/>
  <c r="C22" i="11"/>
  <c r="H22" i="11"/>
  <c r="K22" i="11"/>
  <c r="F412" i="28"/>
  <c r="C11" i="11" a="1"/>
  <c r="I15" i="11" s="1"/>
  <c r="C6" i="10"/>
  <c r="C5" i="10"/>
  <c r="C6" i="9"/>
  <c r="C5" i="9"/>
  <c r="D204" i="28"/>
  <c r="B324" i="28" a="1"/>
  <c r="B324" i="28" s="1"/>
  <c r="B433" i="28" a="1"/>
  <c r="B433" i="28" s="1"/>
  <c r="F414" i="28"/>
  <c r="D414" i="28"/>
  <c r="C206" i="28"/>
  <c r="E503" i="28"/>
  <c r="B231" i="28"/>
  <c r="B437" i="28"/>
  <c r="G499" i="28"/>
  <c r="F203" i="28"/>
  <c r="D203" i="28"/>
  <c r="D302" i="28"/>
  <c r="F302" i="28"/>
  <c r="G503" i="28"/>
  <c r="B438" i="28"/>
  <c r="F499" i="28"/>
  <c r="B328" i="28"/>
  <c r="B230" i="28"/>
  <c r="E499" i="28"/>
  <c r="F413" i="28"/>
  <c r="D413" i="28"/>
  <c r="I34" i="19"/>
  <c r="H34" i="19"/>
  <c r="F303" i="28"/>
  <c r="D303" i="28"/>
  <c r="F304" i="28"/>
  <c r="D304" i="28"/>
  <c r="H243" i="38" l="1" a="1"/>
  <c r="H243" i="38" s="1"/>
  <c r="C211" i="24"/>
  <c r="E213" i="24" a="1"/>
  <c r="E213" i="24" s="1"/>
  <c r="F213" i="24" s="1"/>
  <c r="C21" i="31"/>
  <c r="C214" i="32" s="1"/>
  <c r="H234" i="32" a="1"/>
  <c r="H234" i="32" s="1"/>
  <c r="G516" i="44"/>
  <c r="N17" i="43"/>
  <c r="W17" i="43" s="1"/>
  <c r="D505" i="44" s="1"/>
  <c r="N16" i="43"/>
  <c r="E565" i="44" s="1"/>
  <c r="G592" i="44" s="1"/>
  <c r="W13" i="43"/>
  <c r="N22" i="43" s="1"/>
  <c r="E563" i="44" s="1"/>
  <c r="G590" i="44" s="1"/>
  <c r="W12" i="40"/>
  <c r="D401" i="44" s="1"/>
  <c r="E401" i="44" s="1"/>
  <c r="G524" i="44"/>
  <c r="N15" i="43"/>
  <c r="W12" i="43"/>
  <c r="F572" i="44" s="1"/>
  <c r="G520" i="44"/>
  <c r="G316" i="44"/>
  <c r="U15" i="42"/>
  <c r="G319" i="44"/>
  <c r="G318" i="44"/>
  <c r="G317" i="44"/>
  <c r="G415" i="44"/>
  <c r="P15" i="40"/>
  <c r="G417" i="44"/>
  <c r="G519" i="44"/>
  <c r="G522" i="44"/>
  <c r="G421" i="44"/>
  <c r="G314" i="44"/>
  <c r="N17" i="42"/>
  <c r="W17" i="42" s="1"/>
  <c r="D301" i="44" s="1"/>
  <c r="N16" i="42"/>
  <c r="E362" i="44" s="1"/>
  <c r="E592" i="44" s="1"/>
  <c r="D416" i="44"/>
  <c r="G416" i="44" s="1"/>
  <c r="N16" i="40"/>
  <c r="W16" i="40" s="1"/>
  <c r="D312" i="44"/>
  <c r="G312" i="44" s="1"/>
  <c r="W12" i="42"/>
  <c r="D299" i="44" s="1"/>
  <c r="E299" i="44" s="1"/>
  <c r="W13" i="40"/>
  <c r="D402" i="44" s="1"/>
  <c r="E402" i="44" s="1"/>
  <c r="N15" i="40"/>
  <c r="N15" i="42"/>
  <c r="G420" i="44"/>
  <c r="W13" i="42"/>
  <c r="N22" i="42" s="1"/>
  <c r="E360" i="44" s="1"/>
  <c r="E590" i="44" s="1"/>
  <c r="T15" i="42"/>
  <c r="R15" i="42"/>
  <c r="W11" i="40"/>
  <c r="D400" i="44" s="1"/>
  <c r="E400" i="44" s="1"/>
  <c r="W11" i="42"/>
  <c r="D298" i="44" s="1"/>
  <c r="E298" i="44" s="1"/>
  <c r="W11" i="43"/>
  <c r="D502" i="44" s="1"/>
  <c r="E502" i="44" s="1"/>
  <c r="T15" i="40"/>
  <c r="T15" i="43"/>
  <c r="V15" i="42"/>
  <c r="G418" i="44"/>
  <c r="D320" i="44"/>
  <c r="G320" i="44" s="1"/>
  <c r="G315" i="44"/>
  <c r="G523" i="44"/>
  <c r="G419" i="44"/>
  <c r="S15" i="40"/>
  <c r="S15" i="43"/>
  <c r="G521" i="44"/>
  <c r="G422" i="44"/>
  <c r="O15" i="40"/>
  <c r="Q15" i="40"/>
  <c r="R15" i="40"/>
  <c r="N17" i="40"/>
  <c r="W17" i="40" s="1"/>
  <c r="D403" i="44" s="1"/>
  <c r="S15" i="42"/>
  <c r="P15" i="42"/>
  <c r="Q15" i="42"/>
  <c r="Q15" i="43"/>
  <c r="R15" i="43"/>
  <c r="O15" i="43"/>
  <c r="G518" i="44"/>
  <c r="U15" i="43"/>
  <c r="V15" i="43"/>
  <c r="U15" i="40"/>
  <c r="G517" i="44"/>
  <c r="P15" i="43"/>
  <c r="V15" i="40"/>
  <c r="G313" i="44"/>
  <c r="O15" i="42"/>
  <c r="J19" i="37"/>
  <c r="I241" i="38" s="1" a="1"/>
  <c r="I241" i="38" s="1"/>
  <c r="I19" i="37"/>
  <c r="I240" i="38" s="1" a="1"/>
  <c r="I240" i="38" s="1"/>
  <c r="D19" i="37"/>
  <c r="I235" i="38" s="1" a="1"/>
  <c r="I235" i="38" s="1"/>
  <c r="K19" i="37"/>
  <c r="I242" i="38" s="1" a="1"/>
  <c r="I242" i="38" s="1"/>
  <c r="L19" i="37"/>
  <c r="I243" i="38" s="1" a="1"/>
  <c r="I243" i="38" s="1"/>
  <c r="F19" i="37"/>
  <c r="I237" i="38" s="1" a="1"/>
  <c r="I237" i="38" s="1"/>
  <c r="H19" i="37"/>
  <c r="I239" i="38" s="1" a="1"/>
  <c r="I239" i="38" s="1"/>
  <c r="G19" i="37"/>
  <c r="I238" i="38" s="1" a="1"/>
  <c r="I238" i="38" s="1"/>
  <c r="E19" i="37"/>
  <c r="I236" i="38" s="1" a="1"/>
  <c r="I236" i="38" s="1"/>
  <c r="C16" i="37"/>
  <c r="G234" i="38" s="1" a="1"/>
  <c r="G234" i="38" s="1"/>
  <c r="C22" i="37"/>
  <c r="C15" i="37" a="1"/>
  <c r="C15" i="37" s="1"/>
  <c r="C18" i="37"/>
  <c r="C17" i="37"/>
  <c r="M19" i="8"/>
  <c r="H19" i="8"/>
  <c r="D19" i="8"/>
  <c r="J19" i="8"/>
  <c r="G19" i="8"/>
  <c r="E19" i="8"/>
  <c r="I19" i="8"/>
  <c r="L19" i="6"/>
  <c r="K237" i="24" s="1"/>
  <c r="J19" i="6"/>
  <c r="I237" i="24" s="1"/>
  <c r="E19" i="31"/>
  <c r="I236" i="32" s="1" a="1"/>
  <c r="I236" i="32" s="1"/>
  <c r="K19" i="54"/>
  <c r="I242" i="20" s="1"/>
  <c r="C211" i="32"/>
  <c r="E211" i="32" s="1" a="1"/>
  <c r="E211" i="32" s="1"/>
  <c r="D211" i="32" s="1"/>
  <c r="C212" i="32"/>
  <c r="E212" i="32" s="1" a="1"/>
  <c r="E212" i="32" s="1"/>
  <c r="F212" i="32" s="1"/>
  <c r="H19" i="54"/>
  <c r="I239" i="20" s="1"/>
  <c r="M19" i="54"/>
  <c r="I244" i="20" s="1"/>
  <c r="L19" i="54"/>
  <c r="I243" i="20" s="1"/>
  <c r="D19" i="54"/>
  <c r="I235" i="20" s="1"/>
  <c r="E19" i="54"/>
  <c r="I236" i="20" s="1"/>
  <c r="N19" i="54"/>
  <c r="I245" i="20" s="1"/>
  <c r="I19" i="54"/>
  <c r="I240" i="20" s="1"/>
  <c r="F19" i="54"/>
  <c r="I237" i="20" s="1"/>
  <c r="J19" i="54"/>
  <c r="I241" i="20" s="1"/>
  <c r="G19" i="54"/>
  <c r="I238" i="20" s="1"/>
  <c r="L19" i="8"/>
  <c r="F19" i="8"/>
  <c r="O19" i="8"/>
  <c r="K19" i="8"/>
  <c r="N19" i="8"/>
  <c r="C21" i="6"/>
  <c r="B239" i="24" s="1"/>
  <c r="C11" i="8" a="1"/>
  <c r="C11" i="8" s="1"/>
  <c r="C16" i="8"/>
  <c r="C18" i="8"/>
  <c r="C17" i="8"/>
  <c r="C15" i="8"/>
  <c r="C22" i="8"/>
  <c r="B447" i="24" s="1" a="1"/>
  <c r="B447" i="24" s="1"/>
  <c r="H19" i="7"/>
  <c r="L19" i="7"/>
  <c r="C214" i="24"/>
  <c r="F19" i="7"/>
  <c r="D19" i="7"/>
  <c r="E510" i="24"/>
  <c r="I234" i="24"/>
  <c r="K19" i="6"/>
  <c r="J237" i="24" s="1"/>
  <c r="G19" i="7"/>
  <c r="J19" i="7"/>
  <c r="D19" i="6"/>
  <c r="C237" i="24" s="1"/>
  <c r="M19" i="7"/>
  <c r="N19" i="7"/>
  <c r="H19" i="6"/>
  <c r="G237" i="24" s="1"/>
  <c r="E19" i="6"/>
  <c r="D237" i="24" s="1"/>
  <c r="O19" i="7"/>
  <c r="K19" i="7"/>
  <c r="E19" i="7"/>
  <c r="E212" i="24" a="1"/>
  <c r="E212" i="24" s="1"/>
  <c r="F212" i="24" s="1"/>
  <c r="F19" i="6"/>
  <c r="E237" i="24" s="1"/>
  <c r="C18" i="7"/>
  <c r="C21" i="7" s="1"/>
  <c r="C17" i="7"/>
  <c r="C15" i="7"/>
  <c r="C16" i="7"/>
  <c r="C22" i="7"/>
  <c r="B338" i="24" s="1" a="1"/>
  <c r="B338" i="24" s="1"/>
  <c r="E211" i="24" a="1"/>
  <c r="E211" i="24" s="1"/>
  <c r="F211" i="24" s="1"/>
  <c r="B240" i="24" a="1"/>
  <c r="B240" i="24" s="1"/>
  <c r="C213" i="24"/>
  <c r="E509" i="24"/>
  <c r="C20" i="6"/>
  <c r="B238" i="24" s="1"/>
  <c r="B235" i="24"/>
  <c r="G19" i="6"/>
  <c r="F237" i="24" s="1"/>
  <c r="B234" i="24"/>
  <c r="M19" i="6"/>
  <c r="L237" i="24" s="1"/>
  <c r="O19" i="6"/>
  <c r="N237" i="24" s="1"/>
  <c r="C19" i="6"/>
  <c r="B237" i="24" s="1"/>
  <c r="N19" i="6"/>
  <c r="M237" i="24" s="1"/>
  <c r="C212" i="24"/>
  <c r="I19" i="6"/>
  <c r="H237" i="24" s="1"/>
  <c r="J19" i="31"/>
  <c r="I241" i="32" s="1" a="1"/>
  <c r="I241" i="32" s="1"/>
  <c r="D19" i="31"/>
  <c r="I235" i="32" s="1" a="1"/>
  <c r="I235" i="32" s="1"/>
  <c r="K19" i="31"/>
  <c r="I242" i="32" s="1" a="1"/>
  <c r="I242" i="32" s="1"/>
  <c r="F19" i="31"/>
  <c r="I237" i="32" s="1" a="1"/>
  <c r="I237" i="32" s="1"/>
  <c r="F297" i="32"/>
  <c r="E307" i="32" s="1"/>
  <c r="C20" i="31"/>
  <c r="E305" i="32" s="1"/>
  <c r="I19" i="31"/>
  <c r="I240" i="32" s="1" a="1"/>
  <c r="I240" i="32" s="1"/>
  <c r="G19" i="31"/>
  <c r="I238" i="32" s="1" a="1"/>
  <c r="I238" i="32" s="1"/>
  <c r="H19" i="31"/>
  <c r="I239" i="32" s="1" a="1"/>
  <c r="I239" i="32" s="1"/>
  <c r="C213" i="32"/>
  <c r="E213" i="32" s="1" a="1"/>
  <c r="E213" i="32" s="1"/>
  <c r="F213" i="32" s="1"/>
  <c r="C19" i="31"/>
  <c r="I234" i="32" s="1" a="1"/>
  <c r="I234" i="32" s="1"/>
  <c r="C18" i="54"/>
  <c r="C22" i="54"/>
  <c r="C15" i="54" a="1"/>
  <c r="C15" i="54" s="1"/>
  <c r="C16" i="54"/>
  <c r="C17" i="54"/>
  <c r="H28" i="19"/>
  <c r="I31" i="19"/>
  <c r="H15" i="11"/>
  <c r="B439" i="28" a="1"/>
  <c r="B439" i="28" s="1"/>
  <c r="C11" i="9" a="1"/>
  <c r="K15" i="11"/>
  <c r="G15" i="11"/>
  <c r="F15" i="11"/>
  <c r="D15" i="11"/>
  <c r="C11" i="11"/>
  <c r="C15" i="11" s="1"/>
  <c r="E15" i="11"/>
  <c r="J15" i="11"/>
  <c r="C11" i="10" a="1"/>
  <c r="C22" i="10"/>
  <c r="B330" i="28" s="1" a="1"/>
  <c r="B330" i="28" s="1"/>
  <c r="G234" i="20" l="1"/>
  <c r="F297" i="20"/>
  <c r="E307" i="20" s="1"/>
  <c r="C21" i="54"/>
  <c r="C214" i="20" s="1"/>
  <c r="H234" i="20"/>
  <c r="C213" i="20"/>
  <c r="E213" i="20" s="1"/>
  <c r="F213" i="20" s="1"/>
  <c r="F234" i="20"/>
  <c r="C211" i="20"/>
  <c r="E211" i="20" s="1"/>
  <c r="C212" i="20"/>
  <c r="E212" i="20" s="1"/>
  <c r="C21" i="37"/>
  <c r="C214" i="38" s="1"/>
  <c r="H234" i="38" a="1"/>
  <c r="H234" i="38" s="1"/>
  <c r="D213" i="24"/>
  <c r="F471" i="44"/>
  <c r="D504" i="44"/>
  <c r="E504" i="44" s="1"/>
  <c r="E571" i="44"/>
  <c r="E570" i="44"/>
  <c r="W16" i="43"/>
  <c r="N21" i="43"/>
  <c r="E564" i="44" s="1"/>
  <c r="F570" i="44" s="1"/>
  <c r="F573" i="44" s="1"/>
  <c r="F599" i="44" s="1"/>
  <c r="N21" i="40"/>
  <c r="E463" i="44" s="1"/>
  <c r="F591" i="44" s="1"/>
  <c r="D503" i="44"/>
  <c r="E503" i="44" s="1"/>
  <c r="E470" i="44"/>
  <c r="N21" i="42"/>
  <c r="E361" i="44" s="1"/>
  <c r="F367" i="44" s="1"/>
  <c r="W16" i="42"/>
  <c r="F369" i="44"/>
  <c r="N22" i="40"/>
  <c r="E462" i="44" s="1"/>
  <c r="F590" i="44" s="1"/>
  <c r="E464" i="44"/>
  <c r="F592" i="44" s="1"/>
  <c r="E367" i="44"/>
  <c r="E370" i="44" s="1"/>
  <c r="D597" i="44" s="1"/>
  <c r="E368" i="44"/>
  <c r="D300" i="44"/>
  <c r="E300" i="44" s="1"/>
  <c r="E458" i="44"/>
  <c r="F586" i="44" s="1"/>
  <c r="E356" i="44"/>
  <c r="E357" i="44" s="1"/>
  <c r="E588" i="44" s="1"/>
  <c r="E559" i="44"/>
  <c r="E560" i="44" s="1"/>
  <c r="G588" i="44" s="1"/>
  <c r="F234" i="38" a="1"/>
  <c r="F234" i="38" s="1"/>
  <c r="C213" i="38"/>
  <c r="E213" i="38" s="1" a="1"/>
  <c r="E213" i="38" s="1"/>
  <c r="E307" i="38"/>
  <c r="C212" i="38"/>
  <c r="E212" i="38" s="1" a="1"/>
  <c r="E212" i="38" s="1"/>
  <c r="C19" i="37"/>
  <c r="I234" i="38" s="1" a="1"/>
  <c r="I234" i="38" s="1"/>
  <c r="F297" i="38"/>
  <c r="E309" i="38" s="1"/>
  <c r="C211" i="38"/>
  <c r="E211" i="38" s="1" a="1"/>
  <c r="E211" i="38" s="1"/>
  <c r="E308" i="38"/>
  <c r="C20" i="37"/>
  <c r="E305" i="38" s="1"/>
  <c r="F211" i="32"/>
  <c r="D212" i="32"/>
  <c r="E511" i="24"/>
  <c r="C422" i="24"/>
  <c r="G509" i="24"/>
  <c r="E422" i="24" a="1"/>
  <c r="E422" i="24" s="1"/>
  <c r="C21" i="8"/>
  <c r="C423" i="24"/>
  <c r="E421" i="24" a="1"/>
  <c r="E421" i="24" s="1"/>
  <c r="C20" i="8"/>
  <c r="G510" i="24"/>
  <c r="C19" i="8"/>
  <c r="B441" i="24" s="1" a="1"/>
  <c r="B441" i="24" s="1"/>
  <c r="E420" i="24" a="1"/>
  <c r="E420" i="24" s="1"/>
  <c r="C420" i="24"/>
  <c r="C421" i="24"/>
  <c r="D211" i="24"/>
  <c r="D212" i="24"/>
  <c r="B337" i="24"/>
  <c r="F511" i="24"/>
  <c r="E311" i="24" a="1"/>
  <c r="E311" i="24" s="1"/>
  <c r="C311" i="24"/>
  <c r="C312" i="24"/>
  <c r="C313" i="24"/>
  <c r="E310" i="24" a="1"/>
  <c r="E310" i="24" s="1"/>
  <c r="C20" i="7"/>
  <c r="C19" i="7"/>
  <c r="B332" i="24" s="1" a="1"/>
  <c r="B332" i="24" s="1"/>
  <c r="C310" i="24"/>
  <c r="F510" i="24"/>
  <c r="F509" i="24"/>
  <c r="E312" i="24" a="1"/>
  <c r="E312" i="24" s="1"/>
  <c r="E507" i="24"/>
  <c r="D213" i="32"/>
  <c r="C20" i="54"/>
  <c r="C19" i="54"/>
  <c r="I234" i="20" s="1"/>
  <c r="C11" i="9"/>
  <c r="C15" i="9" s="1"/>
  <c r="F15" i="9"/>
  <c r="H15" i="9"/>
  <c r="J15" i="9"/>
  <c r="K15" i="9"/>
  <c r="I15" i="9"/>
  <c r="D15" i="9"/>
  <c r="E15" i="9"/>
  <c r="G15" i="9"/>
  <c r="D15" i="10"/>
  <c r="G15" i="10"/>
  <c r="C11" i="10"/>
  <c r="C15" i="10" s="1"/>
  <c r="F15" i="10"/>
  <c r="H15" i="10"/>
  <c r="J15" i="10"/>
  <c r="I15" i="10"/>
  <c r="K15" i="10"/>
  <c r="E15" i="10"/>
  <c r="D213" i="20" l="1"/>
  <c r="D211" i="20"/>
  <c r="D212" i="20"/>
  <c r="F212" i="20"/>
  <c r="E573" i="44"/>
  <c r="D599" i="44" s="1"/>
  <c r="G591" i="44"/>
  <c r="E567" i="44"/>
  <c r="G593" i="44" s="1"/>
  <c r="F469" i="44"/>
  <c r="F472" i="44" s="1"/>
  <c r="F598" i="44" s="1"/>
  <c r="F370" i="44"/>
  <c r="F597" i="44" s="1"/>
  <c r="E466" i="44"/>
  <c r="F593" i="44" s="1"/>
  <c r="E364" i="44"/>
  <c r="E593" i="44" s="1"/>
  <c r="E469" i="44"/>
  <c r="E472" i="44" s="1"/>
  <c r="D598" i="44" s="1"/>
  <c r="E591" i="44"/>
  <c r="E459" i="44"/>
  <c r="F588" i="44" s="1"/>
  <c r="E586" i="44"/>
  <c r="G586" i="44"/>
  <c r="D211" i="38"/>
  <c r="F211" i="38"/>
  <c r="D212" i="38"/>
  <c r="F212" i="38"/>
  <c r="F213" i="38"/>
  <c r="D213" i="38"/>
  <c r="G507" i="24"/>
  <c r="B445" i="24"/>
  <c r="F421" i="24"/>
  <c r="D421" i="24"/>
  <c r="B446" i="24"/>
  <c r="G511" i="24"/>
  <c r="F422" i="24"/>
  <c r="D422" i="24"/>
  <c r="F420" i="24"/>
  <c r="D420" i="24"/>
  <c r="F507" i="24"/>
  <c r="B336" i="24"/>
  <c r="D312" i="24"/>
  <c r="F312" i="24"/>
  <c r="D310" i="24"/>
  <c r="F310" i="24"/>
  <c r="F311" i="24"/>
  <c r="D311" i="24"/>
  <c r="N10" i="41"/>
  <c r="H213" i="44" s="1"/>
  <c r="O11" i="41"/>
  <c r="O12" i="41"/>
  <c r="E214" i="44" s="1"/>
  <c r="O13" i="41"/>
  <c r="F214" i="44" s="1"/>
  <c r="O10" i="41"/>
  <c r="H214" i="44" s="1"/>
  <c r="N12" i="41"/>
  <c r="V11" i="41"/>
  <c r="D221" i="44" s="1"/>
  <c r="U11" i="41"/>
  <c r="D220" i="44" s="1"/>
  <c r="T11" i="41"/>
  <c r="D219" i="44" s="1"/>
  <c r="Q11" i="41"/>
  <c r="D216" i="44" s="1"/>
  <c r="N11" i="41"/>
  <c r="P11" i="41"/>
  <c r="S11" i="41"/>
  <c r="N13" i="41"/>
  <c r="F213" i="44" s="1"/>
  <c r="R11" i="41"/>
  <c r="D217" i="44" s="1"/>
  <c r="S13" i="41"/>
  <c r="F218" i="44" s="1"/>
  <c r="S10" i="41"/>
  <c r="H218" i="44" s="1"/>
  <c r="S12" i="41"/>
  <c r="E218" i="44" s="1"/>
  <c r="T12" i="41"/>
  <c r="E219" i="44" s="1"/>
  <c r="T10" i="41"/>
  <c r="H219" i="44" s="1"/>
  <c r="T13" i="41"/>
  <c r="F219" i="44" s="1"/>
  <c r="Q10" i="41"/>
  <c r="H216" i="44" s="1"/>
  <c r="Q12" i="41"/>
  <c r="Q13" i="41"/>
  <c r="F216" i="44" s="1"/>
  <c r="P12" i="41"/>
  <c r="E215" i="44" s="1"/>
  <c r="P10" i="41"/>
  <c r="H215" i="44" s="1"/>
  <c r="P13" i="41"/>
  <c r="F215" i="44" s="1"/>
  <c r="V12" i="41"/>
  <c r="E221" i="44" s="1"/>
  <c r="V10" i="41"/>
  <c r="H221" i="44" s="1"/>
  <c r="V13" i="41"/>
  <c r="F221" i="44" s="1"/>
  <c r="R13" i="41"/>
  <c r="F217" i="44" s="1"/>
  <c r="R12" i="41"/>
  <c r="R10" i="41"/>
  <c r="H217" i="44" s="1"/>
  <c r="U13" i="41"/>
  <c r="F220" i="44" s="1"/>
  <c r="U12" i="41"/>
  <c r="E220" i="44" s="1"/>
  <c r="N7" i="41" a="1"/>
  <c r="N7" i="41" s="1"/>
  <c r="U10" i="41"/>
  <c r="H220" i="44" s="1"/>
  <c r="F211" i="20" l="1"/>
  <c r="E575" i="44"/>
  <c r="W12" i="41"/>
  <c r="N21" i="41" s="1"/>
  <c r="E258" i="44" s="1"/>
  <c r="E372" i="44"/>
  <c r="E474" i="44"/>
  <c r="N14" i="41"/>
  <c r="G220" i="44"/>
  <c r="S14" i="41"/>
  <c r="D213" i="44"/>
  <c r="N15" i="41"/>
  <c r="E260" i="44" s="1"/>
  <c r="D592" i="44" s="1"/>
  <c r="O14" i="41"/>
  <c r="W11" i="41"/>
  <c r="F267" i="44" s="1"/>
  <c r="P14" i="41"/>
  <c r="D214" i="44"/>
  <c r="G214" i="44" s="1"/>
  <c r="R14" i="41"/>
  <c r="Q14" i="41"/>
  <c r="V14" i="41"/>
  <c r="D218" i="44"/>
  <c r="G218" i="44" s="1"/>
  <c r="E213" i="44"/>
  <c r="G219" i="44"/>
  <c r="G221" i="44"/>
  <c r="U14" i="41"/>
  <c r="E217" i="44"/>
  <c r="G217" i="44" s="1"/>
  <c r="T14" i="41"/>
  <c r="W10" i="41"/>
  <c r="E216" i="44"/>
  <c r="G216" i="44" s="1"/>
  <c r="N16" i="41"/>
  <c r="W16" i="41" s="1"/>
  <c r="D201" i="44" s="1"/>
  <c r="D215" i="44"/>
  <c r="G215" i="44" s="1"/>
  <c r="D200" i="44" l="1"/>
  <c r="E200" i="44" s="1"/>
  <c r="E266" i="44"/>
  <c r="G213" i="44"/>
  <c r="D199" i="44"/>
  <c r="E199" i="44" s="1"/>
  <c r="N20" i="41"/>
  <c r="E259" i="44" s="1"/>
  <c r="W15" i="41"/>
  <c r="E254" i="44"/>
  <c r="D198" i="44"/>
  <c r="E198" i="44" s="1"/>
  <c r="E265" i="44"/>
  <c r="E268" i="44" s="1"/>
  <c r="D590" i="44"/>
  <c r="D591" i="44" l="1"/>
  <c r="F265" i="44"/>
  <c r="F268" i="44" s="1"/>
  <c r="E262" i="44"/>
  <c r="D593" i="44" s="1"/>
  <c r="D586" i="44"/>
  <c r="E255" i="44"/>
  <c r="D596" i="44"/>
  <c r="D600" i="44"/>
  <c r="F600" i="44" l="1"/>
  <c r="F596" i="44"/>
  <c r="E270" i="44"/>
  <c r="D588" i="44"/>
  <c r="E602" i="44" s="1"/>
  <c r="B612" i="4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<sst xmlns="http://schemas.openxmlformats.org/spreadsheetml/2006/main" count="2486" uniqueCount="577">
  <si>
    <t>Constat de niveau de vérification :</t>
  </si>
  <si>
    <t>Date de début d'essai :</t>
  </si>
  <si>
    <t>Heure de début :</t>
  </si>
  <si>
    <t>Site</t>
  </si>
  <si>
    <t>Rédacteur</t>
  </si>
  <si>
    <t>Date d'émission du PV</t>
  </si>
  <si>
    <t>Périodicité</t>
  </si>
  <si>
    <t>Consignes</t>
  </si>
  <si>
    <t>Tolérances +/-</t>
  </si>
  <si>
    <t>Positions</t>
  </si>
  <si>
    <t>Équipement de contrôle</t>
  </si>
  <si>
    <t>Rapport d’homogénéité (T.U.S.)
Congélateur « maturation retardée » POLE FROID</t>
  </si>
  <si>
    <t>Thermocouples</t>
  </si>
  <si>
    <t>SONDES</t>
  </si>
  <si>
    <t>N° voie Enregistreur</t>
  </si>
  <si>
    <t>Numéro de série</t>
  </si>
  <si>
    <t>Décalage Enregistreur</t>
  </si>
  <si>
    <t>CONSTAT DE 
VERIFICATION</t>
  </si>
  <si>
    <t>Date de fin d'essai :</t>
  </si>
  <si>
    <t>Heure de fin :</t>
  </si>
  <si>
    <t>Contrôleur -Technicien</t>
  </si>
  <si>
    <t>Nombres de pages</t>
  </si>
  <si>
    <t>Validité du contrôle</t>
  </si>
  <si>
    <t>Décalage TC</t>
  </si>
  <si>
    <t>Certificat
d'étalonnage</t>
  </si>
  <si>
    <t>validité
jusqu'au</t>
  </si>
  <si>
    <t>Matériel de vérification</t>
  </si>
  <si>
    <t>Enregistreur Portable</t>
  </si>
  <si>
    <t>REGULATION DU GROUPE FROID DE DEVANT</t>
  </si>
  <si>
    <t>REGULATION DU GROUPE FROID DU FOND</t>
  </si>
  <si>
    <t>ENREGISTREUR</t>
  </si>
  <si>
    <t>SAT</t>
  </si>
  <si>
    <t>Certificat d'étalonnage</t>
  </si>
  <si>
    <t>LECTURE DE L'INSTRUMENT 
EN °C</t>
  </si>
  <si>
    <t>Date d'étalonnage</t>
  </si>
  <si>
    <t>Fin de validité d'étalonnage</t>
  </si>
  <si>
    <t>Date/Heure</t>
  </si>
  <si>
    <t>Connecteur 1</t>
  </si>
  <si>
    <t>Connecteur 2</t>
  </si>
  <si>
    <t>Connecteur 3</t>
  </si>
  <si>
    <t>Connecteur 4</t>
  </si>
  <si>
    <t>Connecteur 5</t>
  </si>
  <si>
    <t>Connecteur 6</t>
  </si>
  <si>
    <t>Connecteur 7</t>
  </si>
  <si>
    <t>Connecteur 8</t>
  </si>
  <si>
    <t>Connecteur 9</t>
  </si>
  <si>
    <t>Connecteur 10</t>
  </si>
  <si>
    <t>Connecteur 11</t>
  </si>
  <si>
    <t>Connecteur 12</t>
  </si>
  <si>
    <t>Rapport d’homogénéité (T.U.S.) ET S.A.T
Étude de polymérisation peinture ENATT</t>
  </si>
  <si>
    <t>Appareil</t>
  </si>
  <si>
    <t>Nom=</t>
  </si>
  <si>
    <t>6100 PORTABLE</t>
  </si>
  <si>
    <t>Numéro de série=</t>
  </si>
  <si>
    <t>Version de logiciel=</t>
  </si>
  <si>
    <t>5.7</t>
  </si>
  <si>
    <t>Adresse MAC=</t>
  </si>
  <si>
    <t>00:0A:8D:81:66:7D</t>
  </si>
  <si>
    <t>Langue=</t>
  </si>
  <si>
    <t>fr</t>
  </si>
  <si>
    <t>Pays=</t>
  </si>
  <si>
    <t>FR</t>
  </si>
  <si>
    <t>Fuseau horaire=</t>
  </si>
  <si>
    <t>GMT</t>
  </si>
  <si>
    <t>Groupe</t>
  </si>
  <si>
    <t>Group 1</t>
  </si>
  <si>
    <t>TC1</t>
  </si>
  <si>
    <t>Bas=</t>
  </si>
  <si>
    <t>Haut=</t>
  </si>
  <si>
    <t>Unités=</t>
  </si>
  <si>
    <t>°C</t>
  </si>
  <si>
    <t>TC2</t>
  </si>
  <si>
    <t>TC3</t>
  </si>
  <si>
    <t>TC4</t>
  </si>
  <si>
    <t>TC5</t>
  </si>
  <si>
    <t>TC6</t>
  </si>
  <si>
    <t>TC7</t>
  </si>
  <si>
    <t>TC8</t>
  </si>
  <si>
    <t>TC9</t>
  </si>
  <si>
    <t>TC10</t>
  </si>
  <si>
    <t>TC11</t>
  </si>
  <si>
    <t>TC12</t>
  </si>
  <si>
    <t>TC13</t>
  </si>
  <si>
    <t>TC14</t>
  </si>
  <si>
    <t>TC15</t>
  </si>
  <si>
    <t>Congel</t>
  </si>
  <si>
    <t>Étuve OMIA</t>
  </si>
  <si>
    <t>Décalage Enreg.</t>
  </si>
  <si>
    <t>Valeurs corrigées</t>
  </si>
  <si>
    <t>Temps de maintien</t>
  </si>
  <si>
    <t>DEPASSEMENT</t>
  </si>
  <si>
    <t>MAX 30</t>
  </si>
  <si>
    <t>Tolérance haute</t>
  </si>
  <si>
    <t>MIN 30</t>
  </si>
  <si>
    <t>Tolérance basse</t>
  </si>
  <si>
    <t>MOYENNE 30</t>
  </si>
  <si>
    <t>AMPLITUDE</t>
  </si>
  <si>
    <t>HOMOGENEITE</t>
  </si>
  <si>
    <t>MOY</t>
  </si>
  <si>
    <t>Ecartype 30</t>
  </si>
  <si>
    <t>VERIFICATION PERIODIQUE DES CHAINES PYROMETRIQUES DU CONGELATEUR POLE FROID</t>
  </si>
  <si>
    <t xml:space="preserve">PROCEDURE DE VERIFICATION : </t>
  </si>
  <si>
    <t>AFIN DE VERIFIER LES CHAINES PYROMETRIQUES DU CONGELATEUR, IL FAUT PLACER UNE SONDE TEST AU PLUS PRES DE CHAQUE SONDE DE TRAVAIL.</t>
  </si>
  <si>
    <t>LES MESURES DOIVENT ETRE FAITES LORSQUE LA TEMPERATURE DU CONGELATEUR EST STABILISEE.</t>
  </si>
  <si>
    <t>LA VERIFICATION SE FAIT SUR LES 3 CHAINES PYROMETRIQUES DU CONGELATEUR</t>
  </si>
  <si>
    <t>MATERIEL DE VERIFICATION</t>
  </si>
  <si>
    <t>DESIGNATION</t>
  </si>
  <si>
    <t>N° DE SERIE</t>
  </si>
  <si>
    <t xml:space="preserve"> - APPAREIL DE LECTURE : </t>
  </si>
  <si>
    <t>ENREG. TEMP. PORT.</t>
  </si>
  <si>
    <t xml:space="preserve"> PL1707000191-0817-PL3 Z19</t>
  </si>
  <si>
    <r>
      <t xml:space="preserve">FACTEUR DE CORRECTION DE L'APPAREIL EN °C : </t>
    </r>
    <r>
      <rPr>
        <b/>
        <sz val="12"/>
        <rFont val="Calibri"/>
        <family val="2"/>
      </rPr>
      <t>(F)</t>
    </r>
  </si>
  <si>
    <t>Position</t>
  </si>
  <si>
    <r>
      <t xml:space="preserve">FACTEUR DE CORRECTION DE L'APPAREIL EN °C : </t>
    </r>
    <r>
      <rPr>
        <b/>
        <sz val="12"/>
        <rFont val="Calibri"/>
        <family val="2"/>
      </rPr>
      <t>(E)</t>
    </r>
  </si>
  <si>
    <t>INSTRUMENTATION SUR LE CONGELATEUR POLE FROID</t>
  </si>
  <si>
    <t>REGULATEUR DU GROUPE FROID DE DEVANT</t>
  </si>
  <si>
    <r>
      <t xml:space="preserve">FACTEUR DE CORRECTION/OFFSET DE L'INSTRUMENT EN °C : </t>
    </r>
    <r>
      <rPr>
        <b/>
        <sz val="12"/>
        <rFont val="Calibri"/>
        <family val="2"/>
      </rPr>
      <t>(B)</t>
    </r>
  </si>
  <si>
    <t xml:space="preserve"> - SONDE REGULATION DU GROUPE FROID DE DEVANT</t>
  </si>
  <si>
    <t>REGULATEUR DU GROUPE FROID DU FOND</t>
  </si>
  <si>
    <t xml:space="preserve"> - SONDE REGULATION DU GROUPE FROID DU FOND</t>
  </si>
  <si>
    <t>ENREGISTREUR CONGELATEUR POLE FROID</t>
  </si>
  <si>
    <t xml:space="preserve"> - SONDE ENREGISTREMENT</t>
  </si>
  <si>
    <t>CONFORMITE</t>
  </si>
  <si>
    <t>DATE / HEURE</t>
  </si>
  <si>
    <t>NOM</t>
  </si>
  <si>
    <t>SONDE TEST</t>
  </si>
  <si>
    <r>
      <rPr>
        <sz val="12"/>
        <rFont val="Calibri"/>
        <family val="2"/>
      </rPr>
      <t xml:space="preserve">LECTURE DE L'APPAREIL 
EN °C : </t>
    </r>
    <r>
      <rPr>
        <b/>
        <sz val="12"/>
        <rFont val="Calibri"/>
        <family val="2"/>
      </rPr>
      <t>(D)</t>
    </r>
  </si>
  <si>
    <r>
      <t xml:space="preserve">LECTURE DE L'APPAREIL 
CORRIGE EN °C : 
</t>
    </r>
    <r>
      <rPr>
        <b/>
        <sz val="12"/>
        <rFont val="Calibri"/>
        <family val="2"/>
      </rPr>
      <t>(G) = (D+E+F)</t>
    </r>
  </si>
  <si>
    <r>
      <rPr>
        <sz val="12"/>
        <rFont val="Calibri"/>
        <family val="2"/>
      </rPr>
      <t xml:space="preserve">LECTURE DE L'INSTRUMENT 
EN °C : </t>
    </r>
    <r>
      <rPr>
        <b/>
        <sz val="12"/>
        <rFont val="Calibri"/>
        <family val="2"/>
      </rPr>
      <t>(A)</t>
    </r>
  </si>
  <si>
    <r>
      <rPr>
        <sz val="12"/>
        <rFont val="Calibri"/>
        <family val="2"/>
      </rPr>
      <t xml:space="preserve">LECTURE DE L'INSTRUMENT CORRIGE EN °C : 
</t>
    </r>
    <r>
      <rPr>
        <b/>
        <sz val="12"/>
        <rFont val="Calibri"/>
        <family val="2"/>
      </rPr>
      <t>(C) = (A+B)</t>
    </r>
  </si>
  <si>
    <r>
      <t xml:space="preserve">ECART EN °C : </t>
    </r>
    <r>
      <rPr>
        <b/>
        <sz val="12"/>
        <rFont val="Calibri"/>
        <family val="2"/>
      </rPr>
      <t>(C-G)</t>
    </r>
  </si>
  <si>
    <t>CONFORME /
NON CONFORME</t>
  </si>
  <si>
    <t>E.LAGASSY</t>
  </si>
  <si>
    <t>SI RESULTATS NON CONFORMES, AVERTIR LE SERVICE QUALITE</t>
  </si>
  <si>
    <t>Vérifié le :</t>
  </si>
  <si>
    <t xml:space="preserve"> </t>
  </si>
  <si>
    <t>A vérifier le :</t>
  </si>
  <si>
    <t>RAPPORT D'HOMOGENEITE (T.U.S.) FREGATE AERO CONGÉLATEUR "Maturation retardée" POLE FROID</t>
  </si>
  <si>
    <t>Constat de vérification N°</t>
  </si>
  <si>
    <t>Date d'émission :</t>
  </si>
  <si>
    <t>Périodicité :</t>
  </si>
  <si>
    <t>Nombres de pages :</t>
  </si>
  <si>
    <t>Validité du contrôle :</t>
  </si>
  <si>
    <t>Rédacteur :</t>
  </si>
  <si>
    <t>Technicien (s) :</t>
  </si>
  <si>
    <t>Site :</t>
  </si>
  <si>
    <t>1. Objet</t>
  </si>
  <si>
    <t xml:space="preserve">
Ce rapport présente les résultats et les conclusions de l’essai du contrôle d’homogénéité thermique du congélateur « maturation retardée » POLE FROID.
Pour la réalisation de cet essai, l’exploitation des enregistrements et l’interprétation des résultats, nous avons appliqué les recommandations des référentiels suivants :
 - DGQT 0.8.3.0016 (Conservation au froid après trempe des alliages d’aluminium) indice B
 - IGC 04.63.105 (Vérification périodique des installations de traitement thermique et de polymérisation) indice C4</t>
  </si>
  <si>
    <t>2. Désignation du matériel à vérifier</t>
  </si>
  <si>
    <t>1 – Informations générales</t>
  </si>
  <si>
    <t>Type : Enceinte frigorifique</t>
  </si>
  <si>
    <t>Identification fabricant : SCS ZF 09</t>
  </si>
  <si>
    <t>Marque : POLE FROID</t>
  </si>
  <si>
    <t>Températures (mini et maxi) d’utilisation : -35°C à ambiante</t>
  </si>
  <si>
    <t>Identification interne : Congélateur POLE FROID</t>
  </si>
  <si>
    <t>Atmosphère : Air</t>
  </si>
  <si>
    <t>2 – Instrumentation</t>
  </si>
  <si>
    <t>Régulateur du groupe froid de devant : PROCOLD2 - CAREL</t>
  </si>
  <si>
    <t>Enregistreur : MEMO200 - ELIWELL</t>
  </si>
  <si>
    <t>Régulateur du groupe froid de derrière : PROCOLD2 – CAREL</t>
  </si>
  <si>
    <t>3 – Installation</t>
  </si>
  <si>
    <t>Le congélateur dispose de 3 sondes de température résidentes.</t>
  </si>
  <si>
    <t>Dimensions intérieures du congélateur (L*P*H) : 950*3200*1800mm</t>
  </si>
  <si>
    <t>-1 TC REGULATEUR GROUPE FROID DEVANT TYPE PT 100</t>
  </si>
  <si>
    <r>
      <t>Volume intérieur : 5,5 m</t>
    </r>
    <r>
      <rPr>
        <vertAlign val="superscript"/>
        <sz val="16"/>
        <color rgb="FF000000"/>
        <rFont val="Calibri"/>
        <family val="2"/>
        <scheme val="minor"/>
      </rPr>
      <t>3</t>
    </r>
  </si>
  <si>
    <t>-1 TC REGULATEUR GROUPE FROID DERRIERE TYPE PT 100</t>
  </si>
  <si>
    <t xml:space="preserve">Dimensions utiles du congélateur (L*P*H) : 950*3200*1200mm </t>
  </si>
  <si>
    <t>-1 TC ENREGISTREUR TYPE N</t>
  </si>
  <si>
    <r>
      <t>Volume utile : 3,6 m</t>
    </r>
    <r>
      <rPr>
        <vertAlign val="superscript"/>
        <sz val="16"/>
        <color rgb="FF000000"/>
        <rFont val="Calibri"/>
        <family val="2"/>
        <scheme val="minor"/>
      </rPr>
      <t>3</t>
    </r>
  </si>
  <si>
    <t>La sonde du REGULATEUR GROUPE FROID DEVANT est située à l’arrière du congélateur et celle du REGULATEUR GROUPE FROID DERRIERE est située à l’avant.</t>
  </si>
  <si>
    <t>3. Désignation du matériel de vérification</t>
  </si>
  <si>
    <t>1 – Thermocouples</t>
  </si>
  <si>
    <t>Nombre de thermocouples : 9</t>
  </si>
  <si>
    <t>Type : N</t>
  </si>
  <si>
    <t>Diamètre : 1,5 mm</t>
  </si>
  <si>
    <t>Longueur : 5000 mm</t>
  </si>
  <si>
    <t>Aucune défaillance des thermocouples n’a été relevée durant le test d’homogénéité.</t>
  </si>
  <si>
    <t>2 – Enregistreur</t>
  </si>
  <si>
    <t xml:space="preserve">N° certificat étalonnage : </t>
  </si>
  <si>
    <t xml:space="preserve">Marque : </t>
  </si>
  <si>
    <t>EUROTHERM</t>
  </si>
  <si>
    <t>Date d’étalonnage :</t>
  </si>
  <si>
    <t xml:space="preserve">Modèle : </t>
  </si>
  <si>
    <t>6100 Portable</t>
  </si>
  <si>
    <t>Fin de validité d’étalonnage :</t>
  </si>
  <si>
    <t xml:space="preserve">N° série : </t>
  </si>
  <si>
    <t>PL1707000191-0817-PL3 Z19</t>
  </si>
  <si>
    <t xml:space="preserve">Tolérance : </t>
  </si>
  <si>
    <t>4. Déroulement de la vérification</t>
  </si>
  <si>
    <t xml:space="preserve">5. Implantation des thermocouples dans le congélateur </t>
  </si>
  <si>
    <t>Régime d'équilibre</t>
  </si>
  <si>
    <t>Début</t>
  </si>
  <si>
    <t>Fin</t>
  </si>
  <si>
    <t>Durée</t>
  </si>
  <si>
    <t>1 – Relevés de mesure du matériel de vérification</t>
  </si>
  <si>
    <t>Désignation</t>
  </si>
  <si>
    <t>Valeur</t>
  </si>
  <si>
    <t>voie/
Connecteur</t>
  </si>
  <si>
    <t>N° THERMOCOUPLE</t>
  </si>
  <si>
    <t>Température de stockage désirée</t>
  </si>
  <si>
    <t>X</t>
  </si>
  <si>
    <t>Température de consigne</t>
  </si>
  <si>
    <t>Régime
 d'équilibre</t>
  </si>
  <si>
    <t>Température maximale du point le plus chaud</t>
  </si>
  <si>
    <t>Température minimale du point le plus chaud</t>
  </si>
  <si>
    <t>Température minimale du point le plus froid</t>
  </si>
  <si>
    <t>Température moyenne</t>
  </si>
  <si>
    <t>2 – Relevés corrigés de chaque thermocouple de vérification</t>
  </si>
  <si>
    <t>N°Voie
enregistreur</t>
  </si>
  <si>
    <t>MIN (°C)</t>
  </si>
  <si>
    <t>Max(°C)</t>
  </si>
  <si>
    <t>Moyenne (°C)</t>
  </si>
  <si>
    <t>Amplitude (°C)</t>
  </si>
  <si>
    <t>3 – Courbe</t>
  </si>
  <si>
    <t>9. Conclusions</t>
  </si>
  <si>
    <t>Température nominale de traitement désiré</t>
  </si>
  <si>
    <t>Température de Consigne</t>
  </si>
  <si>
    <t>Homogénéité en régime d'équilibre</t>
  </si>
  <si>
    <t>Tolérance requise</t>
  </si>
  <si>
    <t>Conformité avec la tolérance requise</t>
  </si>
  <si>
    <t>Classe de l'installation</t>
  </si>
  <si>
    <t>Connecteur 13</t>
  </si>
  <si>
    <t>Ce rapport présente les résultats et les conclusions de l’essai du contrôle d’homogénéité thermique de l’étuve de polymérisation de peinture Omia sur le site de La Voulte.
Les résultats de la SAT sont également formalisés dans ce rapport (contrôle de dérive de la chaîne pyrométrique du régulateur de température).
Pour la réalisation de cet essai, l’exploitation des enregistrements et l’interprétation des résultats, nous avons appliqué les recommandations des référentiels suivants :
IGC 04.63.105 (Vérification périodique des installations de traitement thermique et de polymérisation) indice C4</t>
  </si>
  <si>
    <t>Type : Etuve ventilée</t>
  </si>
  <si>
    <t>Identification fabricant : AF002141C</t>
  </si>
  <si>
    <t>Marque : OMIA</t>
  </si>
  <si>
    <t>Températures (mini et maxi) d’utilisation : 60°C à 200°C</t>
  </si>
  <si>
    <t>Identification interne : Etuve de polymérisation Omia</t>
  </si>
  <si>
    <t>Régulateur : PXG4 Fuji electric France</t>
  </si>
  <si>
    <t>Paramètres du régulateur (PID) : P = 10 ; I = 205 ; d = 0</t>
  </si>
  <si>
    <t>L’étuve possède 1 thermocouple résident :</t>
  </si>
  <si>
    <r>
      <t>-</t>
    </r>
    <r>
      <rPr>
        <sz val="16"/>
        <color rgb="FF000000"/>
        <rFont val="Calibri"/>
        <family val="2"/>
        <scheme val="minor"/>
      </rPr>
      <t xml:space="preserve">1x TC REGULATEUR </t>
    </r>
  </si>
  <si>
    <t>Dimensions intérieures du four (L*P*H) : 4,1 x 3,36 x 2,8 m</t>
  </si>
  <si>
    <t>Nombre de thermocouples : 13</t>
  </si>
  <si>
    <t>Diamètre : 1,5mm</t>
  </si>
  <si>
    <t>Longueur : 5000mm</t>
  </si>
  <si>
    <t>5. Localisation des thermocouples de contrôle</t>
  </si>
  <si>
    <t>Consigne</t>
  </si>
  <si>
    <t>Tolérance</t>
  </si>
  <si>
    <t>Conformité avec la tolérance basse requise</t>
  </si>
  <si>
    <t>Conformité avec la tolérance haute requise</t>
  </si>
  <si>
    <t>Conformité avec la tolérance requise sur la moyenne</t>
  </si>
  <si>
    <t>Tus du Congélateur</t>
  </si>
  <si>
    <t>Tus de l'étuve DOVER</t>
  </si>
  <si>
    <t/>
  </si>
  <si>
    <t>Étuve DOVER</t>
  </si>
  <si>
    <t>Rapport d’homogénéité (T.U.S.) 
FREGATE AERO
Etude de polymérisation peinture ENATT</t>
  </si>
  <si>
    <t>Rapport d’homogénéité (T.U.S.) 
FREGATE AERO
Etuve DOUVER N°1614</t>
  </si>
  <si>
    <t xml:space="preserve">Ce rapport présente les résultats et les conclusions de l’essai du contrôle d’homogénéité thermique de l'étuve Dover  N°1614.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5°C) de 50 à 150°C
                                  - 1 zone de chauffe
                                  - Instrumentation type C, soit 1 thermocouple de régulation
                                  - Traitement de pièces </t>
  </si>
  <si>
    <t>2-Désignation du matériel à vérifier</t>
  </si>
  <si>
    <t>A – Informations générales</t>
  </si>
  <si>
    <t>B – Instrumentation</t>
  </si>
  <si>
    <t>Type:</t>
  </si>
  <si>
    <t>Etuve Ventilée</t>
  </si>
  <si>
    <t xml:space="preserve">Régulateur Chauffe : </t>
  </si>
  <si>
    <t>Marque :</t>
  </si>
  <si>
    <t>ETUVE DOVER</t>
  </si>
  <si>
    <t xml:space="preserve">Régulateur Sécurité : </t>
  </si>
  <si>
    <t>Identification interne:</t>
  </si>
  <si>
    <t>THITEC</t>
  </si>
  <si>
    <t xml:space="preserve">Enregistreur : </t>
  </si>
  <si>
    <t>Identification fabricant :</t>
  </si>
  <si>
    <t xml:space="preserve">Date de mise en service : </t>
  </si>
  <si>
    <t xml:space="preserve">Températures (mini et maxi) d’utilisation : </t>
  </si>
  <si>
    <t>50°C à 150°C</t>
  </si>
  <si>
    <t xml:space="preserve">Atmosphère : </t>
  </si>
  <si>
    <t>Air</t>
  </si>
  <si>
    <t xml:space="preserve">Puissance : </t>
  </si>
  <si>
    <t>C- Installation</t>
  </si>
  <si>
    <t xml:space="preserve"> - 1 TC REGULATION TYPE N</t>
  </si>
  <si>
    <t>NA</t>
  </si>
  <si>
    <t>Dimensions intérieures du four</t>
  </si>
  <si>
    <t>L (mm)</t>
  </si>
  <si>
    <t>P (mm)</t>
  </si>
  <si>
    <t>H (mm)</t>
  </si>
  <si>
    <t>Volume (dm³)</t>
  </si>
  <si>
    <t>Dimensions utiles du four</t>
  </si>
  <si>
    <t>Étuve séchoir</t>
  </si>
  <si>
    <t>Tus de l'étuve Séchoir</t>
  </si>
  <si>
    <t>Consigne 1</t>
  </si>
  <si>
    <t>Consigne 2</t>
  </si>
  <si>
    <t>Consigne 3</t>
  </si>
  <si>
    <t>5. Implantation des thermocouples dans le séchoir</t>
  </si>
  <si>
    <t>Tus de l'étuve OMIA LV</t>
  </si>
  <si>
    <t>TUS de l'étuve Ressuage BCH</t>
  </si>
  <si>
    <t>Temps avant maintien</t>
  </si>
  <si>
    <t>VERIFICATION PERIODIQUE DES CHAINES PYROMETRIQUES CABINE DE RESSUAGE</t>
  </si>
  <si>
    <t>AFIN DE VERIFIER LES CHAINES PYROMETRIQUES DE LA CABINE DE RESSUAGE, IL FAUT PLACER UNE SONDE TEST AU PLUS PRES DE LA SONDE DE TRAVAIL.</t>
  </si>
  <si>
    <t>LES MESURES DOIVENT ETRE FAITES LORSQUE LA TEMPERATURE DE LA CABINE DE RESSUAGE EST STABILISEE.</t>
  </si>
  <si>
    <t>LA VERIFICATION SE FAIT SUR 1 CHAINE PYROMETRIQUE DE LA CABINE RESSUAGE</t>
  </si>
  <si>
    <t>Appareil de lecture :</t>
  </si>
  <si>
    <t>Enregistreur Portable 6100</t>
  </si>
  <si>
    <t>N° de série</t>
  </si>
  <si>
    <t>Instrementation sur la cabine de ressuage</t>
  </si>
  <si>
    <t>Designation</t>
  </si>
  <si>
    <t>N°Serie</t>
  </si>
  <si>
    <t>Regulateur</t>
  </si>
  <si>
    <t>Sonde de régulation</t>
  </si>
  <si>
    <r>
      <t xml:space="preserve">Facteur de correction de l'appreil en °C </t>
    </r>
    <r>
      <rPr>
        <b/>
        <sz val="12"/>
        <rFont val="Calibri"/>
        <family val="2"/>
        <scheme val="minor"/>
      </rPr>
      <t>(F)</t>
    </r>
  </si>
  <si>
    <r>
      <t xml:space="preserve">Facteur de correction de l'appreil en °C </t>
    </r>
    <r>
      <rPr>
        <b/>
        <sz val="12"/>
        <rFont val="Calibri"/>
        <family val="2"/>
        <scheme val="minor"/>
      </rPr>
      <t>(E)</t>
    </r>
  </si>
  <si>
    <r>
      <t>FACTEUR DE CORRECTION/OFFSET DE L'INSTRUMENT EN °C :</t>
    </r>
    <r>
      <rPr>
        <b/>
        <sz val="11"/>
        <color theme="1"/>
        <rFont val="Calibri"/>
        <family val="2"/>
        <scheme val="minor"/>
      </rPr>
      <t xml:space="preserve"> (B)</t>
    </r>
  </si>
  <si>
    <t>Facteur de correction / OFFSET
de l'instrument en °C</t>
  </si>
  <si>
    <t>Régulation du groupe froid de devant</t>
  </si>
  <si>
    <t>Nom</t>
  </si>
  <si>
    <t>Sonde Test</t>
  </si>
  <si>
    <r>
      <t>Lecture de l'appareil en °C :</t>
    </r>
    <r>
      <rPr>
        <b/>
        <sz val="12"/>
        <rFont val="Calibri"/>
        <family val="2"/>
        <scheme val="minor"/>
      </rPr>
      <t xml:space="preserve"> (D)</t>
    </r>
  </si>
  <si>
    <r>
      <t xml:space="preserve">Lecture de l'appareil corrige en °C :
</t>
    </r>
    <r>
      <rPr>
        <b/>
        <sz val="12"/>
        <rFont val="Calibri"/>
        <family val="2"/>
        <scheme val="minor"/>
      </rPr>
      <t>(G) = (D+E+F)</t>
    </r>
  </si>
  <si>
    <t>Lecture de l'instrument en °C : (A)</t>
  </si>
  <si>
    <t>CONFORMITÉ</t>
  </si>
  <si>
    <r>
      <t xml:space="preserve">Lecture de l'instrument CORRIGE EN °C :
</t>
    </r>
    <r>
      <rPr>
        <b/>
        <sz val="12"/>
        <rFont val="Calibri"/>
        <family val="2"/>
        <scheme val="minor"/>
      </rPr>
      <t>(C) = (A + B)</t>
    </r>
  </si>
  <si>
    <r>
      <t xml:space="preserve">Ecart en °C : </t>
    </r>
    <r>
      <rPr>
        <b/>
        <sz val="12"/>
        <rFont val="Calibri"/>
        <family val="2"/>
        <scheme val="minor"/>
      </rPr>
      <t>(C - G)</t>
    </r>
  </si>
  <si>
    <t>RAPPORT D'HOMOGENEITE (T.U.S.) FREGATE AERO CABINE DE RESSUAGE</t>
  </si>
  <si>
    <t>Type : Cabine de ressuage</t>
  </si>
  <si>
    <t>Marque : Omia</t>
  </si>
  <si>
    <t>Identification interne : Cabine de ressuage</t>
  </si>
  <si>
    <t>5. Implantation des thermocouples dans la cabine de ressuage</t>
  </si>
  <si>
    <t>Conformité avec la tolérance requise minimale</t>
  </si>
  <si>
    <t>Conformité avec la tolérance requise maximale</t>
  </si>
  <si>
    <t>La cabine de ressuage dispose de 1 sonde de température résidentes.</t>
  </si>
  <si>
    <t>Veuillez choisir une TUS</t>
  </si>
  <si>
    <t>15. Conclusion</t>
  </si>
  <si>
    <t>TUS du Four 1</t>
  </si>
  <si>
    <t>HOMOGENEITE MINI</t>
  </si>
  <si>
    <t>HOMOGENEITE MAXI</t>
  </si>
  <si>
    <t>Ecart typ 30</t>
  </si>
  <si>
    <t>N° TC</t>
  </si>
  <si>
    <t>Maintien en température</t>
  </si>
  <si>
    <t>Montée en température</t>
  </si>
  <si>
    <t>T ambiante</t>
  </si>
  <si>
    <t>Valeurs brutes</t>
  </si>
  <si>
    <t>RAPPORT D'HOMOGENEITE (T.U.S.) FREGATE AERO FOUR THERMIDOR N°4998</t>
  </si>
  <si>
    <t xml:space="preserve">Date de la vérification : </t>
  </si>
  <si>
    <t>Périodicité de contrôle:</t>
  </si>
  <si>
    <t>Trimestriel</t>
  </si>
  <si>
    <t>Vérifié par:</t>
  </si>
  <si>
    <t>Site:</t>
  </si>
  <si>
    <t>TUS initial ou périodique :</t>
  </si>
  <si>
    <t>Date d'émission du PV:</t>
  </si>
  <si>
    <t>Rédacteur:</t>
  </si>
  <si>
    <r>
      <rPr>
        <u/>
        <sz val="14"/>
        <color rgb="FF000000"/>
        <rFont val="Calibri"/>
        <family val="2"/>
        <scheme val="minor"/>
      </rPr>
      <t>1 - Objet</t>
    </r>
    <r>
      <rPr>
        <sz val="12"/>
        <color rgb="FF000000"/>
        <rFont val="Calibri"/>
        <family val="2"/>
        <scheme val="minor"/>
      </rPr>
      <t xml:space="preserve">
Ce rapport présente les résultats et les conclusions de l’essai du contrôle d’homogénéité thermique du four THERMIDOR N°4998.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3°C) de 80 à 200°C et Classe 2 (± 5°C) de 201 à 535°C
                                  - 1 zone de chauffe
                                  - Instrumentation type C, soit 1 thermocouple de régulation, 1 thermocouple point chaud + sécurité process et 1 thermocouple point froid. Ces 3 thermocouples sont enregistrés.
                                  - Traitement de pièces 
</t>
    </r>
  </si>
  <si>
    <t>Four ventilé</t>
  </si>
  <si>
    <t xml:space="preserve">3504 - EUROTHERM  </t>
  </si>
  <si>
    <t>THERMIDOR</t>
  </si>
  <si>
    <t>3208 - EUROTHERM</t>
  </si>
  <si>
    <t>FOUR THERMIDOR</t>
  </si>
  <si>
    <t>6100 - EUROTHERM</t>
  </si>
  <si>
    <t>PR 4998</t>
  </si>
  <si>
    <t>80°C à 535°C</t>
  </si>
  <si>
    <t>72KW</t>
  </si>
  <si>
    <t>Le four possède 3 thermocouples résidents qui sont enregistrés :</t>
  </si>
  <si>
    <t xml:space="preserve"> - 1 TC POINT FROID TYPE N </t>
  </si>
  <si>
    <t xml:space="preserve"> - 1 TC POINT CHAUD TYPE N </t>
  </si>
  <si>
    <t>Le thermocouple POINT CHAUD remplit également la fonction de thermocouple de sécurité.</t>
  </si>
  <si>
    <t>3-Désignation du matériel de vérification</t>
  </si>
  <si>
    <t xml:space="preserve">A- Thermocouples </t>
  </si>
  <si>
    <t xml:space="preserve">B- Enregistreur </t>
  </si>
  <si>
    <t>N</t>
  </si>
  <si>
    <t>Marque:</t>
  </si>
  <si>
    <t>Eurotherm</t>
  </si>
  <si>
    <t>Diamètre:</t>
  </si>
  <si>
    <t>1,5mm</t>
  </si>
  <si>
    <t>Modèle:</t>
  </si>
  <si>
    <t>Longueur :</t>
  </si>
  <si>
    <t>5000mm</t>
  </si>
  <si>
    <t>N°série:</t>
  </si>
  <si>
    <t>Nombre de thermocouples:</t>
  </si>
  <si>
    <t>N°de CC:</t>
  </si>
  <si>
    <t>sondes TUS</t>
  </si>
  <si>
    <t>Date d'étalonnage:</t>
  </si>
  <si>
    <t>N° de série:</t>
  </si>
  <si>
    <t>Périodicité (mois):</t>
  </si>
  <si>
    <t xml:space="preserve">Fin de validité d'étalonnage: </t>
  </si>
  <si>
    <t>Date de mise en service:</t>
  </si>
  <si>
    <t>Périodicité (mois)</t>
  </si>
  <si>
    <t>Fin de validité:</t>
  </si>
  <si>
    <t>Infomations complémentaires:</t>
  </si>
  <si>
    <t>4- Déroulement de la vérification</t>
  </si>
  <si>
    <t xml:space="preserve">L’enregistreur portable est programmé pour obtenir un enregistrement toutes les 10 secondes des 9 thermocouples de TUS. Les données de l’enregistreur portable ne sont pas corrigées. Les corrections (voie de l’enregistreur + thermocouple) sont appliquées à postériori. 
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
Les valeurs de l’enregistreur du four sont également transférées sur le réseau sous format .uhh puis jointes au même fichier Excel.
Les 9 capteurs de contrôle sont positionnés sur une structure sans charge représentant le volume utile du four à contrôler conformément au schéma de la page suivante.  
Démarrage de la cartographie à température ambiante, enfournage à chaud par le bas du four pour chaque palier de température.
Les fichiers informatiques des données créés par les enregistreurs sous format .uhh ne sont pas modifiables.
</t>
  </si>
  <si>
    <t>5-Implantation des thermocouples dans le four</t>
  </si>
  <si>
    <t>Emplacement</t>
  </si>
  <si>
    <t>N° Connecteur enregistreur</t>
  </si>
  <si>
    <t>N°Thermocouple</t>
  </si>
  <si>
    <t xml:space="preserve">Tolérance </t>
  </si>
  <si>
    <t>Sondes sur le four</t>
  </si>
  <si>
    <t>Offset</t>
  </si>
  <si>
    <t>Régulation</t>
  </si>
  <si>
    <t>Point chaud</t>
  </si>
  <si>
    <t>Heure de début</t>
  </si>
  <si>
    <t>Heure de fin</t>
  </si>
  <si>
    <t>Point froid</t>
  </si>
  <si>
    <t>A- Relevé de mesures de l'installation</t>
  </si>
  <si>
    <t xml:space="preserve">Thermocouple </t>
  </si>
  <si>
    <t>Mesure maximale</t>
  </si>
  <si>
    <t>Mesure Minimum</t>
  </si>
  <si>
    <t xml:space="preserve">Mesure d'équilibre </t>
  </si>
  <si>
    <t>TC Régulation</t>
  </si>
  <si>
    <t>TC Point Chaud</t>
  </si>
  <si>
    <t>TC Point Froid</t>
  </si>
  <si>
    <t>B- Relevés de mesures du matériel de vérification</t>
  </si>
  <si>
    <t xml:space="preserve">Valeur </t>
  </si>
  <si>
    <t>Thermocouple</t>
  </si>
  <si>
    <t>Température de traitement désiré</t>
  </si>
  <si>
    <t>Température maximale à la montée</t>
  </si>
  <si>
    <r>
      <t xml:space="preserve">Température maximale du point chaud 
</t>
    </r>
    <r>
      <rPr>
        <u/>
        <sz val="11"/>
        <color theme="1"/>
        <rFont val="Calibri"/>
        <family val="2"/>
        <scheme val="minor"/>
      </rPr>
      <t>en régime d'équilibre</t>
    </r>
  </si>
  <si>
    <r>
      <t xml:space="preserve">Température minimale du point froid
 </t>
    </r>
    <r>
      <rPr>
        <u/>
        <sz val="11"/>
        <color theme="1"/>
        <rFont val="Calibri"/>
        <family val="2"/>
        <scheme val="minor"/>
      </rPr>
      <t>en régime d'équilibre</t>
    </r>
    <r>
      <rPr>
        <sz val="11"/>
        <color theme="1"/>
        <rFont val="Calibri"/>
        <family val="2"/>
        <scheme val="minor"/>
      </rPr>
      <t xml:space="preserve"> </t>
    </r>
  </si>
  <si>
    <r>
      <t xml:space="preserve">Température moyenne
 </t>
    </r>
    <r>
      <rPr>
        <u/>
        <sz val="11"/>
        <color theme="1"/>
        <rFont val="Calibri"/>
        <family val="2"/>
        <scheme val="minor"/>
      </rPr>
      <t>en régime d'équilibre</t>
    </r>
    <r>
      <rPr>
        <sz val="11"/>
        <color theme="1"/>
        <rFont val="Calibri"/>
        <family val="2"/>
        <scheme val="minor"/>
      </rPr>
      <t xml:space="preserve"> </t>
    </r>
  </si>
  <si>
    <t>C- Relevés corrigés de chaque thermocouples de vérification</t>
  </si>
  <si>
    <t>Connecteur</t>
  </si>
  <si>
    <t xml:space="preserve">Régime d'équilibre </t>
  </si>
  <si>
    <t>Max (°C)</t>
  </si>
  <si>
    <t>Min (°C)</t>
  </si>
  <si>
    <t>Dépassement (°C)</t>
  </si>
  <si>
    <t>1</t>
  </si>
  <si>
    <t>2</t>
  </si>
  <si>
    <t>3</t>
  </si>
  <si>
    <t>4</t>
  </si>
  <si>
    <t>5</t>
  </si>
  <si>
    <t>6</t>
  </si>
  <si>
    <t>7</t>
  </si>
  <si>
    <t>8</t>
  </si>
  <si>
    <t>9</t>
  </si>
  <si>
    <t>D- Courbe</t>
  </si>
  <si>
    <t>E- Conclusion</t>
  </si>
  <si>
    <t>Vérification du dépassement</t>
  </si>
  <si>
    <t>Résultats de l'homogénéité</t>
  </si>
  <si>
    <t>Ecart entre température de consigne et température minimale sonde TUS (°C)</t>
  </si>
  <si>
    <t>Ecart entre température de consigne et température maximale sonde TUS (°C)</t>
  </si>
  <si>
    <t>Homogénéité globale constatée dans le volume utile (°C)</t>
  </si>
  <si>
    <t>Homogénéité requise pour le four de classe1 (°C)</t>
  </si>
  <si>
    <t>Résultat de l'homogénéité à 80°C</t>
  </si>
  <si>
    <t>Vérification des emplacements</t>
  </si>
  <si>
    <t>Condition 1</t>
  </si>
  <si>
    <t>Homogénéité constatée meilleure que la moitié de celle requise</t>
  </si>
  <si>
    <t>Condition 2</t>
  </si>
  <si>
    <t>Différence entre point chaud sonde TUS et point froid sonde four &lt; 1,1°C</t>
  </si>
  <si>
    <t>Différence entre point froid sonde TUS et point chaud sonde four &lt; 1,1°C</t>
  </si>
  <si>
    <t>Relocalisation requise (si aucune des conditions n'est vérifiée)</t>
  </si>
  <si>
    <t>Résultat de l'homogénéité à 200°C</t>
  </si>
  <si>
    <t>Résultat de l'homogénéité à 385°C</t>
  </si>
  <si>
    <t>Différence entre point chaud sonde TUS et point froid sonde four &lt; 1,7°C</t>
  </si>
  <si>
    <t>Différence entre point froid sonde TUS et point chaud sonde four &lt; 1,7°C</t>
  </si>
  <si>
    <t>Ecart entre température de consigne et température minimale sonde TUS</t>
  </si>
  <si>
    <t>Ecart entre température de consigne et température maximale sonde TUS</t>
  </si>
  <si>
    <t>Résultat de l'homogénéité à 535°C</t>
  </si>
  <si>
    <t>Point Froid</t>
  </si>
  <si>
    <t>Point Chaud</t>
  </si>
  <si>
    <t>7- Conclusion</t>
  </si>
  <si>
    <t xml:space="preserve">Température nominale de traitement </t>
  </si>
  <si>
    <t>Température de consigne (°C)</t>
  </si>
  <si>
    <t>Dépassement de la consigne durant la phase de montée ou de maintien en température (°C)</t>
  </si>
  <si>
    <t>Tolérances requises (±°C)</t>
  </si>
  <si>
    <t>Dépassement supérieur à la tolérance maximale</t>
  </si>
  <si>
    <t>Classe de l'installation (suivant AMS 2750)</t>
  </si>
  <si>
    <t>Homogénéité retenue (°C)</t>
  </si>
  <si>
    <t>Relocalisation à 80°C</t>
  </si>
  <si>
    <t>Relocalisation à 200°C</t>
  </si>
  <si>
    <t>Relocalisation à 385°C</t>
  </si>
  <si>
    <t>Relocalisation à 535°C</t>
  </si>
  <si>
    <t>Relocalisation requise</t>
  </si>
  <si>
    <t>Le four</t>
  </si>
  <si>
    <t>est déclaré</t>
  </si>
  <si>
    <t xml:space="preserve">aux tolérances requises de la norme </t>
  </si>
  <si>
    <t>AMS 2750</t>
  </si>
  <si>
    <t>A savoir:</t>
  </si>
  <si>
    <t xml:space="preserve">Classe 1 (+/-3°C) de 80°à 200°C </t>
  </si>
  <si>
    <t>Classe 2 (+/-5°C) de 201 à 535°C</t>
  </si>
  <si>
    <t>En cas de relocalisation point chaud / point froid, des TUS additionnelles doivent être réalisées pour vérifier le nouvel emplacement des points</t>
  </si>
  <si>
    <t>Si une modification d'offset est nécessaire pour atteindre une TUS conforme, une nouvelle TUS doit être faite pour valider l'offset</t>
  </si>
  <si>
    <t xml:space="preserve">Verifié le </t>
  </si>
  <si>
    <t>A vérifier le</t>
  </si>
  <si>
    <t>A RENSEIGNER</t>
  </si>
  <si>
    <t>A VERIFIER si besoin modifier</t>
  </si>
  <si>
    <t>Nom du document complet</t>
  </si>
  <si>
    <t>Exemple : IMP 472 ind X du 29-06-2023 (PV TUS INTERNE FOUR THERMIDOR)</t>
  </si>
  <si>
    <t xml:space="preserve">Site </t>
  </si>
  <si>
    <t>La Voulte sur Rhône</t>
  </si>
  <si>
    <t>Date du contrôle</t>
  </si>
  <si>
    <t>Controleur  - Technicien</t>
  </si>
  <si>
    <t xml:space="preserve">Rédacteur </t>
  </si>
  <si>
    <t>TUS initiale ou périodique</t>
  </si>
  <si>
    <t xml:space="preserve">MOYENS DE MESURE </t>
  </si>
  <si>
    <t>Dénomination</t>
  </si>
  <si>
    <t xml:space="preserve">N° de série </t>
  </si>
  <si>
    <t>Certificat de conformité</t>
  </si>
  <si>
    <t xml:space="preserve">Mise en service </t>
  </si>
  <si>
    <t>Si nouveau CC</t>
  </si>
  <si>
    <t>N°</t>
  </si>
  <si>
    <t>DATE</t>
  </si>
  <si>
    <t xml:space="preserve">renseigner les champs </t>
  </si>
  <si>
    <t xml:space="preserve">Eurotherm 6100 portable </t>
  </si>
  <si>
    <t>SONDES TUS</t>
  </si>
  <si>
    <t>Si modification des moyens de mesure ou de production</t>
  </si>
  <si>
    <t>Renseigner si 2 lots différents</t>
  </si>
  <si>
    <t xml:space="preserve"> s'adresser à la qualité</t>
  </si>
  <si>
    <t>TEMPERATURE PALIER (°C)</t>
  </si>
  <si>
    <t xml:space="preserve">OFFSET REGULATEUR </t>
  </si>
  <si>
    <t xml:space="preserve">OFFSET POINT CHAUD </t>
  </si>
  <si>
    <t xml:space="preserve">OFFSET POINT FROID </t>
  </si>
  <si>
    <t>TOLERANCE (± x°)</t>
  </si>
  <si>
    <t>HOMOGENEITE REQUISE</t>
  </si>
  <si>
    <t>Position des Thermocouples</t>
  </si>
  <si>
    <t>Corrections thermocouple selon CC en vigueur</t>
  </si>
  <si>
    <t>Emplacement des connecteurs et thermocouples (cf. schéma ci-dessous)</t>
  </si>
  <si>
    <t>N° connecteur appareil et implantation dans le four</t>
  </si>
  <si>
    <t xml:space="preserve">N° Thermocouple </t>
  </si>
  <si>
    <t>CC en vigueur</t>
  </si>
  <si>
    <t xml:space="preserve">Si nouveau CC </t>
  </si>
  <si>
    <t>renseigner les champs</t>
  </si>
  <si>
    <t>Mettre des virgules et non pas des points</t>
  </si>
  <si>
    <t>Connecteur de l'appareil</t>
  </si>
  <si>
    <t>Corrections Appareil selon CC en vigueur:</t>
  </si>
  <si>
    <t>MOYENS DE PRODUCTION</t>
  </si>
  <si>
    <t>SONDES SUR LE FOUR : THERMOCOUPLE TYPE N</t>
  </si>
  <si>
    <t>- REGULATION</t>
  </si>
  <si>
    <t>JO1854/1C</t>
  </si>
  <si>
    <t>27042-1C</t>
  </si>
  <si>
    <t>- POINT CHAUD</t>
  </si>
  <si>
    <t>CF26299-A-001</t>
  </si>
  <si>
    <t>22-1174-001</t>
  </si>
  <si>
    <t>- POINT FROID</t>
  </si>
  <si>
    <t>CF27160-A-001</t>
  </si>
  <si>
    <t>22V1783-001</t>
  </si>
  <si>
    <t>Informations complémentaires</t>
  </si>
  <si>
    <t>(Tus après maintenance, problème de sondes…)</t>
  </si>
  <si>
    <t>Onglet rempli automatiquement via la macro</t>
  </si>
  <si>
    <t>Pt Froid</t>
  </si>
  <si>
    <t>Regulation</t>
  </si>
  <si>
    <t>Pt Chaud</t>
  </si>
  <si>
    <t>Consigne T°</t>
  </si>
  <si>
    <t>Entete ressuage BCH</t>
  </si>
  <si>
    <t>Four Thermidor Efita</t>
  </si>
  <si>
    <t>5.13</t>
  </si>
  <si>
    <t>00:0A:8D:81:3F:CF</t>
  </si>
  <si>
    <t>% Puissance</t>
  </si>
  <si>
    <t>%</t>
  </si>
  <si>
    <t>Rapport d’homogénéité (T.U.S.) et SAT
Cabine de ressuage Beauchastel</t>
  </si>
  <si>
    <t>Nom du document :</t>
  </si>
  <si>
    <t xml:space="preserve">TUS </t>
  </si>
  <si>
    <t xml:space="preserve">
Ce rapport présente les résultats et les conclusions de l’essai du contrôle d’homogénéité thermique de la cabine de ressuage situé à BEAUCHASTEL
Pour la réalisation de cet essai, l’exploitation des enregistrements et l’interprétation des résultats, nous avons appliqué les recommandations des référentiels suivants :
AMS 2750</t>
  </si>
  <si>
    <t>Identification fabricant : AF002723-A</t>
  </si>
  <si>
    <t>Régulateur de température FUJI</t>
  </si>
  <si>
    <t>Dimensions intérieures de la cabine de ressuage (L*P*H) : 3,78m</t>
  </si>
  <si>
    <t>Volume intérieur : 2,52m</t>
  </si>
  <si>
    <t>Dimensions utiles de la cabine de ressuage (L*P*H) : 2,52</t>
  </si>
  <si>
    <t>Volume utile : 24m3</t>
  </si>
  <si>
    <t>La sonde du régulateur est située à l'entrée de la cabine de ressuage</t>
  </si>
  <si>
    <r>
      <t>La cabine de ressuage BEAUCHASTEL est déclarée</t>
    </r>
    <r>
      <rPr>
        <b/>
        <sz val="18"/>
        <color rgb="FF70AD47"/>
        <rFont val="Calibri"/>
        <family val="2"/>
        <scheme val="minor"/>
      </rPr>
      <t xml:space="preserve">
</t>
    </r>
    <r>
      <rPr>
        <b/>
        <sz val="18"/>
        <color rgb="FF000000"/>
        <rFont val="Calibri"/>
        <family val="2"/>
        <scheme val="minor"/>
      </rPr>
      <t xml:space="preserve"> aux tolérances requises, à savoir :</t>
    </r>
  </si>
  <si>
    <t>Consignes °C</t>
  </si>
  <si>
    <t>Tolérances +/- °C</t>
  </si>
  <si>
    <t>TUS</t>
  </si>
  <si>
    <r>
      <t xml:space="preserve">Le congélateur « maturation retardée » POLE FROID est déclaré </t>
    </r>
    <r>
      <rPr>
        <b/>
        <sz val="18"/>
        <color rgb="FF70AD47"/>
        <rFont val="Calibri"/>
        <family val="2"/>
        <scheme val="minor"/>
      </rPr>
      <t xml:space="preserve">
</t>
    </r>
    <r>
      <rPr>
        <b/>
        <sz val="18"/>
        <color rgb="FF000000"/>
        <rFont val="Calibri"/>
        <family val="2"/>
        <scheme val="minor"/>
      </rPr>
      <t xml:space="preserve"> aux tolérances requises, à savoir : 
</t>
    </r>
  </si>
  <si>
    <r>
      <t xml:space="preserve">Le Séchoir est déclaré </t>
    </r>
    <r>
      <rPr>
        <b/>
        <sz val="18"/>
        <color rgb="FF70AD47"/>
        <rFont val="Calibri"/>
        <family val="2"/>
        <scheme val="minor"/>
      </rPr>
      <t xml:space="preserve">
</t>
    </r>
    <r>
      <rPr>
        <b/>
        <sz val="18"/>
        <color rgb="FF000000"/>
        <rFont val="Calibri"/>
        <family val="2"/>
        <scheme val="minor"/>
      </rPr>
      <t xml:space="preserve"> aux tolérances requises, à savoir : </t>
    </r>
  </si>
  <si>
    <t>Nom de document :</t>
  </si>
  <si>
    <t>Décalage Enregistreur °C</t>
  </si>
  <si>
    <t>Décalage TC °C</t>
  </si>
  <si>
    <t>Tolérance haute °C</t>
  </si>
  <si>
    <t>Tolérance basse °C</t>
  </si>
  <si>
    <t>Rapport d’homogénéité (T.U.S.)
Étuve de polymérisation peinture ENATT</t>
  </si>
  <si>
    <t>Consigne °C</t>
  </si>
  <si>
    <t>Nom du Document :</t>
  </si>
  <si>
    <t xml:space="preserve">IMP 472 ind O du 07-02-2024 </t>
  </si>
  <si>
    <t>RAPPORT D'HOMOGENEITE (T.U.S.) étuve séchoir Beauchastel</t>
  </si>
  <si>
    <t>Marques :</t>
  </si>
  <si>
    <t>PR électronic</t>
  </si>
  <si>
    <t>Capacité :</t>
  </si>
  <si>
    <t>0-200°C</t>
  </si>
  <si>
    <t>Dispositif indicateur :</t>
  </si>
  <si>
    <t>Digital</t>
  </si>
  <si>
    <t>Résolution :</t>
  </si>
  <si>
    <t>0,1°C</t>
  </si>
  <si>
    <t>N°série</t>
  </si>
  <si>
    <t>0747/0709</t>
  </si>
  <si>
    <t>Température :</t>
  </si>
  <si>
    <t>20,1°C</t>
  </si>
  <si>
    <t>Le séchoir dispose d'une sonde de régulation</t>
  </si>
  <si>
    <t>Rapport d’homogénéité (T.U.S.)</t>
  </si>
  <si>
    <t xml:space="preserve">
Ce rapport présente les résultats et les conclusions de l’essai du contrôle d’homogénéité thermique de l'étuve Séchoir 
Pour la réalisation de cet essai, l’exploitation des enregistrements et l’interprétation des résultats, nous avons appliqué les recommandations des référentiels suivant :
PMAN08 : Maîtrise des équipements de mesures et de contrôle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</si>
</sst>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F400]h:mm:ss\ AM/PM"/>
    <numFmt numFmtId="165" formatCode="0.0"/>
    <numFmt numFmtId="166" formatCode="d/m/yy\ h:mm;@"/>
    <numFmt numFmtId="167" formatCode="yyyymmdd"/>
    <numFmt numFmtId="168" formatCode="dd/mm/yy;@"/>
  </numFmts>
  <fonts count="65" x14ac:knownFonts="1">
    <font>
      <sz val="11"/>
      <color theme="1"/>
      <name val="Calibri"/>
      <family val="2"/>
      <scheme val="minor"/>
    </font>
    <font>
      <sz val="11"/>
      <color theme="0"/>
      <name val="Calibri"/>
      <family val="2"/>
      <scheme val="minor"/>
    </font>
    <font>
      <sz val="35"/>
      <color rgb="FF000000"/>
      <name val="Calibri Light"/>
      <family val="2"/>
    </font>
    <font>
      <sz val="44"/>
      <color rgb="FF000000"/>
      <name val="Calibri Light"/>
      <family val="2"/>
    </font>
    <font>
      <sz val="10"/>
      <name val="Arial"/>
      <family val="2"/>
    </font>
    <font>
      <b/>
      <sz val="20"/>
      <color theme="1"/>
      <name val="Calibri"/>
      <family val="2"/>
      <scheme val="minor"/>
    </font>
    <font>
      <sz val="11"/>
      <color rgb="FF006100"/>
      <name val="Calibri"/>
      <family val="2"/>
      <scheme val="minor"/>
    </font>
    <font>
      <sz val="11"/>
      <color rgb="FF9C5700"/>
      <name val="Calibri"/>
      <family val="2"/>
      <scheme val="minor"/>
    </font>
    <font>
      <b/>
      <sz val="30"/>
      <color theme="1"/>
      <name val="Calibri"/>
      <family val="2"/>
      <scheme val="minor"/>
    </font>
    <font>
      <sz val="12"/>
      <name val="Calibri"/>
      <family val="2"/>
      <scheme val="minor"/>
    </font>
    <font>
      <sz val="22"/>
      <name val="Calibri"/>
      <family val="2"/>
      <scheme val="minor"/>
    </font>
    <font>
      <b/>
      <u/>
      <sz val="12"/>
      <name val="Calibri"/>
      <family val="2"/>
      <scheme val="minor"/>
    </font>
    <font>
      <b/>
      <sz val="12"/>
      <name val="Calibri"/>
      <family val="2"/>
    </font>
    <font>
      <b/>
      <sz val="12"/>
      <name val="Calibri"/>
      <family val="2"/>
      <scheme val="minor"/>
    </font>
    <font>
      <sz val="12"/>
      <name val="Calibri"/>
      <family val="2"/>
    </font>
    <font>
      <sz val="14"/>
      <color rgb="FF006100"/>
      <name val="Calibri"/>
      <family val="2"/>
      <scheme val="minor"/>
    </font>
    <font>
      <sz val="14"/>
      <color rgb="FF9C6500"/>
      <name val="Calibri"/>
      <family val="2"/>
      <scheme val="minor"/>
    </font>
    <font>
      <b/>
      <u/>
      <sz val="20"/>
      <color theme="1"/>
      <name val="Calibri"/>
      <family val="2"/>
      <scheme val="minor"/>
    </font>
    <font>
      <sz val="16"/>
      <color theme="1"/>
      <name val="Calibri"/>
      <family val="2"/>
      <scheme val="minor"/>
    </font>
    <font>
      <b/>
      <i/>
      <sz val="16"/>
      <color theme="1"/>
      <name val="Calibri"/>
      <family val="2"/>
      <scheme val="minor"/>
    </font>
    <font>
      <sz val="12"/>
      <color rgb="FF000000"/>
      <name val="Calibri"/>
      <family val="2"/>
      <scheme val="minor"/>
    </font>
    <font>
      <i/>
      <sz val="12"/>
      <color theme="1"/>
      <name val="Calibri"/>
      <family val="2"/>
      <scheme val="minor"/>
    </font>
    <font>
      <sz val="12"/>
      <color theme="1"/>
      <name val="Calibri"/>
      <family val="2"/>
      <scheme val="minor"/>
    </font>
    <font>
      <i/>
      <sz val="11"/>
      <color theme="1"/>
      <name val="Calibri"/>
      <family val="2"/>
      <scheme val="minor"/>
    </font>
    <font>
      <sz val="28"/>
      <color rgb="FF000000"/>
      <name val="Calibri Light"/>
      <family val="2"/>
    </font>
    <font>
      <sz val="28"/>
      <color rgb="FF000000"/>
      <name val="Calibri"/>
      <family val="2"/>
      <scheme val="minor"/>
    </font>
    <font>
      <u/>
      <sz val="13"/>
      <color theme="1"/>
      <name val="Calibri"/>
      <family val="2"/>
      <scheme val="minor"/>
    </font>
    <font>
      <sz val="18"/>
      <color rgb="FF000000"/>
      <name val="Calibri"/>
      <family val="2"/>
      <scheme val="minor"/>
    </font>
    <font>
      <sz val="16"/>
      <color rgb="FF000000"/>
      <name val="Calibri"/>
      <family val="2"/>
      <scheme val="minor"/>
    </font>
    <font>
      <vertAlign val="superscript"/>
      <sz val="16"/>
      <color rgb="FF000000"/>
      <name val="Calibri"/>
      <family val="2"/>
      <scheme val="minor"/>
    </font>
    <font>
      <sz val="20"/>
      <color rgb="FF000000"/>
      <name val="Calibri"/>
      <family val="2"/>
      <scheme val="minor"/>
    </font>
    <font>
      <sz val="13"/>
      <color theme="1"/>
      <name val="Calibri"/>
      <family val="2"/>
      <scheme val="minor"/>
    </font>
    <font>
      <sz val="16"/>
      <color rgb="FF7F7F7F"/>
      <name val="Calibri"/>
      <family val="2"/>
      <scheme val="minor"/>
    </font>
    <font>
      <sz val="15"/>
      <color theme="1"/>
      <name val="Calibri"/>
      <family val="2"/>
      <scheme val="minor"/>
    </font>
    <font>
      <sz val="15"/>
      <color rgb="FF000000"/>
      <name val="Calibri"/>
      <family val="2"/>
      <scheme val="minor"/>
    </font>
    <font>
      <b/>
      <sz val="18"/>
      <color rgb="FF000000"/>
      <name val="Calibri"/>
      <family val="2"/>
      <scheme val="minor"/>
    </font>
    <font>
      <b/>
      <sz val="18"/>
      <color rgb="FF70AD47"/>
      <name val="Calibri"/>
      <family val="2"/>
      <scheme val="minor"/>
    </font>
    <font>
      <b/>
      <sz val="11"/>
      <color theme="1"/>
      <name val="Calibri"/>
      <family val="2"/>
      <scheme val="minor"/>
    </font>
    <font>
      <sz val="8"/>
      <name val="Calibri"/>
      <family val="2"/>
      <scheme val="minor"/>
    </font>
    <font>
      <u/>
      <sz val="14"/>
      <color rgb="FF000000"/>
      <name val="Calibri"/>
      <family val="2"/>
      <scheme val="minor"/>
    </font>
    <font>
      <sz val="14"/>
      <color rgb="FF000000"/>
      <name val="Calibri"/>
      <family val="2"/>
      <scheme val="minor"/>
    </font>
    <font>
      <sz val="10"/>
      <color theme="1"/>
      <name val="Calibri"/>
      <family val="2"/>
      <scheme val="minor"/>
    </font>
    <font>
      <sz val="11"/>
      <name val="Calibri"/>
      <family val="2"/>
      <scheme val="minor"/>
    </font>
    <font>
      <sz val="11"/>
      <color rgb="FF000000"/>
      <name val="Calibri"/>
      <family val="2"/>
      <scheme val="minor"/>
    </font>
    <font>
      <sz val="11"/>
      <color theme="0" tint="-0.499984740745262"/>
      <name val="Calibri"/>
      <family val="2"/>
      <scheme val="minor"/>
    </font>
    <font>
      <b/>
      <sz val="11"/>
      <color indexed="8"/>
      <name val="Calibri"/>
      <family val="2"/>
      <scheme val="minor"/>
    </font>
    <font>
      <sz val="11"/>
      <color indexed="8"/>
      <name val="Calibri"/>
      <family val="2"/>
      <scheme val="minor"/>
    </font>
    <font>
      <b/>
      <sz val="18"/>
      <color indexed="8"/>
      <name val="Calibri"/>
      <family val="2"/>
      <scheme val="minor"/>
    </font>
    <font>
      <b/>
      <sz val="18"/>
      <color theme="1"/>
      <name val="Calibri"/>
      <family val="2"/>
      <scheme val="minor"/>
    </font>
    <font>
      <u/>
      <sz val="14"/>
      <color theme="1"/>
      <name val="Calibri"/>
      <family val="2"/>
      <scheme val="minor"/>
    </font>
    <font>
      <sz val="14"/>
      <color theme="1"/>
      <name val="Calibri"/>
      <family val="2"/>
      <scheme val="minor"/>
    </font>
    <font>
      <i/>
      <sz val="11"/>
      <color rgb="FF000000"/>
      <name val="Calibri"/>
      <family val="2"/>
      <scheme val="minor"/>
    </font>
    <font>
      <u/>
      <sz val="11"/>
      <color theme="1"/>
      <name val="Calibri"/>
      <family val="2"/>
      <scheme val="minor"/>
    </font>
    <font>
      <b/>
      <sz val="14"/>
      <color theme="1"/>
      <name val="Calibri"/>
      <family val="2"/>
      <scheme val="minor"/>
    </font>
    <font>
      <sz val="36"/>
      <color theme="1"/>
      <name val="Calibri"/>
      <family val="2"/>
      <scheme val="minor"/>
    </font>
    <font>
      <b/>
      <i/>
      <sz val="14"/>
      <color theme="1"/>
      <name val="Calibri"/>
      <family val="2"/>
      <scheme val="minor"/>
    </font>
    <font>
      <b/>
      <i/>
      <sz val="14"/>
      <name val="Calibri"/>
      <family val="2"/>
      <scheme val="minor"/>
    </font>
    <font>
      <b/>
      <sz val="16"/>
      <name val="Arial"/>
      <family val="2"/>
    </font>
    <font>
      <i/>
      <sz val="11"/>
      <color theme="0" tint="-0.249977111117893"/>
      <name val="Calibri"/>
      <family val="2"/>
      <scheme val="minor"/>
    </font>
    <font>
      <b/>
      <sz val="10"/>
      <name val="arial"/>
      <family val="2"/>
    </font>
    <font>
      <b/>
      <sz val="10"/>
      <name val="Calibri"/>
      <family val="2"/>
      <scheme val="minor"/>
    </font>
    <font>
      <sz val="10"/>
      <name val="Calibri"/>
      <family val="2"/>
      <scheme val="minor"/>
    </font>
    <font>
      <b/>
      <sz val="12"/>
      <color rgb="FFFF0000"/>
      <name val="Calibri"/>
      <family val="2"/>
      <scheme val="minor"/>
    </font>
    <font>
      <sz val="11"/>
      <color rgb="FF000000"/>
      <name val="Calibri"/>
      <family val="2"/>
    </font>
    <font>
      <sz val="14"/>
      <color rgb="FF000000"/>
      <name val="Calibri"/>
      <family val="2"/>
    </font>
  </fonts>
  <fills count="25">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C6EFCE"/>
      </patternFill>
    </fill>
    <fill>
      <patternFill patternType="solid">
        <fgColor rgb="FFFFEB9C"/>
      </patternFill>
    </fill>
    <fill>
      <patternFill patternType="solid">
        <fgColor rgb="FFFFFF00"/>
        <bgColor indexed="64"/>
      </patternFill>
    </fill>
    <fill>
      <patternFill patternType="solid">
        <fgColor rgb="FFDAEEF3"/>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0.34998626667073579"/>
        <bgColor indexed="64"/>
      </patternFill>
    </fill>
    <fill>
      <patternFill patternType="solid">
        <fgColor theme="4"/>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rgb="FFFF0000"/>
        <bgColor indexed="64"/>
      </patternFill>
    </fill>
    <fill>
      <patternFill patternType="lightUp">
        <bgColor theme="9" tint="0.79995117038483843"/>
      </patternFill>
    </fill>
    <fill>
      <patternFill patternType="solid">
        <fgColor rgb="FFFFFFFF"/>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indexed="64"/>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ck">
        <color indexed="64"/>
      </top>
      <bottom/>
      <diagonal/>
    </border>
    <border>
      <left style="thick">
        <color indexed="64"/>
      </left>
      <right style="medium">
        <color indexed="64"/>
      </right>
      <top style="medium">
        <color indexed="64"/>
      </top>
      <bottom style="medium">
        <color indexed="64"/>
      </bottom>
      <diagonal/>
    </border>
    <border>
      <left style="thin">
        <color indexed="64"/>
      </left>
      <right style="thick">
        <color indexed="64"/>
      </right>
      <top style="thick">
        <color indexed="64"/>
      </top>
      <bottom style="thick">
        <color indexed="64"/>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hair">
        <color auto="1"/>
      </left>
      <right style="thin">
        <color auto="1"/>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bottom/>
      <diagonal/>
    </border>
    <border>
      <left style="hair">
        <color auto="1"/>
      </left>
      <right style="hair">
        <color auto="1"/>
      </right>
      <top style="thin">
        <color auto="1"/>
      </top>
      <bottom style="thin">
        <color auto="1"/>
      </bottom>
      <diagonal/>
    </border>
    <border>
      <left style="thin">
        <color indexed="64"/>
      </left>
      <right/>
      <top style="thin">
        <color indexed="64"/>
      </top>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s>
  <cellStyleXfs count="3">
    <xf numFmtId="0" fontId="0" fillId="0" borderId="0"/>
    <xf numFmtId="0" fontId="6" fillId="8" borderId="0" applyNumberFormat="0" applyBorder="0" applyAlignment="0" applyProtection="0"/>
    <xf numFmtId="0" fontId="7" fillId="9" borderId="0" applyNumberFormat="0" applyBorder="0" applyAlignment="0" applyProtection="0"/>
  </cellStyleXfs>
  <cellXfs count="504">
    <xf numFmtId="0" fontId="0" fillId="0" borderId="0" xfId="0"/>
    <xf numFmtId="0" fontId="0" fillId="0" borderId="0" xfId="0" applyAlignment="1">
      <alignment horizontal="center" vertical="center"/>
    </xf>
    <xf numFmtId="0" fontId="3" fillId="0" borderId="0" xfId="0" applyFont="1" applyAlignment="1">
      <alignment horizontal="center" vertical="center"/>
    </xf>
    <xf numFmtId="0" fontId="0" fillId="2" borderId="1" xfId="0" applyFill="1" applyBorder="1" applyAlignment="1">
      <alignment horizontal="center" vertical="center"/>
    </xf>
    <xf numFmtId="14" fontId="0" fillId="4" borderId="1" xfId="0" applyNumberFormat="1" applyFill="1" applyBorder="1" applyAlignment="1" applyProtection="1">
      <alignment horizontal="center" vertical="center"/>
      <protection locked="0"/>
    </xf>
    <xf numFmtId="0" fontId="1" fillId="0" borderId="0" xfId="0" applyFont="1" applyAlignment="1">
      <alignment horizontal="center" vertical="center"/>
    </xf>
    <xf numFmtId="164" fontId="0" fillId="4" borderId="1" xfId="0" applyNumberFormat="1" applyFill="1" applyBorder="1" applyAlignment="1" applyProtection="1">
      <alignment horizontal="center" vertical="center"/>
      <protection locked="0"/>
    </xf>
    <xf numFmtId="0" fontId="4" fillId="4" borderId="1" xfId="0" applyFont="1" applyFill="1" applyBorder="1" applyAlignment="1" applyProtection="1">
      <alignment horizontal="center" vertical="center"/>
      <protection locked="0"/>
    </xf>
    <xf numFmtId="49" fontId="0" fillId="4" borderId="1" xfId="0" applyNumberFormat="1" applyFill="1" applyBorder="1" applyAlignment="1" applyProtection="1">
      <alignment horizontal="center" vertical="center"/>
      <protection locked="0"/>
    </xf>
    <xf numFmtId="0" fontId="0" fillId="4" borderId="1" xfId="0" applyFill="1" applyBorder="1" applyAlignment="1">
      <alignment horizontal="center" vertical="center"/>
    </xf>
    <xf numFmtId="0" fontId="0" fillId="4"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protection locked="0"/>
    </xf>
    <xf numFmtId="0" fontId="0" fillId="5" borderId="4" xfId="0" applyFill="1" applyBorder="1" applyAlignment="1">
      <alignment horizontal="center" vertical="center"/>
    </xf>
    <xf numFmtId="0" fontId="0" fillId="5" borderId="5" xfId="0" applyFill="1" applyBorder="1" applyAlignment="1">
      <alignment horizontal="center" vertical="center"/>
    </xf>
    <xf numFmtId="0" fontId="0" fillId="5" borderId="6" xfId="0" applyFill="1" applyBorder="1" applyAlignment="1">
      <alignment horizontal="center" vertical="center"/>
    </xf>
    <xf numFmtId="0" fontId="0" fillId="5" borderId="7" xfId="0" applyFill="1" applyBorder="1" applyAlignment="1">
      <alignment horizontal="center" vertical="center"/>
    </xf>
    <xf numFmtId="1" fontId="0" fillId="6" borderId="1" xfId="0" applyNumberFormat="1" applyFill="1" applyBorder="1" applyAlignment="1" applyProtection="1">
      <alignment horizontal="center" vertical="center"/>
      <protection locked="0"/>
    </xf>
    <xf numFmtId="1" fontId="0" fillId="4" borderId="8" xfId="0" applyNumberFormat="1" applyFill="1" applyBorder="1" applyAlignment="1" applyProtection="1">
      <alignment horizontal="center" vertical="center"/>
      <protection locked="0"/>
    </xf>
    <xf numFmtId="2" fontId="0" fillId="4" borderId="8" xfId="0" applyNumberFormat="1" applyFill="1" applyBorder="1" applyAlignment="1" applyProtection="1">
      <alignment horizontal="center" vertical="center"/>
      <protection locked="0"/>
    </xf>
    <xf numFmtId="0" fontId="0" fillId="5" borderId="9" xfId="0" applyFill="1" applyBorder="1" applyAlignment="1">
      <alignment horizontal="center" vertical="center"/>
    </xf>
    <xf numFmtId="0" fontId="0" fillId="2" borderId="1" xfId="0" applyFill="1" applyBorder="1" applyAlignment="1">
      <alignment horizontal="center" vertical="center" wrapText="1"/>
    </xf>
    <xf numFmtId="0" fontId="0" fillId="7" borderId="1" xfId="0" applyFill="1" applyBorder="1" applyAlignment="1">
      <alignment horizontal="center" vertical="center" wrapText="1"/>
    </xf>
    <xf numFmtId="0" fontId="0" fillId="7" borderId="1" xfId="0" applyFill="1" applyBorder="1" applyAlignment="1">
      <alignment horizontal="center" vertical="center"/>
    </xf>
    <xf numFmtId="22" fontId="0" fillId="0" borderId="0" xfId="0" applyNumberFormat="1"/>
    <xf numFmtId="0" fontId="1" fillId="0" borderId="0" xfId="0" applyFont="1"/>
    <xf numFmtId="0" fontId="0" fillId="5" borderId="5" xfId="0" applyFill="1" applyBorder="1" applyAlignment="1">
      <alignment horizontal="center" vertical="center" wrapText="1"/>
    </xf>
    <xf numFmtId="0" fontId="0" fillId="5" borderId="6" xfId="0" applyFill="1" applyBorder="1" applyAlignment="1">
      <alignment horizontal="center" vertical="center" wrapText="1"/>
    </xf>
    <xf numFmtId="0" fontId="0" fillId="0" borderId="0" xfId="0" applyAlignment="1">
      <alignment horizontal="center"/>
    </xf>
    <xf numFmtId="0" fontId="0" fillId="0" borderId="15" xfId="0" applyBorder="1"/>
    <xf numFmtId="0" fontId="0" fillId="0" borderId="16" xfId="0" applyBorder="1"/>
    <xf numFmtId="0" fontId="0" fillId="0" borderId="12" xfId="0" applyBorder="1"/>
    <xf numFmtId="0" fontId="0" fillId="0" borderId="17" xfId="0" applyBorder="1"/>
    <xf numFmtId="0" fontId="0" fillId="0" borderId="13" xfId="0" applyBorder="1"/>
    <xf numFmtId="14" fontId="0" fillId="0" borderId="0" xfId="0" applyNumberFormat="1" applyAlignment="1">
      <alignment horizontal="center"/>
    </xf>
    <xf numFmtId="22" fontId="0" fillId="7" borderId="1" xfId="0" applyNumberFormat="1" applyFill="1" applyBorder="1" applyAlignment="1">
      <alignment horizontal="center"/>
    </xf>
    <xf numFmtId="0" fontId="0" fillId="0" borderId="1" xfId="0" applyBorder="1" applyAlignment="1">
      <alignment horizontal="center"/>
    </xf>
    <xf numFmtId="0" fontId="0" fillId="7" borderId="1" xfId="0" applyFill="1" applyBorder="1" applyAlignment="1">
      <alignment horizontal="center"/>
    </xf>
    <xf numFmtId="14" fontId="0" fillId="3" borderId="1" xfId="0" applyNumberFormat="1" applyFill="1" applyBorder="1" applyAlignment="1">
      <alignment horizontal="center"/>
    </xf>
    <xf numFmtId="0" fontId="0" fillId="3" borderId="1" xfId="0" applyFill="1" applyBorder="1" applyAlignment="1">
      <alignment horizontal="center"/>
    </xf>
    <xf numFmtId="14" fontId="0" fillId="11" borderId="1" xfId="0" applyNumberFormat="1" applyFill="1" applyBorder="1" applyAlignment="1">
      <alignment horizontal="center"/>
    </xf>
    <xf numFmtId="0" fontId="0" fillId="11" borderId="1" xfId="0" applyFill="1" applyBorder="1" applyAlignment="1">
      <alignment horizontal="center"/>
    </xf>
    <xf numFmtId="0" fontId="0" fillId="7" borderId="18" xfId="0" applyFill="1" applyBorder="1" applyAlignment="1">
      <alignment horizontal="center"/>
    </xf>
    <xf numFmtId="0" fontId="0" fillId="7" borderId="2" xfId="0" applyFill="1" applyBorder="1" applyAlignment="1">
      <alignment horizontal="center"/>
    </xf>
    <xf numFmtId="2" fontId="0" fillId="0" borderId="1" xfId="0" applyNumberFormat="1" applyBorder="1" applyAlignment="1">
      <alignment horizontal="center"/>
    </xf>
    <xf numFmtId="2" fontId="0" fillId="0" borderId="0" xfId="0" applyNumberFormat="1" applyAlignment="1">
      <alignment horizontal="center"/>
    </xf>
    <xf numFmtId="2" fontId="0" fillId="0" borderId="18" xfId="0" applyNumberFormat="1" applyBorder="1" applyAlignment="1">
      <alignment horizontal="center"/>
    </xf>
    <xf numFmtId="2" fontId="0" fillId="0" borderId="8" xfId="0" applyNumberFormat="1" applyBorder="1" applyAlignment="1">
      <alignment horizontal="center"/>
    </xf>
    <xf numFmtId="1" fontId="0" fillId="0" borderId="0" xfId="0" applyNumberFormat="1" applyAlignment="1">
      <alignment horizontal="center"/>
    </xf>
    <xf numFmtId="1" fontId="0" fillId="0" borderId="1" xfId="0" applyNumberFormat="1" applyBorder="1" applyAlignment="1">
      <alignment horizontal="center"/>
    </xf>
    <xf numFmtId="0" fontId="9" fillId="0" borderId="0" xfId="0" applyFont="1" applyAlignment="1">
      <alignment horizontal="center" vertical="center"/>
    </xf>
    <xf numFmtId="0" fontId="10" fillId="0" borderId="0" xfId="0" applyFont="1" applyAlignment="1">
      <alignment vertical="center"/>
    </xf>
    <xf numFmtId="0" fontId="9" fillId="0" borderId="0" xfId="0" applyFont="1" applyAlignment="1">
      <alignment vertical="center"/>
    </xf>
    <xf numFmtId="0" fontId="9" fillId="0" borderId="0" xfId="0" applyFont="1" applyAlignment="1">
      <alignment horizontal="left" vertical="center"/>
    </xf>
    <xf numFmtId="0" fontId="9" fillId="0" borderId="20" xfId="0" applyFont="1" applyBorder="1" applyAlignment="1">
      <alignment horizontal="center" vertical="center"/>
    </xf>
    <xf numFmtId="0" fontId="9" fillId="0" borderId="21" xfId="0" applyFont="1" applyBorder="1" applyAlignment="1">
      <alignment horizontal="center" vertical="center"/>
    </xf>
    <xf numFmtId="0" fontId="9" fillId="7" borderId="21" xfId="0" applyFont="1" applyFill="1" applyBorder="1" applyAlignment="1">
      <alignment horizontal="center" vertical="center"/>
    </xf>
    <xf numFmtId="0" fontId="9" fillId="7" borderId="20" xfId="0" applyFont="1" applyFill="1" applyBorder="1" applyAlignment="1">
      <alignment horizontal="center" vertical="center"/>
    </xf>
    <xf numFmtId="2" fontId="9" fillId="7" borderId="21" xfId="0" applyNumberFormat="1" applyFont="1" applyFill="1" applyBorder="1" applyAlignment="1">
      <alignment horizontal="center" vertical="center"/>
    </xf>
    <xf numFmtId="2" fontId="9" fillId="0" borderId="0" xfId="0" applyNumberFormat="1" applyFont="1" applyAlignment="1">
      <alignment horizontal="center" vertical="center"/>
    </xf>
    <xf numFmtId="0" fontId="9" fillId="0" borderId="22" xfId="0" applyFont="1" applyBorder="1" applyAlignment="1">
      <alignment horizontal="center" vertical="center"/>
    </xf>
    <xf numFmtId="0" fontId="9" fillId="7" borderId="23" xfId="0" applyFont="1" applyFill="1" applyBorder="1" applyAlignment="1">
      <alignment horizontal="center" vertical="center"/>
    </xf>
    <xf numFmtId="0" fontId="9" fillId="0" borderId="24" xfId="0" applyFont="1" applyBorder="1" applyAlignment="1">
      <alignment horizontal="center" vertical="center"/>
    </xf>
    <xf numFmtId="2" fontId="9" fillId="0" borderId="25" xfId="0" applyNumberFormat="1" applyFont="1" applyBorder="1" applyAlignment="1">
      <alignment horizontal="center" vertical="center"/>
    </xf>
    <xf numFmtId="0" fontId="13" fillId="0" borderId="0" xfId="0" applyFont="1" applyAlignment="1">
      <alignment horizontal="center" vertical="center"/>
    </xf>
    <xf numFmtId="165" fontId="9" fillId="7" borderId="21" xfId="0" applyNumberFormat="1" applyFont="1" applyFill="1" applyBorder="1" applyAlignment="1">
      <alignment horizontal="center" vertical="center"/>
    </xf>
    <xf numFmtId="0" fontId="9" fillId="0" borderId="27" xfId="0" applyFont="1" applyBorder="1" applyAlignment="1">
      <alignment vertical="center"/>
    </xf>
    <xf numFmtId="0" fontId="9" fillId="0" borderId="31" xfId="0" applyFont="1" applyBorder="1" applyAlignment="1">
      <alignment horizontal="center" vertical="center" wrapText="1"/>
    </xf>
    <xf numFmtId="0" fontId="13" fillId="0" borderId="0" xfId="0" applyFont="1" applyAlignment="1">
      <alignment horizontal="center" vertical="center" wrapText="1"/>
    </xf>
    <xf numFmtId="0" fontId="9" fillId="0" borderId="32" xfId="0" applyFont="1" applyBorder="1" applyAlignment="1">
      <alignment horizontal="center" vertical="center" wrapText="1"/>
    </xf>
    <xf numFmtId="0" fontId="9"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9" fillId="0" borderId="2" xfId="0" applyFont="1" applyBorder="1" applyAlignment="1">
      <alignment horizontal="center" vertical="center" wrapText="1"/>
    </xf>
    <xf numFmtId="0" fontId="12" fillId="0" borderId="1" xfId="0" applyFont="1" applyBorder="1" applyAlignment="1">
      <alignment horizontal="center" vertical="center" wrapText="1"/>
    </xf>
    <xf numFmtId="0" fontId="13" fillId="0" borderId="2" xfId="0" applyFont="1" applyBorder="1" applyAlignment="1">
      <alignment horizontal="center" vertical="center" wrapText="1"/>
    </xf>
    <xf numFmtId="0" fontId="13" fillId="0" borderId="0" xfId="0" applyFont="1" applyAlignment="1">
      <alignment horizontal="left" vertical="center" wrapText="1"/>
    </xf>
    <xf numFmtId="22" fontId="9" fillId="0" borderId="33" xfId="0" applyNumberFormat="1" applyFont="1" applyBorder="1" applyAlignment="1">
      <alignment horizontal="center" vertical="center"/>
    </xf>
    <xf numFmtId="0" fontId="9" fillId="0" borderId="34" xfId="0" applyFont="1" applyBorder="1" applyAlignment="1">
      <alignment horizontal="center" vertical="center"/>
    </xf>
    <xf numFmtId="2" fontId="9" fillId="0" borderId="34" xfId="0" quotePrefix="1" applyNumberFormat="1" applyFont="1" applyBorder="1" applyAlignment="1">
      <alignment horizontal="center" vertical="center"/>
    </xf>
    <xf numFmtId="165" fontId="9" fillId="0" borderId="35"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15" fillId="0" borderId="34" xfId="1" applyFont="1" applyFill="1" applyBorder="1" applyAlignment="1">
      <alignment horizontal="center" vertical="center"/>
    </xf>
    <xf numFmtId="2" fontId="9" fillId="0" borderId="34" xfId="0" applyNumberFormat="1" applyFont="1" applyBorder="1" applyAlignment="1">
      <alignment horizontal="center" vertical="center"/>
    </xf>
    <xf numFmtId="0" fontId="16" fillId="9" borderId="36" xfId="2" applyFont="1" applyBorder="1" applyAlignment="1">
      <alignment horizontal="right" vertical="center"/>
    </xf>
    <xf numFmtId="14" fontId="16" fillId="9" borderId="25" xfId="2" applyNumberFormat="1" applyFont="1" applyBorder="1" applyAlignment="1">
      <alignment horizontal="center" vertical="center"/>
    </xf>
    <xf numFmtId="0" fontId="9" fillId="0" borderId="0" xfId="0" applyFont="1" applyAlignment="1">
      <alignment vertical="top"/>
    </xf>
    <xf numFmtId="0" fontId="16" fillId="9" borderId="37" xfId="2" applyFont="1" applyBorder="1" applyAlignment="1">
      <alignment horizontal="right" vertical="center"/>
    </xf>
    <xf numFmtId="14" fontId="16" fillId="9" borderId="38" xfId="2" applyNumberFormat="1" applyFont="1" applyBorder="1" applyAlignment="1">
      <alignment horizontal="center" vertical="center"/>
    </xf>
    <xf numFmtId="0" fontId="17" fillId="0" borderId="0" xfId="0" applyFont="1" applyAlignment="1">
      <alignment vertical="center"/>
    </xf>
    <xf numFmtId="0" fontId="0" fillId="0" borderId="0" xfId="0" applyAlignment="1">
      <alignment vertical="center"/>
    </xf>
    <xf numFmtId="0" fontId="18" fillId="0" borderId="0" xfId="0" applyFont="1" applyAlignment="1">
      <alignment horizontal="center" vertical="center"/>
    </xf>
    <xf numFmtId="0" fontId="19" fillId="0" borderId="0" xfId="0" applyFont="1" applyAlignment="1">
      <alignment horizontal="center" vertical="center"/>
    </xf>
    <xf numFmtId="0" fontId="0" fillId="0" borderId="1" xfId="0" applyBorder="1"/>
    <xf numFmtId="14" fontId="0" fillId="4" borderId="1" xfId="0" applyNumberFormat="1" applyFill="1" applyBorder="1"/>
    <xf numFmtId="0" fontId="20" fillId="0" borderId="1" xfId="0" applyFont="1" applyBorder="1"/>
    <xf numFmtId="164" fontId="21" fillId="4" borderId="1" xfId="0" applyNumberFormat="1" applyFont="1" applyFill="1" applyBorder="1" applyAlignment="1">
      <alignment horizontal="center" vertical="center"/>
    </xf>
    <xf numFmtId="0" fontId="22" fillId="0" borderId="1" xfId="0" applyFont="1" applyBorder="1" applyAlignment="1">
      <alignment horizontal="left" vertical="center"/>
    </xf>
    <xf numFmtId="0" fontId="22" fillId="0" borderId="0" xfId="0" applyFont="1"/>
    <xf numFmtId="0" fontId="21" fillId="0" borderId="0" xfId="0" applyFont="1" applyAlignment="1">
      <alignment horizontal="center" vertical="center"/>
    </xf>
    <xf numFmtId="0" fontId="23" fillId="0" borderId="0" xfId="0" applyFont="1" applyAlignment="1">
      <alignment horizontal="center" vertical="center"/>
    </xf>
    <xf numFmtId="0" fontId="22" fillId="0" borderId="1" xfId="0" applyFont="1" applyBorder="1"/>
    <xf numFmtId="14" fontId="21" fillId="4" borderId="1" xfId="0" applyNumberFormat="1" applyFont="1" applyFill="1" applyBorder="1" applyAlignment="1">
      <alignment horizontal="center" vertical="center"/>
    </xf>
    <xf numFmtId="0" fontId="0" fillId="4" borderId="1" xfId="0" applyFill="1" applyBorder="1"/>
    <xf numFmtId="0" fontId="21" fillId="4" borderId="1" xfId="0" applyFont="1" applyFill="1" applyBorder="1" applyAlignment="1">
      <alignment horizontal="center" vertical="center"/>
    </xf>
    <xf numFmtId="0" fontId="25" fillId="0" borderId="0" xfId="0" applyFont="1" applyAlignment="1">
      <alignment horizontal="center" vertical="center" readingOrder="1"/>
    </xf>
    <xf numFmtId="0" fontId="26" fillId="0" borderId="0" xfId="0" applyFont="1" applyAlignment="1">
      <alignment horizontal="center" vertical="center"/>
    </xf>
    <xf numFmtId="0" fontId="27" fillId="0" borderId="0" xfId="0" applyFont="1" applyAlignment="1">
      <alignment horizontal="left" vertical="center" readingOrder="1"/>
    </xf>
    <xf numFmtId="0" fontId="28" fillId="0" borderId="0" xfId="0" applyFont="1" applyAlignment="1">
      <alignment horizontal="left" vertical="center" readingOrder="1"/>
    </xf>
    <xf numFmtId="0" fontId="0" fillId="0" borderId="0" xfId="0" applyAlignment="1">
      <alignment horizontal="left"/>
    </xf>
    <xf numFmtId="0" fontId="30" fillId="0" borderId="0" xfId="0" applyFont="1" applyAlignment="1">
      <alignment horizontal="left" vertical="center" readingOrder="1"/>
    </xf>
    <xf numFmtId="0" fontId="28" fillId="0" borderId="0" xfId="0" applyFont="1" applyAlignment="1">
      <alignment vertical="center" readingOrder="1"/>
    </xf>
    <xf numFmtId="0" fontId="31" fillId="0" borderId="0" xfId="0" applyFont="1" applyAlignment="1">
      <alignment horizontal="center" vertical="center"/>
    </xf>
    <xf numFmtId="0" fontId="31" fillId="2" borderId="1" xfId="0" applyFont="1" applyFill="1" applyBorder="1" applyAlignment="1">
      <alignment horizontal="center" vertical="center"/>
    </xf>
    <xf numFmtId="0" fontId="31" fillId="2" borderId="1" xfId="0" applyFont="1" applyFill="1" applyBorder="1" applyAlignment="1">
      <alignment horizontal="center" vertical="center" wrapText="1"/>
    </xf>
    <xf numFmtId="0" fontId="31" fillId="0" borderId="0" xfId="0" applyFont="1" applyAlignment="1">
      <alignment horizontal="center" vertical="center" wrapText="1"/>
    </xf>
    <xf numFmtId="0" fontId="31" fillId="4" borderId="1" xfId="0" applyFont="1" applyFill="1" applyBorder="1" applyAlignment="1">
      <alignment horizontal="center" vertical="center"/>
    </xf>
    <xf numFmtId="14" fontId="33" fillId="0" borderId="0" xfId="0" applyNumberFormat="1" applyFont="1" applyAlignment="1">
      <alignment horizontal="left"/>
    </xf>
    <xf numFmtId="0" fontId="28" fillId="0" borderId="0" xfId="0" applyFont="1" applyAlignment="1">
      <alignment horizontal="right" vertical="center" readingOrder="1"/>
    </xf>
    <xf numFmtId="14" fontId="34" fillId="0" borderId="0" xfId="0" applyNumberFormat="1" applyFont="1" applyAlignment="1">
      <alignment horizontal="left" vertical="center" readingOrder="1"/>
    </xf>
    <xf numFmtId="0" fontId="28" fillId="0" borderId="0" xfId="0" applyFont="1" applyAlignment="1">
      <alignment horizontal="right"/>
    </xf>
    <xf numFmtId="0" fontId="28" fillId="0" borderId="0" xfId="0" applyFont="1" applyAlignment="1">
      <alignment horizontal="left"/>
    </xf>
    <xf numFmtId="0" fontId="33" fillId="0" borderId="0" xfId="0" applyFont="1" applyAlignment="1">
      <alignment horizontal="left"/>
    </xf>
    <xf numFmtId="0" fontId="0" fillId="13" borderId="1" xfId="0" applyFill="1" applyBorder="1"/>
    <xf numFmtId="0" fontId="0" fillId="6" borderId="1" xfId="0" applyFill="1" applyBorder="1"/>
    <xf numFmtId="0" fontId="0" fillId="3" borderId="1" xfId="0" applyFill="1" applyBorder="1"/>
    <xf numFmtId="164" fontId="0" fillId="3" borderId="1" xfId="0" applyNumberFormat="1"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center" vertical="center"/>
    </xf>
    <xf numFmtId="0" fontId="0" fillId="13" borderId="1" xfId="0" applyFill="1" applyBorder="1" applyAlignment="1">
      <alignment horizontal="center" vertical="center" wrapText="1"/>
    </xf>
    <xf numFmtId="0" fontId="0" fillId="7" borderId="1" xfId="0" applyFill="1" applyBorder="1"/>
    <xf numFmtId="0" fontId="0" fillId="3" borderId="1" xfId="0" applyFill="1" applyBorder="1" applyAlignment="1">
      <alignment horizontal="center" vertical="center"/>
    </xf>
    <xf numFmtId="0" fontId="0" fillId="3" borderId="3" xfId="0" applyFill="1" applyBorder="1" applyAlignment="1">
      <alignment horizontal="center" vertical="center"/>
    </xf>
    <xf numFmtId="2" fontId="0" fillId="3" borderId="1" xfId="0" applyNumberFormat="1" applyFill="1" applyBorder="1" applyAlignment="1">
      <alignment horizontal="center" vertical="center"/>
    </xf>
    <xf numFmtId="0" fontId="0" fillId="7" borderId="1" xfId="0" applyFill="1" applyBorder="1" applyAlignment="1">
      <alignment horizontal="center" wrapText="1"/>
    </xf>
    <xf numFmtId="2" fontId="0" fillId="3" borderId="1" xfId="0" applyNumberFormat="1" applyFill="1" applyBorder="1" applyAlignment="1">
      <alignment horizontal="center"/>
    </xf>
    <xf numFmtId="2" fontId="0" fillId="0" borderId="0" xfId="0" applyNumberFormat="1"/>
    <xf numFmtId="0" fontId="25" fillId="0" borderId="0" xfId="0" applyFont="1" applyAlignment="1">
      <alignment horizontal="left" vertical="center" readingOrder="1"/>
    </xf>
    <xf numFmtId="0" fontId="33" fillId="0" borderId="0" xfId="0" applyFont="1"/>
    <xf numFmtId="0" fontId="35" fillId="0" borderId="0" xfId="0" applyFont="1" applyAlignment="1">
      <alignment horizontal="left" vertical="center" readingOrder="1"/>
    </xf>
    <xf numFmtId="0" fontId="35" fillId="0" borderId="0" xfId="0" applyFont="1" applyAlignment="1">
      <alignment horizontal="center" vertical="center" readingOrder="1"/>
    </xf>
    <xf numFmtId="49" fontId="21" fillId="4" borderId="1" xfId="0" applyNumberFormat="1" applyFont="1" applyFill="1" applyBorder="1" applyAlignment="1">
      <alignment horizontal="center" vertical="center"/>
    </xf>
    <xf numFmtId="49" fontId="0" fillId="4" borderId="1" xfId="0" applyNumberFormat="1" applyFill="1" applyBorder="1"/>
    <xf numFmtId="1" fontId="0" fillId="3" borderId="1" xfId="0" applyNumberFormat="1" applyFill="1" applyBorder="1" applyAlignment="1">
      <alignment horizontal="center"/>
    </xf>
    <xf numFmtId="0" fontId="0" fillId="11" borderId="11" xfId="0" applyFill="1" applyBorder="1" applyAlignment="1">
      <alignment horizontal="center" vertical="center" textRotation="90"/>
    </xf>
    <xf numFmtId="0" fontId="0" fillId="3" borderId="11" xfId="0" applyFill="1" applyBorder="1" applyAlignment="1">
      <alignment horizontal="center" vertical="center" textRotation="90"/>
    </xf>
    <xf numFmtId="14" fontId="0" fillId="3" borderId="1" xfId="0" applyNumberFormat="1" applyFill="1" applyBorder="1" applyAlignment="1">
      <alignment horizontal="center" vertical="center"/>
    </xf>
    <xf numFmtId="22" fontId="0" fillId="0" borderId="0" xfId="0" applyNumberFormat="1" applyAlignment="1">
      <alignment horizontal="center"/>
    </xf>
    <xf numFmtId="14" fontId="0" fillId="4" borderId="1" xfId="0" applyNumberFormat="1" applyFill="1" applyBorder="1" applyAlignment="1">
      <alignment horizontal="center" vertical="center"/>
    </xf>
    <xf numFmtId="164" fontId="0" fillId="4" borderId="1" xfId="0" applyNumberFormat="1" applyFill="1" applyBorder="1" applyAlignment="1">
      <alignment horizontal="center" vertical="center"/>
    </xf>
    <xf numFmtId="49" fontId="22" fillId="4" borderId="1" xfId="0" applyNumberFormat="1" applyFont="1" applyFill="1" applyBorder="1" applyAlignment="1">
      <alignment horizontal="center" vertical="center"/>
    </xf>
    <xf numFmtId="0" fontId="18" fillId="0" borderId="0" xfId="0" applyFont="1" applyAlignment="1">
      <alignment horizontal="left" vertical="center" readingOrder="1"/>
    </xf>
    <xf numFmtId="1" fontId="0" fillId="3" borderId="1" xfId="0" applyNumberFormat="1" applyFill="1" applyBorder="1"/>
    <xf numFmtId="0" fontId="0" fillId="7" borderId="18" xfId="0" applyFill="1" applyBorder="1" applyAlignment="1">
      <alignment horizontal="center" vertical="center"/>
    </xf>
    <xf numFmtId="2" fontId="0" fillId="12" borderId="1" xfId="0" applyNumberFormat="1" applyFill="1" applyBorder="1" applyAlignment="1">
      <alignment horizontal="center" vertical="center"/>
    </xf>
    <xf numFmtId="0" fontId="0" fillId="12" borderId="1" xfId="0" applyFill="1" applyBorder="1" applyAlignment="1">
      <alignment horizontal="center" vertical="center"/>
    </xf>
    <xf numFmtId="1" fontId="0" fillId="3" borderId="1" xfId="0" applyNumberFormat="1" applyFill="1" applyBorder="1" applyAlignment="1">
      <alignment horizontal="center" vertical="center"/>
    </xf>
    <xf numFmtId="49" fontId="0" fillId="4" borderId="1" xfId="0" applyNumberFormat="1" applyFill="1" applyBorder="1" applyAlignment="1">
      <alignment horizontal="center" vertical="center"/>
    </xf>
    <xf numFmtId="0" fontId="0" fillId="0" borderId="0" xfId="0" applyAlignment="1">
      <alignment wrapText="1"/>
    </xf>
    <xf numFmtId="0" fontId="20" fillId="0" borderId="0" xfId="0" applyFont="1" applyAlignment="1">
      <alignment horizontal="left" vertical="top" wrapText="1" readingOrder="1"/>
    </xf>
    <xf numFmtId="0" fontId="0" fillId="0" borderId="0" xfId="0" applyProtection="1">
      <protection locked="0"/>
    </xf>
    <xf numFmtId="0" fontId="0" fillId="15" borderId="1" xfId="0" applyFill="1" applyBorder="1" applyAlignment="1">
      <alignment horizontal="center" vertical="center"/>
    </xf>
    <xf numFmtId="0" fontId="0" fillId="14" borderId="0" xfId="0" applyFill="1" applyAlignment="1">
      <alignment horizontal="center" vertical="center"/>
    </xf>
    <xf numFmtId="0" fontId="0" fillId="4" borderId="2" xfId="0" applyFill="1" applyBorder="1" applyAlignment="1" applyProtection="1">
      <alignment horizontal="center" vertical="center"/>
      <protection locked="0"/>
    </xf>
    <xf numFmtId="0" fontId="0" fillId="4" borderId="1" xfId="0" applyFill="1" applyBorder="1" applyProtection="1">
      <protection locked="0"/>
    </xf>
    <xf numFmtId="0" fontId="39" fillId="0" borderId="0" xfId="0" applyFont="1" applyAlignment="1">
      <alignment horizontal="left" vertical="center" readingOrder="1"/>
    </xf>
    <xf numFmtId="0" fontId="39" fillId="0" borderId="0" xfId="0" applyFont="1" applyAlignment="1">
      <alignment horizontal="left" vertical="center" wrapText="1" readingOrder="1"/>
    </xf>
    <xf numFmtId="0" fontId="20" fillId="0" borderId="0" xfId="0" applyFont="1" applyAlignment="1">
      <alignment vertical="top" wrapText="1" readingOrder="1"/>
    </xf>
    <xf numFmtId="0" fontId="40" fillId="0" borderId="0" xfId="0" applyFont="1" applyAlignment="1">
      <alignment vertical="top" wrapText="1" readingOrder="1"/>
    </xf>
    <xf numFmtId="14" fontId="20" fillId="0" borderId="0" xfId="0" applyNumberFormat="1" applyFont="1" applyAlignment="1">
      <alignment horizontal="left" vertical="top" wrapText="1" readingOrder="1"/>
    </xf>
    <xf numFmtId="0" fontId="41" fillId="0" borderId="0" xfId="0" applyFont="1" applyAlignment="1">
      <alignment vertical="center"/>
    </xf>
    <xf numFmtId="0" fontId="23" fillId="3" borderId="0" xfId="0" applyFont="1" applyFill="1" applyAlignment="1">
      <alignment horizontal="center" vertical="center"/>
    </xf>
    <xf numFmtId="14" fontId="23" fillId="3" borderId="0" xfId="0" applyNumberFormat="1" applyFont="1" applyFill="1" applyAlignment="1">
      <alignment horizontal="center"/>
    </xf>
    <xf numFmtId="0" fontId="37" fillId="0" borderId="0" xfId="0" applyFont="1" applyAlignment="1">
      <alignment vertical="center"/>
    </xf>
    <xf numFmtId="0" fontId="0" fillId="0" borderId="39" xfId="0" applyBorder="1" applyAlignment="1">
      <alignment horizontal="center"/>
    </xf>
    <xf numFmtId="0" fontId="0" fillId="0" borderId="39" xfId="0" applyBorder="1" applyAlignment="1">
      <alignment horizontal="center" vertical="center"/>
    </xf>
    <xf numFmtId="2" fontId="0" fillId="4" borderId="1" xfId="0" applyNumberFormat="1" applyFill="1" applyBorder="1" applyAlignment="1" applyProtection="1">
      <alignment horizontal="center" vertical="center"/>
      <protection locked="0"/>
    </xf>
    <xf numFmtId="2" fontId="0" fillId="11" borderId="1" xfId="0" applyNumberFormat="1" applyFill="1" applyBorder="1" applyAlignment="1">
      <alignment horizontal="center"/>
    </xf>
    <xf numFmtId="1" fontId="0" fillId="7" borderId="1" xfId="0" applyNumberFormat="1" applyFill="1" applyBorder="1" applyAlignment="1">
      <alignment horizontal="center"/>
    </xf>
    <xf numFmtId="0" fontId="0" fillId="2" borderId="8" xfId="0" applyFill="1" applyBorder="1" applyAlignment="1">
      <alignment horizontal="center" vertical="center"/>
    </xf>
    <xf numFmtId="14" fontId="0" fillId="11" borderId="1" xfId="0" applyNumberFormat="1" applyFill="1" applyBorder="1" applyAlignment="1">
      <alignment horizontal="center" vertical="center"/>
    </xf>
    <xf numFmtId="0" fontId="9" fillId="0" borderId="1" xfId="0" applyFont="1" applyBorder="1" applyAlignment="1">
      <alignment horizontal="center" vertical="center"/>
    </xf>
    <xf numFmtId="0" fontId="9" fillId="7" borderId="1" xfId="0" applyFont="1" applyFill="1" applyBorder="1" applyAlignment="1">
      <alignment horizontal="center" vertical="center"/>
    </xf>
    <xf numFmtId="0" fontId="9" fillId="0" borderId="41" xfId="0" applyFont="1" applyBorder="1" applyAlignment="1">
      <alignment horizontal="center" vertical="center"/>
    </xf>
    <xf numFmtId="0" fontId="9" fillId="0" borderId="32" xfId="0" applyFont="1" applyBorder="1" applyAlignment="1">
      <alignment horizontal="center" vertical="center"/>
    </xf>
    <xf numFmtId="0" fontId="9" fillId="0" borderId="43" xfId="0" applyFont="1" applyBorder="1" applyAlignment="1">
      <alignment horizontal="center" vertical="center" wrapText="1"/>
    </xf>
    <xf numFmtId="0" fontId="9" fillId="0" borderId="42" xfId="0" applyFont="1" applyBorder="1" applyAlignment="1">
      <alignment horizontal="center" vertical="center"/>
    </xf>
    <xf numFmtId="49" fontId="9" fillId="0" borderId="34" xfId="0" applyNumberFormat="1" applyFont="1" applyBorder="1" applyAlignment="1">
      <alignment horizontal="center" vertical="center"/>
    </xf>
    <xf numFmtId="1" fontId="9" fillId="0" borderId="34" xfId="0" applyNumberFormat="1" applyFont="1" applyBorder="1" applyAlignment="1">
      <alignment horizontal="center" vertical="center"/>
    </xf>
    <xf numFmtId="166" fontId="9" fillId="0" borderId="33" xfId="0" applyNumberFormat="1" applyFont="1" applyBorder="1" applyAlignment="1">
      <alignment horizontal="center" vertical="center"/>
    </xf>
    <xf numFmtId="2" fontId="0" fillId="11" borderId="1" xfId="0" applyNumberFormat="1" applyFill="1" applyBorder="1" applyAlignment="1">
      <alignment horizontal="center" vertical="center"/>
    </xf>
    <xf numFmtId="1" fontId="0" fillId="7" borderId="1" xfId="0" applyNumberFormat="1" applyFill="1" applyBorder="1" applyAlignment="1">
      <alignment horizontal="center" vertical="center"/>
    </xf>
    <xf numFmtId="0" fontId="0" fillId="11" borderId="1" xfId="0" applyFill="1" applyBorder="1" applyAlignment="1">
      <alignment horizontal="center" vertical="center"/>
    </xf>
    <xf numFmtId="166" fontId="0" fillId="0" borderId="0" xfId="0" applyNumberFormat="1" applyAlignment="1">
      <alignment horizontal="center" vertical="center"/>
    </xf>
    <xf numFmtId="2" fontId="0" fillId="0" borderId="45" xfId="0" applyNumberFormat="1" applyBorder="1" applyAlignment="1">
      <alignment horizontal="center"/>
    </xf>
    <xf numFmtId="0" fontId="0" fillId="0" borderId="46" xfId="0" applyBorder="1"/>
    <xf numFmtId="2" fontId="0" fillId="0" borderId="47" xfId="0" applyNumberFormat="1" applyBorder="1" applyAlignment="1">
      <alignment horizontal="center"/>
    </xf>
    <xf numFmtId="2" fontId="0" fillId="0" borderId="48" xfId="0" applyNumberFormat="1" applyBorder="1" applyAlignment="1">
      <alignment horizontal="center"/>
    </xf>
    <xf numFmtId="0" fontId="0" fillId="0" borderId="44" xfId="0" applyBorder="1"/>
    <xf numFmtId="0" fontId="37" fillId="0" borderId="1" xfId="0" applyFont="1" applyBorder="1"/>
    <xf numFmtId="2" fontId="6" fillId="14" borderId="1" xfId="1" applyNumberFormat="1" applyFill="1" applyBorder="1" applyAlignment="1">
      <alignment horizontal="center"/>
    </xf>
    <xf numFmtId="0" fontId="6" fillId="14" borderId="1" xfId="1" applyFill="1" applyBorder="1"/>
    <xf numFmtId="2" fontId="44" fillId="0" borderId="0" xfId="0" applyNumberFormat="1" applyFont="1" applyAlignment="1">
      <alignment horizontal="center"/>
    </xf>
    <xf numFmtId="0" fontId="37" fillId="0" borderId="1" xfId="0" applyFont="1" applyBorder="1" applyAlignment="1">
      <alignment horizontal="center"/>
    </xf>
    <xf numFmtId="165" fontId="0" fillId="7" borderId="0" xfId="0" applyNumberFormat="1" applyFill="1" applyAlignment="1">
      <alignment horizontal="center"/>
    </xf>
    <xf numFmtId="2" fontId="0" fillId="11" borderId="0" xfId="0" applyNumberFormat="1" applyFill="1" applyAlignment="1">
      <alignment horizontal="center"/>
    </xf>
    <xf numFmtId="165" fontId="0" fillId="0" borderId="0" xfId="0" applyNumberFormat="1" applyAlignment="1">
      <alignment horizontal="center"/>
    </xf>
    <xf numFmtId="2" fontId="0" fillId="16" borderId="0" xfId="0" applyNumberFormat="1" applyFill="1" applyAlignment="1">
      <alignment horizontal="center"/>
    </xf>
    <xf numFmtId="0" fontId="37" fillId="0" borderId="0" xfId="0" applyFont="1" applyAlignment="1">
      <alignment horizontal="center"/>
    </xf>
    <xf numFmtId="0" fontId="45" fillId="0" borderId="1" xfId="0" applyFont="1" applyBorder="1" applyAlignment="1">
      <alignment horizontal="center"/>
    </xf>
    <xf numFmtId="166" fontId="45" fillId="0" borderId="1" xfId="0" applyNumberFormat="1" applyFont="1" applyBorder="1" applyAlignment="1">
      <alignment horizontal="center" vertical="center"/>
    </xf>
    <xf numFmtId="166" fontId="0" fillId="0" borderId="0" xfId="0" applyNumberFormat="1"/>
    <xf numFmtId="2" fontId="0" fillId="0" borderId="0" xfId="0" applyNumberFormat="1" applyProtection="1">
      <protection locked="0"/>
    </xf>
    <xf numFmtId="22" fontId="46" fillId="0" borderId="0" xfId="0" applyNumberFormat="1" applyFont="1"/>
    <xf numFmtId="0" fontId="0" fillId="0" borderId="0" xfId="0" applyAlignment="1" applyProtection="1">
      <alignment horizontal="center"/>
      <protection locked="0"/>
    </xf>
    <xf numFmtId="2" fontId="0" fillId="7" borderId="0" xfId="0" applyNumberFormat="1" applyFill="1" applyAlignment="1">
      <alignment horizontal="center"/>
    </xf>
    <xf numFmtId="22" fontId="37" fillId="0" borderId="1" xfId="0" applyNumberFormat="1" applyFont="1" applyBorder="1" applyAlignment="1">
      <alignment horizontal="center"/>
    </xf>
    <xf numFmtId="2" fontId="37" fillId="0" borderId="1" xfId="0" applyNumberFormat="1" applyFont="1" applyBorder="1" applyAlignment="1">
      <alignment horizontal="center"/>
    </xf>
    <xf numFmtId="165" fontId="0" fillId="0" borderId="0" xfId="0" applyNumberFormat="1" applyAlignment="1" applyProtection="1">
      <alignment horizontal="center"/>
      <protection locked="0"/>
    </xf>
    <xf numFmtId="2" fontId="0" fillId="0" borderId="1" xfId="0" applyNumberFormat="1" applyBorder="1"/>
    <xf numFmtId="2" fontId="0" fillId="0" borderId="48" xfId="0" applyNumberFormat="1" applyBorder="1"/>
    <xf numFmtId="0" fontId="17" fillId="0" borderId="0" xfId="0" applyFont="1" applyAlignment="1">
      <alignment horizontal="center"/>
    </xf>
    <xf numFmtId="0" fontId="17" fillId="0" borderId="0" xfId="0" applyFont="1"/>
    <xf numFmtId="0" fontId="20" fillId="0" borderId="0" xfId="0" applyFont="1"/>
    <xf numFmtId="14" fontId="21" fillId="15" borderId="0" xfId="0" applyNumberFormat="1" applyFont="1" applyFill="1" applyAlignment="1">
      <alignment horizontal="center" vertical="center"/>
    </xf>
    <xf numFmtId="0" fontId="22" fillId="0" borderId="0" xfId="0" applyFont="1" applyAlignment="1">
      <alignment horizontal="left" vertical="center"/>
    </xf>
    <xf numFmtId="0" fontId="21" fillId="15" borderId="0" xfId="0" applyFont="1" applyFill="1" applyAlignment="1">
      <alignment horizontal="center" vertical="center"/>
    </xf>
    <xf numFmtId="0" fontId="23" fillId="15" borderId="0" xfId="0" applyFont="1" applyFill="1" applyAlignment="1">
      <alignment horizontal="center" vertical="center"/>
    </xf>
    <xf numFmtId="0" fontId="0" fillId="15" borderId="0" xfId="0" applyFill="1" applyAlignment="1">
      <alignment horizontal="center"/>
    </xf>
    <xf numFmtId="0" fontId="40" fillId="0" borderId="0" xfId="0" applyFont="1" applyAlignment="1">
      <alignment horizontal="left" vertical="center" readingOrder="1"/>
    </xf>
    <xf numFmtId="0" fontId="0" fillId="0" borderId="0" xfId="0" applyAlignment="1">
      <alignment vertical="top"/>
    </xf>
    <xf numFmtId="0" fontId="41" fillId="0" borderId="0" xfId="0" applyFont="1"/>
    <xf numFmtId="0" fontId="49" fillId="0" borderId="0" xfId="0" applyFont="1"/>
    <xf numFmtId="0" fontId="50" fillId="0" borderId="0" xfId="0" applyFont="1"/>
    <xf numFmtId="0" fontId="43" fillId="0" borderId="0" xfId="0" applyFont="1" applyAlignment="1">
      <alignment horizontal="right" vertical="center"/>
    </xf>
    <xf numFmtId="0" fontId="0" fillId="0" borderId="0" xfId="0" applyAlignment="1">
      <alignment horizontal="right" vertical="center"/>
    </xf>
    <xf numFmtId="0" fontId="51" fillId="0" borderId="0" xfId="0" applyFont="1" applyAlignment="1">
      <alignment horizontal="center" vertical="center" readingOrder="1"/>
    </xf>
    <xf numFmtId="0" fontId="23" fillId="15" borderId="0" xfId="0" applyFont="1" applyFill="1" applyAlignment="1">
      <alignment horizontal="left" vertical="center"/>
    </xf>
    <xf numFmtId="0" fontId="43" fillId="0" borderId="0" xfId="0" applyFont="1"/>
    <xf numFmtId="0" fontId="0" fillId="15" borderId="0" xfId="0" applyFill="1" applyAlignment="1">
      <alignment horizontal="center" vertical="center"/>
    </xf>
    <xf numFmtId="14" fontId="23" fillId="15" borderId="0" xfId="0" applyNumberFormat="1" applyFont="1" applyFill="1" applyAlignment="1">
      <alignment horizontal="center" vertical="center"/>
    </xf>
    <xf numFmtId="0" fontId="0" fillId="0" borderId="0" xfId="0" applyAlignment="1">
      <alignment horizontal="left" vertical="center"/>
    </xf>
    <xf numFmtId="14" fontId="23" fillId="12" borderId="0" xfId="0" applyNumberFormat="1" applyFont="1" applyFill="1" applyAlignment="1">
      <alignment horizontal="center" vertical="center"/>
    </xf>
    <xf numFmtId="0" fontId="0" fillId="0" borderId="0" xfId="0" applyAlignment="1">
      <alignment horizontal="left" vertical="top"/>
    </xf>
    <xf numFmtId="0" fontId="43" fillId="0" borderId="0" xfId="0" applyFont="1" applyAlignment="1">
      <alignment horizontal="left" vertical="center"/>
    </xf>
    <xf numFmtId="0" fontId="0" fillId="0" borderId="0" xfId="0" applyAlignment="1">
      <alignment vertical="top" wrapText="1"/>
    </xf>
    <xf numFmtId="0" fontId="0" fillId="17" borderId="1" xfId="0" applyFill="1" applyBorder="1" applyAlignment="1">
      <alignment horizontal="center" vertical="center"/>
    </xf>
    <xf numFmtId="0" fontId="0" fillId="19" borderId="1" xfId="0" applyFill="1" applyBorder="1" applyAlignment="1">
      <alignment horizontal="center" vertical="center"/>
    </xf>
    <xf numFmtId="0" fontId="0" fillId="20" borderId="1" xfId="0" applyFill="1" applyBorder="1" applyAlignment="1">
      <alignment horizontal="center" vertical="center"/>
    </xf>
    <xf numFmtId="0" fontId="0" fillId="20" borderId="1" xfId="0" quotePrefix="1" applyFill="1" applyBorder="1" applyAlignment="1">
      <alignment horizontal="center" vertical="center"/>
    </xf>
    <xf numFmtId="22" fontId="0" fillId="20" borderId="1" xfId="0" applyNumberFormat="1" applyFill="1" applyBorder="1" applyAlignment="1">
      <alignment horizontal="center" vertical="center"/>
    </xf>
    <xf numFmtId="2" fontId="23" fillId="12" borderId="1" xfId="0" applyNumberFormat="1" applyFont="1" applyFill="1" applyBorder="1" applyAlignment="1">
      <alignment horizontal="center" vertical="center"/>
    </xf>
    <xf numFmtId="0" fontId="0" fillId="0" borderId="1" xfId="0" applyBorder="1" applyAlignment="1">
      <alignment horizontal="center" vertical="center"/>
    </xf>
    <xf numFmtId="0" fontId="23" fillId="12" borderId="1" xfId="0" applyFont="1" applyFill="1" applyBorder="1" applyAlignment="1">
      <alignment horizontal="center" vertical="center"/>
    </xf>
    <xf numFmtId="49" fontId="0" fillId="20" borderId="1" xfId="0" applyNumberFormat="1" applyFill="1" applyBorder="1" applyAlignment="1">
      <alignment horizontal="center" vertical="center"/>
    </xf>
    <xf numFmtId="0" fontId="37" fillId="0" borderId="0" xfId="0" applyFont="1" applyAlignment="1">
      <alignment horizontal="center" vertical="center"/>
    </xf>
    <xf numFmtId="0" fontId="53" fillId="21" borderId="0" xfId="0" applyFont="1" applyFill="1" applyAlignment="1">
      <alignment horizontal="center" vertical="center"/>
    </xf>
    <xf numFmtId="0" fontId="53" fillId="21" borderId="1" xfId="0" applyFont="1" applyFill="1" applyBorder="1" applyAlignment="1">
      <alignment horizontal="center" vertical="center"/>
    </xf>
    <xf numFmtId="0" fontId="54" fillId="0" borderId="0" xfId="0" applyFont="1" applyAlignment="1">
      <alignment horizontal="center" vertical="center"/>
    </xf>
    <xf numFmtId="0" fontId="23" fillId="3" borderId="1" xfId="0" applyFont="1" applyFill="1" applyBorder="1" applyAlignment="1">
      <alignment horizontal="center" vertical="center"/>
    </xf>
    <xf numFmtId="0" fontId="0" fillId="12" borderId="1" xfId="0" applyFill="1" applyBorder="1" applyAlignment="1">
      <alignment horizontal="center"/>
    </xf>
    <xf numFmtId="0" fontId="23" fillId="12" borderId="1" xfId="0" applyFont="1" applyFill="1" applyBorder="1" applyAlignment="1">
      <alignment horizontal="center"/>
    </xf>
    <xf numFmtId="2" fontId="23" fillId="12" borderId="1" xfId="0" applyNumberFormat="1" applyFont="1" applyFill="1" applyBorder="1" applyAlignment="1">
      <alignment horizontal="center"/>
    </xf>
    <xf numFmtId="0" fontId="0" fillId="12" borderId="1" xfId="0" quotePrefix="1" applyFill="1" applyBorder="1" applyAlignment="1">
      <alignment horizontal="center"/>
    </xf>
    <xf numFmtId="2" fontId="55" fillId="21" borderId="1" xfId="0" applyNumberFormat="1" applyFont="1" applyFill="1" applyBorder="1" applyAlignment="1">
      <alignment horizontal="center"/>
    </xf>
    <xf numFmtId="0" fontId="0" fillId="10" borderId="0" xfId="0" applyFill="1"/>
    <xf numFmtId="0" fontId="56" fillId="21" borderId="1" xfId="0" applyFont="1" applyFill="1" applyBorder="1" applyAlignment="1">
      <alignment horizontal="center" vertical="center"/>
    </xf>
    <xf numFmtId="0" fontId="53" fillId="0" borderId="0" xfId="0" applyFont="1" applyAlignment="1">
      <alignment horizontal="right" vertical="center"/>
    </xf>
    <xf numFmtId="0" fontId="53" fillId="0" borderId="0" xfId="0" applyFont="1" applyAlignment="1">
      <alignment horizontal="center" vertical="center"/>
    </xf>
    <xf numFmtId="0" fontId="55" fillId="21" borderId="0" xfId="0" applyFont="1" applyFill="1" applyAlignment="1">
      <alignment horizontal="center" vertical="center"/>
    </xf>
    <xf numFmtId="0" fontId="53" fillId="12" borderId="0" xfId="0" applyFont="1" applyFill="1" applyAlignment="1">
      <alignment horizontal="center" vertical="center"/>
    </xf>
    <xf numFmtId="0" fontId="58" fillId="0" borderId="0" xfId="0" applyFont="1"/>
    <xf numFmtId="0" fontId="4" fillId="0" borderId="1" xfId="0" applyFont="1" applyBorder="1"/>
    <xf numFmtId="0" fontId="4" fillId="15" borderId="1" xfId="0" applyFont="1" applyFill="1" applyBorder="1" applyAlignment="1" applyProtection="1">
      <alignment horizontal="center"/>
      <protection locked="0"/>
    </xf>
    <xf numFmtId="168" fontId="4" fillId="15" borderId="1" xfId="0" applyNumberFormat="1" applyFont="1" applyFill="1" applyBorder="1" applyAlignment="1" applyProtection="1">
      <alignment horizontal="center"/>
      <protection locked="0"/>
    </xf>
    <xf numFmtId="14" fontId="4" fillId="15" borderId="1" xfId="0" applyNumberFormat="1" applyFont="1" applyFill="1" applyBorder="1" applyAlignment="1" applyProtection="1">
      <alignment horizontal="center"/>
      <protection locked="0"/>
    </xf>
    <xf numFmtId="0" fontId="0" fillId="15" borderId="1" xfId="0" applyFill="1" applyBorder="1" applyAlignment="1" applyProtection="1">
      <alignment horizontal="center"/>
      <protection locked="0"/>
    </xf>
    <xf numFmtId="0" fontId="0" fillId="13" borderId="0" xfId="0" applyFill="1" applyAlignment="1">
      <alignment horizontal="center" vertical="center"/>
    </xf>
    <xf numFmtId="0" fontId="0" fillId="13" borderId="44" xfId="0" applyFill="1" applyBorder="1" applyAlignment="1">
      <alignment horizontal="center" vertical="center"/>
    </xf>
    <xf numFmtId="0" fontId="4" fillId="13" borderId="44" xfId="0" applyFont="1" applyFill="1" applyBorder="1" applyAlignment="1">
      <alignment horizontal="center" vertical="center"/>
    </xf>
    <xf numFmtId="0" fontId="0" fillId="0" borderId="44" xfId="0" applyBorder="1" applyAlignment="1">
      <alignment horizontal="center" vertical="center"/>
    </xf>
    <xf numFmtId="0" fontId="4" fillId="0" borderId="44" xfId="0" applyFont="1"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4" fillId="3" borderId="1" xfId="0" applyFont="1" applyFill="1" applyBorder="1" applyAlignment="1">
      <alignment horizontal="center" vertical="center"/>
    </xf>
    <xf numFmtId="49" fontId="23" fillId="3" borderId="1" xfId="0" applyNumberFormat="1" applyFont="1" applyFill="1" applyBorder="1" applyAlignment="1">
      <alignment horizontal="center" vertical="center"/>
    </xf>
    <xf numFmtId="49" fontId="4" fillId="15" borderId="1" xfId="0" applyNumberFormat="1" applyFont="1" applyFill="1" applyBorder="1" applyAlignment="1" applyProtection="1">
      <alignment horizontal="center" vertical="center"/>
      <protection locked="0"/>
    </xf>
    <xf numFmtId="49" fontId="4" fillId="23" borderId="1" xfId="0" applyNumberFormat="1" applyFont="1" applyFill="1" applyBorder="1" applyAlignment="1">
      <alignment horizontal="center" vertical="center"/>
    </xf>
    <xf numFmtId="14" fontId="4" fillId="0" borderId="0" xfId="0" applyNumberFormat="1" applyFont="1" applyAlignment="1">
      <alignment horizontal="center" vertical="center"/>
    </xf>
    <xf numFmtId="0" fontId="59" fillId="22" borderId="0" xfId="0" applyFont="1" applyFill="1"/>
    <xf numFmtId="14" fontId="59" fillId="22" borderId="0" xfId="0" applyNumberFormat="1" applyFont="1" applyFill="1" applyAlignment="1">
      <alignment horizontal="center" vertical="center" wrapText="1"/>
    </xf>
    <xf numFmtId="0" fontId="59" fillId="0" borderId="0" xfId="0" applyFont="1" applyAlignment="1">
      <alignment horizontal="center"/>
    </xf>
    <xf numFmtId="0" fontId="60" fillId="13" borderId="1" xfId="0" quotePrefix="1" applyFont="1" applyFill="1" applyBorder="1" applyAlignment="1">
      <alignment horizontal="center" vertical="center"/>
    </xf>
    <xf numFmtId="0" fontId="61" fillId="3" borderId="8" xfId="0" quotePrefix="1" applyFont="1" applyFill="1" applyBorder="1" applyAlignment="1">
      <alignment horizontal="center" vertical="center"/>
    </xf>
    <xf numFmtId="0" fontId="61" fillId="3" borderId="1" xfId="0" quotePrefix="1" applyFont="1" applyFill="1" applyBorder="1" applyAlignment="1">
      <alignment horizontal="center" vertical="center"/>
    </xf>
    <xf numFmtId="0" fontId="0" fillId="13" borderId="8" xfId="0" applyFill="1" applyBorder="1" applyAlignment="1">
      <alignment horizontal="center" vertical="center" wrapText="1"/>
    </xf>
    <xf numFmtId="0" fontId="0" fillId="13" borderId="8" xfId="0" applyFill="1" applyBorder="1" applyAlignment="1">
      <alignment horizontal="center" vertical="center"/>
    </xf>
    <xf numFmtId="2" fontId="0" fillId="15" borderId="1" xfId="0" applyNumberFormat="1" applyFill="1" applyBorder="1" applyAlignment="1" applyProtection="1">
      <alignment horizontal="center" vertical="center"/>
      <protection locked="0"/>
    </xf>
    <xf numFmtId="0" fontId="0" fillId="13" borderId="0" xfId="0" applyFill="1" applyAlignment="1">
      <alignment vertical="center"/>
    </xf>
    <xf numFmtId="0" fontId="4" fillId="13" borderId="1" xfId="0" applyFont="1" applyFill="1" applyBorder="1" applyAlignment="1">
      <alignment horizontal="center" vertical="center"/>
    </xf>
    <xf numFmtId="0" fontId="61" fillId="0" borderId="0" xfId="0" applyFont="1" applyAlignment="1">
      <alignment horizontal="left" vertical="center"/>
    </xf>
    <xf numFmtId="0" fontId="4" fillId="0" borderId="0" xfId="0" applyFont="1" applyAlignment="1">
      <alignment horizontal="center" vertical="center"/>
    </xf>
    <xf numFmtId="0" fontId="60" fillId="0" borderId="0" xfId="0" applyFont="1" applyAlignment="1">
      <alignment horizontal="center" vertical="center"/>
    </xf>
    <xf numFmtId="0" fontId="4" fillId="0" borderId="0" xfId="0" applyFont="1" applyAlignment="1">
      <alignment horizontal="left" vertical="center"/>
    </xf>
    <xf numFmtId="0" fontId="61" fillId="0" borderId="0" xfId="0" applyFont="1" applyAlignment="1">
      <alignment horizontal="center" vertical="center"/>
    </xf>
    <xf numFmtId="0" fontId="61" fillId="0" borderId="0" xfId="0" applyFont="1" applyAlignment="1">
      <alignment vertical="center" wrapText="1"/>
    </xf>
    <xf numFmtId="0" fontId="61" fillId="0" borderId="1" xfId="0" quotePrefix="1" applyFont="1" applyBorder="1" applyAlignment="1">
      <alignment vertical="center"/>
    </xf>
    <xf numFmtId="14" fontId="4" fillId="3" borderId="1" xfId="0" applyNumberFormat="1" applyFont="1" applyFill="1" applyBorder="1" applyAlignment="1">
      <alignment horizontal="center" vertical="center"/>
    </xf>
    <xf numFmtId="0" fontId="61" fillId="0" borderId="0" xfId="0" applyFont="1" applyAlignment="1">
      <alignment vertical="center"/>
    </xf>
    <xf numFmtId="0" fontId="4" fillId="0" borderId="0" xfId="0" applyFont="1" applyAlignment="1">
      <alignment vertical="center"/>
    </xf>
    <xf numFmtId="0" fontId="61" fillId="0" borderId="0" xfId="0" quotePrefix="1" applyFont="1" applyAlignment="1">
      <alignment vertical="center"/>
    </xf>
    <xf numFmtId="0" fontId="0" fillId="0" borderId="27" xfId="0" applyBorder="1"/>
    <xf numFmtId="0" fontId="0" fillId="0" borderId="19" xfId="0" applyBorder="1"/>
    <xf numFmtId="0" fontId="0" fillId="0" borderId="37" xfId="0" applyBorder="1"/>
    <xf numFmtId="0" fontId="0" fillId="0" borderId="51" xfId="0" applyBorder="1"/>
    <xf numFmtId="0" fontId="0" fillId="0" borderId="38" xfId="0" applyBorder="1"/>
    <xf numFmtId="49" fontId="0" fillId="3" borderId="1" xfId="0" applyNumberFormat="1" applyFill="1" applyBorder="1" applyAlignment="1">
      <alignment horizontal="center" vertical="center"/>
    </xf>
    <xf numFmtId="49" fontId="0" fillId="18" borderId="1" xfId="0" applyNumberFormat="1" applyFill="1" applyBorder="1" applyAlignment="1">
      <alignment horizontal="center" vertical="center"/>
    </xf>
    <xf numFmtId="0" fontId="42" fillId="11" borderId="18" xfId="0" applyFont="1" applyFill="1" applyBorder="1" applyAlignment="1">
      <alignment horizontal="center" vertical="center" textRotation="90"/>
    </xf>
    <xf numFmtId="0" fontId="0" fillId="3" borderId="18" xfId="0" applyFill="1" applyBorder="1" applyAlignment="1">
      <alignment horizontal="center" vertical="center" textRotation="90"/>
    </xf>
    <xf numFmtId="0" fontId="0" fillId="11" borderId="18" xfId="0" applyFill="1" applyBorder="1" applyAlignment="1">
      <alignment horizontal="center" vertical="center" textRotation="90"/>
    </xf>
    <xf numFmtId="0" fontId="0" fillId="2" borderId="2" xfId="0" applyFill="1" applyBorder="1" applyAlignment="1">
      <alignment horizontal="center" vertical="center"/>
    </xf>
    <xf numFmtId="22" fontId="8" fillId="0" borderId="0" xfId="0" applyNumberFormat="1" applyFont="1" applyAlignment="1">
      <alignment horizontal="center" vertical="center"/>
    </xf>
    <xf numFmtId="49" fontId="0" fillId="0" borderId="0" xfId="0" applyNumberFormat="1" applyAlignment="1">
      <alignment vertical="center"/>
    </xf>
    <xf numFmtId="22" fontId="0" fillId="0" borderId="0" xfId="0" applyNumberFormat="1" applyAlignment="1">
      <alignment vertical="center"/>
    </xf>
    <xf numFmtId="165" fontId="0" fillId="11" borderId="0" xfId="0" applyNumberFormat="1" applyFill="1" applyAlignment="1">
      <alignment horizontal="center"/>
    </xf>
    <xf numFmtId="0" fontId="0" fillId="2" borderId="1" xfId="0" applyFill="1" applyBorder="1" applyAlignment="1">
      <alignment vertical="center"/>
    </xf>
    <xf numFmtId="0" fontId="0" fillId="24" borderId="0" xfId="0" applyFill="1" applyAlignment="1">
      <alignment horizontal="center" vertical="center"/>
    </xf>
    <xf numFmtId="0" fontId="0" fillId="24" borderId="0" xfId="0" applyFill="1"/>
    <xf numFmtId="0" fontId="0" fillId="11" borderId="0" xfId="0" applyFill="1" applyAlignment="1">
      <alignment horizontal="center" vertical="center" textRotation="90"/>
    </xf>
    <xf numFmtId="0" fontId="0" fillId="16" borderId="0" xfId="0" applyFill="1" applyAlignment="1">
      <alignment horizontal="center" vertical="center" textRotation="90"/>
    </xf>
    <xf numFmtId="0" fontId="0" fillId="15" borderId="1" xfId="0" applyFill="1" applyBorder="1" applyAlignment="1" applyProtection="1">
      <alignment horizontal="center" vertical="center"/>
      <protection locked="0"/>
    </xf>
    <xf numFmtId="0" fontId="0" fillId="10" borderId="52" xfId="0" applyFill="1" applyBorder="1" applyAlignment="1">
      <alignment horizontal="center"/>
    </xf>
    <xf numFmtId="0" fontId="0" fillId="10" borderId="53" xfId="0" applyFill="1" applyBorder="1" applyAlignment="1">
      <alignment horizontal="center"/>
    </xf>
    <xf numFmtId="0" fontId="0" fillId="10" borderId="54" xfId="0" applyFill="1" applyBorder="1" applyAlignment="1">
      <alignment horizontal="center"/>
    </xf>
    <xf numFmtId="0" fontId="0" fillId="10" borderId="1" xfId="0" applyFill="1" applyBorder="1" applyAlignment="1">
      <alignment horizontal="center"/>
    </xf>
    <xf numFmtId="0" fontId="0" fillId="10" borderId="1" xfId="0" applyFill="1" applyBorder="1" applyAlignment="1">
      <alignment horizontal="center" vertical="center"/>
    </xf>
    <xf numFmtId="0" fontId="0" fillId="10" borderId="2" xfId="0" applyFill="1" applyBorder="1" applyAlignment="1">
      <alignment horizontal="center"/>
    </xf>
    <xf numFmtId="0" fontId="0" fillId="10" borderId="14" xfId="0" applyFill="1" applyBorder="1" applyAlignment="1">
      <alignment horizontal="center"/>
    </xf>
    <xf numFmtId="0" fontId="0" fillId="10" borderId="3" xfId="0" applyFill="1" applyBorder="1" applyAlignment="1">
      <alignment horizontal="center"/>
    </xf>
    <xf numFmtId="0" fontId="0" fillId="13" borderId="1" xfId="0" applyFill="1" applyBorder="1" applyAlignment="1">
      <alignment horizontal="center"/>
    </xf>
    <xf numFmtId="0" fontId="59" fillId="22" borderId="0" xfId="0" applyFont="1" applyFill="1" applyAlignment="1">
      <alignment horizontal="center"/>
    </xf>
    <xf numFmtId="0" fontId="57" fillId="15" borderId="0" xfId="0" applyFont="1" applyFill="1" applyAlignment="1">
      <alignment horizontal="center" vertical="center"/>
    </xf>
    <xf numFmtId="0" fontId="57" fillId="3" borderId="0" xfId="0" applyFont="1" applyFill="1" applyAlignment="1">
      <alignment horizontal="center"/>
    </xf>
    <xf numFmtId="0" fontId="0" fillId="0" borderId="0" xfId="0" applyAlignment="1">
      <alignment horizontal="center"/>
    </xf>
    <xf numFmtId="0" fontId="4" fillId="0" borderId="18" xfId="0" applyFont="1" applyBorder="1" applyAlignment="1">
      <alignment horizontal="left" vertical="top"/>
    </xf>
    <xf numFmtId="0" fontId="4" fillId="0" borderId="44" xfId="0" applyFont="1" applyBorder="1" applyAlignment="1">
      <alignment horizontal="left" vertical="top"/>
    </xf>
    <xf numFmtId="0" fontId="4" fillId="0" borderId="8" xfId="0" applyFont="1" applyBorder="1" applyAlignment="1">
      <alignment horizontal="left" vertical="top"/>
    </xf>
    <xf numFmtId="0" fontId="0" fillId="13" borderId="15" xfId="0" applyFill="1" applyBorder="1" applyAlignment="1">
      <alignment horizontal="center" vertical="center"/>
    </xf>
    <xf numFmtId="0" fontId="0" fillId="13" borderId="0" xfId="0" applyFill="1" applyAlignment="1">
      <alignment horizontal="center" vertical="center"/>
    </xf>
    <xf numFmtId="0" fontId="59" fillId="22" borderId="0" xfId="0" applyFont="1" applyFill="1" applyAlignment="1">
      <alignment horizontal="center" vertical="center"/>
    </xf>
    <xf numFmtId="0" fontId="59" fillId="0" borderId="0" xfId="0" applyFont="1" applyAlignment="1">
      <alignment horizontal="center"/>
    </xf>
    <xf numFmtId="0" fontId="0" fillId="13" borderId="1" xfId="0" applyFill="1" applyBorder="1" applyAlignment="1">
      <alignment horizontal="center" vertical="center"/>
    </xf>
    <xf numFmtId="0" fontId="0" fillId="13" borderId="2" xfId="0" applyFill="1" applyBorder="1" applyAlignment="1">
      <alignment horizontal="center" vertical="center"/>
    </xf>
    <xf numFmtId="0" fontId="0" fillId="13" borderId="14" xfId="0" applyFill="1" applyBorder="1" applyAlignment="1">
      <alignment horizontal="center" vertical="center"/>
    </xf>
    <xf numFmtId="0" fontId="0" fillId="13" borderId="3" xfId="0" applyFill="1" applyBorder="1" applyAlignment="1">
      <alignment horizontal="center" vertical="center"/>
    </xf>
    <xf numFmtId="20" fontId="0" fillId="15" borderId="49" xfId="0" applyNumberFormat="1" applyFill="1" applyBorder="1" applyAlignment="1" applyProtection="1">
      <alignment horizontal="left" vertical="top"/>
      <protection locked="0"/>
    </xf>
    <xf numFmtId="20" fontId="0" fillId="15" borderId="10" xfId="0" applyNumberFormat="1" applyFill="1" applyBorder="1" applyAlignment="1" applyProtection="1">
      <alignment horizontal="left" vertical="top"/>
      <protection locked="0"/>
    </xf>
    <xf numFmtId="20" fontId="0" fillId="15" borderId="11" xfId="0" applyNumberFormat="1" applyFill="1" applyBorder="1" applyAlignment="1" applyProtection="1">
      <alignment horizontal="left" vertical="top"/>
      <protection locked="0"/>
    </xf>
    <xf numFmtId="20" fontId="0" fillId="15" borderId="15" xfId="0" applyNumberFormat="1" applyFill="1" applyBorder="1" applyAlignment="1" applyProtection="1">
      <alignment horizontal="left" vertical="top"/>
      <protection locked="0"/>
    </xf>
    <xf numFmtId="20" fontId="0" fillId="15" borderId="0" xfId="0" applyNumberFormat="1" applyFill="1" applyAlignment="1" applyProtection="1">
      <alignment horizontal="left" vertical="top"/>
      <protection locked="0"/>
    </xf>
    <xf numFmtId="20" fontId="0" fillId="15" borderId="16" xfId="0" applyNumberFormat="1" applyFill="1" applyBorder="1" applyAlignment="1" applyProtection="1">
      <alignment horizontal="left" vertical="top"/>
      <protection locked="0"/>
    </xf>
    <xf numFmtId="20" fontId="0" fillId="15" borderId="12" xfId="0" applyNumberFormat="1" applyFill="1" applyBorder="1" applyAlignment="1" applyProtection="1">
      <alignment horizontal="left" vertical="top"/>
      <protection locked="0"/>
    </xf>
    <xf numFmtId="20" fontId="0" fillId="15" borderId="17" xfId="0" applyNumberFormat="1" applyFill="1" applyBorder="1" applyAlignment="1" applyProtection="1">
      <alignment horizontal="left" vertical="top"/>
      <protection locked="0"/>
    </xf>
    <xf numFmtId="20" fontId="0" fillId="15" borderId="13" xfId="0" applyNumberFormat="1" applyFill="1" applyBorder="1" applyAlignment="1" applyProtection="1">
      <alignment horizontal="left" vertical="top"/>
      <protection locked="0"/>
    </xf>
    <xf numFmtId="0" fontId="62" fillId="0" borderId="36" xfId="0" applyFont="1" applyBorder="1" applyAlignment="1">
      <alignment horizontal="center" vertical="center"/>
    </xf>
    <xf numFmtId="0" fontId="62" fillId="0" borderId="50" xfId="0" applyFont="1" applyBorder="1" applyAlignment="1">
      <alignment horizontal="center" vertical="center"/>
    </xf>
    <xf numFmtId="0" fontId="62" fillId="0" borderId="25" xfId="0" applyFont="1" applyBorder="1" applyAlignment="1">
      <alignment horizontal="center" vertical="center"/>
    </xf>
    <xf numFmtId="0" fontId="62" fillId="0" borderId="27" xfId="0" applyFont="1" applyBorder="1" applyAlignment="1">
      <alignment horizontal="center" vertical="center"/>
    </xf>
    <xf numFmtId="0" fontId="62" fillId="0" borderId="0" xfId="0" applyFont="1" applyAlignment="1">
      <alignment horizontal="center" vertical="center"/>
    </xf>
    <xf numFmtId="0" fontId="62" fillId="0" borderId="19" xfId="0" applyFont="1" applyBorder="1" applyAlignment="1">
      <alignment horizontal="center" vertical="center"/>
    </xf>
    <xf numFmtId="0" fontId="62" fillId="0" borderId="37" xfId="0" applyFont="1" applyBorder="1" applyAlignment="1">
      <alignment horizontal="center" vertical="center"/>
    </xf>
    <xf numFmtId="0" fontId="62" fillId="0" borderId="51" xfId="0" applyFont="1" applyBorder="1" applyAlignment="1">
      <alignment horizontal="center" vertical="center"/>
    </xf>
    <xf numFmtId="0" fontId="62" fillId="0" borderId="38" xfId="0" applyFont="1" applyBorder="1" applyAlignment="1">
      <alignment horizontal="center" vertical="center"/>
    </xf>
    <xf numFmtId="22" fontId="47" fillId="0" borderId="27" xfId="0" applyNumberFormat="1" applyFont="1" applyBorder="1" applyAlignment="1">
      <alignment horizontal="center"/>
    </xf>
    <xf numFmtId="22" fontId="47" fillId="0" borderId="0" xfId="0" applyNumberFormat="1" applyFont="1" applyAlignment="1">
      <alignment horizontal="center"/>
    </xf>
    <xf numFmtId="0" fontId="0" fillId="0" borderId="17" xfId="0" applyBorder="1" applyAlignment="1">
      <alignment horizontal="center" vertical="center"/>
    </xf>
    <xf numFmtId="0" fontId="0" fillId="0" borderId="0" xfId="0" applyAlignment="1">
      <alignment horizontal="center" vertical="center"/>
    </xf>
    <xf numFmtId="2" fontId="0" fillId="0" borderId="1" xfId="0" applyNumberFormat="1" applyBorder="1" applyAlignment="1">
      <alignment horizontal="center"/>
    </xf>
    <xf numFmtId="22" fontId="0" fillId="0" borderId="0" xfId="0" applyNumberFormat="1" applyAlignment="1">
      <alignment horizontal="center"/>
    </xf>
    <xf numFmtId="22" fontId="48" fillId="0" borderId="27" xfId="0" applyNumberFormat="1" applyFont="1" applyBorder="1" applyAlignment="1">
      <alignment horizontal="center"/>
    </xf>
    <xf numFmtId="22" fontId="48" fillId="0" borderId="0" xfId="0" applyNumberFormat="1" applyFont="1" applyAlignment="1">
      <alignment horizontal="center"/>
    </xf>
    <xf numFmtId="0" fontId="17" fillId="0" borderId="0" xfId="0" applyFont="1" applyAlignment="1">
      <alignment horizontal="center"/>
    </xf>
    <xf numFmtId="0" fontId="18" fillId="0" borderId="0" xfId="0" applyFont="1" applyAlignment="1">
      <alignment horizontal="center" vertical="center"/>
    </xf>
    <xf numFmtId="167" fontId="19" fillId="12" borderId="0" xfId="0" applyNumberFormat="1" applyFont="1" applyFill="1" applyAlignment="1">
      <alignment horizontal="center" vertical="center"/>
    </xf>
    <xf numFmtId="0" fontId="20" fillId="0" borderId="0" xfId="0" applyFont="1" applyAlignment="1">
      <alignment horizontal="left" vertical="top" wrapText="1" readingOrder="1"/>
    </xf>
    <xf numFmtId="0" fontId="40" fillId="0" borderId="0" xfId="0" applyFont="1" applyAlignment="1">
      <alignment horizontal="left" vertical="center" wrapText="1" readingOrder="1"/>
    </xf>
    <xf numFmtId="0" fontId="0" fillId="15" borderId="0" xfId="0" applyFill="1" applyAlignment="1">
      <alignment horizontal="left" vertical="top"/>
    </xf>
    <xf numFmtId="0" fontId="0" fillId="0" borderId="0" xfId="0" applyAlignment="1">
      <alignment horizontal="left" vertical="top" wrapText="1"/>
    </xf>
    <xf numFmtId="0" fontId="0" fillId="19" borderId="1" xfId="0" applyFill="1" applyBorder="1" applyAlignment="1">
      <alignment horizontal="center" vertical="center"/>
    </xf>
    <xf numFmtId="0" fontId="0" fillId="20" borderId="1" xfId="0" applyFill="1" applyBorder="1" applyAlignment="1">
      <alignment horizontal="center" vertical="center"/>
    </xf>
    <xf numFmtId="0" fontId="0" fillId="19" borderId="1" xfId="0" applyFill="1" applyBorder="1" applyAlignment="1">
      <alignment horizontal="center"/>
    </xf>
    <xf numFmtId="0" fontId="0" fillId="20" borderId="1" xfId="0" applyFill="1" applyBorder="1" applyAlignment="1">
      <alignment horizontal="center" wrapText="1"/>
    </xf>
    <xf numFmtId="2" fontId="0" fillId="12" borderId="1" xfId="0" applyNumberFormat="1" applyFill="1" applyBorder="1" applyAlignment="1">
      <alignment horizontal="center" vertical="center"/>
    </xf>
    <xf numFmtId="0" fontId="0" fillId="12" borderId="1" xfId="0" applyFill="1" applyBorder="1" applyAlignment="1">
      <alignment horizontal="center" vertical="center"/>
    </xf>
    <xf numFmtId="0" fontId="37" fillId="20" borderId="1" xfId="0" applyFont="1" applyFill="1" applyBorder="1" applyAlignment="1">
      <alignment horizontal="center"/>
    </xf>
    <xf numFmtId="2" fontId="37" fillId="21" borderId="1" xfId="0" applyNumberFormat="1" applyFont="1" applyFill="1" applyBorder="1" applyAlignment="1">
      <alignment horizontal="center" vertical="center"/>
    </xf>
    <xf numFmtId="0" fontId="0" fillId="20" borderId="1" xfId="0" applyFill="1" applyBorder="1" applyAlignment="1">
      <alignment horizontal="center" vertical="center" wrapText="1"/>
    </xf>
    <xf numFmtId="0" fontId="0" fillId="19" borderId="18" xfId="0" applyFill="1" applyBorder="1" applyAlignment="1">
      <alignment horizontal="center" vertical="center"/>
    </xf>
    <xf numFmtId="0" fontId="0" fillId="19" borderId="8" xfId="0" applyFill="1" applyBorder="1" applyAlignment="1">
      <alignment horizontal="center" vertical="center"/>
    </xf>
    <xf numFmtId="0" fontId="37" fillId="0" borderId="0" xfId="0" applyFont="1" applyAlignment="1">
      <alignment horizontal="left" vertical="center"/>
    </xf>
    <xf numFmtId="0" fontId="0" fillId="20" borderId="1" xfId="0" applyFill="1" applyBorder="1" applyAlignment="1">
      <alignment horizontal="center"/>
    </xf>
    <xf numFmtId="1" fontId="37" fillId="12" borderId="1" xfId="0" applyNumberFormat="1" applyFont="1" applyFill="1" applyBorder="1" applyAlignment="1">
      <alignment horizontal="center" vertical="center"/>
    </xf>
    <xf numFmtId="0" fontId="37" fillId="21" borderId="1" xfId="0" applyFont="1" applyFill="1" applyBorder="1" applyAlignment="1">
      <alignment horizontal="center" vertical="center"/>
    </xf>
    <xf numFmtId="0" fontId="0" fillId="20" borderId="2" xfId="0" applyFill="1" applyBorder="1" applyAlignment="1">
      <alignment horizontal="center" vertical="center" wrapText="1"/>
    </xf>
    <xf numFmtId="0" fontId="0" fillId="20" borderId="3" xfId="0" applyFill="1" applyBorder="1" applyAlignment="1">
      <alignment horizontal="center" vertical="center" wrapText="1"/>
    </xf>
    <xf numFmtId="2" fontId="37" fillId="12" borderId="1" xfId="0" applyNumberFormat="1" applyFont="1" applyFill="1" applyBorder="1" applyAlignment="1">
      <alignment horizontal="center" vertical="center"/>
    </xf>
    <xf numFmtId="0" fontId="37" fillId="12" borderId="1" xfId="0" applyFont="1" applyFill="1" applyBorder="1" applyAlignment="1">
      <alignment horizontal="center" vertical="center"/>
    </xf>
    <xf numFmtId="0" fontId="0" fillId="19" borderId="2" xfId="0" applyFill="1" applyBorder="1" applyAlignment="1">
      <alignment horizontal="center" vertical="center"/>
    </xf>
    <xf numFmtId="0" fontId="0" fillId="19" borderId="3" xfId="0" applyFill="1" applyBorder="1" applyAlignment="1">
      <alignment horizontal="center" vertical="center"/>
    </xf>
    <xf numFmtId="0" fontId="0" fillId="20" borderId="2" xfId="0" applyFill="1" applyBorder="1" applyAlignment="1">
      <alignment horizontal="center" vertical="center"/>
    </xf>
    <xf numFmtId="0" fontId="0" fillId="20" borderId="3" xfId="0" applyFill="1" applyBorder="1" applyAlignment="1">
      <alignment horizontal="center" vertical="center"/>
    </xf>
    <xf numFmtId="0" fontId="37" fillId="0" borderId="16" xfId="0" applyFont="1" applyBorder="1" applyAlignment="1">
      <alignment horizontal="center" vertical="center"/>
    </xf>
    <xf numFmtId="0" fontId="37" fillId="20" borderId="1" xfId="0" applyFont="1" applyFill="1" applyBorder="1" applyAlignment="1">
      <alignment horizontal="center" vertical="center" wrapText="1"/>
    </xf>
    <xf numFmtId="0" fontId="37" fillId="0" borderId="0" xfId="0" applyFont="1" applyAlignment="1">
      <alignment horizontal="right" vertical="center"/>
    </xf>
    <xf numFmtId="0" fontId="37" fillId="20" borderId="1" xfId="0" applyFont="1" applyFill="1" applyBorder="1" applyAlignment="1">
      <alignment horizontal="center" vertical="center"/>
    </xf>
    <xf numFmtId="0" fontId="0" fillId="19" borderId="14" xfId="0" applyFill="1" applyBorder="1" applyAlignment="1">
      <alignment horizontal="center" vertical="center"/>
    </xf>
    <xf numFmtId="0" fontId="37" fillId="0" borderId="16" xfId="0" applyFont="1" applyBorder="1" applyAlignment="1">
      <alignment horizontal="right" vertical="center"/>
    </xf>
    <xf numFmtId="0" fontId="37" fillId="0" borderId="15" xfId="0" applyFont="1" applyBorder="1" applyAlignment="1">
      <alignment horizontal="left" vertical="center"/>
    </xf>
    <xf numFmtId="0" fontId="0" fillId="0" borderId="10" xfId="0" applyBorder="1" applyAlignment="1">
      <alignment horizontal="center"/>
    </xf>
    <xf numFmtId="2" fontId="0" fillId="0" borderId="10" xfId="0" applyNumberFormat="1" applyBorder="1" applyAlignment="1">
      <alignment horizontal="center"/>
    </xf>
    <xf numFmtId="0" fontId="0" fillId="19" borderId="2" xfId="0" applyFill="1" applyBorder="1" applyAlignment="1">
      <alignment horizontal="center"/>
    </xf>
    <xf numFmtId="0" fontId="0" fillId="19" borderId="14" xfId="0" applyFill="1" applyBorder="1" applyAlignment="1">
      <alignment horizontal="center"/>
    </xf>
    <xf numFmtId="0" fontId="0" fillId="19" borderId="3" xfId="0" applyFill="1" applyBorder="1" applyAlignment="1">
      <alignment horizontal="center"/>
    </xf>
    <xf numFmtId="0" fontId="37" fillId="20" borderId="1" xfId="0" applyFont="1" applyFill="1" applyBorder="1" applyAlignment="1">
      <alignment horizontal="center" wrapText="1"/>
    </xf>
    <xf numFmtId="0" fontId="0" fillId="20" borderId="2" xfId="0" applyFill="1" applyBorder="1" applyAlignment="1">
      <alignment horizontal="center" wrapText="1"/>
    </xf>
    <xf numFmtId="0" fontId="0" fillId="20" borderId="14" xfId="0" applyFill="1" applyBorder="1" applyAlignment="1">
      <alignment horizontal="center" wrapText="1"/>
    </xf>
    <xf numFmtId="0" fontId="0" fillId="20" borderId="3" xfId="0" applyFill="1" applyBorder="1" applyAlignment="1">
      <alignment horizontal="center" wrapText="1"/>
    </xf>
    <xf numFmtId="0" fontId="0" fillId="20" borderId="2" xfId="0" applyFill="1" applyBorder="1" applyAlignment="1">
      <alignment horizontal="center"/>
    </xf>
    <xf numFmtId="0" fontId="0" fillId="20" borderId="14" xfId="0" applyFill="1" applyBorder="1" applyAlignment="1">
      <alignment horizontal="center"/>
    </xf>
    <xf numFmtId="0" fontId="0" fillId="20" borderId="3" xfId="0" applyFill="1" applyBorder="1" applyAlignment="1">
      <alignment horizontal="center"/>
    </xf>
    <xf numFmtId="2" fontId="23" fillId="12" borderId="2" xfId="0" applyNumberFormat="1" applyFont="1" applyFill="1" applyBorder="1" applyAlignment="1">
      <alignment horizontal="center"/>
    </xf>
    <xf numFmtId="2" fontId="23" fillId="12" borderId="3" xfId="0" applyNumberFormat="1" applyFont="1" applyFill="1" applyBorder="1" applyAlignment="1">
      <alignment horizontal="center"/>
    </xf>
    <xf numFmtId="0" fontId="0" fillId="0" borderId="0" xfId="0" applyAlignment="1">
      <alignment horizontal="left"/>
    </xf>
    <xf numFmtId="0" fontId="0" fillId="0" borderId="0" xfId="0" applyAlignment="1">
      <alignment horizontal="left" wrapText="1"/>
    </xf>
    <xf numFmtId="0" fontId="53" fillId="0" borderId="0" xfId="0" applyFont="1" applyAlignment="1">
      <alignment horizontal="center" vertical="center" wrapText="1"/>
    </xf>
    <xf numFmtId="14" fontId="0" fillId="10" borderId="1" xfId="0" applyNumberFormat="1" applyFill="1" applyBorder="1" applyAlignment="1">
      <alignment horizontal="center" vertical="center"/>
    </xf>
    <xf numFmtId="0" fontId="53" fillId="20" borderId="2" xfId="0" applyFont="1" applyFill="1" applyBorder="1" applyAlignment="1">
      <alignment horizontal="center"/>
    </xf>
    <xf numFmtId="0" fontId="53" fillId="20" borderId="14" xfId="0" applyFont="1" applyFill="1" applyBorder="1" applyAlignment="1">
      <alignment horizontal="center"/>
    </xf>
    <xf numFmtId="0" fontId="53" fillId="20" borderId="3" xfId="0" applyFont="1" applyFill="1" applyBorder="1" applyAlignment="1">
      <alignment horizontal="center"/>
    </xf>
    <xf numFmtId="0" fontId="53" fillId="21" borderId="1" xfId="0" applyFont="1" applyFill="1" applyBorder="1" applyAlignment="1">
      <alignment horizontal="center"/>
    </xf>
    <xf numFmtId="0" fontId="53" fillId="21" borderId="2" xfId="0" applyFont="1" applyFill="1" applyBorder="1" applyAlignment="1">
      <alignment horizontal="center"/>
    </xf>
    <xf numFmtId="0" fontId="53" fillId="21" borderId="3" xfId="0" applyFont="1" applyFill="1" applyBorder="1" applyAlignment="1">
      <alignment horizontal="center"/>
    </xf>
    <xf numFmtId="0" fontId="55" fillId="12" borderId="0" xfId="0" applyFont="1" applyFill="1" applyAlignment="1">
      <alignment horizontal="center" vertical="center"/>
    </xf>
    <xf numFmtId="0" fontId="53" fillId="0" borderId="0" xfId="0" applyFont="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7" borderId="1" xfId="0" applyFill="1" applyBorder="1" applyAlignment="1">
      <alignment horizontal="center" vertical="center"/>
    </xf>
    <xf numFmtId="0" fontId="5" fillId="0" borderId="0" xfId="0" applyFont="1" applyAlignment="1">
      <alignment horizontal="center" vertical="center"/>
    </xf>
    <xf numFmtId="0" fontId="0" fillId="2" borderId="1" xfId="0" applyFill="1" applyBorder="1" applyAlignment="1">
      <alignment horizontal="center" vertical="center"/>
    </xf>
    <xf numFmtId="0" fontId="0" fillId="2" borderId="10" xfId="0" applyFill="1" applyBorder="1" applyAlignment="1">
      <alignment horizontal="center" vertical="center"/>
    </xf>
    <xf numFmtId="0" fontId="0" fillId="2" borderId="11" xfId="0" applyFill="1" applyBorder="1" applyAlignment="1">
      <alignment horizontal="center" vertical="center"/>
    </xf>
    <xf numFmtId="0" fontId="0" fillId="2" borderId="8" xfId="0" applyFill="1" applyBorder="1" applyAlignment="1">
      <alignment horizontal="center" vertical="center"/>
    </xf>
    <xf numFmtId="0" fontId="0" fillId="2" borderId="12" xfId="0" applyFill="1" applyBorder="1" applyAlignment="1">
      <alignment horizontal="center" vertical="center"/>
    </xf>
    <xf numFmtId="0" fontId="0" fillId="2" borderId="13" xfId="0" applyFill="1" applyBorder="1" applyAlignment="1">
      <alignment horizontal="center" vertical="center"/>
    </xf>
    <xf numFmtId="0" fontId="0" fillId="2" borderId="14" xfId="0" applyFill="1" applyBorder="1" applyAlignment="1">
      <alignment horizontal="center" vertical="center"/>
    </xf>
    <xf numFmtId="0" fontId="2" fillId="0" borderId="0" xfId="0" applyFont="1" applyAlignment="1">
      <alignment horizontal="center" vertical="center" wrapText="1"/>
    </xf>
    <xf numFmtId="0" fontId="3" fillId="0" borderId="0" xfId="0" applyFont="1" applyAlignment="1">
      <alignment horizontal="center" vertical="center"/>
    </xf>
    <xf numFmtId="22" fontId="8" fillId="0" borderId="0" xfId="0" applyNumberFormat="1" applyFont="1" applyAlignment="1">
      <alignment horizontal="center" vertical="center"/>
    </xf>
    <xf numFmtId="14" fontId="0" fillId="0" borderId="0" xfId="0" applyNumberFormat="1" applyAlignment="1">
      <alignment horizontal="center"/>
    </xf>
    <xf numFmtId="0" fontId="0" fillId="7" borderId="1" xfId="0" applyFill="1" applyBorder="1" applyAlignment="1">
      <alignment horizontal="center"/>
    </xf>
    <xf numFmtId="0" fontId="0" fillId="7" borderId="2" xfId="0" applyFill="1" applyBorder="1" applyAlignment="1">
      <alignment horizontal="center"/>
    </xf>
    <xf numFmtId="0" fontId="0" fillId="7" borderId="3" xfId="0" applyFill="1" applyBorder="1" applyAlignment="1">
      <alignment horizontal="center"/>
    </xf>
    <xf numFmtId="0" fontId="0" fillId="7" borderId="14" xfId="0" applyFill="1" applyBorder="1" applyAlignment="1">
      <alignment horizontal="center"/>
    </xf>
    <xf numFmtId="0" fontId="24" fillId="0" borderId="0" xfId="0" applyFont="1" applyAlignment="1">
      <alignment horizontal="center"/>
    </xf>
    <xf numFmtId="0" fontId="35" fillId="0" borderId="0" xfId="0" applyFont="1" applyAlignment="1">
      <alignment horizontal="center" vertical="center" wrapText="1" readingOrder="1"/>
    </xf>
    <xf numFmtId="0" fontId="25" fillId="0" borderId="0" xfId="0" applyFont="1" applyAlignment="1">
      <alignment horizontal="center" vertical="center" readingOrder="1"/>
    </xf>
    <xf numFmtId="0" fontId="28" fillId="0" borderId="0" xfId="0" applyFont="1" applyAlignment="1">
      <alignment horizontal="center" vertical="center" readingOrder="1"/>
    </xf>
    <xf numFmtId="0" fontId="31" fillId="2" borderId="1" xfId="0" applyFont="1" applyFill="1" applyBorder="1" applyAlignment="1">
      <alignment horizontal="center" vertical="center"/>
    </xf>
    <xf numFmtId="0" fontId="32" fillId="0" borderId="0" xfId="0" applyFont="1" applyAlignment="1">
      <alignment horizontal="center" vertical="center" readingOrder="1"/>
    </xf>
    <xf numFmtId="0" fontId="0" fillId="13" borderId="2" xfId="0" applyFill="1" applyBorder="1" applyAlignment="1">
      <alignment horizontal="center"/>
    </xf>
    <xf numFmtId="0" fontId="0" fillId="13" borderId="14" xfId="0" applyFill="1" applyBorder="1" applyAlignment="1">
      <alignment horizontal="center"/>
    </xf>
    <xf numFmtId="0" fontId="0" fillId="13" borderId="3" xfId="0" applyFill="1" applyBorder="1" applyAlignment="1">
      <alignment horizontal="center"/>
    </xf>
    <xf numFmtId="0" fontId="27" fillId="0" borderId="0" xfId="0" applyFont="1" applyAlignment="1">
      <alignment horizontal="center" vertical="center" readingOrder="1"/>
    </xf>
    <xf numFmtId="0" fontId="0" fillId="7" borderId="1" xfId="0" applyFill="1" applyBorder="1" applyAlignment="1">
      <alignment horizontal="center" vertical="center" textRotation="90" wrapText="1"/>
    </xf>
    <xf numFmtId="0" fontId="28" fillId="0" borderId="0" xfId="0" applyFont="1" applyAlignment="1">
      <alignment horizontal="left" vertical="center" readingOrder="1"/>
    </xf>
    <xf numFmtId="0" fontId="19" fillId="12" borderId="0" xfId="0" applyFont="1" applyFill="1" applyAlignment="1">
      <alignment horizontal="center" vertical="center"/>
    </xf>
    <xf numFmtId="0" fontId="9" fillId="0" borderId="40" xfId="0" applyFont="1" applyBorder="1" applyAlignment="1">
      <alignment horizontal="center" vertical="center"/>
    </xf>
    <xf numFmtId="0" fontId="9" fillId="0" borderId="31" xfId="0" applyFont="1" applyBorder="1" applyAlignment="1">
      <alignment horizontal="center" vertical="center"/>
    </xf>
    <xf numFmtId="0" fontId="10" fillId="0" borderId="0" xfId="0" applyFont="1" applyAlignment="1">
      <alignment horizontal="center" vertical="center"/>
    </xf>
    <xf numFmtId="0" fontId="11" fillId="0" borderId="0" xfId="0" applyFont="1" applyAlignment="1">
      <alignment horizontal="left" vertical="center"/>
    </xf>
    <xf numFmtId="0" fontId="9" fillId="0" borderId="0" xfId="0" applyFont="1" applyAlignment="1">
      <alignment horizontal="left" vertical="center"/>
    </xf>
    <xf numFmtId="0" fontId="0" fillId="7" borderId="2" xfId="0" applyFill="1" applyBorder="1" applyAlignment="1">
      <alignment horizontal="center" vertical="center"/>
    </xf>
    <xf numFmtId="0" fontId="0" fillId="7" borderId="3" xfId="0" applyFill="1" applyBorder="1" applyAlignment="1">
      <alignment horizontal="center" vertical="center"/>
    </xf>
    <xf numFmtId="0" fontId="13" fillId="0" borderId="28" xfId="0" applyFont="1" applyBorder="1" applyAlignment="1">
      <alignment horizontal="center" vertical="center" wrapText="1"/>
    </xf>
    <xf numFmtId="0" fontId="13" fillId="0" borderId="29" xfId="0" applyFont="1" applyBorder="1" applyAlignment="1">
      <alignment horizontal="center" vertical="center" wrapText="1"/>
    </xf>
    <xf numFmtId="0" fontId="13" fillId="0" borderId="30" xfId="0" applyFont="1" applyBorder="1" applyAlignment="1">
      <alignment horizontal="center" vertical="center" wrapText="1"/>
    </xf>
    <xf numFmtId="0" fontId="13" fillId="0" borderId="0" xfId="0" applyFont="1" applyAlignment="1">
      <alignment horizontal="center" vertical="center" wrapText="1"/>
    </xf>
    <xf numFmtId="0" fontId="9" fillId="7" borderId="20" xfId="0" applyFont="1" applyFill="1" applyBorder="1" applyAlignment="1">
      <alignment horizontal="left" vertical="center"/>
    </xf>
    <xf numFmtId="0" fontId="9" fillId="7" borderId="26" xfId="0" applyFont="1" applyFill="1" applyBorder="1" applyAlignment="1">
      <alignment horizontal="left" vertical="center"/>
    </xf>
    <xf numFmtId="0" fontId="9" fillId="0" borderId="0" xfId="0" applyFont="1" applyAlignment="1">
      <alignment horizontal="center" vertical="center"/>
    </xf>
    <xf numFmtId="0" fontId="13" fillId="0" borderId="0" xfId="0" applyFont="1" applyAlignment="1">
      <alignment horizontal="left" vertical="center"/>
    </xf>
    <xf numFmtId="0" fontId="9" fillId="0" borderId="20" xfId="0" applyFont="1" applyBorder="1" applyAlignment="1">
      <alignment horizontal="center" vertical="center"/>
    </xf>
    <xf numFmtId="0" fontId="9" fillId="0" borderId="26" xfId="0" applyFont="1" applyBorder="1" applyAlignment="1">
      <alignment horizontal="center" vertical="center"/>
    </xf>
    <xf numFmtId="0" fontId="9" fillId="0" borderId="19" xfId="0" applyFont="1" applyBorder="1" applyAlignment="1">
      <alignment horizontal="center" vertical="center"/>
    </xf>
    <xf numFmtId="2" fontId="0" fillId="0" borderId="2" xfId="0" applyNumberFormat="1" applyBorder="1" applyAlignment="1">
      <alignment horizontal="center"/>
    </xf>
    <xf numFmtId="2" fontId="0" fillId="0" borderId="14" xfId="0" applyNumberFormat="1" applyBorder="1" applyAlignment="1">
      <alignment horizontal="center"/>
    </xf>
    <xf numFmtId="2" fontId="0" fillId="0" borderId="3" xfId="0" applyNumberFormat="1" applyBorder="1" applyAlignment="1">
      <alignment horizontal="center"/>
    </xf>
    <xf numFmtId="14" fontId="0" fillId="0" borderId="10" xfId="0" applyNumberFormat="1" applyBorder="1" applyAlignment="1">
      <alignment horizontal="center"/>
    </xf>
    <xf numFmtId="2" fontId="0" fillId="12" borderId="2" xfId="0" applyNumberFormat="1" applyFill="1" applyBorder="1" applyAlignment="1">
      <alignment horizontal="center" vertical="center"/>
    </xf>
    <xf numFmtId="0" fontId="0" fillId="12" borderId="14" xfId="0" applyFill="1" applyBorder="1" applyAlignment="1">
      <alignment horizontal="center" vertical="center"/>
    </xf>
    <xf numFmtId="0" fontId="0" fillId="12" borderId="3" xfId="0" applyFill="1" applyBorder="1" applyAlignment="1">
      <alignment horizontal="center" vertical="center"/>
    </xf>
    <xf numFmtId="0" fontId="18" fillId="0" borderId="0" xfId="0" applyFont="1" applyAlignment="1">
      <alignment horizontal="left" vertical="center" readingOrder="1"/>
    </xf>
    <xf numFmtId="0" fontId="17" fillId="0" borderId="0" xfId="0" applyFont="1" applyAlignment="1">
      <alignment horizontal="center" vertical="center" wrapText="1"/>
    </xf>
    <xf numFmtId="0" fontId="17" fillId="0" borderId="0" xfId="0" applyFont="1" applyAlignment="1">
      <alignment horizontal="center" vertical="center"/>
    </xf>
    <xf numFmtId="2" fontId="0" fillId="12" borderId="14" xfId="0" applyNumberFormat="1" applyFill="1" applyBorder="1" applyAlignment="1">
      <alignment horizontal="center" vertical="center"/>
    </xf>
  </cellXfs>
  <cellStyles count="3">
    <cellStyle name="Neutre" xfId="2" builtinId="28"/>
    <cellStyle name="Normal" xfId="0" builtinId="0"/>
    <cellStyle name="Satisfaisant" xfId="1" builtinId="26"/>
  </cellStyles>
  <dxfs count="19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ill>
        <patternFill>
          <bgColor rgb="FF339966"/>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border>
        <left style="thin">
          <color auto="1"/>
        </left>
        <right style="thin">
          <color auto="1"/>
        </right>
        <top style="thin">
          <color auto="1"/>
        </top>
        <bottom style="thin">
          <color auto="1"/>
        </bottom>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9C0006"/>
      </font>
      <fill>
        <patternFill>
          <bgColor rgb="FFFFC7CE"/>
        </patternFill>
      </fill>
    </dxf>
    <dxf>
      <font>
        <color rgb="FF9C0006"/>
      </font>
      <fill>
        <patternFill>
          <bgColor rgb="FFFFC7CE"/>
        </patternFill>
      </fill>
    </dxf>
    <dxf>
      <font>
        <b/>
        <i val="0"/>
        <strike val="0"/>
      </font>
      <fill>
        <patternFill>
          <bgColor rgb="FFFF0000"/>
        </patternFill>
      </fill>
    </dxf>
    <dxf>
      <fill>
        <patternFill>
          <bgColor rgb="FFFF0000"/>
        </patternFill>
      </fill>
    </dxf>
    <dxf>
      <numFmt numFmtId="27" formatCode="dd/mm/yyyy\ hh:mm"/>
    </dxf>
    <dxf>
      <numFmt numFmtId="27" formatCode="dd/mm/yyyy\ hh:mm"/>
    </dxf>
    <dxf>
      <numFmt numFmtId="27" formatCode="dd/mm/yyyy\ hh:mm"/>
    </dxf>
    <dxf>
      <numFmt numFmtId="27" formatCode="dd/mm/yyyy\ hh:mm"/>
    </dxf>
    <dxf>
      <numFmt numFmtId="27" formatCode="dd/mm/yyyy\ hh:mm"/>
    </dxf>
    <dxf>
      <numFmt numFmtId="27" formatCode="dd/mm/yyyy\ hh:mm"/>
    </dxf>
    <dxf>
      <numFmt numFmtId="27" formatCode="dd/mm/yyyy\ hh:mm"/>
    </dxf>
    <dxf>
      <numFmt numFmtId="2" formatCode="0.00"/>
    </dxf>
    <dxf>
      <numFmt numFmtId="2" formatCode="0.00"/>
    </dxf>
    <dxf>
      <numFmt numFmtId="2" formatCode="0.00"/>
    </dxf>
    <dxf>
      <numFmt numFmtId="2" formatCode="0.00"/>
    </dxf>
    <dxf>
      <numFmt numFmtId="27" formatCode="dd/mm/yyyy\ hh:mm"/>
    </dxf>
    <dxf>
      <numFmt numFmtId="27" formatCode="dd/mm/yyyy\ hh:mm"/>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bottom"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27" formatCode="dd/mm/yyyy\ hh:mm"/>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fill>
        <patternFill>
          <bgColor rgb="FFE6E6E6"/>
        </patternFill>
      </fill>
    </dxf>
    <dxf>
      <fill>
        <patternFill patternType="solid">
          <bgColor theme="0" tint="-0.14996795556505021"/>
        </patternFill>
      </fill>
    </dxf>
    <dxf>
      <font>
        <b/>
        <i val="0"/>
      </font>
      <fill>
        <patternFill>
          <bgColor rgb="FFFFFF99"/>
        </patternFill>
      </fill>
      <border>
        <bottom style="double">
          <color auto="1"/>
        </bottom>
      </border>
    </dxf>
    <dxf>
      <border>
        <left style="thin">
          <color auto="1"/>
        </left>
        <right style="thin">
          <color auto="1"/>
        </right>
        <top style="thin">
          <color auto="1"/>
        </top>
        <bottom style="thin">
          <color auto="1"/>
        </bottom>
      </border>
    </dxf>
  </dxfs>
  <tableStyles count="1" defaultTableStyle="TableStyleMedium2" defaultPivotStyle="PivotStyleLight16">
    <tableStyle name="Style de tableau 1" pivot="0" count="4" xr9:uid="{868C53FE-4B93-418F-A1B3-7840E5E21AC5}">
      <tableStyleElement type="wholeTable" dxfId="189"/>
      <tableStyleElement type="headerRow" dxfId="188"/>
      <tableStyleElement type="firstRowStripe" dxfId="187"/>
      <tableStyleElement type="secondRowStripe" dxfId="186"/>
    </tableStyle>
  </tableStyles>
  <colors>
    <mruColors>
      <color rgb="FF00FFCC"/>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0.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3152720339291968E-2"/>
          <c:y val="2.3563396837736728E-2"/>
          <c:w val="0.81950833313499483"/>
          <c:h val="0.87505389190162974"/>
        </c:manualLayout>
      </c:layout>
      <c:lineChart>
        <c:grouping val="standard"/>
        <c:varyColors val="0"/>
        <c:ser>
          <c:idx val="0"/>
          <c:order val="0"/>
          <c:tx>
            <c:strRef>
              <c:f>'transfert 80'!$F$1</c:f>
              <c:strCache>
                <c:ptCount val="1"/>
                <c:pt idx="0">
                  <c:v>Connecteur 5</c:v>
                </c:pt>
              </c:strCache>
            </c:strRef>
          </c:tx>
          <c:marker>
            <c:symbol val="none"/>
          </c:marker>
          <c:val>
            <c:numRef>
              <c:f>'transfert 80'!$F$2</c:f>
              <c:numCache>
                <c:formatCode>General</c:formatCode>
                <c:ptCount val="1"/>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0-55EA-4FD2-9285-08332D6C7150}"/>
            </c:ext>
          </c:extLst>
        </c:ser>
        <c:ser>
          <c:idx val="1"/>
          <c:order val="1"/>
          <c:tx>
            <c:strRef>
              <c:f>'transfert 80'!$G$1</c:f>
              <c:strCache>
                <c:ptCount val="1"/>
                <c:pt idx="0">
                  <c:v>Connecteur 6</c:v>
                </c:pt>
              </c:strCache>
            </c:strRef>
          </c:tx>
          <c:marker>
            <c:symbol val="none"/>
          </c:marker>
          <c:val>
            <c:numRef>
              <c:f>'transfert 80'!$G$2</c:f>
              <c:numCache>
                <c:formatCode>General</c:formatCode>
                <c:ptCount val="1"/>
              </c:numCache>
            </c:numRef>
          </c:val>
          <c:smooth val="0"/>
          <c:extLs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1-55EA-4FD2-9285-08332D6C7150}"/>
            </c:ext>
          </c:extLst>
        </c:ser>
        <c:ser>
          <c:idx val="2"/>
          <c:order val="2"/>
          <c:tx>
            <c:strRef>
              <c:f>'transfert 80'!$H$1</c:f>
              <c:strCache>
                <c:ptCount val="1"/>
                <c:pt idx="0">
                  <c:v>Connecteur 7</c:v>
                </c:pt>
              </c:strCache>
            </c:strRef>
          </c:tx>
          <c:marker>
            <c:symbol val="none"/>
          </c:marker>
          <c:val>
            <c:numRef>
              <c:f>'transfert 80'!$H$2</c:f>
              <c:numCache>
                <c:formatCode>General</c:formatCode>
                <c:ptCount val="1"/>
              </c:numCache>
            </c:numRef>
          </c:val>
          <c:smooth val="0"/>
          <c:extLs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2-55EA-4FD2-9285-08332D6C7150}"/>
            </c:ext>
          </c:extLst>
        </c:ser>
        <c:ser>
          <c:idx val="3"/>
          <c:order val="3"/>
          <c:tx>
            <c:strRef>
              <c:f>'transfert 80'!$I$1</c:f>
              <c:strCache>
                <c:ptCount val="1"/>
                <c:pt idx="0">
                  <c:v>Connecteur 8</c:v>
                </c:pt>
              </c:strCache>
            </c:strRef>
          </c:tx>
          <c:marker>
            <c:symbol val="none"/>
          </c:marker>
          <c:val>
            <c:numRef>
              <c:f>'transfert 80'!$I$2</c:f>
              <c:numCache>
                <c:formatCode>General</c:formatCode>
                <c:ptCount val="1"/>
              </c:numCache>
            </c:numRef>
          </c:val>
          <c:smooth val="0"/>
          <c:extLs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3-55EA-4FD2-9285-08332D6C7150}"/>
            </c:ext>
          </c:extLst>
        </c:ser>
        <c:ser>
          <c:idx val="4"/>
          <c:order val="4"/>
          <c:tx>
            <c:strRef>
              <c:f>'transfert 80'!$J$1</c:f>
              <c:strCache>
                <c:ptCount val="1"/>
                <c:pt idx="0">
                  <c:v>Connecteur 9</c:v>
                </c:pt>
              </c:strCache>
            </c:strRef>
          </c:tx>
          <c:marker>
            <c:symbol val="none"/>
          </c:marker>
          <c:val>
            <c:numRef>
              <c:f>'transfert 80'!$J$2</c:f>
              <c:numCache>
                <c:formatCode>General</c:formatCode>
                <c:ptCount val="1"/>
              </c:numCache>
            </c:numRef>
          </c:val>
          <c:smooth val="0"/>
          <c:extLs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4-55EA-4FD2-9285-08332D6C7150}"/>
            </c:ext>
          </c:extLst>
        </c:ser>
        <c:dLbls>
          <c:showLegendKey val="0"/>
          <c:showVal val="0"/>
          <c:showCatName val="0"/>
          <c:showSerName val="0"/>
          <c:showPercent val="0"/>
          <c:showBubbleSize val="0"/>
        </c:dLbls>
        <c:smooth val="0"/>
        <c:axId val="329596008"/>
        <c:axId val="329596400"/>
        <c:extLst/>
      </c:lineChart>
      <c:catAx>
        <c:axId val="329596008"/>
        <c:scaling>
          <c:orientation val="minMax"/>
          <c:min val="1"/>
        </c:scaling>
        <c:delete val="0"/>
        <c:axPos val="b"/>
        <c:numFmt formatCode="d/m/yy\ h:mm;@" sourceLinked="0"/>
        <c:majorTickMark val="out"/>
        <c:minorTickMark val="none"/>
        <c:tickLblPos val="nextTo"/>
        <c:spPr>
          <a:ln/>
        </c:spPr>
        <c:crossAx val="329596400"/>
        <c:crosses val="autoZero"/>
        <c:auto val="0"/>
        <c:lblAlgn val="ctr"/>
        <c:lblOffset val="100"/>
        <c:tickMarkSkip val="1"/>
        <c:noMultiLvlLbl val="0"/>
      </c:catAx>
      <c:valAx>
        <c:axId val="329596400"/>
        <c:scaling>
          <c:orientation val="minMax"/>
          <c:max val="85"/>
          <c:min val="35"/>
        </c:scaling>
        <c:delete val="0"/>
        <c:axPos val="l"/>
        <c:majorGridlines/>
        <c:numFmt formatCode="General" sourceLinked="1"/>
        <c:majorTickMark val="out"/>
        <c:minorTickMark val="none"/>
        <c:tickLblPos val="nextTo"/>
        <c:crossAx val="329596008"/>
        <c:crosses val="autoZero"/>
        <c:crossBetween val="between"/>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3396105590315928"/>
          <c:h val="0.87729960921737227"/>
        </c:manualLayout>
      </c:layout>
      <c:lineChart>
        <c:grouping val="standard"/>
        <c:varyColors val="0"/>
        <c:ser>
          <c:idx val="0"/>
          <c:order val="0"/>
          <c:tx>
            <c:strRef>
              <c:f>'transfert 200'!$B$1</c:f>
              <c:strCache>
                <c:ptCount val="1"/>
                <c:pt idx="0">
                  <c:v>Connecteur 1</c:v>
                </c:pt>
              </c:strCache>
            </c:strRef>
          </c:tx>
          <c:marker>
            <c:symbol val="none"/>
          </c:marker>
          <c:cat>
            <c:numRef>
              <c:f>'transfert 200'!$A$2</c:f>
              <c:numCache>
                <c:formatCode>@</c:formatCode>
                <c:ptCount val="1"/>
              </c:numCache>
            </c:numRef>
          </c:cat>
          <c:val>
            <c:numRef>
              <c:f>'transfert 200'!$B$2</c:f>
              <c:numCache>
                <c:formatCode>General</c:formatCode>
                <c:ptCount val="1"/>
              </c:numCache>
            </c:numRef>
          </c:val>
          <c:smooth val="0"/>
          <c:extLst xmlns:c15="http://schemas.microsoft.com/office/drawing/2012/chart">
            <c:ext xmlns:c16="http://schemas.microsoft.com/office/drawing/2014/chart" uri="{C3380CC4-5D6E-409C-BE32-E72D297353CC}">
              <c16:uniqueId val="{00000000-CCA3-4759-82DE-DEAFC15BCEFF}"/>
            </c:ext>
          </c:extLst>
        </c:ser>
        <c:ser>
          <c:idx val="1"/>
          <c:order val="1"/>
          <c:tx>
            <c:strRef>
              <c:f>'transfert 200'!$C$1</c:f>
              <c:strCache>
                <c:ptCount val="1"/>
                <c:pt idx="0">
                  <c:v>Connecteur 2</c:v>
                </c:pt>
              </c:strCache>
            </c:strRef>
          </c:tx>
          <c:marker>
            <c:symbol val="none"/>
          </c:marker>
          <c:cat>
            <c:numRef>
              <c:f>'transfert 200'!$A$2</c:f>
              <c:numCache>
                <c:formatCode>@</c:formatCode>
                <c:ptCount val="1"/>
              </c:numCache>
            </c:numRef>
          </c:cat>
          <c:val>
            <c:numRef>
              <c:f>'transfert 200'!$C$2</c:f>
              <c:numCache>
                <c:formatCode>General</c:formatCode>
                <c:ptCount val="1"/>
              </c:numCache>
            </c:numRef>
          </c:val>
          <c:smooth val="0"/>
          <c:extLst>
            <c:ext xmlns:c16="http://schemas.microsoft.com/office/drawing/2014/chart" uri="{C3380CC4-5D6E-409C-BE32-E72D297353CC}">
              <c16:uniqueId val="{00000001-CCA3-4759-82DE-DEAFC15BCEFF}"/>
            </c:ext>
          </c:extLst>
        </c:ser>
        <c:ser>
          <c:idx val="2"/>
          <c:order val="2"/>
          <c:tx>
            <c:strRef>
              <c:f>'transfert 200'!$D$1</c:f>
              <c:strCache>
                <c:ptCount val="1"/>
                <c:pt idx="0">
                  <c:v>Connecteur 3</c:v>
                </c:pt>
              </c:strCache>
            </c:strRef>
          </c:tx>
          <c:marker>
            <c:symbol val="none"/>
          </c:marker>
          <c:cat>
            <c:numRef>
              <c:f>'transfert 200'!$A$2</c:f>
              <c:numCache>
                <c:formatCode>@</c:formatCode>
                <c:ptCount val="1"/>
              </c:numCache>
            </c:numRef>
          </c:cat>
          <c:val>
            <c:numRef>
              <c:f>'transfert 200'!$D$2</c:f>
              <c:numCache>
                <c:formatCode>General</c:formatCode>
                <c:ptCount val="1"/>
              </c:numCache>
            </c:numRef>
          </c:val>
          <c:smooth val="0"/>
          <c:extLst>
            <c:ext xmlns:c16="http://schemas.microsoft.com/office/drawing/2014/chart" uri="{C3380CC4-5D6E-409C-BE32-E72D297353CC}">
              <c16:uniqueId val="{00000002-CCA3-4759-82DE-DEAFC15BCEFF}"/>
            </c:ext>
          </c:extLst>
        </c:ser>
        <c:ser>
          <c:idx val="3"/>
          <c:order val="3"/>
          <c:tx>
            <c:strRef>
              <c:f>'transfert 200'!$E$1</c:f>
              <c:strCache>
                <c:ptCount val="1"/>
                <c:pt idx="0">
                  <c:v>Connecteur 4</c:v>
                </c:pt>
              </c:strCache>
            </c:strRef>
          </c:tx>
          <c:marker>
            <c:symbol val="none"/>
          </c:marker>
          <c:cat>
            <c:numRef>
              <c:f>'transfert 200'!$A$2</c:f>
              <c:numCache>
                <c:formatCode>@</c:formatCode>
                <c:ptCount val="1"/>
              </c:numCache>
            </c:numRef>
          </c:cat>
          <c:val>
            <c:numRef>
              <c:f>'transfert 200'!$E$2</c:f>
              <c:numCache>
                <c:formatCode>General</c:formatCode>
                <c:ptCount val="1"/>
              </c:numCache>
            </c:numRef>
          </c:val>
          <c:smooth val="0"/>
          <c:extLst>
            <c:ext xmlns:c16="http://schemas.microsoft.com/office/drawing/2014/chart" uri="{C3380CC4-5D6E-409C-BE32-E72D297353CC}">
              <c16:uniqueId val="{00000003-CCA3-4759-82DE-DEAFC15BCEFF}"/>
            </c:ext>
          </c:extLst>
        </c:ser>
        <c:ser>
          <c:idx val="4"/>
          <c:order val="4"/>
          <c:tx>
            <c:strRef>
              <c:f>'transfert 200'!$F$1</c:f>
              <c:strCache>
                <c:ptCount val="1"/>
                <c:pt idx="0">
                  <c:v>Connecteur 5</c:v>
                </c:pt>
              </c:strCache>
            </c:strRef>
          </c:tx>
          <c:marker>
            <c:symbol val="none"/>
          </c:marker>
          <c:cat>
            <c:numRef>
              <c:f>'transfert 200'!$A$2</c:f>
              <c:numCache>
                <c:formatCode>@</c:formatCode>
                <c:ptCount val="1"/>
              </c:numCache>
            </c:numRef>
          </c:cat>
          <c:val>
            <c:numRef>
              <c:f>'transfert 200'!$F$2</c:f>
              <c:numCache>
                <c:formatCode>General</c:formatCode>
                <c:ptCount val="1"/>
              </c:numCache>
            </c:numRef>
          </c:val>
          <c:smooth val="0"/>
          <c:extLst>
            <c:ext xmlns:c16="http://schemas.microsoft.com/office/drawing/2014/chart" uri="{C3380CC4-5D6E-409C-BE32-E72D297353CC}">
              <c16:uniqueId val="{00000004-CCA3-4759-82DE-DEAFC15BCEFF}"/>
            </c:ext>
          </c:extLst>
        </c:ser>
        <c:ser>
          <c:idx val="5"/>
          <c:order val="5"/>
          <c:tx>
            <c:strRef>
              <c:f>'transfert 200'!$G$1</c:f>
              <c:strCache>
                <c:ptCount val="1"/>
                <c:pt idx="0">
                  <c:v>Connecteur 6</c:v>
                </c:pt>
              </c:strCache>
            </c:strRef>
          </c:tx>
          <c:marker>
            <c:symbol val="none"/>
          </c:marker>
          <c:cat>
            <c:numRef>
              <c:f>'transfert 200'!$A$2</c:f>
              <c:numCache>
                <c:formatCode>@</c:formatCode>
                <c:ptCount val="1"/>
              </c:numCache>
            </c:numRef>
          </c:cat>
          <c:val>
            <c:numRef>
              <c:f>'transfert 200'!$G$2</c:f>
              <c:numCache>
                <c:formatCode>General</c:formatCode>
                <c:ptCount val="1"/>
              </c:numCache>
            </c:numRef>
          </c:val>
          <c:smooth val="0"/>
          <c:extLst>
            <c:ext xmlns:c16="http://schemas.microsoft.com/office/drawing/2014/chart" uri="{C3380CC4-5D6E-409C-BE32-E72D297353CC}">
              <c16:uniqueId val="{00000005-CCA3-4759-82DE-DEAFC15BCEFF}"/>
            </c:ext>
          </c:extLst>
        </c:ser>
        <c:ser>
          <c:idx val="6"/>
          <c:order val="6"/>
          <c:tx>
            <c:strRef>
              <c:f>'transfert 200'!$H$1</c:f>
              <c:strCache>
                <c:ptCount val="1"/>
                <c:pt idx="0">
                  <c:v>Connecteur 7</c:v>
                </c:pt>
              </c:strCache>
            </c:strRef>
          </c:tx>
          <c:marker>
            <c:symbol val="none"/>
          </c:marker>
          <c:cat>
            <c:numRef>
              <c:f>'transfert 200'!$A$2</c:f>
              <c:numCache>
                <c:formatCode>@</c:formatCode>
                <c:ptCount val="1"/>
              </c:numCache>
            </c:numRef>
          </c:cat>
          <c:val>
            <c:numRef>
              <c:f>'transfert 200'!$H$2</c:f>
              <c:numCache>
                <c:formatCode>General</c:formatCode>
                <c:ptCount val="1"/>
              </c:numCache>
            </c:numRef>
          </c:val>
          <c:smooth val="0"/>
          <c:extLst>
            <c:ext xmlns:c16="http://schemas.microsoft.com/office/drawing/2014/chart" uri="{C3380CC4-5D6E-409C-BE32-E72D297353CC}">
              <c16:uniqueId val="{00000006-CCA3-4759-82DE-DEAFC15BCEFF}"/>
            </c:ext>
          </c:extLst>
        </c:ser>
        <c:ser>
          <c:idx val="7"/>
          <c:order val="7"/>
          <c:tx>
            <c:strRef>
              <c:f>'transfert 200'!$I$1</c:f>
              <c:strCache>
                <c:ptCount val="1"/>
                <c:pt idx="0">
                  <c:v>Connecteur 8</c:v>
                </c:pt>
              </c:strCache>
            </c:strRef>
          </c:tx>
          <c:marker>
            <c:symbol val="none"/>
          </c:marker>
          <c:cat>
            <c:numRef>
              <c:f>'transfert 200'!$A$2</c:f>
              <c:numCache>
                <c:formatCode>@</c:formatCode>
                <c:ptCount val="1"/>
              </c:numCache>
            </c:numRef>
          </c:cat>
          <c:val>
            <c:numRef>
              <c:f>'transfert 200'!$I$2</c:f>
              <c:numCache>
                <c:formatCode>General</c:formatCode>
                <c:ptCount val="1"/>
              </c:numCache>
            </c:numRef>
          </c:val>
          <c:smooth val="0"/>
          <c:extLst>
            <c:ext xmlns:c16="http://schemas.microsoft.com/office/drawing/2014/chart" uri="{C3380CC4-5D6E-409C-BE32-E72D297353CC}">
              <c16:uniqueId val="{00000007-CCA3-4759-82DE-DEAFC15BCEFF}"/>
            </c:ext>
          </c:extLst>
        </c:ser>
        <c:ser>
          <c:idx val="8"/>
          <c:order val="8"/>
          <c:tx>
            <c:strRef>
              <c:f>'transfert 200'!$J$1</c:f>
              <c:strCache>
                <c:ptCount val="1"/>
                <c:pt idx="0">
                  <c:v>Connecteur 9</c:v>
                </c:pt>
              </c:strCache>
            </c:strRef>
          </c:tx>
          <c:marker>
            <c:symbol val="none"/>
          </c:marker>
          <c:cat>
            <c:numRef>
              <c:f>'transfert 200'!$A$2</c:f>
              <c:numCache>
                <c:formatCode>@</c:formatCode>
                <c:ptCount val="1"/>
              </c:numCache>
            </c:numRef>
          </c:cat>
          <c:val>
            <c:numRef>
              <c:f>'transfert 200'!$J$2</c:f>
              <c:numCache>
                <c:formatCode>General</c:formatCode>
                <c:ptCount val="1"/>
              </c:numCache>
            </c:numRef>
          </c:val>
          <c:smooth val="0"/>
          <c:extLst>
            <c:ext xmlns:c16="http://schemas.microsoft.com/office/drawing/2014/chart" uri="{C3380CC4-5D6E-409C-BE32-E72D297353CC}">
              <c16:uniqueId val="{00000008-CCA3-4759-82DE-DEAFC15BCEFF}"/>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1"/>
        <c:noMultiLvlLbl val="0"/>
      </c:catAx>
      <c:valAx>
        <c:axId val="329597576"/>
        <c:scaling>
          <c:orientation val="minMax"/>
          <c:max val="205"/>
          <c:min val="170"/>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3396105590315928"/>
          <c:h val="0.87729964343500444"/>
        </c:manualLayout>
      </c:layout>
      <c:lineChart>
        <c:grouping val="standard"/>
        <c:varyColors val="0"/>
        <c:ser>
          <c:idx val="0"/>
          <c:order val="0"/>
          <c:tx>
            <c:strRef>
              <c:f>'transfert 385'!$B$1</c:f>
              <c:strCache>
                <c:ptCount val="1"/>
                <c:pt idx="0">
                  <c:v>Connecteur 1</c:v>
                </c:pt>
              </c:strCache>
            </c:strRef>
          </c:tx>
          <c:marker>
            <c:symbol val="none"/>
          </c:marker>
          <c:cat>
            <c:numRef>
              <c:f>'transfert 385'!$A$2</c:f>
              <c:numCache>
                <c:formatCode>@</c:formatCode>
                <c:ptCount val="1"/>
              </c:numCache>
            </c:numRef>
          </c:cat>
          <c:val>
            <c:numRef>
              <c:f>'transfert 385'!$B$2</c:f>
              <c:numCache>
                <c:formatCode>General</c:formatCode>
                <c:ptCount val="1"/>
              </c:numCache>
            </c:numRef>
          </c:val>
          <c:smooth val="0"/>
          <c:extLst xmlns:c15="http://schemas.microsoft.com/office/drawing/2012/chart">
            <c:ext xmlns:c16="http://schemas.microsoft.com/office/drawing/2014/chart" uri="{C3380CC4-5D6E-409C-BE32-E72D297353CC}">
              <c16:uniqueId val="{00000000-AB9B-47FF-B9BB-BD36595189BF}"/>
            </c:ext>
          </c:extLst>
        </c:ser>
        <c:ser>
          <c:idx val="1"/>
          <c:order val="1"/>
          <c:tx>
            <c:strRef>
              <c:f>'transfert 385'!$C$1</c:f>
              <c:strCache>
                <c:ptCount val="1"/>
                <c:pt idx="0">
                  <c:v>Connecteur 2</c:v>
                </c:pt>
              </c:strCache>
            </c:strRef>
          </c:tx>
          <c:marker>
            <c:symbol val="none"/>
          </c:marker>
          <c:cat>
            <c:numRef>
              <c:f>'transfert 385'!$A$2</c:f>
              <c:numCache>
                <c:formatCode>@</c:formatCode>
                <c:ptCount val="1"/>
              </c:numCache>
            </c:numRef>
          </c:cat>
          <c:val>
            <c:numRef>
              <c:f>'transfert 385'!$C$2</c:f>
              <c:numCache>
                <c:formatCode>General</c:formatCode>
                <c:ptCount val="1"/>
              </c:numCache>
            </c:numRef>
          </c:val>
          <c:smooth val="0"/>
          <c:extLst>
            <c:ext xmlns:c16="http://schemas.microsoft.com/office/drawing/2014/chart" uri="{C3380CC4-5D6E-409C-BE32-E72D297353CC}">
              <c16:uniqueId val="{00000001-AB9B-47FF-B9BB-BD36595189BF}"/>
            </c:ext>
          </c:extLst>
        </c:ser>
        <c:ser>
          <c:idx val="2"/>
          <c:order val="2"/>
          <c:tx>
            <c:strRef>
              <c:f>'transfert 385'!$D$1</c:f>
              <c:strCache>
                <c:ptCount val="1"/>
                <c:pt idx="0">
                  <c:v>Connecteur 3</c:v>
                </c:pt>
              </c:strCache>
            </c:strRef>
          </c:tx>
          <c:marker>
            <c:symbol val="none"/>
          </c:marker>
          <c:cat>
            <c:numRef>
              <c:f>'transfert 385'!$A$2</c:f>
              <c:numCache>
                <c:formatCode>@</c:formatCode>
                <c:ptCount val="1"/>
              </c:numCache>
            </c:numRef>
          </c:cat>
          <c:val>
            <c:numRef>
              <c:f>'transfert 385'!$D$2</c:f>
              <c:numCache>
                <c:formatCode>General</c:formatCode>
                <c:ptCount val="1"/>
              </c:numCache>
            </c:numRef>
          </c:val>
          <c:smooth val="0"/>
          <c:extLst>
            <c:ext xmlns:c16="http://schemas.microsoft.com/office/drawing/2014/chart" uri="{C3380CC4-5D6E-409C-BE32-E72D297353CC}">
              <c16:uniqueId val="{00000002-AB9B-47FF-B9BB-BD36595189BF}"/>
            </c:ext>
          </c:extLst>
        </c:ser>
        <c:ser>
          <c:idx val="3"/>
          <c:order val="3"/>
          <c:tx>
            <c:strRef>
              <c:f>'transfert 385'!$E$1</c:f>
              <c:strCache>
                <c:ptCount val="1"/>
                <c:pt idx="0">
                  <c:v>Connecteur 4</c:v>
                </c:pt>
              </c:strCache>
            </c:strRef>
          </c:tx>
          <c:marker>
            <c:symbol val="none"/>
          </c:marker>
          <c:cat>
            <c:numRef>
              <c:f>'transfert 385'!$A$2</c:f>
              <c:numCache>
                <c:formatCode>@</c:formatCode>
                <c:ptCount val="1"/>
              </c:numCache>
            </c:numRef>
          </c:cat>
          <c:val>
            <c:numRef>
              <c:f>'transfert 385'!$E$2</c:f>
              <c:numCache>
                <c:formatCode>General</c:formatCode>
                <c:ptCount val="1"/>
              </c:numCache>
            </c:numRef>
          </c:val>
          <c:smooth val="0"/>
          <c:extLst>
            <c:ext xmlns:c16="http://schemas.microsoft.com/office/drawing/2014/chart" uri="{C3380CC4-5D6E-409C-BE32-E72D297353CC}">
              <c16:uniqueId val="{00000003-AB9B-47FF-B9BB-BD36595189BF}"/>
            </c:ext>
          </c:extLst>
        </c:ser>
        <c:ser>
          <c:idx val="4"/>
          <c:order val="4"/>
          <c:tx>
            <c:strRef>
              <c:f>'transfert 385'!$F$1</c:f>
              <c:strCache>
                <c:ptCount val="1"/>
                <c:pt idx="0">
                  <c:v>Connecteur 5</c:v>
                </c:pt>
              </c:strCache>
            </c:strRef>
          </c:tx>
          <c:marker>
            <c:symbol val="none"/>
          </c:marker>
          <c:cat>
            <c:numRef>
              <c:f>'transfert 385'!$A$2</c:f>
              <c:numCache>
                <c:formatCode>@</c:formatCode>
                <c:ptCount val="1"/>
              </c:numCache>
            </c:numRef>
          </c:cat>
          <c:val>
            <c:numRef>
              <c:f>'transfert 385'!$F$2</c:f>
              <c:numCache>
                <c:formatCode>General</c:formatCode>
                <c:ptCount val="1"/>
              </c:numCache>
            </c:numRef>
          </c:val>
          <c:smooth val="0"/>
          <c:extLst>
            <c:ext xmlns:c16="http://schemas.microsoft.com/office/drawing/2014/chart" uri="{C3380CC4-5D6E-409C-BE32-E72D297353CC}">
              <c16:uniqueId val="{00000004-AB9B-47FF-B9BB-BD36595189BF}"/>
            </c:ext>
          </c:extLst>
        </c:ser>
        <c:ser>
          <c:idx val="5"/>
          <c:order val="5"/>
          <c:tx>
            <c:strRef>
              <c:f>'transfert 385'!$G$1</c:f>
              <c:strCache>
                <c:ptCount val="1"/>
                <c:pt idx="0">
                  <c:v>Connecteur 6</c:v>
                </c:pt>
              </c:strCache>
            </c:strRef>
          </c:tx>
          <c:marker>
            <c:symbol val="none"/>
          </c:marker>
          <c:cat>
            <c:numRef>
              <c:f>'transfert 385'!$A$2</c:f>
              <c:numCache>
                <c:formatCode>@</c:formatCode>
                <c:ptCount val="1"/>
              </c:numCache>
            </c:numRef>
          </c:cat>
          <c:val>
            <c:numRef>
              <c:f>'transfert 385'!$G$2</c:f>
              <c:numCache>
                <c:formatCode>General</c:formatCode>
                <c:ptCount val="1"/>
              </c:numCache>
            </c:numRef>
          </c:val>
          <c:smooth val="0"/>
          <c:extLst>
            <c:ext xmlns:c16="http://schemas.microsoft.com/office/drawing/2014/chart" uri="{C3380CC4-5D6E-409C-BE32-E72D297353CC}">
              <c16:uniqueId val="{00000005-AB9B-47FF-B9BB-BD36595189BF}"/>
            </c:ext>
          </c:extLst>
        </c:ser>
        <c:ser>
          <c:idx val="6"/>
          <c:order val="6"/>
          <c:tx>
            <c:strRef>
              <c:f>'transfert 385'!$H$1</c:f>
              <c:strCache>
                <c:ptCount val="1"/>
                <c:pt idx="0">
                  <c:v>Connecteur 7</c:v>
                </c:pt>
              </c:strCache>
            </c:strRef>
          </c:tx>
          <c:marker>
            <c:symbol val="none"/>
          </c:marker>
          <c:cat>
            <c:numRef>
              <c:f>'transfert 385'!$A$2</c:f>
              <c:numCache>
                <c:formatCode>@</c:formatCode>
                <c:ptCount val="1"/>
              </c:numCache>
            </c:numRef>
          </c:cat>
          <c:val>
            <c:numRef>
              <c:f>'transfert 385'!$H$2</c:f>
              <c:numCache>
                <c:formatCode>General</c:formatCode>
                <c:ptCount val="1"/>
              </c:numCache>
            </c:numRef>
          </c:val>
          <c:smooth val="0"/>
          <c:extLst>
            <c:ext xmlns:c16="http://schemas.microsoft.com/office/drawing/2014/chart" uri="{C3380CC4-5D6E-409C-BE32-E72D297353CC}">
              <c16:uniqueId val="{00000006-AB9B-47FF-B9BB-BD36595189BF}"/>
            </c:ext>
          </c:extLst>
        </c:ser>
        <c:ser>
          <c:idx val="7"/>
          <c:order val="7"/>
          <c:tx>
            <c:strRef>
              <c:f>'transfert 385'!$I$1</c:f>
              <c:strCache>
                <c:ptCount val="1"/>
                <c:pt idx="0">
                  <c:v>Connecteur 8</c:v>
                </c:pt>
              </c:strCache>
            </c:strRef>
          </c:tx>
          <c:marker>
            <c:symbol val="none"/>
          </c:marker>
          <c:cat>
            <c:numRef>
              <c:f>'transfert 385'!$A$2</c:f>
              <c:numCache>
                <c:formatCode>@</c:formatCode>
                <c:ptCount val="1"/>
              </c:numCache>
            </c:numRef>
          </c:cat>
          <c:val>
            <c:numRef>
              <c:f>'transfert 385'!$I$2</c:f>
              <c:numCache>
                <c:formatCode>General</c:formatCode>
                <c:ptCount val="1"/>
              </c:numCache>
            </c:numRef>
          </c:val>
          <c:smooth val="0"/>
          <c:extLst>
            <c:ext xmlns:c16="http://schemas.microsoft.com/office/drawing/2014/chart" uri="{C3380CC4-5D6E-409C-BE32-E72D297353CC}">
              <c16:uniqueId val="{00000007-AB9B-47FF-B9BB-BD36595189BF}"/>
            </c:ext>
          </c:extLst>
        </c:ser>
        <c:ser>
          <c:idx val="8"/>
          <c:order val="8"/>
          <c:tx>
            <c:strRef>
              <c:f>'transfert 385'!$J$1</c:f>
              <c:strCache>
                <c:ptCount val="1"/>
                <c:pt idx="0">
                  <c:v>Connecteur 9</c:v>
                </c:pt>
              </c:strCache>
            </c:strRef>
          </c:tx>
          <c:marker>
            <c:symbol val="none"/>
          </c:marker>
          <c:cat>
            <c:numRef>
              <c:f>'transfert 385'!$A$2</c:f>
              <c:numCache>
                <c:formatCode>@</c:formatCode>
                <c:ptCount val="1"/>
              </c:numCache>
            </c:numRef>
          </c:cat>
          <c:val>
            <c:numRef>
              <c:f>'transfert 385'!$J$2</c:f>
              <c:numCache>
                <c:formatCode>General</c:formatCode>
                <c:ptCount val="1"/>
              </c:numCache>
            </c:numRef>
          </c:val>
          <c:smooth val="0"/>
          <c:extLst>
            <c:ext xmlns:c16="http://schemas.microsoft.com/office/drawing/2014/chart" uri="{C3380CC4-5D6E-409C-BE32-E72D297353CC}">
              <c16:uniqueId val="{00000008-AB9B-47FF-B9BB-BD36595189BF}"/>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2"/>
        <c:noMultiLvlLbl val="0"/>
      </c:catAx>
      <c:valAx>
        <c:axId val="329597576"/>
        <c:scaling>
          <c:orientation val="minMax"/>
          <c:max val="390"/>
          <c:min val="335"/>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5343467606237196E-2"/>
          <c:y val="3.7448979808646393E-2"/>
          <c:w val="0.82810529572716052"/>
          <c:h val="0.86407026221163985"/>
        </c:manualLayout>
      </c:layout>
      <c:lineChart>
        <c:grouping val="standard"/>
        <c:varyColors val="0"/>
        <c:ser>
          <c:idx val="0"/>
          <c:order val="0"/>
          <c:tx>
            <c:strRef>
              <c:f>'transfert 535'!$B$1</c:f>
              <c:strCache>
                <c:ptCount val="1"/>
                <c:pt idx="0">
                  <c:v>Connecteur 1</c:v>
                </c:pt>
              </c:strCache>
            </c:strRef>
          </c:tx>
          <c:marker>
            <c:symbol val="none"/>
          </c:marker>
          <c:cat>
            <c:numRef>
              <c:f>'transfert 535'!$A$2</c:f>
              <c:numCache>
                <c:formatCode>@</c:formatCode>
                <c:ptCount val="1"/>
              </c:numCache>
            </c:numRef>
          </c:cat>
          <c:val>
            <c:numRef>
              <c:f>'transfert 535'!$B$2</c:f>
              <c:numCache>
                <c:formatCode>General</c:formatCode>
                <c:ptCount val="1"/>
              </c:numCache>
            </c:numRef>
          </c:val>
          <c:smooth val="0"/>
          <c:extLst xmlns:c15="http://schemas.microsoft.com/office/drawing/2012/chart">
            <c:ext xmlns:c16="http://schemas.microsoft.com/office/drawing/2014/chart" uri="{C3380CC4-5D6E-409C-BE32-E72D297353CC}">
              <c16:uniqueId val="{00000000-BCBA-41E8-910D-6E18D349E194}"/>
            </c:ext>
          </c:extLst>
        </c:ser>
        <c:ser>
          <c:idx val="1"/>
          <c:order val="1"/>
          <c:tx>
            <c:strRef>
              <c:f>'transfert 535'!$C$1</c:f>
              <c:strCache>
                <c:ptCount val="1"/>
                <c:pt idx="0">
                  <c:v>Connecteur 2</c:v>
                </c:pt>
              </c:strCache>
            </c:strRef>
          </c:tx>
          <c:marker>
            <c:symbol val="none"/>
          </c:marker>
          <c:cat>
            <c:numRef>
              <c:f>'transfert 535'!$A$2</c:f>
              <c:numCache>
                <c:formatCode>@</c:formatCode>
                <c:ptCount val="1"/>
              </c:numCache>
            </c:numRef>
          </c:cat>
          <c:val>
            <c:numRef>
              <c:f>'transfert 535'!$C$2</c:f>
              <c:numCache>
                <c:formatCode>General</c:formatCode>
                <c:ptCount val="1"/>
              </c:numCache>
            </c:numRef>
          </c:val>
          <c:smooth val="0"/>
          <c:extLst>
            <c:ext xmlns:c16="http://schemas.microsoft.com/office/drawing/2014/chart" uri="{C3380CC4-5D6E-409C-BE32-E72D297353CC}">
              <c16:uniqueId val="{00000001-BCBA-41E8-910D-6E18D349E194}"/>
            </c:ext>
          </c:extLst>
        </c:ser>
        <c:ser>
          <c:idx val="2"/>
          <c:order val="2"/>
          <c:tx>
            <c:strRef>
              <c:f>'transfert 535'!$D$1</c:f>
              <c:strCache>
                <c:ptCount val="1"/>
                <c:pt idx="0">
                  <c:v>Connecteur 3</c:v>
                </c:pt>
              </c:strCache>
            </c:strRef>
          </c:tx>
          <c:marker>
            <c:symbol val="none"/>
          </c:marker>
          <c:cat>
            <c:numRef>
              <c:f>'transfert 535'!$A$2</c:f>
              <c:numCache>
                <c:formatCode>@</c:formatCode>
                <c:ptCount val="1"/>
              </c:numCache>
            </c:numRef>
          </c:cat>
          <c:val>
            <c:numRef>
              <c:f>'transfert 535'!$D$2</c:f>
              <c:numCache>
                <c:formatCode>General</c:formatCode>
                <c:ptCount val="1"/>
              </c:numCache>
            </c:numRef>
          </c:val>
          <c:smooth val="0"/>
          <c:extLst>
            <c:ext xmlns:c16="http://schemas.microsoft.com/office/drawing/2014/chart" uri="{C3380CC4-5D6E-409C-BE32-E72D297353CC}">
              <c16:uniqueId val="{00000002-BCBA-41E8-910D-6E18D349E194}"/>
            </c:ext>
          </c:extLst>
        </c:ser>
        <c:ser>
          <c:idx val="3"/>
          <c:order val="3"/>
          <c:tx>
            <c:strRef>
              <c:f>'transfert 535'!$E$1</c:f>
              <c:strCache>
                <c:ptCount val="1"/>
                <c:pt idx="0">
                  <c:v>Connecteur 4</c:v>
                </c:pt>
              </c:strCache>
            </c:strRef>
          </c:tx>
          <c:marker>
            <c:symbol val="none"/>
          </c:marker>
          <c:cat>
            <c:numRef>
              <c:f>'transfert 535'!$A$2</c:f>
              <c:numCache>
                <c:formatCode>@</c:formatCode>
                <c:ptCount val="1"/>
              </c:numCache>
            </c:numRef>
          </c:cat>
          <c:val>
            <c:numRef>
              <c:f>'transfert 535'!$E$2</c:f>
              <c:numCache>
                <c:formatCode>General</c:formatCode>
                <c:ptCount val="1"/>
              </c:numCache>
            </c:numRef>
          </c:val>
          <c:smooth val="0"/>
          <c:extLst>
            <c:ext xmlns:c16="http://schemas.microsoft.com/office/drawing/2014/chart" uri="{C3380CC4-5D6E-409C-BE32-E72D297353CC}">
              <c16:uniqueId val="{00000003-BCBA-41E8-910D-6E18D349E194}"/>
            </c:ext>
          </c:extLst>
        </c:ser>
        <c:ser>
          <c:idx val="4"/>
          <c:order val="4"/>
          <c:tx>
            <c:strRef>
              <c:f>'transfert 535'!$F$1</c:f>
              <c:strCache>
                <c:ptCount val="1"/>
                <c:pt idx="0">
                  <c:v>Connecteur 5</c:v>
                </c:pt>
              </c:strCache>
            </c:strRef>
          </c:tx>
          <c:marker>
            <c:symbol val="none"/>
          </c:marker>
          <c:cat>
            <c:numRef>
              <c:f>'transfert 535'!$A$2</c:f>
              <c:numCache>
                <c:formatCode>@</c:formatCode>
                <c:ptCount val="1"/>
              </c:numCache>
            </c:numRef>
          </c:cat>
          <c:val>
            <c:numRef>
              <c:f>'transfert 535'!$F$2</c:f>
              <c:numCache>
                <c:formatCode>General</c:formatCode>
                <c:ptCount val="1"/>
              </c:numCache>
            </c:numRef>
          </c:val>
          <c:smooth val="0"/>
          <c:extLst>
            <c:ext xmlns:c16="http://schemas.microsoft.com/office/drawing/2014/chart" uri="{C3380CC4-5D6E-409C-BE32-E72D297353CC}">
              <c16:uniqueId val="{00000004-BCBA-41E8-910D-6E18D349E194}"/>
            </c:ext>
          </c:extLst>
        </c:ser>
        <c:ser>
          <c:idx val="5"/>
          <c:order val="5"/>
          <c:tx>
            <c:strRef>
              <c:f>'transfert 535'!$G$1</c:f>
              <c:strCache>
                <c:ptCount val="1"/>
                <c:pt idx="0">
                  <c:v>Connecteur 6</c:v>
                </c:pt>
              </c:strCache>
            </c:strRef>
          </c:tx>
          <c:marker>
            <c:symbol val="none"/>
          </c:marker>
          <c:cat>
            <c:numRef>
              <c:f>'transfert 535'!$A$2</c:f>
              <c:numCache>
                <c:formatCode>@</c:formatCode>
                <c:ptCount val="1"/>
              </c:numCache>
            </c:numRef>
          </c:cat>
          <c:val>
            <c:numRef>
              <c:f>'transfert 535'!$G$2</c:f>
              <c:numCache>
                <c:formatCode>General</c:formatCode>
                <c:ptCount val="1"/>
              </c:numCache>
            </c:numRef>
          </c:val>
          <c:smooth val="0"/>
          <c:extLst>
            <c:ext xmlns:c16="http://schemas.microsoft.com/office/drawing/2014/chart" uri="{C3380CC4-5D6E-409C-BE32-E72D297353CC}">
              <c16:uniqueId val="{00000005-BCBA-41E8-910D-6E18D349E194}"/>
            </c:ext>
          </c:extLst>
        </c:ser>
        <c:ser>
          <c:idx val="6"/>
          <c:order val="6"/>
          <c:tx>
            <c:strRef>
              <c:f>'transfert 535'!$H$1</c:f>
              <c:strCache>
                <c:ptCount val="1"/>
                <c:pt idx="0">
                  <c:v>Connecteur 7</c:v>
                </c:pt>
              </c:strCache>
            </c:strRef>
          </c:tx>
          <c:marker>
            <c:symbol val="none"/>
          </c:marker>
          <c:cat>
            <c:numRef>
              <c:f>'transfert 535'!$A$2</c:f>
              <c:numCache>
                <c:formatCode>@</c:formatCode>
                <c:ptCount val="1"/>
              </c:numCache>
            </c:numRef>
          </c:cat>
          <c:val>
            <c:numRef>
              <c:f>'transfert 535'!$H$2</c:f>
              <c:numCache>
                <c:formatCode>General</c:formatCode>
                <c:ptCount val="1"/>
              </c:numCache>
            </c:numRef>
          </c:val>
          <c:smooth val="0"/>
          <c:extLst>
            <c:ext xmlns:c16="http://schemas.microsoft.com/office/drawing/2014/chart" uri="{C3380CC4-5D6E-409C-BE32-E72D297353CC}">
              <c16:uniqueId val="{00000006-BCBA-41E8-910D-6E18D349E194}"/>
            </c:ext>
          </c:extLst>
        </c:ser>
        <c:ser>
          <c:idx val="7"/>
          <c:order val="7"/>
          <c:tx>
            <c:strRef>
              <c:f>'transfert 535'!$I$1</c:f>
              <c:strCache>
                <c:ptCount val="1"/>
                <c:pt idx="0">
                  <c:v>Connecteur 8</c:v>
                </c:pt>
              </c:strCache>
            </c:strRef>
          </c:tx>
          <c:marker>
            <c:symbol val="none"/>
          </c:marker>
          <c:cat>
            <c:numRef>
              <c:f>'transfert 535'!$A$2</c:f>
              <c:numCache>
                <c:formatCode>@</c:formatCode>
                <c:ptCount val="1"/>
              </c:numCache>
            </c:numRef>
          </c:cat>
          <c:val>
            <c:numRef>
              <c:f>'transfert 535'!$I$2</c:f>
              <c:numCache>
                <c:formatCode>General</c:formatCode>
                <c:ptCount val="1"/>
              </c:numCache>
            </c:numRef>
          </c:val>
          <c:smooth val="0"/>
          <c:extLst>
            <c:ext xmlns:c16="http://schemas.microsoft.com/office/drawing/2014/chart" uri="{C3380CC4-5D6E-409C-BE32-E72D297353CC}">
              <c16:uniqueId val="{00000007-BCBA-41E8-910D-6E18D349E194}"/>
            </c:ext>
          </c:extLst>
        </c:ser>
        <c:ser>
          <c:idx val="8"/>
          <c:order val="8"/>
          <c:tx>
            <c:strRef>
              <c:f>'transfert 535'!$J$1</c:f>
              <c:strCache>
                <c:ptCount val="1"/>
                <c:pt idx="0">
                  <c:v>Connecteur 9</c:v>
                </c:pt>
              </c:strCache>
            </c:strRef>
          </c:tx>
          <c:marker>
            <c:symbol val="none"/>
          </c:marker>
          <c:cat>
            <c:numRef>
              <c:f>'transfert 535'!$A$2</c:f>
              <c:numCache>
                <c:formatCode>@</c:formatCode>
                <c:ptCount val="1"/>
              </c:numCache>
            </c:numRef>
          </c:cat>
          <c:val>
            <c:numRef>
              <c:f>'transfert 535'!$J$2</c:f>
              <c:numCache>
                <c:formatCode>General</c:formatCode>
                <c:ptCount val="1"/>
              </c:numCache>
            </c:numRef>
          </c:val>
          <c:smooth val="0"/>
          <c:extLst>
            <c:ext xmlns:c16="http://schemas.microsoft.com/office/drawing/2014/chart" uri="{C3380CC4-5D6E-409C-BE32-E72D297353CC}">
              <c16:uniqueId val="{00000008-BCBA-41E8-910D-6E18D349E194}"/>
            </c:ext>
          </c:extLst>
        </c:ser>
        <c:dLbls>
          <c:showLegendKey val="0"/>
          <c:showVal val="0"/>
          <c:showCatName val="0"/>
          <c:showSerName val="0"/>
          <c:showPercent val="0"/>
          <c:showBubbleSize val="0"/>
        </c:dLbls>
        <c:smooth val="0"/>
        <c:axId val="329598360"/>
        <c:axId val="330390600"/>
        <c:extLst/>
      </c:lineChart>
      <c:catAx>
        <c:axId val="329598360"/>
        <c:scaling>
          <c:orientation val="minMax"/>
          <c:min val="1"/>
        </c:scaling>
        <c:delete val="0"/>
        <c:axPos val="b"/>
        <c:numFmt formatCode="d/m/yy\ h:mm;@" sourceLinked="0"/>
        <c:majorTickMark val="out"/>
        <c:minorTickMark val="none"/>
        <c:tickLblPos val="nextTo"/>
        <c:crossAx val="330390600"/>
        <c:crosses val="autoZero"/>
        <c:auto val="0"/>
        <c:lblAlgn val="ctr"/>
        <c:lblOffset val="100"/>
        <c:tickMarkSkip val="2"/>
        <c:noMultiLvlLbl val="0"/>
      </c:catAx>
      <c:valAx>
        <c:axId val="330390600"/>
        <c:scaling>
          <c:orientation val="minMax"/>
          <c:max val="540"/>
          <c:min val="485"/>
        </c:scaling>
        <c:delete val="0"/>
        <c:axPos val="l"/>
        <c:majorGridlines/>
        <c:numFmt formatCode="General" sourceLinked="1"/>
        <c:majorTickMark val="out"/>
        <c:minorTickMark val="none"/>
        <c:tickLblPos val="nextTo"/>
        <c:crossAx val="329598360"/>
        <c:crosses val="autoZero"/>
        <c:crossBetween val="between"/>
        <c:majorUnit val="5"/>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3152720339291968E-2"/>
          <c:y val="2.3563396837736728E-2"/>
          <c:w val="0.87654002990548663"/>
          <c:h val="0.82547056772943317"/>
        </c:manualLayout>
      </c:layout>
      <c:lineChart>
        <c:grouping val="standard"/>
        <c:varyColors val="0"/>
        <c:ser>
          <c:idx val="0"/>
          <c:order val="0"/>
          <c:tx>
            <c:strRef>
              <c:f>'transfert 80'!$F$1</c:f>
              <c:strCache>
                <c:ptCount val="1"/>
                <c:pt idx="0">
                  <c:v>Connecteur 5</c:v>
                </c:pt>
              </c:strCache>
            </c:strRef>
          </c:tx>
          <c:marker>
            <c:symbol val="none"/>
          </c:marker>
          <c:val>
            <c:numRef>
              <c:f>'transfert 80'!$F$2</c:f>
              <c:numCache>
                <c:formatCode>General</c:formatCode>
                <c:ptCount val="1"/>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0-F3A7-4533-956A-A326472CF84D}"/>
            </c:ext>
          </c:extLst>
        </c:ser>
        <c:ser>
          <c:idx val="1"/>
          <c:order val="1"/>
          <c:tx>
            <c:strRef>
              <c:f>'transfert 80'!$G$1</c:f>
              <c:strCache>
                <c:ptCount val="1"/>
                <c:pt idx="0">
                  <c:v>Connecteur 6</c:v>
                </c:pt>
              </c:strCache>
            </c:strRef>
          </c:tx>
          <c:marker>
            <c:symbol val="none"/>
          </c:marker>
          <c:val>
            <c:numRef>
              <c:f>'transfert 80'!$G$2</c:f>
              <c:numCache>
                <c:formatCode>General</c:formatCode>
                <c:ptCount val="1"/>
              </c:numCache>
            </c:numRef>
          </c:val>
          <c:smooth val="0"/>
          <c:extLs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1-F3A7-4533-956A-A326472CF84D}"/>
            </c:ext>
          </c:extLst>
        </c:ser>
        <c:ser>
          <c:idx val="2"/>
          <c:order val="2"/>
          <c:tx>
            <c:strRef>
              <c:f>'transfert 80'!$H$1</c:f>
              <c:strCache>
                <c:ptCount val="1"/>
                <c:pt idx="0">
                  <c:v>Connecteur 7</c:v>
                </c:pt>
              </c:strCache>
            </c:strRef>
          </c:tx>
          <c:marker>
            <c:symbol val="none"/>
          </c:marker>
          <c:val>
            <c:numRef>
              <c:f>'transfert 80'!$H$2</c:f>
              <c:numCache>
                <c:formatCode>General</c:formatCode>
                <c:ptCount val="1"/>
              </c:numCache>
            </c:numRef>
          </c:val>
          <c:smooth val="0"/>
          <c:extLs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2-F3A7-4533-956A-A326472CF84D}"/>
            </c:ext>
          </c:extLst>
        </c:ser>
        <c:ser>
          <c:idx val="3"/>
          <c:order val="3"/>
          <c:tx>
            <c:strRef>
              <c:f>'transfert 80'!$I$1</c:f>
              <c:strCache>
                <c:ptCount val="1"/>
                <c:pt idx="0">
                  <c:v>Connecteur 8</c:v>
                </c:pt>
              </c:strCache>
            </c:strRef>
          </c:tx>
          <c:marker>
            <c:symbol val="none"/>
          </c:marker>
          <c:val>
            <c:numRef>
              <c:f>'transfert 80'!$I$2</c:f>
              <c:numCache>
                <c:formatCode>General</c:formatCode>
                <c:ptCount val="1"/>
              </c:numCache>
            </c:numRef>
          </c:val>
          <c:smooth val="0"/>
          <c:extLs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3-F3A7-4533-956A-A326472CF84D}"/>
            </c:ext>
          </c:extLst>
        </c:ser>
        <c:ser>
          <c:idx val="4"/>
          <c:order val="4"/>
          <c:tx>
            <c:strRef>
              <c:f>'transfert 80'!$J$1</c:f>
              <c:strCache>
                <c:ptCount val="1"/>
                <c:pt idx="0">
                  <c:v>Connecteur 9</c:v>
                </c:pt>
              </c:strCache>
            </c:strRef>
          </c:tx>
          <c:marker>
            <c:symbol val="none"/>
          </c:marker>
          <c:val>
            <c:numRef>
              <c:f>'transfert 80'!$J$2</c:f>
              <c:numCache>
                <c:formatCode>General</c:formatCode>
                <c:ptCount val="1"/>
              </c:numCache>
            </c:numRef>
          </c:val>
          <c:smooth val="0"/>
          <c:extLs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4-F3A7-4533-956A-A326472CF84D}"/>
            </c:ext>
          </c:extLst>
        </c:ser>
        <c:dLbls>
          <c:showLegendKey val="0"/>
          <c:showVal val="0"/>
          <c:showCatName val="0"/>
          <c:showSerName val="0"/>
          <c:showPercent val="0"/>
          <c:showBubbleSize val="0"/>
        </c:dLbls>
        <c:smooth val="0"/>
        <c:axId val="329596008"/>
        <c:axId val="329596400"/>
        <c:extLst/>
      </c:lineChart>
      <c:catAx>
        <c:axId val="329596008"/>
        <c:scaling>
          <c:orientation val="minMax"/>
          <c:min val="1"/>
        </c:scaling>
        <c:delete val="0"/>
        <c:axPos val="b"/>
        <c:numFmt formatCode="d/m/yy\ h:mm;@" sourceLinked="0"/>
        <c:majorTickMark val="out"/>
        <c:minorTickMark val="none"/>
        <c:tickLblPos val="nextTo"/>
        <c:spPr>
          <a:ln/>
        </c:spPr>
        <c:crossAx val="329596400"/>
        <c:crosses val="autoZero"/>
        <c:auto val="0"/>
        <c:lblAlgn val="ctr"/>
        <c:lblOffset val="100"/>
        <c:tickMarkSkip val="1"/>
        <c:noMultiLvlLbl val="0"/>
      </c:catAx>
      <c:valAx>
        <c:axId val="329596400"/>
        <c:scaling>
          <c:orientation val="minMax"/>
          <c:max val="85"/>
          <c:min val="35"/>
        </c:scaling>
        <c:delete val="0"/>
        <c:axPos val="l"/>
        <c:majorGridlines/>
        <c:numFmt formatCode="General" sourceLinked="1"/>
        <c:majorTickMark val="out"/>
        <c:minorTickMark val="none"/>
        <c:tickLblPos val="nextTo"/>
        <c:crossAx val="329596008"/>
        <c:crosses val="autoZero"/>
        <c:crossBetween val="between"/>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887114423852841"/>
          <c:h val="0.82771626650337493"/>
        </c:manualLayout>
      </c:layout>
      <c:lineChart>
        <c:grouping val="standard"/>
        <c:varyColors val="0"/>
        <c:ser>
          <c:idx val="0"/>
          <c:order val="0"/>
          <c:tx>
            <c:strRef>
              <c:f>'transfert 200'!$B$1</c:f>
              <c:strCache>
                <c:ptCount val="1"/>
                <c:pt idx="0">
                  <c:v>Connecteur 1</c:v>
                </c:pt>
              </c:strCache>
            </c:strRef>
          </c:tx>
          <c:marker>
            <c:symbol val="none"/>
          </c:marker>
          <c:cat>
            <c:numRef>
              <c:f>'transfert 200'!$A$2</c:f>
              <c:numCache>
                <c:formatCode>@</c:formatCode>
                <c:ptCount val="1"/>
              </c:numCache>
            </c:numRef>
          </c:cat>
          <c:val>
            <c:numRef>
              <c:f>'transfert 200'!$B$2</c:f>
              <c:numCache>
                <c:formatCode>General</c:formatCode>
                <c:ptCount val="1"/>
              </c:numCache>
            </c:numRef>
          </c:val>
          <c:smooth val="0"/>
          <c:extLst xmlns:c15="http://schemas.microsoft.com/office/drawing/2012/chart">
            <c:ext xmlns:c16="http://schemas.microsoft.com/office/drawing/2014/chart" uri="{C3380CC4-5D6E-409C-BE32-E72D297353CC}">
              <c16:uniqueId val="{00000000-B5C6-462F-9759-2EDEB9FDA0AD}"/>
            </c:ext>
          </c:extLst>
        </c:ser>
        <c:ser>
          <c:idx val="1"/>
          <c:order val="1"/>
          <c:tx>
            <c:strRef>
              <c:f>'transfert 200'!$C$1</c:f>
              <c:strCache>
                <c:ptCount val="1"/>
                <c:pt idx="0">
                  <c:v>Connecteur 2</c:v>
                </c:pt>
              </c:strCache>
            </c:strRef>
          </c:tx>
          <c:marker>
            <c:symbol val="none"/>
          </c:marker>
          <c:cat>
            <c:numRef>
              <c:f>'transfert 200'!$A$2</c:f>
              <c:numCache>
                <c:formatCode>@</c:formatCode>
                <c:ptCount val="1"/>
              </c:numCache>
            </c:numRef>
          </c:cat>
          <c:val>
            <c:numRef>
              <c:f>'transfert 200'!$C$2</c:f>
              <c:numCache>
                <c:formatCode>General</c:formatCode>
                <c:ptCount val="1"/>
              </c:numCache>
            </c:numRef>
          </c:val>
          <c:smooth val="0"/>
          <c:extLst>
            <c:ext xmlns:c16="http://schemas.microsoft.com/office/drawing/2014/chart" uri="{C3380CC4-5D6E-409C-BE32-E72D297353CC}">
              <c16:uniqueId val="{00000001-B5C6-462F-9759-2EDEB9FDA0AD}"/>
            </c:ext>
          </c:extLst>
        </c:ser>
        <c:ser>
          <c:idx val="2"/>
          <c:order val="2"/>
          <c:tx>
            <c:strRef>
              <c:f>'transfert 200'!$D$1</c:f>
              <c:strCache>
                <c:ptCount val="1"/>
                <c:pt idx="0">
                  <c:v>Connecteur 3</c:v>
                </c:pt>
              </c:strCache>
            </c:strRef>
          </c:tx>
          <c:marker>
            <c:symbol val="none"/>
          </c:marker>
          <c:cat>
            <c:numRef>
              <c:f>'transfert 200'!$A$2</c:f>
              <c:numCache>
                <c:formatCode>@</c:formatCode>
                <c:ptCount val="1"/>
              </c:numCache>
            </c:numRef>
          </c:cat>
          <c:val>
            <c:numRef>
              <c:f>'transfert 200'!$D$2</c:f>
              <c:numCache>
                <c:formatCode>General</c:formatCode>
                <c:ptCount val="1"/>
              </c:numCache>
            </c:numRef>
          </c:val>
          <c:smooth val="0"/>
          <c:extLst>
            <c:ext xmlns:c16="http://schemas.microsoft.com/office/drawing/2014/chart" uri="{C3380CC4-5D6E-409C-BE32-E72D297353CC}">
              <c16:uniqueId val="{00000002-B5C6-462F-9759-2EDEB9FDA0AD}"/>
            </c:ext>
          </c:extLst>
        </c:ser>
        <c:ser>
          <c:idx val="3"/>
          <c:order val="3"/>
          <c:tx>
            <c:strRef>
              <c:f>'transfert 200'!$E$1</c:f>
              <c:strCache>
                <c:ptCount val="1"/>
                <c:pt idx="0">
                  <c:v>Connecteur 4</c:v>
                </c:pt>
              </c:strCache>
            </c:strRef>
          </c:tx>
          <c:marker>
            <c:symbol val="none"/>
          </c:marker>
          <c:cat>
            <c:numRef>
              <c:f>'transfert 200'!$A$2</c:f>
              <c:numCache>
                <c:formatCode>@</c:formatCode>
                <c:ptCount val="1"/>
              </c:numCache>
            </c:numRef>
          </c:cat>
          <c:val>
            <c:numRef>
              <c:f>'transfert 200'!$E$2</c:f>
              <c:numCache>
                <c:formatCode>General</c:formatCode>
                <c:ptCount val="1"/>
              </c:numCache>
            </c:numRef>
          </c:val>
          <c:smooth val="0"/>
          <c:extLst>
            <c:ext xmlns:c16="http://schemas.microsoft.com/office/drawing/2014/chart" uri="{C3380CC4-5D6E-409C-BE32-E72D297353CC}">
              <c16:uniqueId val="{00000003-B5C6-462F-9759-2EDEB9FDA0AD}"/>
            </c:ext>
          </c:extLst>
        </c:ser>
        <c:ser>
          <c:idx val="4"/>
          <c:order val="4"/>
          <c:tx>
            <c:strRef>
              <c:f>'transfert 200'!$F$1</c:f>
              <c:strCache>
                <c:ptCount val="1"/>
                <c:pt idx="0">
                  <c:v>Connecteur 5</c:v>
                </c:pt>
              </c:strCache>
            </c:strRef>
          </c:tx>
          <c:marker>
            <c:symbol val="none"/>
          </c:marker>
          <c:cat>
            <c:numRef>
              <c:f>'transfert 200'!$A$2</c:f>
              <c:numCache>
                <c:formatCode>@</c:formatCode>
                <c:ptCount val="1"/>
              </c:numCache>
            </c:numRef>
          </c:cat>
          <c:val>
            <c:numRef>
              <c:f>'transfert 200'!$F$2</c:f>
              <c:numCache>
                <c:formatCode>General</c:formatCode>
                <c:ptCount val="1"/>
              </c:numCache>
            </c:numRef>
          </c:val>
          <c:smooth val="0"/>
          <c:extLst>
            <c:ext xmlns:c16="http://schemas.microsoft.com/office/drawing/2014/chart" uri="{C3380CC4-5D6E-409C-BE32-E72D297353CC}">
              <c16:uniqueId val="{00000004-B5C6-462F-9759-2EDEB9FDA0AD}"/>
            </c:ext>
          </c:extLst>
        </c:ser>
        <c:ser>
          <c:idx val="5"/>
          <c:order val="5"/>
          <c:tx>
            <c:strRef>
              <c:f>'transfert 200'!$G$1</c:f>
              <c:strCache>
                <c:ptCount val="1"/>
                <c:pt idx="0">
                  <c:v>Connecteur 6</c:v>
                </c:pt>
              </c:strCache>
            </c:strRef>
          </c:tx>
          <c:marker>
            <c:symbol val="none"/>
          </c:marker>
          <c:cat>
            <c:numRef>
              <c:f>'transfert 200'!$A$2</c:f>
              <c:numCache>
                <c:formatCode>@</c:formatCode>
                <c:ptCount val="1"/>
              </c:numCache>
            </c:numRef>
          </c:cat>
          <c:val>
            <c:numRef>
              <c:f>'transfert 200'!$G$2</c:f>
              <c:numCache>
                <c:formatCode>General</c:formatCode>
                <c:ptCount val="1"/>
              </c:numCache>
            </c:numRef>
          </c:val>
          <c:smooth val="0"/>
          <c:extLst>
            <c:ext xmlns:c16="http://schemas.microsoft.com/office/drawing/2014/chart" uri="{C3380CC4-5D6E-409C-BE32-E72D297353CC}">
              <c16:uniqueId val="{00000005-B5C6-462F-9759-2EDEB9FDA0AD}"/>
            </c:ext>
          </c:extLst>
        </c:ser>
        <c:ser>
          <c:idx val="6"/>
          <c:order val="6"/>
          <c:tx>
            <c:strRef>
              <c:f>'transfert 200'!$H$1</c:f>
              <c:strCache>
                <c:ptCount val="1"/>
                <c:pt idx="0">
                  <c:v>Connecteur 7</c:v>
                </c:pt>
              </c:strCache>
            </c:strRef>
          </c:tx>
          <c:marker>
            <c:symbol val="none"/>
          </c:marker>
          <c:cat>
            <c:numRef>
              <c:f>'transfert 200'!$A$2</c:f>
              <c:numCache>
                <c:formatCode>@</c:formatCode>
                <c:ptCount val="1"/>
              </c:numCache>
            </c:numRef>
          </c:cat>
          <c:val>
            <c:numRef>
              <c:f>'transfert 200'!$H$2</c:f>
              <c:numCache>
                <c:formatCode>General</c:formatCode>
                <c:ptCount val="1"/>
              </c:numCache>
            </c:numRef>
          </c:val>
          <c:smooth val="0"/>
          <c:extLst>
            <c:ext xmlns:c16="http://schemas.microsoft.com/office/drawing/2014/chart" uri="{C3380CC4-5D6E-409C-BE32-E72D297353CC}">
              <c16:uniqueId val="{00000006-B5C6-462F-9759-2EDEB9FDA0AD}"/>
            </c:ext>
          </c:extLst>
        </c:ser>
        <c:ser>
          <c:idx val="7"/>
          <c:order val="7"/>
          <c:tx>
            <c:strRef>
              <c:f>'transfert 200'!$I$1</c:f>
              <c:strCache>
                <c:ptCount val="1"/>
                <c:pt idx="0">
                  <c:v>Connecteur 8</c:v>
                </c:pt>
              </c:strCache>
            </c:strRef>
          </c:tx>
          <c:marker>
            <c:symbol val="none"/>
          </c:marker>
          <c:cat>
            <c:numRef>
              <c:f>'transfert 200'!$A$2</c:f>
              <c:numCache>
                <c:formatCode>@</c:formatCode>
                <c:ptCount val="1"/>
              </c:numCache>
            </c:numRef>
          </c:cat>
          <c:val>
            <c:numRef>
              <c:f>'transfert 200'!$I$2</c:f>
              <c:numCache>
                <c:formatCode>General</c:formatCode>
                <c:ptCount val="1"/>
              </c:numCache>
            </c:numRef>
          </c:val>
          <c:smooth val="0"/>
          <c:extLst>
            <c:ext xmlns:c16="http://schemas.microsoft.com/office/drawing/2014/chart" uri="{C3380CC4-5D6E-409C-BE32-E72D297353CC}">
              <c16:uniqueId val="{00000007-B5C6-462F-9759-2EDEB9FDA0AD}"/>
            </c:ext>
          </c:extLst>
        </c:ser>
        <c:ser>
          <c:idx val="8"/>
          <c:order val="8"/>
          <c:tx>
            <c:strRef>
              <c:f>'transfert 200'!$J$1</c:f>
              <c:strCache>
                <c:ptCount val="1"/>
                <c:pt idx="0">
                  <c:v>Connecteur 9</c:v>
                </c:pt>
              </c:strCache>
            </c:strRef>
          </c:tx>
          <c:marker>
            <c:symbol val="none"/>
          </c:marker>
          <c:cat>
            <c:numRef>
              <c:f>'transfert 200'!$A$2</c:f>
              <c:numCache>
                <c:formatCode>@</c:formatCode>
                <c:ptCount val="1"/>
              </c:numCache>
            </c:numRef>
          </c:cat>
          <c:val>
            <c:numRef>
              <c:f>'transfert 200'!$J$2</c:f>
              <c:numCache>
                <c:formatCode>General</c:formatCode>
                <c:ptCount val="1"/>
              </c:numCache>
            </c:numRef>
          </c:val>
          <c:smooth val="0"/>
          <c:extLst>
            <c:ext xmlns:c16="http://schemas.microsoft.com/office/drawing/2014/chart" uri="{C3380CC4-5D6E-409C-BE32-E72D297353CC}">
              <c16:uniqueId val="{00000008-B5C6-462F-9759-2EDEB9FDA0AD}"/>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1"/>
        <c:noMultiLvlLbl val="0"/>
      </c:catAx>
      <c:valAx>
        <c:axId val="329597576"/>
        <c:scaling>
          <c:orientation val="minMax"/>
          <c:max val="205"/>
          <c:min val="170"/>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887114423852841"/>
          <c:h val="0.82771626650337493"/>
        </c:manualLayout>
      </c:layout>
      <c:lineChart>
        <c:grouping val="standard"/>
        <c:varyColors val="0"/>
        <c:ser>
          <c:idx val="0"/>
          <c:order val="0"/>
          <c:tx>
            <c:strRef>
              <c:f>'transfert 385'!$B$1</c:f>
              <c:strCache>
                <c:ptCount val="1"/>
                <c:pt idx="0">
                  <c:v>Connecteur 1</c:v>
                </c:pt>
              </c:strCache>
            </c:strRef>
          </c:tx>
          <c:marker>
            <c:symbol val="none"/>
          </c:marker>
          <c:cat>
            <c:numRef>
              <c:f>'transfert 385'!$A$2</c:f>
              <c:numCache>
                <c:formatCode>@</c:formatCode>
                <c:ptCount val="1"/>
              </c:numCache>
            </c:numRef>
          </c:cat>
          <c:val>
            <c:numRef>
              <c:f>'transfert 385'!$B$2</c:f>
              <c:numCache>
                <c:formatCode>General</c:formatCode>
                <c:ptCount val="1"/>
              </c:numCache>
            </c:numRef>
          </c:val>
          <c:smooth val="0"/>
          <c:extLst xmlns:c15="http://schemas.microsoft.com/office/drawing/2012/chart">
            <c:ext xmlns:c16="http://schemas.microsoft.com/office/drawing/2014/chart" uri="{C3380CC4-5D6E-409C-BE32-E72D297353CC}">
              <c16:uniqueId val="{00000000-1D5C-4678-9FC3-35D4E1920DB5}"/>
            </c:ext>
          </c:extLst>
        </c:ser>
        <c:ser>
          <c:idx val="1"/>
          <c:order val="1"/>
          <c:tx>
            <c:strRef>
              <c:f>'transfert 385'!$C$1</c:f>
              <c:strCache>
                <c:ptCount val="1"/>
                <c:pt idx="0">
                  <c:v>Connecteur 2</c:v>
                </c:pt>
              </c:strCache>
            </c:strRef>
          </c:tx>
          <c:marker>
            <c:symbol val="none"/>
          </c:marker>
          <c:cat>
            <c:numRef>
              <c:f>'transfert 385'!$A$2</c:f>
              <c:numCache>
                <c:formatCode>@</c:formatCode>
                <c:ptCount val="1"/>
              </c:numCache>
            </c:numRef>
          </c:cat>
          <c:val>
            <c:numRef>
              <c:f>'transfert 385'!$C$2</c:f>
              <c:numCache>
                <c:formatCode>General</c:formatCode>
                <c:ptCount val="1"/>
              </c:numCache>
            </c:numRef>
          </c:val>
          <c:smooth val="0"/>
          <c:extLst>
            <c:ext xmlns:c16="http://schemas.microsoft.com/office/drawing/2014/chart" uri="{C3380CC4-5D6E-409C-BE32-E72D297353CC}">
              <c16:uniqueId val="{00000001-1D5C-4678-9FC3-35D4E1920DB5}"/>
            </c:ext>
          </c:extLst>
        </c:ser>
        <c:ser>
          <c:idx val="2"/>
          <c:order val="2"/>
          <c:tx>
            <c:strRef>
              <c:f>'transfert 385'!$D$1</c:f>
              <c:strCache>
                <c:ptCount val="1"/>
                <c:pt idx="0">
                  <c:v>Connecteur 3</c:v>
                </c:pt>
              </c:strCache>
            </c:strRef>
          </c:tx>
          <c:marker>
            <c:symbol val="none"/>
          </c:marker>
          <c:cat>
            <c:numRef>
              <c:f>'transfert 385'!$A$2</c:f>
              <c:numCache>
                <c:formatCode>@</c:formatCode>
                <c:ptCount val="1"/>
              </c:numCache>
            </c:numRef>
          </c:cat>
          <c:val>
            <c:numRef>
              <c:f>'transfert 385'!$D$2</c:f>
              <c:numCache>
                <c:formatCode>General</c:formatCode>
                <c:ptCount val="1"/>
              </c:numCache>
            </c:numRef>
          </c:val>
          <c:smooth val="0"/>
          <c:extLst>
            <c:ext xmlns:c16="http://schemas.microsoft.com/office/drawing/2014/chart" uri="{C3380CC4-5D6E-409C-BE32-E72D297353CC}">
              <c16:uniqueId val="{00000002-1D5C-4678-9FC3-35D4E1920DB5}"/>
            </c:ext>
          </c:extLst>
        </c:ser>
        <c:ser>
          <c:idx val="3"/>
          <c:order val="3"/>
          <c:tx>
            <c:strRef>
              <c:f>'transfert 385'!$E$1</c:f>
              <c:strCache>
                <c:ptCount val="1"/>
                <c:pt idx="0">
                  <c:v>Connecteur 4</c:v>
                </c:pt>
              </c:strCache>
            </c:strRef>
          </c:tx>
          <c:marker>
            <c:symbol val="none"/>
          </c:marker>
          <c:cat>
            <c:numRef>
              <c:f>'transfert 385'!$A$2</c:f>
              <c:numCache>
                <c:formatCode>@</c:formatCode>
                <c:ptCount val="1"/>
              </c:numCache>
            </c:numRef>
          </c:cat>
          <c:val>
            <c:numRef>
              <c:f>'transfert 385'!$E$2</c:f>
              <c:numCache>
                <c:formatCode>General</c:formatCode>
                <c:ptCount val="1"/>
              </c:numCache>
            </c:numRef>
          </c:val>
          <c:smooth val="0"/>
          <c:extLst>
            <c:ext xmlns:c16="http://schemas.microsoft.com/office/drawing/2014/chart" uri="{C3380CC4-5D6E-409C-BE32-E72D297353CC}">
              <c16:uniqueId val="{00000003-1D5C-4678-9FC3-35D4E1920DB5}"/>
            </c:ext>
          </c:extLst>
        </c:ser>
        <c:ser>
          <c:idx val="4"/>
          <c:order val="4"/>
          <c:tx>
            <c:strRef>
              <c:f>'transfert 385'!$F$1</c:f>
              <c:strCache>
                <c:ptCount val="1"/>
                <c:pt idx="0">
                  <c:v>Connecteur 5</c:v>
                </c:pt>
              </c:strCache>
            </c:strRef>
          </c:tx>
          <c:marker>
            <c:symbol val="none"/>
          </c:marker>
          <c:cat>
            <c:numRef>
              <c:f>'transfert 385'!$A$2</c:f>
              <c:numCache>
                <c:formatCode>@</c:formatCode>
                <c:ptCount val="1"/>
              </c:numCache>
            </c:numRef>
          </c:cat>
          <c:val>
            <c:numRef>
              <c:f>'transfert 385'!$F$2</c:f>
              <c:numCache>
                <c:formatCode>General</c:formatCode>
                <c:ptCount val="1"/>
              </c:numCache>
            </c:numRef>
          </c:val>
          <c:smooth val="0"/>
          <c:extLst>
            <c:ext xmlns:c16="http://schemas.microsoft.com/office/drawing/2014/chart" uri="{C3380CC4-5D6E-409C-BE32-E72D297353CC}">
              <c16:uniqueId val="{00000004-1D5C-4678-9FC3-35D4E1920DB5}"/>
            </c:ext>
          </c:extLst>
        </c:ser>
        <c:ser>
          <c:idx val="5"/>
          <c:order val="5"/>
          <c:tx>
            <c:strRef>
              <c:f>'transfert 385'!$G$1</c:f>
              <c:strCache>
                <c:ptCount val="1"/>
                <c:pt idx="0">
                  <c:v>Connecteur 6</c:v>
                </c:pt>
              </c:strCache>
            </c:strRef>
          </c:tx>
          <c:marker>
            <c:symbol val="none"/>
          </c:marker>
          <c:cat>
            <c:numRef>
              <c:f>'transfert 385'!$A$2</c:f>
              <c:numCache>
                <c:formatCode>@</c:formatCode>
                <c:ptCount val="1"/>
              </c:numCache>
            </c:numRef>
          </c:cat>
          <c:val>
            <c:numRef>
              <c:f>'transfert 385'!$G$2</c:f>
              <c:numCache>
                <c:formatCode>General</c:formatCode>
                <c:ptCount val="1"/>
              </c:numCache>
            </c:numRef>
          </c:val>
          <c:smooth val="0"/>
          <c:extLst>
            <c:ext xmlns:c16="http://schemas.microsoft.com/office/drawing/2014/chart" uri="{C3380CC4-5D6E-409C-BE32-E72D297353CC}">
              <c16:uniqueId val="{00000005-1D5C-4678-9FC3-35D4E1920DB5}"/>
            </c:ext>
          </c:extLst>
        </c:ser>
        <c:ser>
          <c:idx val="6"/>
          <c:order val="6"/>
          <c:tx>
            <c:strRef>
              <c:f>'transfert 385'!$H$1</c:f>
              <c:strCache>
                <c:ptCount val="1"/>
                <c:pt idx="0">
                  <c:v>Connecteur 7</c:v>
                </c:pt>
              </c:strCache>
            </c:strRef>
          </c:tx>
          <c:marker>
            <c:symbol val="none"/>
          </c:marker>
          <c:cat>
            <c:numRef>
              <c:f>'transfert 385'!$A$2</c:f>
              <c:numCache>
                <c:formatCode>@</c:formatCode>
                <c:ptCount val="1"/>
              </c:numCache>
            </c:numRef>
          </c:cat>
          <c:val>
            <c:numRef>
              <c:f>'transfert 385'!$H$2</c:f>
              <c:numCache>
                <c:formatCode>General</c:formatCode>
                <c:ptCount val="1"/>
              </c:numCache>
            </c:numRef>
          </c:val>
          <c:smooth val="0"/>
          <c:extLst>
            <c:ext xmlns:c16="http://schemas.microsoft.com/office/drawing/2014/chart" uri="{C3380CC4-5D6E-409C-BE32-E72D297353CC}">
              <c16:uniqueId val="{00000006-1D5C-4678-9FC3-35D4E1920DB5}"/>
            </c:ext>
          </c:extLst>
        </c:ser>
        <c:ser>
          <c:idx val="7"/>
          <c:order val="7"/>
          <c:tx>
            <c:strRef>
              <c:f>'transfert 385'!$I$1</c:f>
              <c:strCache>
                <c:ptCount val="1"/>
                <c:pt idx="0">
                  <c:v>Connecteur 8</c:v>
                </c:pt>
              </c:strCache>
            </c:strRef>
          </c:tx>
          <c:marker>
            <c:symbol val="none"/>
          </c:marker>
          <c:cat>
            <c:numRef>
              <c:f>'transfert 385'!$A$2</c:f>
              <c:numCache>
                <c:formatCode>@</c:formatCode>
                <c:ptCount val="1"/>
              </c:numCache>
            </c:numRef>
          </c:cat>
          <c:val>
            <c:numRef>
              <c:f>'transfert 385'!$I$2</c:f>
              <c:numCache>
                <c:formatCode>General</c:formatCode>
                <c:ptCount val="1"/>
              </c:numCache>
            </c:numRef>
          </c:val>
          <c:smooth val="0"/>
          <c:extLst>
            <c:ext xmlns:c16="http://schemas.microsoft.com/office/drawing/2014/chart" uri="{C3380CC4-5D6E-409C-BE32-E72D297353CC}">
              <c16:uniqueId val="{00000007-1D5C-4678-9FC3-35D4E1920DB5}"/>
            </c:ext>
          </c:extLst>
        </c:ser>
        <c:ser>
          <c:idx val="8"/>
          <c:order val="8"/>
          <c:tx>
            <c:strRef>
              <c:f>'transfert 385'!$J$1</c:f>
              <c:strCache>
                <c:ptCount val="1"/>
                <c:pt idx="0">
                  <c:v>Connecteur 9</c:v>
                </c:pt>
              </c:strCache>
            </c:strRef>
          </c:tx>
          <c:marker>
            <c:symbol val="none"/>
          </c:marker>
          <c:cat>
            <c:numRef>
              <c:f>'transfert 385'!$A$2</c:f>
              <c:numCache>
                <c:formatCode>@</c:formatCode>
                <c:ptCount val="1"/>
              </c:numCache>
            </c:numRef>
          </c:cat>
          <c:val>
            <c:numRef>
              <c:f>'transfert 385'!$J$2</c:f>
              <c:numCache>
                <c:formatCode>General</c:formatCode>
                <c:ptCount val="1"/>
              </c:numCache>
            </c:numRef>
          </c:val>
          <c:smooth val="0"/>
          <c:extLst>
            <c:ext xmlns:c16="http://schemas.microsoft.com/office/drawing/2014/chart" uri="{C3380CC4-5D6E-409C-BE32-E72D297353CC}">
              <c16:uniqueId val="{00000008-1D5C-4678-9FC3-35D4E1920DB5}"/>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2"/>
        <c:noMultiLvlLbl val="0"/>
      </c:catAx>
      <c:valAx>
        <c:axId val="329597576"/>
        <c:scaling>
          <c:orientation val="minMax"/>
          <c:max val="390"/>
          <c:min val="335"/>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'transfert 535'!$B$1</c:f>
              <c:strCache>
                <c:ptCount val="1"/>
                <c:pt idx="0">
                  <c:v>Connecteur 1</c:v>
                </c:pt>
              </c:strCache>
            </c:strRef>
          </c:tx>
          <c:marker>
            <c:symbol val="none"/>
          </c:marker>
          <c:cat>
            <c:numRef>
              <c:f>'transfert 535'!$A$2</c:f>
              <c:numCache>
                <c:formatCode>@</c:formatCode>
                <c:ptCount val="1"/>
              </c:numCache>
            </c:numRef>
          </c:cat>
          <c:val>
            <c:numRef>
              <c:f>'transfert 535'!$B$2</c:f>
              <c:numCache>
                <c:formatCode>General</c:formatCode>
                <c:ptCount val="1"/>
              </c:numCache>
            </c:numRef>
          </c:val>
          <c:smooth val="0"/>
          <c:extLst xmlns:c15="http://schemas.microsoft.com/office/drawing/2012/chart">
            <c:ext xmlns:c16="http://schemas.microsoft.com/office/drawing/2014/chart" uri="{C3380CC4-5D6E-409C-BE32-E72D297353CC}">
              <c16:uniqueId val="{00000000-624A-43B9-8957-D4C03AD56C6F}"/>
            </c:ext>
          </c:extLst>
        </c:ser>
        <c:ser>
          <c:idx val="1"/>
          <c:order val="1"/>
          <c:tx>
            <c:strRef>
              <c:f>'transfert 535'!$C$1</c:f>
              <c:strCache>
                <c:ptCount val="1"/>
                <c:pt idx="0">
                  <c:v>Connecteur 2</c:v>
                </c:pt>
              </c:strCache>
            </c:strRef>
          </c:tx>
          <c:marker>
            <c:symbol val="none"/>
          </c:marker>
          <c:cat>
            <c:numRef>
              <c:f>'transfert 535'!$A$2</c:f>
              <c:numCache>
                <c:formatCode>@</c:formatCode>
                <c:ptCount val="1"/>
              </c:numCache>
            </c:numRef>
          </c:cat>
          <c:val>
            <c:numRef>
              <c:f>'transfert 535'!$C$2</c:f>
              <c:numCache>
                <c:formatCode>General</c:formatCode>
                <c:ptCount val="1"/>
              </c:numCache>
            </c:numRef>
          </c:val>
          <c:smooth val="0"/>
          <c:extLst>
            <c:ext xmlns:c16="http://schemas.microsoft.com/office/drawing/2014/chart" uri="{C3380CC4-5D6E-409C-BE32-E72D297353CC}">
              <c16:uniqueId val="{00000001-624A-43B9-8957-D4C03AD56C6F}"/>
            </c:ext>
          </c:extLst>
        </c:ser>
        <c:ser>
          <c:idx val="2"/>
          <c:order val="2"/>
          <c:tx>
            <c:strRef>
              <c:f>'transfert 535'!$D$1</c:f>
              <c:strCache>
                <c:ptCount val="1"/>
                <c:pt idx="0">
                  <c:v>Connecteur 3</c:v>
                </c:pt>
              </c:strCache>
            </c:strRef>
          </c:tx>
          <c:marker>
            <c:symbol val="none"/>
          </c:marker>
          <c:cat>
            <c:numRef>
              <c:f>'transfert 535'!$A$2</c:f>
              <c:numCache>
                <c:formatCode>@</c:formatCode>
                <c:ptCount val="1"/>
              </c:numCache>
            </c:numRef>
          </c:cat>
          <c:val>
            <c:numRef>
              <c:f>'transfert 535'!$D$2</c:f>
              <c:numCache>
                <c:formatCode>General</c:formatCode>
                <c:ptCount val="1"/>
              </c:numCache>
            </c:numRef>
          </c:val>
          <c:smooth val="0"/>
          <c:extLst>
            <c:ext xmlns:c16="http://schemas.microsoft.com/office/drawing/2014/chart" uri="{C3380CC4-5D6E-409C-BE32-E72D297353CC}">
              <c16:uniqueId val="{00000002-624A-43B9-8957-D4C03AD56C6F}"/>
            </c:ext>
          </c:extLst>
        </c:ser>
        <c:ser>
          <c:idx val="3"/>
          <c:order val="3"/>
          <c:tx>
            <c:strRef>
              <c:f>'transfert 535'!$E$1</c:f>
              <c:strCache>
                <c:ptCount val="1"/>
                <c:pt idx="0">
                  <c:v>Connecteur 4</c:v>
                </c:pt>
              </c:strCache>
            </c:strRef>
          </c:tx>
          <c:marker>
            <c:symbol val="none"/>
          </c:marker>
          <c:cat>
            <c:numRef>
              <c:f>'transfert 535'!$A$2</c:f>
              <c:numCache>
                <c:formatCode>@</c:formatCode>
                <c:ptCount val="1"/>
              </c:numCache>
            </c:numRef>
          </c:cat>
          <c:val>
            <c:numRef>
              <c:f>'transfert 535'!$E$2</c:f>
              <c:numCache>
                <c:formatCode>General</c:formatCode>
                <c:ptCount val="1"/>
              </c:numCache>
            </c:numRef>
          </c:val>
          <c:smooth val="0"/>
          <c:extLst>
            <c:ext xmlns:c16="http://schemas.microsoft.com/office/drawing/2014/chart" uri="{C3380CC4-5D6E-409C-BE32-E72D297353CC}">
              <c16:uniqueId val="{00000003-624A-43B9-8957-D4C03AD56C6F}"/>
            </c:ext>
          </c:extLst>
        </c:ser>
        <c:ser>
          <c:idx val="4"/>
          <c:order val="4"/>
          <c:tx>
            <c:strRef>
              <c:f>'transfert 535'!$F$1</c:f>
              <c:strCache>
                <c:ptCount val="1"/>
                <c:pt idx="0">
                  <c:v>Connecteur 5</c:v>
                </c:pt>
              </c:strCache>
            </c:strRef>
          </c:tx>
          <c:marker>
            <c:symbol val="none"/>
          </c:marker>
          <c:cat>
            <c:numRef>
              <c:f>'transfert 535'!$A$2</c:f>
              <c:numCache>
                <c:formatCode>@</c:formatCode>
                <c:ptCount val="1"/>
              </c:numCache>
            </c:numRef>
          </c:cat>
          <c:val>
            <c:numRef>
              <c:f>'transfert 535'!$F$2</c:f>
              <c:numCache>
                <c:formatCode>General</c:formatCode>
                <c:ptCount val="1"/>
              </c:numCache>
            </c:numRef>
          </c:val>
          <c:smooth val="0"/>
          <c:extLst>
            <c:ext xmlns:c16="http://schemas.microsoft.com/office/drawing/2014/chart" uri="{C3380CC4-5D6E-409C-BE32-E72D297353CC}">
              <c16:uniqueId val="{00000004-624A-43B9-8957-D4C03AD56C6F}"/>
            </c:ext>
          </c:extLst>
        </c:ser>
        <c:ser>
          <c:idx val="5"/>
          <c:order val="5"/>
          <c:tx>
            <c:strRef>
              <c:f>'transfert 535'!$G$1</c:f>
              <c:strCache>
                <c:ptCount val="1"/>
                <c:pt idx="0">
                  <c:v>Connecteur 6</c:v>
                </c:pt>
              </c:strCache>
            </c:strRef>
          </c:tx>
          <c:marker>
            <c:symbol val="none"/>
          </c:marker>
          <c:cat>
            <c:numRef>
              <c:f>'transfert 535'!$A$2</c:f>
              <c:numCache>
                <c:formatCode>@</c:formatCode>
                <c:ptCount val="1"/>
              </c:numCache>
            </c:numRef>
          </c:cat>
          <c:val>
            <c:numRef>
              <c:f>'transfert 535'!$G$2</c:f>
              <c:numCache>
                <c:formatCode>General</c:formatCode>
                <c:ptCount val="1"/>
              </c:numCache>
            </c:numRef>
          </c:val>
          <c:smooth val="0"/>
          <c:extLst>
            <c:ext xmlns:c16="http://schemas.microsoft.com/office/drawing/2014/chart" uri="{C3380CC4-5D6E-409C-BE32-E72D297353CC}">
              <c16:uniqueId val="{00000005-624A-43B9-8957-D4C03AD56C6F}"/>
            </c:ext>
          </c:extLst>
        </c:ser>
        <c:ser>
          <c:idx val="6"/>
          <c:order val="6"/>
          <c:tx>
            <c:strRef>
              <c:f>'transfert 535'!$H$1</c:f>
              <c:strCache>
                <c:ptCount val="1"/>
                <c:pt idx="0">
                  <c:v>Connecteur 7</c:v>
                </c:pt>
              </c:strCache>
            </c:strRef>
          </c:tx>
          <c:marker>
            <c:symbol val="none"/>
          </c:marker>
          <c:cat>
            <c:numRef>
              <c:f>'transfert 535'!$A$2</c:f>
              <c:numCache>
                <c:formatCode>@</c:formatCode>
                <c:ptCount val="1"/>
              </c:numCache>
            </c:numRef>
          </c:cat>
          <c:val>
            <c:numRef>
              <c:f>'transfert 535'!$H$2</c:f>
              <c:numCache>
                <c:formatCode>General</c:formatCode>
                <c:ptCount val="1"/>
              </c:numCache>
            </c:numRef>
          </c:val>
          <c:smooth val="0"/>
          <c:extLst>
            <c:ext xmlns:c16="http://schemas.microsoft.com/office/drawing/2014/chart" uri="{C3380CC4-5D6E-409C-BE32-E72D297353CC}">
              <c16:uniqueId val="{00000006-624A-43B9-8957-D4C03AD56C6F}"/>
            </c:ext>
          </c:extLst>
        </c:ser>
        <c:ser>
          <c:idx val="7"/>
          <c:order val="7"/>
          <c:tx>
            <c:strRef>
              <c:f>'transfert 535'!$I$1</c:f>
              <c:strCache>
                <c:ptCount val="1"/>
                <c:pt idx="0">
                  <c:v>Connecteur 8</c:v>
                </c:pt>
              </c:strCache>
            </c:strRef>
          </c:tx>
          <c:marker>
            <c:symbol val="none"/>
          </c:marker>
          <c:cat>
            <c:numRef>
              <c:f>'transfert 535'!$A$2</c:f>
              <c:numCache>
                <c:formatCode>@</c:formatCode>
                <c:ptCount val="1"/>
              </c:numCache>
            </c:numRef>
          </c:cat>
          <c:val>
            <c:numRef>
              <c:f>'transfert 535'!$I$2</c:f>
              <c:numCache>
                <c:formatCode>General</c:formatCode>
                <c:ptCount val="1"/>
              </c:numCache>
            </c:numRef>
          </c:val>
          <c:smooth val="0"/>
          <c:extLst>
            <c:ext xmlns:c16="http://schemas.microsoft.com/office/drawing/2014/chart" uri="{C3380CC4-5D6E-409C-BE32-E72D297353CC}">
              <c16:uniqueId val="{00000007-624A-43B9-8957-D4C03AD56C6F}"/>
            </c:ext>
          </c:extLst>
        </c:ser>
        <c:ser>
          <c:idx val="8"/>
          <c:order val="8"/>
          <c:tx>
            <c:strRef>
              <c:f>'transfert 535'!$J$1</c:f>
              <c:strCache>
                <c:ptCount val="1"/>
                <c:pt idx="0">
                  <c:v>Connecteur 9</c:v>
                </c:pt>
              </c:strCache>
            </c:strRef>
          </c:tx>
          <c:marker>
            <c:symbol val="none"/>
          </c:marker>
          <c:cat>
            <c:numRef>
              <c:f>'transfert 535'!$A$2</c:f>
              <c:numCache>
                <c:formatCode>@</c:formatCode>
                <c:ptCount val="1"/>
              </c:numCache>
            </c:numRef>
          </c:cat>
          <c:val>
            <c:numRef>
              <c:f>'transfert 535'!$J$2</c:f>
              <c:numCache>
                <c:formatCode>General</c:formatCode>
                <c:ptCount val="1"/>
              </c:numCache>
            </c:numRef>
          </c:val>
          <c:smooth val="0"/>
          <c:extLst>
            <c:ext xmlns:c16="http://schemas.microsoft.com/office/drawing/2014/chart" uri="{C3380CC4-5D6E-409C-BE32-E72D297353CC}">
              <c16:uniqueId val="{00000008-624A-43B9-8957-D4C03AD56C6F}"/>
            </c:ext>
          </c:extLst>
        </c:ser>
        <c:dLbls>
          <c:showLegendKey val="0"/>
          <c:showVal val="0"/>
          <c:showCatName val="0"/>
          <c:showSerName val="0"/>
          <c:showPercent val="0"/>
          <c:showBubbleSize val="0"/>
        </c:dLbls>
        <c:smooth val="0"/>
        <c:axId val="329598360"/>
        <c:axId val="330390600"/>
        <c:extLst/>
      </c:lineChart>
      <c:catAx>
        <c:axId val="329598360"/>
        <c:scaling>
          <c:orientation val="minMax"/>
          <c:min val="1"/>
        </c:scaling>
        <c:delete val="0"/>
        <c:axPos val="b"/>
        <c:numFmt formatCode="d/m/yy\ h:mm;@" sourceLinked="0"/>
        <c:majorTickMark val="out"/>
        <c:minorTickMark val="none"/>
        <c:tickLblPos val="nextTo"/>
        <c:crossAx val="330390600"/>
        <c:crosses val="autoZero"/>
        <c:auto val="0"/>
        <c:lblAlgn val="ctr"/>
        <c:lblOffset val="100"/>
        <c:tickMarkSkip val="2"/>
        <c:noMultiLvlLbl val="0"/>
      </c:catAx>
      <c:valAx>
        <c:axId val="330390600"/>
        <c:scaling>
          <c:orientation val="minMax"/>
          <c:max val="540"/>
          <c:min val="485"/>
        </c:scaling>
        <c:delete val="0"/>
        <c:axPos val="l"/>
        <c:majorGridlines/>
        <c:numFmt formatCode="General" sourceLinked="1"/>
        <c:majorTickMark val="out"/>
        <c:minorTickMark val="none"/>
        <c:tickLblPos val="nextTo"/>
        <c:crossAx val="329598360"/>
        <c:crosses val="autoZero"/>
        <c:crossBetween val="between"/>
        <c:majorUnit val="5"/>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7751-4F4B-A123-C3BD5A926BD1}"/>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7751-4F4B-A123-C3BD5A926BD1}"/>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7751-4F4B-A123-C3BD5A926BD1}"/>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7751-4F4B-A123-C3BD5A926BD1}"/>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7751-4F4B-A123-C3BD5A926BD1}"/>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7751-4F4B-A123-C3BD5A926BD1}"/>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7751-4F4B-A123-C3BD5A926BD1}"/>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7751-4F4B-A123-C3BD5A926BD1}"/>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7751-4F4B-A123-C3BD5A926BD1}"/>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7751-4F4B-A123-C3BD5A926BD1}"/>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A20B-4628-99A9-80BB99606678}"/>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A20B-4628-99A9-80BB99606678}"/>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A20B-4628-99A9-80BB99606678}"/>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A20B-4628-99A9-80BB99606678}"/>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A20B-4628-99A9-80BB99606678}"/>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A20B-4628-99A9-80BB99606678}"/>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A20B-4628-99A9-80BB99606678}"/>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A20B-4628-99A9-80BB99606678}"/>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A20B-4628-99A9-80BB99606678}"/>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A20B-4628-99A9-80BB99606678}"/>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F2C6-4F6C-A3F1-A2A67F280029}"/>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F2C6-4F6C-A3F1-A2A67F280029}"/>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F2C6-4F6C-A3F1-A2A67F280029}"/>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F2C6-4F6C-A3F1-A2A67F280029}"/>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F2C6-4F6C-A3F1-A2A67F280029}"/>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F2C6-4F6C-A3F1-A2A67F280029}"/>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F2C6-4F6C-A3F1-A2A67F280029}"/>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F2C6-4F6C-A3F1-A2A67F280029}"/>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F2C6-4F6C-A3F1-A2A67F280029}"/>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F2C6-4F6C-A3F1-A2A67F280029}"/>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A9C2-4C3C-9E6D-24060D08A500}"/>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A9C2-4C3C-9E6D-24060D08A500}"/>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A9C2-4C3C-9E6D-24060D08A500}"/>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A9C2-4C3C-9E6D-24060D08A500}"/>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A9C2-4C3C-9E6D-24060D08A500}"/>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A9C2-4C3C-9E6D-24060D08A500}"/>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A9C2-4C3C-9E6D-24060D08A500}"/>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A9C2-4C3C-9E6D-24060D08A500}"/>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A9C2-4C3C-9E6D-24060D08A500}"/>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A9C2-4C3C-9E6D-24060D08A500}"/>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A9C2-4C3C-9E6D-24060D08A500}"/>
            </c:ext>
          </c:extLst>
        </c:ser>
        <c:ser>
          <c:idx val="11"/>
          <c:order val="11"/>
          <c:tx>
            <c:strRef>
              <c:f>Donnee_Congel!$M$1</c:f>
              <c:strCache>
                <c:ptCount val="1"/>
                <c:pt idx="0">
                  <c:v>Connecteur 12</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Donnee_Congel!$M$2</c:f>
              <c:numCache>
                <c:formatCode>General</c:formatCode>
                <c:ptCount val="1"/>
              </c:numCache>
            </c:numRef>
          </c:yVal>
          <c:smooth val="0"/>
          <c:extLst>
            <c:ext xmlns:c16="http://schemas.microsoft.com/office/drawing/2014/chart" uri="{C3380CC4-5D6E-409C-BE32-E72D297353CC}">
              <c16:uniqueId val="{0000000B-A9C2-4C3C-9E6D-24060D08A500}"/>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1F04-435F-B4AF-9938C46815DA}"/>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1F04-435F-B4AF-9938C46815DA}"/>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1F04-435F-B4AF-9938C46815DA}"/>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1F04-435F-B4AF-9938C46815DA}"/>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1F04-435F-B4AF-9938C46815DA}"/>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1F04-435F-B4AF-9938C46815DA}"/>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1F04-435F-B4AF-9938C46815DA}"/>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1F04-435F-B4AF-9938C46815DA}"/>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1F04-435F-B4AF-9938C46815DA}"/>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1F04-435F-B4AF-9938C46815DA}"/>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1F04-435F-B4AF-9938C46815DA}"/>
            </c:ext>
          </c:extLst>
        </c:ser>
        <c:ser>
          <c:idx val="11"/>
          <c:order val="11"/>
          <c:tx>
            <c:strRef>
              <c:f>Donnee_Congel!$M$1</c:f>
              <c:strCache>
                <c:ptCount val="1"/>
                <c:pt idx="0">
                  <c:v>Connecteur 12</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Donnee_Congel!$M$2</c:f>
              <c:numCache>
                <c:formatCode>General</c:formatCode>
                <c:ptCount val="1"/>
              </c:numCache>
            </c:numRef>
          </c:yVal>
          <c:smooth val="0"/>
          <c:extLst>
            <c:ext xmlns:c16="http://schemas.microsoft.com/office/drawing/2014/chart" uri="{C3380CC4-5D6E-409C-BE32-E72D297353CC}">
              <c16:uniqueId val="{0000000B-1F04-435F-B4AF-9938C46815DA}"/>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Donnee_Sechoir!$B$1</c:f>
              <c:strCache>
                <c:ptCount val="1"/>
                <c:pt idx="0">
                  <c:v>Connecteur 1</c:v>
                </c:pt>
              </c:strCache>
            </c:strRef>
          </c:tx>
          <c:spPr>
            <a:ln w="19050" cap="rnd">
              <a:solidFill>
                <a:schemeClr val="accent1"/>
              </a:solidFill>
              <a:round/>
            </a:ln>
            <a:effectLst/>
          </c:spPr>
          <c:marker>
            <c:symbol val="none"/>
          </c:marker>
          <c:xVal>
            <c:numRef>
              <c:f>Donnee_Sechoir!$A$2</c:f>
              <c:numCache>
                <c:formatCode>m/d/yyyy\ h:mm</c:formatCode>
                <c:ptCount val="1"/>
              </c:numCache>
            </c:numRef>
          </c:xVal>
          <c:yVal>
            <c:numRef>
              <c:f>Donnee_Sechoir!$B$2</c:f>
              <c:numCache>
                <c:formatCode>General</c:formatCode>
                <c:ptCount val="1"/>
              </c:numCache>
            </c:numRef>
          </c:yVal>
          <c:smooth val="0"/>
          <c:extLst>
            <c:ext xmlns:c16="http://schemas.microsoft.com/office/drawing/2014/chart" uri="{C3380CC4-5D6E-409C-BE32-E72D297353CC}">
              <c16:uniqueId val="{00000000-AAF3-47A3-8C81-33DE4E9C4F26}"/>
            </c:ext>
          </c:extLst>
        </c:ser>
        <c:ser>
          <c:idx val="1"/>
          <c:order val="1"/>
          <c:tx>
            <c:strRef>
              <c:f>Donnee_Sechoir!$C$1</c:f>
              <c:strCache>
                <c:ptCount val="1"/>
                <c:pt idx="0">
                  <c:v>Connecteur 2</c:v>
                </c:pt>
              </c:strCache>
            </c:strRef>
          </c:tx>
          <c:spPr>
            <a:ln w="19050" cap="rnd">
              <a:solidFill>
                <a:schemeClr val="accent2"/>
              </a:solidFill>
              <a:round/>
            </a:ln>
            <a:effectLst/>
          </c:spPr>
          <c:marker>
            <c:symbol val="none"/>
          </c:marker>
          <c:xVal>
            <c:numRef>
              <c:f>Donnee_Sechoir!$A$2</c:f>
              <c:numCache>
                <c:formatCode>m/d/yyyy\ h:mm</c:formatCode>
                <c:ptCount val="1"/>
              </c:numCache>
            </c:numRef>
          </c:xVal>
          <c:yVal>
            <c:numRef>
              <c:f>Donnee_Sechoir!$C$2</c:f>
              <c:numCache>
                <c:formatCode>General</c:formatCode>
                <c:ptCount val="1"/>
              </c:numCache>
            </c:numRef>
          </c:yVal>
          <c:smooth val="0"/>
          <c:extLst>
            <c:ext xmlns:c16="http://schemas.microsoft.com/office/drawing/2014/chart" uri="{C3380CC4-5D6E-409C-BE32-E72D297353CC}">
              <c16:uniqueId val="{00000001-AAF3-47A3-8C81-33DE4E9C4F26}"/>
            </c:ext>
          </c:extLst>
        </c:ser>
        <c:ser>
          <c:idx val="2"/>
          <c:order val="2"/>
          <c:tx>
            <c:strRef>
              <c:f>Donnee_Sechoir!$D$1</c:f>
              <c:strCache>
                <c:ptCount val="1"/>
                <c:pt idx="0">
                  <c:v>Connecteur 3</c:v>
                </c:pt>
              </c:strCache>
            </c:strRef>
          </c:tx>
          <c:spPr>
            <a:ln w="19050" cap="rnd">
              <a:solidFill>
                <a:schemeClr val="accent3"/>
              </a:solidFill>
              <a:round/>
            </a:ln>
            <a:effectLst/>
          </c:spPr>
          <c:marker>
            <c:symbol val="none"/>
          </c:marker>
          <c:xVal>
            <c:numRef>
              <c:f>Donnee_Sechoir!$A$2</c:f>
              <c:numCache>
                <c:formatCode>m/d/yyyy\ h:mm</c:formatCode>
                <c:ptCount val="1"/>
              </c:numCache>
            </c:numRef>
          </c:xVal>
          <c:yVal>
            <c:numRef>
              <c:f>Donnee_Sechoir!$D$2</c:f>
              <c:numCache>
                <c:formatCode>General</c:formatCode>
                <c:ptCount val="1"/>
              </c:numCache>
            </c:numRef>
          </c:yVal>
          <c:smooth val="0"/>
          <c:extLst>
            <c:ext xmlns:c16="http://schemas.microsoft.com/office/drawing/2014/chart" uri="{C3380CC4-5D6E-409C-BE32-E72D297353CC}">
              <c16:uniqueId val="{00000002-AAF3-47A3-8C81-33DE4E9C4F26}"/>
            </c:ext>
          </c:extLst>
        </c:ser>
        <c:ser>
          <c:idx val="3"/>
          <c:order val="3"/>
          <c:tx>
            <c:strRef>
              <c:f>Donnee_Sechoir!$E$1</c:f>
              <c:strCache>
                <c:ptCount val="1"/>
                <c:pt idx="0">
                  <c:v>Connecteur 4</c:v>
                </c:pt>
              </c:strCache>
            </c:strRef>
          </c:tx>
          <c:spPr>
            <a:ln w="19050" cap="rnd">
              <a:solidFill>
                <a:schemeClr val="accent4"/>
              </a:solidFill>
              <a:round/>
            </a:ln>
            <a:effectLst/>
          </c:spPr>
          <c:marker>
            <c:symbol val="none"/>
          </c:marker>
          <c:xVal>
            <c:numRef>
              <c:f>Donnee_Sechoir!$A$2</c:f>
              <c:numCache>
                <c:formatCode>m/d/yyyy\ h:mm</c:formatCode>
                <c:ptCount val="1"/>
              </c:numCache>
            </c:numRef>
          </c:xVal>
          <c:yVal>
            <c:numRef>
              <c:f>Donnee_Sechoir!$E$2</c:f>
              <c:numCache>
                <c:formatCode>General</c:formatCode>
                <c:ptCount val="1"/>
              </c:numCache>
            </c:numRef>
          </c:yVal>
          <c:smooth val="0"/>
          <c:extLst>
            <c:ext xmlns:c16="http://schemas.microsoft.com/office/drawing/2014/chart" uri="{C3380CC4-5D6E-409C-BE32-E72D297353CC}">
              <c16:uniqueId val="{00000003-AAF3-47A3-8C81-33DE4E9C4F26}"/>
            </c:ext>
          </c:extLst>
        </c:ser>
        <c:ser>
          <c:idx val="4"/>
          <c:order val="4"/>
          <c:tx>
            <c:strRef>
              <c:f>Donnee_Sechoir!$F$1</c:f>
              <c:strCache>
                <c:ptCount val="1"/>
                <c:pt idx="0">
                  <c:v>Connecteur 5</c:v>
                </c:pt>
              </c:strCache>
            </c:strRef>
          </c:tx>
          <c:spPr>
            <a:ln w="19050" cap="rnd">
              <a:solidFill>
                <a:schemeClr val="accent5"/>
              </a:solidFill>
              <a:round/>
            </a:ln>
            <a:effectLst/>
          </c:spPr>
          <c:marker>
            <c:symbol val="none"/>
          </c:marker>
          <c:xVal>
            <c:numRef>
              <c:f>Donnee_Sechoir!$A$2</c:f>
              <c:numCache>
                <c:formatCode>m/d/yyyy\ h:mm</c:formatCode>
                <c:ptCount val="1"/>
              </c:numCache>
            </c:numRef>
          </c:xVal>
          <c:yVal>
            <c:numRef>
              <c:f>Donnee_Sechoir!$F$2</c:f>
              <c:numCache>
                <c:formatCode>General</c:formatCode>
                <c:ptCount val="1"/>
              </c:numCache>
            </c:numRef>
          </c:yVal>
          <c:smooth val="0"/>
          <c:extLst>
            <c:ext xmlns:c16="http://schemas.microsoft.com/office/drawing/2014/chart" uri="{C3380CC4-5D6E-409C-BE32-E72D297353CC}">
              <c16:uniqueId val="{00000004-AAF3-47A3-8C81-33DE4E9C4F26}"/>
            </c:ext>
          </c:extLst>
        </c:ser>
        <c:ser>
          <c:idx val="5"/>
          <c:order val="5"/>
          <c:tx>
            <c:strRef>
              <c:f>Donnee_Sechoir!$G$1</c:f>
              <c:strCache>
                <c:ptCount val="1"/>
                <c:pt idx="0">
                  <c:v>Connecteur 6</c:v>
                </c:pt>
              </c:strCache>
            </c:strRef>
          </c:tx>
          <c:spPr>
            <a:ln w="19050" cap="rnd">
              <a:solidFill>
                <a:schemeClr val="accent6"/>
              </a:solidFill>
              <a:round/>
            </a:ln>
            <a:effectLst/>
          </c:spPr>
          <c:marker>
            <c:symbol val="none"/>
          </c:marker>
          <c:xVal>
            <c:numRef>
              <c:f>Donnee_Sechoir!$A$2</c:f>
              <c:numCache>
                <c:formatCode>m/d/yyyy\ h:mm</c:formatCode>
                <c:ptCount val="1"/>
              </c:numCache>
            </c:numRef>
          </c:xVal>
          <c:yVal>
            <c:numRef>
              <c:f>Donnee_Sechoir!$G$2</c:f>
              <c:numCache>
                <c:formatCode>0.00</c:formatCode>
                <c:ptCount val="1"/>
              </c:numCache>
            </c:numRef>
          </c:yVal>
          <c:smooth val="0"/>
          <c:extLst>
            <c:ext xmlns:c16="http://schemas.microsoft.com/office/drawing/2014/chart" uri="{C3380CC4-5D6E-409C-BE32-E72D297353CC}">
              <c16:uniqueId val="{00000005-AAF3-47A3-8C81-33DE4E9C4F26}"/>
            </c:ext>
          </c:extLst>
        </c:ser>
        <c:ser>
          <c:idx val="6"/>
          <c:order val="6"/>
          <c:tx>
            <c:strRef>
              <c:f>Donnee_Sechoir!$H$1</c:f>
              <c:strCache>
                <c:ptCount val="1"/>
                <c:pt idx="0">
                  <c:v>Connecteur 7</c:v>
                </c:pt>
              </c:strCache>
            </c:strRef>
          </c:tx>
          <c:spPr>
            <a:ln w="19050" cap="rnd">
              <a:solidFill>
                <a:schemeClr val="accent1">
                  <a:lumMod val="60000"/>
                </a:schemeClr>
              </a:solidFill>
              <a:round/>
            </a:ln>
            <a:effectLst/>
          </c:spPr>
          <c:marker>
            <c:symbol val="none"/>
          </c:marker>
          <c:xVal>
            <c:numRef>
              <c:f>Donnee_Sechoir!$A$2</c:f>
              <c:numCache>
                <c:formatCode>m/d/yyyy\ h:mm</c:formatCode>
                <c:ptCount val="1"/>
              </c:numCache>
            </c:numRef>
          </c:xVal>
          <c:yVal>
            <c:numRef>
              <c:f>Donnee_Sechoir!$H$2</c:f>
              <c:numCache>
                <c:formatCode>0.00</c:formatCode>
                <c:ptCount val="1"/>
              </c:numCache>
            </c:numRef>
          </c:yVal>
          <c:smooth val="0"/>
          <c:extLst>
            <c:ext xmlns:c16="http://schemas.microsoft.com/office/drawing/2014/chart" uri="{C3380CC4-5D6E-409C-BE32-E72D297353CC}">
              <c16:uniqueId val="{00000006-AAF3-47A3-8C81-33DE4E9C4F26}"/>
            </c:ext>
          </c:extLst>
        </c:ser>
        <c:ser>
          <c:idx val="7"/>
          <c:order val="7"/>
          <c:tx>
            <c:strRef>
              <c:f>Donnee_Sechoir!$I$1</c:f>
              <c:strCache>
                <c:ptCount val="1"/>
                <c:pt idx="0">
                  <c:v>Connecteur 8</c:v>
                </c:pt>
              </c:strCache>
            </c:strRef>
          </c:tx>
          <c:spPr>
            <a:ln w="19050" cap="rnd">
              <a:solidFill>
                <a:schemeClr val="accent2">
                  <a:lumMod val="60000"/>
                </a:schemeClr>
              </a:solidFill>
              <a:round/>
            </a:ln>
            <a:effectLst/>
          </c:spPr>
          <c:marker>
            <c:symbol val="none"/>
          </c:marker>
          <c:xVal>
            <c:numRef>
              <c:f>Donnee_Sechoir!$A$2</c:f>
              <c:numCache>
                <c:formatCode>m/d/yyyy\ h:mm</c:formatCode>
                <c:ptCount val="1"/>
              </c:numCache>
            </c:numRef>
          </c:xVal>
          <c:yVal>
            <c:numRef>
              <c:f>Donnee_Sechoir!$I$2</c:f>
              <c:numCache>
                <c:formatCode>0.00</c:formatCode>
                <c:ptCount val="1"/>
              </c:numCache>
            </c:numRef>
          </c:yVal>
          <c:smooth val="0"/>
          <c:extLst>
            <c:ext xmlns:c16="http://schemas.microsoft.com/office/drawing/2014/chart" uri="{C3380CC4-5D6E-409C-BE32-E72D297353CC}">
              <c16:uniqueId val="{00000007-AAF3-47A3-8C81-33DE4E9C4F26}"/>
            </c:ext>
          </c:extLst>
        </c:ser>
        <c:ser>
          <c:idx val="8"/>
          <c:order val="8"/>
          <c:tx>
            <c:strRef>
              <c:f>Donnee_Sechoir!$J$1</c:f>
              <c:strCache>
                <c:ptCount val="1"/>
                <c:pt idx="0">
                  <c:v>Connecteur 9</c:v>
                </c:pt>
              </c:strCache>
            </c:strRef>
          </c:tx>
          <c:spPr>
            <a:ln w="19050" cap="rnd">
              <a:solidFill>
                <a:schemeClr val="accent3">
                  <a:lumMod val="60000"/>
                </a:schemeClr>
              </a:solidFill>
              <a:round/>
            </a:ln>
            <a:effectLst/>
          </c:spPr>
          <c:marker>
            <c:symbol val="none"/>
          </c:marker>
          <c:xVal>
            <c:numRef>
              <c:f>Donnee_Sechoir!$A$2</c:f>
              <c:numCache>
                <c:formatCode>m/d/yyyy\ h:mm</c:formatCode>
                <c:ptCount val="1"/>
              </c:numCache>
            </c:numRef>
          </c:xVal>
          <c:yVal>
            <c:numRef>
              <c:f>Donnee_Sechoir!$J$2</c:f>
              <c:numCache>
                <c:formatCode>0.00</c:formatCode>
                <c:ptCount val="1"/>
              </c:numCache>
            </c:numRef>
          </c:yVal>
          <c:smooth val="0"/>
          <c:extLst>
            <c:ext xmlns:c16="http://schemas.microsoft.com/office/drawing/2014/chart" uri="{C3380CC4-5D6E-409C-BE32-E72D297353CC}">
              <c16:uniqueId val="{00000008-AAF3-47A3-8C81-33DE4E9C4F26}"/>
            </c:ext>
          </c:extLst>
        </c:ser>
        <c:dLbls>
          <c:showLegendKey val="0"/>
          <c:showVal val="0"/>
          <c:showCatName val="0"/>
          <c:showSerName val="0"/>
          <c:showPercent val="0"/>
          <c:showBubbleSize val="0"/>
        </c:dLbls>
        <c:axId val="822352112"/>
        <c:axId val="822352832"/>
      </c:scatterChart>
      <c:valAx>
        <c:axId val="822352112"/>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832"/>
        <c:crosses val="autoZero"/>
        <c:crossBetween val="midCat"/>
      </c:valAx>
      <c:valAx>
        <c:axId val="82235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1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Donnee_Sechoir!$B$1</c:f>
              <c:strCache>
                <c:ptCount val="1"/>
                <c:pt idx="0">
                  <c:v>Connecteur 1</c:v>
                </c:pt>
              </c:strCache>
            </c:strRef>
          </c:tx>
          <c:spPr>
            <a:ln w="19050" cap="rnd">
              <a:solidFill>
                <a:schemeClr val="accent1"/>
              </a:solidFill>
              <a:round/>
            </a:ln>
            <a:effectLst/>
          </c:spPr>
          <c:marker>
            <c:symbol val="none"/>
          </c:marker>
          <c:xVal>
            <c:numRef>
              <c:f>Donnee_Sechoir!$A$2</c:f>
              <c:numCache>
                <c:formatCode>m/d/yyyy\ h:mm</c:formatCode>
                <c:ptCount val="1"/>
              </c:numCache>
            </c:numRef>
          </c:xVal>
          <c:yVal>
            <c:numRef>
              <c:f>Donnee_Sechoir!$B$2</c:f>
              <c:numCache>
                <c:formatCode>General</c:formatCode>
                <c:ptCount val="1"/>
              </c:numCache>
            </c:numRef>
          </c:yVal>
          <c:smooth val="0"/>
          <c:extLst>
            <c:ext xmlns:c16="http://schemas.microsoft.com/office/drawing/2014/chart" uri="{C3380CC4-5D6E-409C-BE32-E72D297353CC}">
              <c16:uniqueId val="{00000000-209F-4A45-BB3A-9D7CC8FB9801}"/>
            </c:ext>
          </c:extLst>
        </c:ser>
        <c:ser>
          <c:idx val="1"/>
          <c:order val="1"/>
          <c:tx>
            <c:strRef>
              <c:f>Donnee_Sechoir!$C$1</c:f>
              <c:strCache>
                <c:ptCount val="1"/>
                <c:pt idx="0">
                  <c:v>Connecteur 2</c:v>
                </c:pt>
              </c:strCache>
            </c:strRef>
          </c:tx>
          <c:spPr>
            <a:ln w="19050" cap="rnd">
              <a:solidFill>
                <a:schemeClr val="accent2"/>
              </a:solidFill>
              <a:round/>
            </a:ln>
            <a:effectLst/>
          </c:spPr>
          <c:marker>
            <c:symbol val="none"/>
          </c:marker>
          <c:xVal>
            <c:numRef>
              <c:f>Donnee_Sechoir!$A$2</c:f>
              <c:numCache>
                <c:formatCode>m/d/yyyy\ h:mm</c:formatCode>
                <c:ptCount val="1"/>
              </c:numCache>
            </c:numRef>
          </c:xVal>
          <c:yVal>
            <c:numRef>
              <c:f>Donnee_Sechoir!$C$2</c:f>
              <c:numCache>
                <c:formatCode>General</c:formatCode>
                <c:ptCount val="1"/>
              </c:numCache>
            </c:numRef>
          </c:yVal>
          <c:smooth val="0"/>
          <c:extLst>
            <c:ext xmlns:c16="http://schemas.microsoft.com/office/drawing/2014/chart" uri="{C3380CC4-5D6E-409C-BE32-E72D297353CC}">
              <c16:uniqueId val="{00000001-209F-4A45-BB3A-9D7CC8FB9801}"/>
            </c:ext>
          </c:extLst>
        </c:ser>
        <c:ser>
          <c:idx val="2"/>
          <c:order val="2"/>
          <c:tx>
            <c:strRef>
              <c:f>Donnee_Sechoir!$D$1</c:f>
              <c:strCache>
                <c:ptCount val="1"/>
                <c:pt idx="0">
                  <c:v>Connecteur 3</c:v>
                </c:pt>
              </c:strCache>
            </c:strRef>
          </c:tx>
          <c:spPr>
            <a:ln w="19050" cap="rnd">
              <a:solidFill>
                <a:schemeClr val="accent3"/>
              </a:solidFill>
              <a:round/>
            </a:ln>
            <a:effectLst/>
          </c:spPr>
          <c:marker>
            <c:symbol val="none"/>
          </c:marker>
          <c:xVal>
            <c:numRef>
              <c:f>Donnee_Sechoir!$A$2</c:f>
              <c:numCache>
                <c:formatCode>m/d/yyyy\ h:mm</c:formatCode>
                <c:ptCount val="1"/>
              </c:numCache>
            </c:numRef>
          </c:xVal>
          <c:yVal>
            <c:numRef>
              <c:f>Donnee_Sechoir!$D$2</c:f>
              <c:numCache>
                <c:formatCode>General</c:formatCode>
                <c:ptCount val="1"/>
              </c:numCache>
            </c:numRef>
          </c:yVal>
          <c:smooth val="0"/>
          <c:extLst>
            <c:ext xmlns:c16="http://schemas.microsoft.com/office/drawing/2014/chart" uri="{C3380CC4-5D6E-409C-BE32-E72D297353CC}">
              <c16:uniqueId val="{00000002-209F-4A45-BB3A-9D7CC8FB9801}"/>
            </c:ext>
          </c:extLst>
        </c:ser>
        <c:ser>
          <c:idx val="3"/>
          <c:order val="3"/>
          <c:tx>
            <c:strRef>
              <c:f>Donnee_Sechoir!$E$1</c:f>
              <c:strCache>
                <c:ptCount val="1"/>
                <c:pt idx="0">
                  <c:v>Connecteur 4</c:v>
                </c:pt>
              </c:strCache>
            </c:strRef>
          </c:tx>
          <c:spPr>
            <a:ln w="19050" cap="rnd">
              <a:solidFill>
                <a:schemeClr val="accent4"/>
              </a:solidFill>
              <a:round/>
            </a:ln>
            <a:effectLst/>
          </c:spPr>
          <c:marker>
            <c:symbol val="none"/>
          </c:marker>
          <c:xVal>
            <c:numRef>
              <c:f>Donnee_Sechoir!$A$2</c:f>
              <c:numCache>
                <c:formatCode>m/d/yyyy\ h:mm</c:formatCode>
                <c:ptCount val="1"/>
              </c:numCache>
            </c:numRef>
          </c:xVal>
          <c:yVal>
            <c:numRef>
              <c:f>Donnee_Sechoir!$E$2</c:f>
              <c:numCache>
                <c:formatCode>General</c:formatCode>
                <c:ptCount val="1"/>
              </c:numCache>
            </c:numRef>
          </c:yVal>
          <c:smooth val="0"/>
          <c:extLst>
            <c:ext xmlns:c16="http://schemas.microsoft.com/office/drawing/2014/chart" uri="{C3380CC4-5D6E-409C-BE32-E72D297353CC}">
              <c16:uniqueId val="{00000003-209F-4A45-BB3A-9D7CC8FB9801}"/>
            </c:ext>
          </c:extLst>
        </c:ser>
        <c:ser>
          <c:idx val="4"/>
          <c:order val="4"/>
          <c:tx>
            <c:strRef>
              <c:f>Donnee_Sechoir!$F$1</c:f>
              <c:strCache>
                <c:ptCount val="1"/>
                <c:pt idx="0">
                  <c:v>Connecteur 5</c:v>
                </c:pt>
              </c:strCache>
            </c:strRef>
          </c:tx>
          <c:spPr>
            <a:ln w="19050" cap="rnd">
              <a:solidFill>
                <a:schemeClr val="accent5"/>
              </a:solidFill>
              <a:round/>
            </a:ln>
            <a:effectLst/>
          </c:spPr>
          <c:marker>
            <c:symbol val="none"/>
          </c:marker>
          <c:xVal>
            <c:numRef>
              <c:f>Donnee_Sechoir!$A$2</c:f>
              <c:numCache>
                <c:formatCode>m/d/yyyy\ h:mm</c:formatCode>
                <c:ptCount val="1"/>
              </c:numCache>
            </c:numRef>
          </c:xVal>
          <c:yVal>
            <c:numRef>
              <c:f>Donnee_Sechoir!$F$2</c:f>
              <c:numCache>
                <c:formatCode>General</c:formatCode>
                <c:ptCount val="1"/>
              </c:numCache>
            </c:numRef>
          </c:yVal>
          <c:smooth val="0"/>
          <c:extLst>
            <c:ext xmlns:c16="http://schemas.microsoft.com/office/drawing/2014/chart" uri="{C3380CC4-5D6E-409C-BE32-E72D297353CC}">
              <c16:uniqueId val="{00000004-209F-4A45-BB3A-9D7CC8FB9801}"/>
            </c:ext>
          </c:extLst>
        </c:ser>
        <c:ser>
          <c:idx val="5"/>
          <c:order val="5"/>
          <c:tx>
            <c:strRef>
              <c:f>Donnee_Sechoir!$G$1</c:f>
              <c:strCache>
                <c:ptCount val="1"/>
                <c:pt idx="0">
                  <c:v>Connecteur 6</c:v>
                </c:pt>
              </c:strCache>
            </c:strRef>
          </c:tx>
          <c:spPr>
            <a:ln w="19050" cap="rnd">
              <a:solidFill>
                <a:schemeClr val="accent6"/>
              </a:solidFill>
              <a:round/>
            </a:ln>
            <a:effectLst/>
          </c:spPr>
          <c:marker>
            <c:symbol val="none"/>
          </c:marker>
          <c:xVal>
            <c:numRef>
              <c:f>Donnee_Sechoir!$A$2</c:f>
              <c:numCache>
                <c:formatCode>m/d/yyyy\ h:mm</c:formatCode>
                <c:ptCount val="1"/>
              </c:numCache>
            </c:numRef>
          </c:xVal>
          <c:yVal>
            <c:numRef>
              <c:f>Donnee_Sechoir!$G$2</c:f>
              <c:numCache>
                <c:formatCode>0.00</c:formatCode>
                <c:ptCount val="1"/>
              </c:numCache>
            </c:numRef>
          </c:yVal>
          <c:smooth val="0"/>
          <c:extLst>
            <c:ext xmlns:c16="http://schemas.microsoft.com/office/drawing/2014/chart" uri="{C3380CC4-5D6E-409C-BE32-E72D297353CC}">
              <c16:uniqueId val="{00000005-209F-4A45-BB3A-9D7CC8FB9801}"/>
            </c:ext>
          </c:extLst>
        </c:ser>
        <c:ser>
          <c:idx val="6"/>
          <c:order val="6"/>
          <c:tx>
            <c:strRef>
              <c:f>Donnee_Sechoir!$H$1</c:f>
              <c:strCache>
                <c:ptCount val="1"/>
                <c:pt idx="0">
                  <c:v>Connecteur 7</c:v>
                </c:pt>
              </c:strCache>
            </c:strRef>
          </c:tx>
          <c:spPr>
            <a:ln w="19050" cap="rnd">
              <a:solidFill>
                <a:schemeClr val="accent1">
                  <a:lumMod val="60000"/>
                </a:schemeClr>
              </a:solidFill>
              <a:round/>
            </a:ln>
            <a:effectLst/>
          </c:spPr>
          <c:marker>
            <c:symbol val="none"/>
          </c:marker>
          <c:xVal>
            <c:numRef>
              <c:f>Donnee_Sechoir!$A$2</c:f>
              <c:numCache>
                <c:formatCode>m/d/yyyy\ h:mm</c:formatCode>
                <c:ptCount val="1"/>
              </c:numCache>
            </c:numRef>
          </c:xVal>
          <c:yVal>
            <c:numRef>
              <c:f>Donnee_Sechoir!$H$2</c:f>
              <c:numCache>
                <c:formatCode>0.00</c:formatCode>
                <c:ptCount val="1"/>
              </c:numCache>
            </c:numRef>
          </c:yVal>
          <c:smooth val="0"/>
          <c:extLst>
            <c:ext xmlns:c16="http://schemas.microsoft.com/office/drawing/2014/chart" uri="{C3380CC4-5D6E-409C-BE32-E72D297353CC}">
              <c16:uniqueId val="{00000006-209F-4A45-BB3A-9D7CC8FB9801}"/>
            </c:ext>
          </c:extLst>
        </c:ser>
        <c:ser>
          <c:idx val="7"/>
          <c:order val="7"/>
          <c:tx>
            <c:strRef>
              <c:f>Donnee_Sechoir!$I$1</c:f>
              <c:strCache>
                <c:ptCount val="1"/>
                <c:pt idx="0">
                  <c:v>Connecteur 8</c:v>
                </c:pt>
              </c:strCache>
            </c:strRef>
          </c:tx>
          <c:spPr>
            <a:ln w="19050" cap="rnd">
              <a:solidFill>
                <a:schemeClr val="accent2">
                  <a:lumMod val="60000"/>
                </a:schemeClr>
              </a:solidFill>
              <a:round/>
            </a:ln>
            <a:effectLst/>
          </c:spPr>
          <c:marker>
            <c:symbol val="none"/>
          </c:marker>
          <c:xVal>
            <c:numRef>
              <c:f>Donnee_Sechoir!$A$2</c:f>
              <c:numCache>
                <c:formatCode>m/d/yyyy\ h:mm</c:formatCode>
                <c:ptCount val="1"/>
              </c:numCache>
            </c:numRef>
          </c:xVal>
          <c:yVal>
            <c:numRef>
              <c:f>Donnee_Sechoir!$I$2</c:f>
              <c:numCache>
                <c:formatCode>0.00</c:formatCode>
                <c:ptCount val="1"/>
              </c:numCache>
            </c:numRef>
          </c:yVal>
          <c:smooth val="0"/>
          <c:extLst>
            <c:ext xmlns:c16="http://schemas.microsoft.com/office/drawing/2014/chart" uri="{C3380CC4-5D6E-409C-BE32-E72D297353CC}">
              <c16:uniqueId val="{00000007-209F-4A45-BB3A-9D7CC8FB9801}"/>
            </c:ext>
          </c:extLst>
        </c:ser>
        <c:ser>
          <c:idx val="8"/>
          <c:order val="8"/>
          <c:tx>
            <c:strRef>
              <c:f>Donnee_Sechoir!$J$1</c:f>
              <c:strCache>
                <c:ptCount val="1"/>
                <c:pt idx="0">
                  <c:v>Connecteur 9</c:v>
                </c:pt>
              </c:strCache>
            </c:strRef>
          </c:tx>
          <c:spPr>
            <a:ln w="19050" cap="rnd">
              <a:solidFill>
                <a:schemeClr val="accent3">
                  <a:lumMod val="60000"/>
                </a:schemeClr>
              </a:solidFill>
              <a:round/>
            </a:ln>
            <a:effectLst/>
          </c:spPr>
          <c:marker>
            <c:symbol val="none"/>
          </c:marker>
          <c:xVal>
            <c:numRef>
              <c:f>Donnee_Sechoir!$A$2</c:f>
              <c:numCache>
                <c:formatCode>m/d/yyyy\ h:mm</c:formatCode>
                <c:ptCount val="1"/>
              </c:numCache>
            </c:numRef>
          </c:xVal>
          <c:yVal>
            <c:numRef>
              <c:f>Donnee_Sechoir!$J$2</c:f>
              <c:numCache>
                <c:formatCode>0.00</c:formatCode>
                <c:ptCount val="1"/>
              </c:numCache>
            </c:numRef>
          </c:yVal>
          <c:smooth val="0"/>
          <c:extLst>
            <c:ext xmlns:c16="http://schemas.microsoft.com/office/drawing/2014/chart" uri="{C3380CC4-5D6E-409C-BE32-E72D297353CC}">
              <c16:uniqueId val="{00000008-209F-4A45-BB3A-9D7CC8FB9801}"/>
            </c:ext>
          </c:extLst>
        </c:ser>
        <c:dLbls>
          <c:showLegendKey val="0"/>
          <c:showVal val="0"/>
          <c:showCatName val="0"/>
          <c:showSerName val="0"/>
          <c:showPercent val="0"/>
          <c:showBubbleSize val="0"/>
        </c:dLbls>
        <c:axId val="822352112"/>
        <c:axId val="822352832"/>
      </c:scatterChart>
      <c:valAx>
        <c:axId val="822352112"/>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832"/>
        <c:crosses val="autoZero"/>
        <c:crossBetween val="midCat"/>
      </c:valAx>
      <c:valAx>
        <c:axId val="82235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1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pour la 1ère consigne</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m/d/yyyy\ h:mm</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3671-42EA-BF1A-CC62DFA7D48B}"/>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m/d/yyyy\ h:mm</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3671-42EA-BF1A-CC62DFA7D48B}"/>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m/d/yyyy\ h:mm</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3671-42EA-BF1A-CC62DFA7D48B}"/>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m/d/yyyy\ h:mm</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3671-42EA-BF1A-CC62DFA7D48B}"/>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m/d/yyyy\ h:mm</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3671-42EA-BF1A-CC62DFA7D48B}"/>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m/d/yyyy\ h:mm</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3671-42EA-BF1A-CC62DFA7D48B}"/>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m/d/yyyy\ h:mm</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3671-42EA-BF1A-CC62DFA7D48B}"/>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m/d/yyyy\ h:mm</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3671-42EA-BF1A-CC62DFA7D48B}"/>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m/d/yyyy\ h:mm</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3671-42EA-BF1A-CC62DFA7D48B}"/>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m/d/yyyy\ h:mm</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3671-42EA-BF1A-CC62DFA7D48B}"/>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m/d/yyyy\ h:mm</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3671-42EA-BF1A-CC62DFA7D48B}"/>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m/d/yyyy\ h:mm</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3671-42EA-BF1A-CC62DFA7D48B}"/>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m/d/yyyy\ h:mm</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3671-42EA-BF1A-CC62DFA7D48B}"/>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pour la deuxième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m/d/yyyy\ h:mm</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22DD-42F6-A10E-D8177D803F09}"/>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m/d/yyyy\ h:mm</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22DD-42F6-A10E-D8177D803F09}"/>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m/d/yyyy\ h:mm</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22DD-42F6-A10E-D8177D803F09}"/>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m/d/yyyy\ h:mm</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22DD-42F6-A10E-D8177D803F09}"/>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m/d/yyyy\ h:mm</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22DD-42F6-A10E-D8177D803F09}"/>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m/d/yyyy\ h:mm</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22DD-42F6-A10E-D8177D803F09}"/>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m/d/yyyy\ h:mm</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22DD-42F6-A10E-D8177D803F09}"/>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m/d/yyyy\ h:mm</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22DD-42F6-A10E-D8177D803F09}"/>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m/d/yyyy\ h:mm</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22DD-42F6-A10E-D8177D803F09}"/>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m/d/yyyy\ h:mm</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22DD-42F6-A10E-D8177D803F09}"/>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m/d/yyyy\ h:mm</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22DD-42F6-A10E-D8177D803F09}"/>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m/d/yyyy\ h:mm</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22DD-42F6-A10E-D8177D803F09}"/>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m/d/yyyy\ h:mm</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22DD-42F6-A10E-D8177D803F09}"/>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pour la troisième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m/d/yyyy\ h:mm</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EF0C-4DA7-B215-E2BC0082447E}"/>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m/d/yyyy\ h:mm</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EF0C-4DA7-B215-E2BC0082447E}"/>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m/d/yyyy\ h:mm</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EF0C-4DA7-B215-E2BC0082447E}"/>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m/d/yyyy\ h:mm</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EF0C-4DA7-B215-E2BC0082447E}"/>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m/d/yyyy\ h:mm</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EF0C-4DA7-B215-E2BC0082447E}"/>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m/d/yyyy\ h:mm</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EF0C-4DA7-B215-E2BC0082447E}"/>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m/d/yyyy\ h:mm</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EF0C-4DA7-B215-E2BC0082447E}"/>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m/d/yyyy\ h:mm</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EF0C-4DA7-B215-E2BC0082447E}"/>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m/d/yyyy\ h:mm</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EF0C-4DA7-B215-E2BC0082447E}"/>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m/d/yyyy\ h:mm</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EF0C-4DA7-B215-E2BC0082447E}"/>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m/d/yyyy\ h:mm</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EF0C-4DA7-B215-E2BC0082447E}"/>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m/d/yyyy\ h:mm</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EF0C-4DA7-B215-E2BC0082447E}"/>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m/d/yyyy\ h:mm</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EF0C-4DA7-B215-E2BC0082447E}"/>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pour la 1ère consigne</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m/d/yyyy\ h:mm</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8624-49F2-BE53-80875F9AD1AC}"/>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m/d/yyyy\ h:mm</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8624-49F2-BE53-80875F9AD1AC}"/>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m/d/yyyy\ h:mm</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8624-49F2-BE53-80875F9AD1AC}"/>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m/d/yyyy\ h:mm</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8624-49F2-BE53-80875F9AD1AC}"/>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m/d/yyyy\ h:mm</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8624-49F2-BE53-80875F9AD1AC}"/>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m/d/yyyy\ h:mm</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8624-49F2-BE53-80875F9AD1AC}"/>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m/d/yyyy\ h:mm</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8624-49F2-BE53-80875F9AD1AC}"/>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m/d/yyyy\ h:mm</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8624-49F2-BE53-80875F9AD1AC}"/>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m/d/yyyy\ h:mm</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8624-49F2-BE53-80875F9AD1AC}"/>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m/d/yyyy\ h:mm</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8624-49F2-BE53-80875F9AD1AC}"/>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m/d/yyyy\ h:mm</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8624-49F2-BE53-80875F9AD1AC}"/>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m/d/yyyy\ h:mm</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8624-49F2-BE53-80875F9AD1AC}"/>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m/d/yyyy\ h:mm</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8624-49F2-BE53-80875F9AD1AC}"/>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pour la deuxième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m/d/yyyy\ h:mm</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67A5-4EAC-84F8-49D13DC6AE4D}"/>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m/d/yyyy\ h:mm</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67A5-4EAC-84F8-49D13DC6AE4D}"/>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m/d/yyyy\ h:mm</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67A5-4EAC-84F8-49D13DC6AE4D}"/>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m/d/yyyy\ h:mm</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67A5-4EAC-84F8-49D13DC6AE4D}"/>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m/d/yyyy\ h:mm</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67A5-4EAC-84F8-49D13DC6AE4D}"/>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m/d/yyyy\ h:mm</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67A5-4EAC-84F8-49D13DC6AE4D}"/>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m/d/yyyy\ h:mm</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67A5-4EAC-84F8-49D13DC6AE4D}"/>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m/d/yyyy\ h:mm</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67A5-4EAC-84F8-49D13DC6AE4D}"/>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m/d/yyyy\ h:mm</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67A5-4EAC-84F8-49D13DC6AE4D}"/>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m/d/yyyy\ h:mm</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67A5-4EAC-84F8-49D13DC6AE4D}"/>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m/d/yyyy\ h:mm</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67A5-4EAC-84F8-49D13DC6AE4D}"/>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m/d/yyyy\ h:mm</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67A5-4EAC-84F8-49D13DC6AE4D}"/>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m/d/yyyy\ h:mm</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67A5-4EAC-84F8-49D13DC6AE4D}"/>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pour la troisième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m/d/yyyy\ h:mm</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7933-4AF3-A5CC-9DBAB03E7A77}"/>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m/d/yyyy\ h:mm</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7933-4AF3-A5CC-9DBAB03E7A77}"/>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m/d/yyyy\ h:mm</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7933-4AF3-A5CC-9DBAB03E7A77}"/>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m/d/yyyy\ h:mm</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7933-4AF3-A5CC-9DBAB03E7A77}"/>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m/d/yyyy\ h:mm</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7933-4AF3-A5CC-9DBAB03E7A77}"/>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m/d/yyyy\ h:mm</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7933-4AF3-A5CC-9DBAB03E7A77}"/>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m/d/yyyy\ h:mm</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7933-4AF3-A5CC-9DBAB03E7A77}"/>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m/d/yyyy\ h:mm</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7933-4AF3-A5CC-9DBAB03E7A77}"/>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m/d/yyyy\ h:mm</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7933-4AF3-A5CC-9DBAB03E7A77}"/>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m/d/yyyy\ h:mm</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7933-4AF3-A5CC-9DBAB03E7A77}"/>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m/d/yyyy\ h:mm</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7933-4AF3-A5CC-9DBAB03E7A77}"/>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m/d/yyyy\ h:mm</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7933-4AF3-A5CC-9DBAB03E7A77}"/>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m/d/yyyy\ h:mm</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7933-4AF3-A5CC-9DBAB03E7A77}"/>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Donnee_Dover_1!$B$1</c:f>
              <c:strCache>
                <c:ptCount val="1"/>
                <c:pt idx="0">
                  <c:v>Connecteur 1</c:v>
                </c:pt>
              </c:strCache>
            </c:strRef>
          </c:tx>
          <c:spPr>
            <a:ln w="19050" cap="rnd">
              <a:solidFill>
                <a:schemeClr val="accent1"/>
              </a:solidFill>
              <a:round/>
            </a:ln>
            <a:effectLst/>
          </c:spPr>
          <c:marker>
            <c:symbol val="none"/>
          </c:marker>
          <c:xVal>
            <c:numRef>
              <c:f>Donnee_Dover_1!$A$2</c:f>
              <c:numCache>
                <c:formatCode>m/d/yyyy\ h:mm</c:formatCode>
                <c:ptCount val="1"/>
              </c:numCache>
            </c:numRef>
          </c:xVal>
          <c:yVal>
            <c:numRef>
              <c:f>Donnee_Dover_1!$B$2</c:f>
              <c:numCache>
                <c:formatCode>General</c:formatCode>
                <c:ptCount val="1"/>
              </c:numCache>
            </c:numRef>
          </c:yVal>
          <c:smooth val="0"/>
          <c:extLst>
            <c:ext xmlns:c16="http://schemas.microsoft.com/office/drawing/2014/chart" uri="{C3380CC4-5D6E-409C-BE32-E72D297353CC}">
              <c16:uniqueId val="{00000000-7BF7-4F6F-8D93-C4076015C140}"/>
            </c:ext>
          </c:extLst>
        </c:ser>
        <c:ser>
          <c:idx val="1"/>
          <c:order val="1"/>
          <c:tx>
            <c:strRef>
              <c:f>Donnee_Dover_1!$C$1</c:f>
              <c:strCache>
                <c:ptCount val="1"/>
                <c:pt idx="0">
                  <c:v>Connecteur 2</c:v>
                </c:pt>
              </c:strCache>
            </c:strRef>
          </c:tx>
          <c:spPr>
            <a:ln w="19050" cap="rnd">
              <a:solidFill>
                <a:schemeClr val="accent2"/>
              </a:solidFill>
              <a:round/>
            </a:ln>
            <a:effectLst/>
          </c:spPr>
          <c:marker>
            <c:symbol val="none"/>
          </c:marker>
          <c:xVal>
            <c:numRef>
              <c:f>Donnee_Dover_1!$A$2</c:f>
              <c:numCache>
                <c:formatCode>m/d/yyyy\ h:mm</c:formatCode>
                <c:ptCount val="1"/>
              </c:numCache>
            </c:numRef>
          </c:xVal>
          <c:yVal>
            <c:numRef>
              <c:f>Donnee_Dover_1!$C$2</c:f>
              <c:numCache>
                <c:formatCode>General</c:formatCode>
                <c:ptCount val="1"/>
              </c:numCache>
            </c:numRef>
          </c:yVal>
          <c:smooth val="0"/>
          <c:extLst>
            <c:ext xmlns:c16="http://schemas.microsoft.com/office/drawing/2014/chart" uri="{C3380CC4-5D6E-409C-BE32-E72D297353CC}">
              <c16:uniqueId val="{00000001-7BF7-4F6F-8D93-C4076015C140}"/>
            </c:ext>
          </c:extLst>
        </c:ser>
        <c:ser>
          <c:idx val="2"/>
          <c:order val="2"/>
          <c:tx>
            <c:strRef>
              <c:f>Donnee_Dover_1!$D$1</c:f>
              <c:strCache>
                <c:ptCount val="1"/>
                <c:pt idx="0">
                  <c:v>Connecteur 3</c:v>
                </c:pt>
              </c:strCache>
            </c:strRef>
          </c:tx>
          <c:spPr>
            <a:ln w="19050" cap="rnd">
              <a:solidFill>
                <a:schemeClr val="accent3"/>
              </a:solidFill>
              <a:round/>
            </a:ln>
            <a:effectLst/>
          </c:spPr>
          <c:marker>
            <c:symbol val="none"/>
          </c:marker>
          <c:xVal>
            <c:numRef>
              <c:f>Donnee_Dover_1!$A$2</c:f>
              <c:numCache>
                <c:formatCode>m/d/yyyy\ h:mm</c:formatCode>
                <c:ptCount val="1"/>
              </c:numCache>
            </c:numRef>
          </c:xVal>
          <c:yVal>
            <c:numRef>
              <c:f>Donnee_Dover_1!$D$2</c:f>
              <c:numCache>
                <c:formatCode>General</c:formatCode>
                <c:ptCount val="1"/>
              </c:numCache>
            </c:numRef>
          </c:yVal>
          <c:smooth val="0"/>
          <c:extLst>
            <c:ext xmlns:c16="http://schemas.microsoft.com/office/drawing/2014/chart" uri="{C3380CC4-5D6E-409C-BE32-E72D297353CC}">
              <c16:uniqueId val="{00000002-7BF7-4F6F-8D93-C4076015C140}"/>
            </c:ext>
          </c:extLst>
        </c:ser>
        <c:ser>
          <c:idx val="3"/>
          <c:order val="3"/>
          <c:tx>
            <c:strRef>
              <c:f>Donnee_Dover_1!$E$1</c:f>
              <c:strCache>
                <c:ptCount val="1"/>
                <c:pt idx="0">
                  <c:v>Connecteur 4</c:v>
                </c:pt>
              </c:strCache>
            </c:strRef>
          </c:tx>
          <c:spPr>
            <a:ln w="19050" cap="rnd">
              <a:solidFill>
                <a:schemeClr val="accent4"/>
              </a:solidFill>
              <a:round/>
            </a:ln>
            <a:effectLst/>
          </c:spPr>
          <c:marker>
            <c:symbol val="none"/>
          </c:marker>
          <c:xVal>
            <c:numRef>
              <c:f>Donnee_Dover_1!$A$2</c:f>
              <c:numCache>
                <c:formatCode>m/d/yyyy\ h:mm</c:formatCode>
                <c:ptCount val="1"/>
              </c:numCache>
            </c:numRef>
          </c:xVal>
          <c:yVal>
            <c:numRef>
              <c:f>Donnee_Dover_1!$E$2</c:f>
              <c:numCache>
                <c:formatCode>General</c:formatCode>
                <c:ptCount val="1"/>
              </c:numCache>
            </c:numRef>
          </c:yVal>
          <c:smooth val="0"/>
          <c:extLst>
            <c:ext xmlns:c16="http://schemas.microsoft.com/office/drawing/2014/chart" uri="{C3380CC4-5D6E-409C-BE32-E72D297353CC}">
              <c16:uniqueId val="{00000003-7BF7-4F6F-8D93-C4076015C140}"/>
            </c:ext>
          </c:extLst>
        </c:ser>
        <c:ser>
          <c:idx val="4"/>
          <c:order val="4"/>
          <c:tx>
            <c:strRef>
              <c:f>Donnee_Dover_1!$F$1</c:f>
              <c:strCache>
                <c:ptCount val="1"/>
                <c:pt idx="0">
                  <c:v>Connecteur 5</c:v>
                </c:pt>
              </c:strCache>
            </c:strRef>
          </c:tx>
          <c:spPr>
            <a:ln w="19050" cap="rnd">
              <a:solidFill>
                <a:schemeClr val="accent5"/>
              </a:solidFill>
              <a:round/>
            </a:ln>
            <a:effectLst/>
          </c:spPr>
          <c:marker>
            <c:symbol val="none"/>
          </c:marker>
          <c:xVal>
            <c:numRef>
              <c:f>Donnee_Dover_1!$A$2</c:f>
              <c:numCache>
                <c:formatCode>m/d/yyyy\ h:mm</c:formatCode>
                <c:ptCount val="1"/>
              </c:numCache>
            </c:numRef>
          </c:xVal>
          <c:yVal>
            <c:numRef>
              <c:f>Donnee_Dover_1!$F$2</c:f>
              <c:numCache>
                <c:formatCode>General</c:formatCode>
                <c:ptCount val="1"/>
              </c:numCache>
            </c:numRef>
          </c:yVal>
          <c:smooth val="0"/>
          <c:extLst>
            <c:ext xmlns:c16="http://schemas.microsoft.com/office/drawing/2014/chart" uri="{C3380CC4-5D6E-409C-BE32-E72D297353CC}">
              <c16:uniqueId val="{00000004-7BF7-4F6F-8D93-C4076015C140}"/>
            </c:ext>
          </c:extLst>
        </c:ser>
        <c:ser>
          <c:idx val="5"/>
          <c:order val="5"/>
          <c:tx>
            <c:strRef>
              <c:f>Donnee_Dover_1!$G$1</c:f>
              <c:strCache>
                <c:ptCount val="1"/>
                <c:pt idx="0">
                  <c:v>Connecteur 6</c:v>
                </c:pt>
              </c:strCache>
            </c:strRef>
          </c:tx>
          <c:spPr>
            <a:ln w="19050" cap="rnd">
              <a:solidFill>
                <a:schemeClr val="accent6"/>
              </a:solidFill>
              <a:round/>
            </a:ln>
            <a:effectLst/>
          </c:spPr>
          <c:marker>
            <c:symbol val="none"/>
          </c:marker>
          <c:xVal>
            <c:numRef>
              <c:f>Donnee_Dover_1!$A$2</c:f>
              <c:numCache>
                <c:formatCode>m/d/yyyy\ h:mm</c:formatCode>
                <c:ptCount val="1"/>
              </c:numCache>
            </c:numRef>
          </c:xVal>
          <c:yVal>
            <c:numRef>
              <c:f>Donnee_Dover_1!$G$2</c:f>
              <c:numCache>
                <c:formatCode>General</c:formatCode>
                <c:ptCount val="1"/>
              </c:numCache>
            </c:numRef>
          </c:yVal>
          <c:smooth val="0"/>
          <c:extLst>
            <c:ext xmlns:c16="http://schemas.microsoft.com/office/drawing/2014/chart" uri="{C3380CC4-5D6E-409C-BE32-E72D297353CC}">
              <c16:uniqueId val="{00000005-7BF7-4F6F-8D93-C4076015C140}"/>
            </c:ext>
          </c:extLst>
        </c:ser>
        <c:ser>
          <c:idx val="6"/>
          <c:order val="6"/>
          <c:tx>
            <c:strRef>
              <c:f>Donnee_Dover_1!$H$1</c:f>
              <c:strCache>
                <c:ptCount val="1"/>
                <c:pt idx="0">
                  <c:v>Connecteur 7</c:v>
                </c:pt>
              </c:strCache>
            </c:strRef>
          </c:tx>
          <c:spPr>
            <a:ln w="19050" cap="rnd">
              <a:solidFill>
                <a:schemeClr val="accent1">
                  <a:lumMod val="60000"/>
                </a:schemeClr>
              </a:solidFill>
              <a:round/>
            </a:ln>
            <a:effectLst/>
          </c:spPr>
          <c:marker>
            <c:symbol val="none"/>
          </c:marker>
          <c:xVal>
            <c:numRef>
              <c:f>Donnee_Dover_1!$A$2</c:f>
              <c:numCache>
                <c:formatCode>m/d/yyyy\ h:mm</c:formatCode>
                <c:ptCount val="1"/>
              </c:numCache>
            </c:numRef>
          </c:xVal>
          <c:yVal>
            <c:numRef>
              <c:f>Donnee_Dover_1!$H$2</c:f>
              <c:numCache>
                <c:formatCode>General</c:formatCode>
                <c:ptCount val="1"/>
              </c:numCache>
            </c:numRef>
          </c:yVal>
          <c:smooth val="0"/>
          <c:extLst>
            <c:ext xmlns:c16="http://schemas.microsoft.com/office/drawing/2014/chart" uri="{C3380CC4-5D6E-409C-BE32-E72D297353CC}">
              <c16:uniqueId val="{00000006-7BF7-4F6F-8D93-C4076015C140}"/>
            </c:ext>
          </c:extLst>
        </c:ser>
        <c:ser>
          <c:idx val="7"/>
          <c:order val="7"/>
          <c:tx>
            <c:strRef>
              <c:f>Donnee_Dover_1!$I$1</c:f>
              <c:strCache>
                <c:ptCount val="1"/>
                <c:pt idx="0">
                  <c:v>Connecteur 8</c:v>
                </c:pt>
              </c:strCache>
            </c:strRef>
          </c:tx>
          <c:spPr>
            <a:ln w="19050" cap="rnd">
              <a:solidFill>
                <a:schemeClr val="accent2">
                  <a:lumMod val="60000"/>
                </a:schemeClr>
              </a:solidFill>
              <a:round/>
            </a:ln>
            <a:effectLst/>
          </c:spPr>
          <c:marker>
            <c:symbol val="none"/>
          </c:marker>
          <c:xVal>
            <c:numRef>
              <c:f>Donnee_Dover_1!$A$2</c:f>
              <c:numCache>
                <c:formatCode>m/d/yyyy\ h:mm</c:formatCode>
                <c:ptCount val="1"/>
              </c:numCache>
            </c:numRef>
          </c:xVal>
          <c:yVal>
            <c:numRef>
              <c:f>Donnee_Dover_1!$I$2</c:f>
              <c:numCache>
                <c:formatCode>General</c:formatCode>
                <c:ptCount val="1"/>
              </c:numCache>
            </c:numRef>
          </c:yVal>
          <c:smooth val="0"/>
          <c:extLst>
            <c:ext xmlns:c16="http://schemas.microsoft.com/office/drawing/2014/chart" uri="{C3380CC4-5D6E-409C-BE32-E72D297353CC}">
              <c16:uniqueId val="{00000007-7BF7-4F6F-8D93-C4076015C140}"/>
            </c:ext>
          </c:extLst>
        </c:ser>
        <c:ser>
          <c:idx val="8"/>
          <c:order val="8"/>
          <c:tx>
            <c:strRef>
              <c:f>Donnee_Dover_1!$J$1</c:f>
              <c:strCache>
                <c:ptCount val="1"/>
                <c:pt idx="0">
                  <c:v>Connecteur 9</c:v>
                </c:pt>
              </c:strCache>
            </c:strRef>
          </c:tx>
          <c:spPr>
            <a:ln w="19050" cap="rnd">
              <a:solidFill>
                <a:schemeClr val="accent3">
                  <a:lumMod val="60000"/>
                </a:schemeClr>
              </a:solidFill>
              <a:round/>
            </a:ln>
            <a:effectLst/>
          </c:spPr>
          <c:marker>
            <c:symbol val="none"/>
          </c:marker>
          <c:xVal>
            <c:numRef>
              <c:f>Donnee_Dover_1!$A$2</c:f>
              <c:numCache>
                <c:formatCode>m/d/yyyy\ h:mm</c:formatCode>
                <c:ptCount val="1"/>
              </c:numCache>
            </c:numRef>
          </c:xVal>
          <c:yVal>
            <c:numRef>
              <c:f>Donnee_Dover_1!$J$2</c:f>
              <c:numCache>
                <c:formatCode>General</c:formatCode>
                <c:ptCount val="1"/>
              </c:numCache>
            </c:numRef>
          </c:yVal>
          <c:smooth val="0"/>
          <c:extLst>
            <c:ext xmlns:c16="http://schemas.microsoft.com/office/drawing/2014/chart" uri="{C3380CC4-5D6E-409C-BE32-E72D297353CC}">
              <c16:uniqueId val="{00000008-7BF7-4F6F-8D93-C4076015C140}"/>
            </c:ext>
          </c:extLst>
        </c:ser>
        <c:dLbls>
          <c:showLegendKey val="0"/>
          <c:showVal val="0"/>
          <c:showCatName val="0"/>
          <c:showSerName val="0"/>
          <c:showPercent val="0"/>
          <c:showBubbleSize val="0"/>
        </c:dLbls>
        <c:axId val="836176936"/>
        <c:axId val="836175496"/>
      </c:scatterChart>
      <c:valAx>
        <c:axId val="836176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5496"/>
        <c:crosses val="autoZero"/>
        <c:crossBetween val="midCat"/>
      </c:valAx>
      <c:valAx>
        <c:axId val="836175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6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Donnee_Dover_2!$B$1</c:f>
              <c:strCache>
                <c:ptCount val="1"/>
                <c:pt idx="0">
                  <c:v>Connecteur 1</c:v>
                </c:pt>
              </c:strCache>
            </c:strRef>
          </c:tx>
          <c:spPr>
            <a:ln w="19050" cap="rnd">
              <a:solidFill>
                <a:schemeClr val="accent1"/>
              </a:solidFill>
              <a:round/>
            </a:ln>
            <a:effectLst/>
          </c:spPr>
          <c:marker>
            <c:symbol val="none"/>
          </c:marker>
          <c:xVal>
            <c:numRef>
              <c:f>Donnee_Dover_2!$A$2</c:f>
              <c:numCache>
                <c:formatCode>m/d/yyyy\ h:mm</c:formatCode>
                <c:ptCount val="1"/>
              </c:numCache>
            </c:numRef>
          </c:xVal>
          <c:yVal>
            <c:numRef>
              <c:f>Donnee_Dover_2!$B$2</c:f>
              <c:numCache>
                <c:formatCode>General</c:formatCode>
                <c:ptCount val="1"/>
              </c:numCache>
            </c:numRef>
          </c:yVal>
          <c:smooth val="0"/>
          <c:extLst>
            <c:ext xmlns:c16="http://schemas.microsoft.com/office/drawing/2014/chart" uri="{C3380CC4-5D6E-409C-BE32-E72D297353CC}">
              <c16:uniqueId val="{00000000-D2CF-4034-BA01-F0EF8EA186BB}"/>
            </c:ext>
          </c:extLst>
        </c:ser>
        <c:ser>
          <c:idx val="1"/>
          <c:order val="1"/>
          <c:tx>
            <c:strRef>
              <c:f>Donnee_Dover_2!$C$1</c:f>
              <c:strCache>
                <c:ptCount val="1"/>
                <c:pt idx="0">
                  <c:v>Connecteur 2</c:v>
                </c:pt>
              </c:strCache>
            </c:strRef>
          </c:tx>
          <c:spPr>
            <a:ln w="19050" cap="rnd">
              <a:solidFill>
                <a:schemeClr val="accent2"/>
              </a:solidFill>
              <a:round/>
            </a:ln>
            <a:effectLst/>
          </c:spPr>
          <c:marker>
            <c:symbol val="none"/>
          </c:marker>
          <c:xVal>
            <c:numRef>
              <c:f>Donnee_Dover_2!$A$2</c:f>
              <c:numCache>
                <c:formatCode>m/d/yyyy\ h:mm</c:formatCode>
                <c:ptCount val="1"/>
              </c:numCache>
            </c:numRef>
          </c:xVal>
          <c:yVal>
            <c:numRef>
              <c:f>Donnee_Dover_2!$C$2</c:f>
              <c:numCache>
                <c:formatCode>General</c:formatCode>
                <c:ptCount val="1"/>
              </c:numCache>
            </c:numRef>
          </c:yVal>
          <c:smooth val="0"/>
          <c:extLst>
            <c:ext xmlns:c16="http://schemas.microsoft.com/office/drawing/2014/chart" uri="{C3380CC4-5D6E-409C-BE32-E72D297353CC}">
              <c16:uniqueId val="{00000001-D2CF-4034-BA01-F0EF8EA186BB}"/>
            </c:ext>
          </c:extLst>
        </c:ser>
        <c:ser>
          <c:idx val="2"/>
          <c:order val="2"/>
          <c:tx>
            <c:strRef>
              <c:f>Donnee_Dover_2!$D$1</c:f>
              <c:strCache>
                <c:ptCount val="1"/>
                <c:pt idx="0">
                  <c:v>Connecteur 3</c:v>
                </c:pt>
              </c:strCache>
            </c:strRef>
          </c:tx>
          <c:spPr>
            <a:ln w="19050" cap="rnd">
              <a:solidFill>
                <a:schemeClr val="accent3"/>
              </a:solidFill>
              <a:round/>
            </a:ln>
            <a:effectLst/>
          </c:spPr>
          <c:marker>
            <c:symbol val="none"/>
          </c:marker>
          <c:xVal>
            <c:numRef>
              <c:f>Donnee_Dover_2!$A$2</c:f>
              <c:numCache>
                <c:formatCode>m/d/yyyy\ h:mm</c:formatCode>
                <c:ptCount val="1"/>
              </c:numCache>
            </c:numRef>
          </c:xVal>
          <c:yVal>
            <c:numRef>
              <c:f>Donnee_Dover_2!$D$2</c:f>
              <c:numCache>
                <c:formatCode>General</c:formatCode>
                <c:ptCount val="1"/>
              </c:numCache>
            </c:numRef>
          </c:yVal>
          <c:smooth val="0"/>
          <c:extLst>
            <c:ext xmlns:c16="http://schemas.microsoft.com/office/drawing/2014/chart" uri="{C3380CC4-5D6E-409C-BE32-E72D297353CC}">
              <c16:uniqueId val="{00000002-D2CF-4034-BA01-F0EF8EA186BB}"/>
            </c:ext>
          </c:extLst>
        </c:ser>
        <c:ser>
          <c:idx val="3"/>
          <c:order val="3"/>
          <c:tx>
            <c:strRef>
              <c:f>Donnee_Dover_2!$E$1</c:f>
              <c:strCache>
                <c:ptCount val="1"/>
                <c:pt idx="0">
                  <c:v>Connecteur 4</c:v>
                </c:pt>
              </c:strCache>
            </c:strRef>
          </c:tx>
          <c:spPr>
            <a:ln w="19050" cap="rnd">
              <a:solidFill>
                <a:schemeClr val="accent4"/>
              </a:solidFill>
              <a:round/>
            </a:ln>
            <a:effectLst/>
          </c:spPr>
          <c:marker>
            <c:symbol val="none"/>
          </c:marker>
          <c:xVal>
            <c:numRef>
              <c:f>Donnee_Dover_2!$A$2</c:f>
              <c:numCache>
                <c:formatCode>m/d/yyyy\ h:mm</c:formatCode>
                <c:ptCount val="1"/>
              </c:numCache>
            </c:numRef>
          </c:xVal>
          <c:yVal>
            <c:numRef>
              <c:f>Donnee_Dover_2!$E$2</c:f>
              <c:numCache>
                <c:formatCode>General</c:formatCode>
                <c:ptCount val="1"/>
              </c:numCache>
            </c:numRef>
          </c:yVal>
          <c:smooth val="0"/>
          <c:extLst>
            <c:ext xmlns:c16="http://schemas.microsoft.com/office/drawing/2014/chart" uri="{C3380CC4-5D6E-409C-BE32-E72D297353CC}">
              <c16:uniqueId val="{00000003-D2CF-4034-BA01-F0EF8EA186BB}"/>
            </c:ext>
          </c:extLst>
        </c:ser>
        <c:ser>
          <c:idx val="4"/>
          <c:order val="4"/>
          <c:tx>
            <c:strRef>
              <c:f>Donnee_Dover_2!$F$1</c:f>
              <c:strCache>
                <c:ptCount val="1"/>
                <c:pt idx="0">
                  <c:v>Connecteur 5</c:v>
                </c:pt>
              </c:strCache>
            </c:strRef>
          </c:tx>
          <c:spPr>
            <a:ln w="19050" cap="rnd">
              <a:solidFill>
                <a:schemeClr val="accent5"/>
              </a:solidFill>
              <a:round/>
            </a:ln>
            <a:effectLst/>
          </c:spPr>
          <c:marker>
            <c:symbol val="none"/>
          </c:marker>
          <c:xVal>
            <c:numRef>
              <c:f>Donnee_Dover_2!$A$2</c:f>
              <c:numCache>
                <c:formatCode>m/d/yyyy\ h:mm</c:formatCode>
                <c:ptCount val="1"/>
              </c:numCache>
            </c:numRef>
          </c:xVal>
          <c:yVal>
            <c:numRef>
              <c:f>Donnee_Dover_2!$F$2</c:f>
              <c:numCache>
                <c:formatCode>General</c:formatCode>
                <c:ptCount val="1"/>
              </c:numCache>
            </c:numRef>
          </c:yVal>
          <c:smooth val="0"/>
          <c:extLst>
            <c:ext xmlns:c16="http://schemas.microsoft.com/office/drawing/2014/chart" uri="{C3380CC4-5D6E-409C-BE32-E72D297353CC}">
              <c16:uniqueId val="{00000004-D2CF-4034-BA01-F0EF8EA186BB}"/>
            </c:ext>
          </c:extLst>
        </c:ser>
        <c:ser>
          <c:idx val="5"/>
          <c:order val="5"/>
          <c:tx>
            <c:strRef>
              <c:f>Donnee_Dover_2!$G$1</c:f>
              <c:strCache>
                <c:ptCount val="1"/>
                <c:pt idx="0">
                  <c:v>Connecteur 6</c:v>
                </c:pt>
              </c:strCache>
            </c:strRef>
          </c:tx>
          <c:spPr>
            <a:ln w="19050" cap="rnd">
              <a:solidFill>
                <a:schemeClr val="accent6"/>
              </a:solidFill>
              <a:round/>
            </a:ln>
            <a:effectLst/>
          </c:spPr>
          <c:marker>
            <c:symbol val="none"/>
          </c:marker>
          <c:xVal>
            <c:numRef>
              <c:f>Donnee_Dover_2!$A$2</c:f>
              <c:numCache>
                <c:formatCode>m/d/yyyy\ h:mm</c:formatCode>
                <c:ptCount val="1"/>
              </c:numCache>
            </c:numRef>
          </c:xVal>
          <c:yVal>
            <c:numRef>
              <c:f>Donnee_Dover_2!$G$2</c:f>
              <c:numCache>
                <c:formatCode>General</c:formatCode>
                <c:ptCount val="1"/>
              </c:numCache>
            </c:numRef>
          </c:yVal>
          <c:smooth val="0"/>
          <c:extLst>
            <c:ext xmlns:c16="http://schemas.microsoft.com/office/drawing/2014/chart" uri="{C3380CC4-5D6E-409C-BE32-E72D297353CC}">
              <c16:uniqueId val="{00000005-D2CF-4034-BA01-F0EF8EA186BB}"/>
            </c:ext>
          </c:extLst>
        </c:ser>
        <c:ser>
          <c:idx val="6"/>
          <c:order val="6"/>
          <c:tx>
            <c:strRef>
              <c:f>Donnee_Dover_2!$H$1</c:f>
              <c:strCache>
                <c:ptCount val="1"/>
                <c:pt idx="0">
                  <c:v>Connecteur 7</c:v>
                </c:pt>
              </c:strCache>
            </c:strRef>
          </c:tx>
          <c:spPr>
            <a:ln w="19050" cap="rnd">
              <a:solidFill>
                <a:schemeClr val="accent1">
                  <a:lumMod val="60000"/>
                </a:schemeClr>
              </a:solidFill>
              <a:round/>
            </a:ln>
            <a:effectLst/>
          </c:spPr>
          <c:marker>
            <c:symbol val="none"/>
          </c:marker>
          <c:xVal>
            <c:numRef>
              <c:f>Donnee_Dover_2!$A$2</c:f>
              <c:numCache>
                <c:formatCode>m/d/yyyy\ h:mm</c:formatCode>
                <c:ptCount val="1"/>
              </c:numCache>
            </c:numRef>
          </c:xVal>
          <c:yVal>
            <c:numRef>
              <c:f>Donnee_Dover_2!$H$2</c:f>
              <c:numCache>
                <c:formatCode>General</c:formatCode>
                <c:ptCount val="1"/>
              </c:numCache>
            </c:numRef>
          </c:yVal>
          <c:smooth val="0"/>
          <c:extLst>
            <c:ext xmlns:c16="http://schemas.microsoft.com/office/drawing/2014/chart" uri="{C3380CC4-5D6E-409C-BE32-E72D297353CC}">
              <c16:uniqueId val="{00000006-D2CF-4034-BA01-F0EF8EA186BB}"/>
            </c:ext>
          </c:extLst>
        </c:ser>
        <c:ser>
          <c:idx val="7"/>
          <c:order val="7"/>
          <c:tx>
            <c:strRef>
              <c:f>Donnee_Dover_2!$I$1</c:f>
              <c:strCache>
                <c:ptCount val="1"/>
                <c:pt idx="0">
                  <c:v>Connecteur 8</c:v>
                </c:pt>
              </c:strCache>
            </c:strRef>
          </c:tx>
          <c:spPr>
            <a:ln w="19050" cap="rnd">
              <a:solidFill>
                <a:schemeClr val="accent2">
                  <a:lumMod val="60000"/>
                </a:schemeClr>
              </a:solidFill>
              <a:round/>
            </a:ln>
            <a:effectLst/>
          </c:spPr>
          <c:marker>
            <c:symbol val="none"/>
          </c:marker>
          <c:xVal>
            <c:numRef>
              <c:f>Donnee_Dover_2!$A$2</c:f>
              <c:numCache>
                <c:formatCode>m/d/yyyy\ h:mm</c:formatCode>
                <c:ptCount val="1"/>
              </c:numCache>
            </c:numRef>
          </c:xVal>
          <c:yVal>
            <c:numRef>
              <c:f>Donnee_Dover_2!$I$2</c:f>
              <c:numCache>
                <c:formatCode>General</c:formatCode>
                <c:ptCount val="1"/>
              </c:numCache>
            </c:numRef>
          </c:yVal>
          <c:smooth val="0"/>
          <c:extLst>
            <c:ext xmlns:c16="http://schemas.microsoft.com/office/drawing/2014/chart" uri="{C3380CC4-5D6E-409C-BE32-E72D297353CC}">
              <c16:uniqueId val="{00000007-D2CF-4034-BA01-F0EF8EA186BB}"/>
            </c:ext>
          </c:extLst>
        </c:ser>
        <c:ser>
          <c:idx val="8"/>
          <c:order val="8"/>
          <c:tx>
            <c:strRef>
              <c:f>Donnee_Dover_2!$J$1</c:f>
              <c:strCache>
                <c:ptCount val="1"/>
                <c:pt idx="0">
                  <c:v>Connecteur 9</c:v>
                </c:pt>
              </c:strCache>
            </c:strRef>
          </c:tx>
          <c:spPr>
            <a:ln w="19050" cap="rnd">
              <a:solidFill>
                <a:schemeClr val="accent3">
                  <a:lumMod val="60000"/>
                </a:schemeClr>
              </a:solidFill>
              <a:round/>
            </a:ln>
            <a:effectLst/>
          </c:spPr>
          <c:marker>
            <c:symbol val="none"/>
          </c:marker>
          <c:xVal>
            <c:numRef>
              <c:f>Donnee_Dover_2!$A$2</c:f>
              <c:numCache>
                <c:formatCode>m/d/yyyy\ h:mm</c:formatCode>
                <c:ptCount val="1"/>
              </c:numCache>
            </c:numRef>
          </c:xVal>
          <c:yVal>
            <c:numRef>
              <c:f>Donnee_Dover_2!$J$2</c:f>
              <c:numCache>
                <c:formatCode>General</c:formatCode>
                <c:ptCount val="1"/>
              </c:numCache>
            </c:numRef>
          </c:yVal>
          <c:smooth val="0"/>
          <c:extLst>
            <c:ext xmlns:c16="http://schemas.microsoft.com/office/drawing/2014/chart" uri="{C3380CC4-5D6E-409C-BE32-E72D297353CC}">
              <c16:uniqueId val="{00000008-D2CF-4034-BA01-F0EF8EA186BB}"/>
            </c:ext>
          </c:extLst>
        </c:ser>
        <c:dLbls>
          <c:showLegendKey val="0"/>
          <c:showVal val="0"/>
          <c:showCatName val="0"/>
          <c:showSerName val="0"/>
          <c:showPercent val="0"/>
          <c:showBubbleSize val="0"/>
        </c:dLbls>
        <c:axId val="828909048"/>
        <c:axId val="828916608"/>
      </c:scatterChart>
      <c:valAx>
        <c:axId val="828909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16608"/>
        <c:crosses val="autoZero"/>
        <c:crossBetween val="midCat"/>
      </c:valAx>
      <c:valAx>
        <c:axId val="82891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09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Donnee_Dover_3!$B$1</c:f>
              <c:strCache>
                <c:ptCount val="1"/>
                <c:pt idx="0">
                  <c:v>Connecteur 1</c:v>
                </c:pt>
              </c:strCache>
            </c:strRef>
          </c:tx>
          <c:spPr>
            <a:ln w="19050" cap="rnd">
              <a:solidFill>
                <a:schemeClr val="accent1"/>
              </a:solidFill>
              <a:round/>
            </a:ln>
            <a:effectLst/>
          </c:spPr>
          <c:marker>
            <c:symbol val="none"/>
          </c:marker>
          <c:xVal>
            <c:numRef>
              <c:f>Donnee_Dover_3!$A$2</c:f>
              <c:numCache>
                <c:formatCode>m/d/yyyy\ h:mm</c:formatCode>
                <c:ptCount val="1"/>
              </c:numCache>
            </c:numRef>
          </c:xVal>
          <c:yVal>
            <c:numRef>
              <c:f>Donnee_Dover_3!$B$2</c:f>
              <c:numCache>
                <c:formatCode>General</c:formatCode>
                <c:ptCount val="1"/>
              </c:numCache>
            </c:numRef>
          </c:yVal>
          <c:smooth val="0"/>
          <c:extLst>
            <c:ext xmlns:c16="http://schemas.microsoft.com/office/drawing/2014/chart" uri="{C3380CC4-5D6E-409C-BE32-E72D297353CC}">
              <c16:uniqueId val="{00000000-1179-478F-94E8-B68C49CE078B}"/>
            </c:ext>
          </c:extLst>
        </c:ser>
        <c:ser>
          <c:idx val="1"/>
          <c:order val="1"/>
          <c:tx>
            <c:strRef>
              <c:f>Donnee_Dover_3!$C$1</c:f>
              <c:strCache>
                <c:ptCount val="1"/>
                <c:pt idx="0">
                  <c:v>Connecteur 2</c:v>
                </c:pt>
              </c:strCache>
            </c:strRef>
          </c:tx>
          <c:spPr>
            <a:ln w="19050" cap="rnd">
              <a:solidFill>
                <a:schemeClr val="accent2"/>
              </a:solidFill>
              <a:round/>
            </a:ln>
            <a:effectLst/>
          </c:spPr>
          <c:marker>
            <c:symbol val="none"/>
          </c:marker>
          <c:xVal>
            <c:numRef>
              <c:f>Donnee_Dover_3!$A$2</c:f>
              <c:numCache>
                <c:formatCode>m/d/yyyy\ h:mm</c:formatCode>
                <c:ptCount val="1"/>
              </c:numCache>
            </c:numRef>
          </c:xVal>
          <c:yVal>
            <c:numRef>
              <c:f>Donnee_Dover_3!$C$2</c:f>
              <c:numCache>
                <c:formatCode>General</c:formatCode>
                <c:ptCount val="1"/>
              </c:numCache>
            </c:numRef>
          </c:yVal>
          <c:smooth val="0"/>
          <c:extLst>
            <c:ext xmlns:c16="http://schemas.microsoft.com/office/drawing/2014/chart" uri="{C3380CC4-5D6E-409C-BE32-E72D297353CC}">
              <c16:uniqueId val="{00000001-1179-478F-94E8-B68C49CE078B}"/>
            </c:ext>
          </c:extLst>
        </c:ser>
        <c:ser>
          <c:idx val="2"/>
          <c:order val="2"/>
          <c:tx>
            <c:strRef>
              <c:f>Donnee_Dover_3!$D$1</c:f>
              <c:strCache>
                <c:ptCount val="1"/>
                <c:pt idx="0">
                  <c:v>Connecteur 3</c:v>
                </c:pt>
              </c:strCache>
            </c:strRef>
          </c:tx>
          <c:spPr>
            <a:ln w="19050" cap="rnd">
              <a:solidFill>
                <a:schemeClr val="accent3"/>
              </a:solidFill>
              <a:round/>
            </a:ln>
            <a:effectLst/>
          </c:spPr>
          <c:marker>
            <c:symbol val="none"/>
          </c:marker>
          <c:xVal>
            <c:numRef>
              <c:f>Donnee_Dover_3!$A$2</c:f>
              <c:numCache>
                <c:formatCode>m/d/yyyy\ h:mm</c:formatCode>
                <c:ptCount val="1"/>
              </c:numCache>
            </c:numRef>
          </c:xVal>
          <c:yVal>
            <c:numRef>
              <c:f>Donnee_Dover_3!$D$2</c:f>
              <c:numCache>
                <c:formatCode>General</c:formatCode>
                <c:ptCount val="1"/>
              </c:numCache>
            </c:numRef>
          </c:yVal>
          <c:smooth val="0"/>
          <c:extLst>
            <c:ext xmlns:c16="http://schemas.microsoft.com/office/drawing/2014/chart" uri="{C3380CC4-5D6E-409C-BE32-E72D297353CC}">
              <c16:uniqueId val="{00000002-1179-478F-94E8-B68C49CE078B}"/>
            </c:ext>
          </c:extLst>
        </c:ser>
        <c:ser>
          <c:idx val="3"/>
          <c:order val="3"/>
          <c:tx>
            <c:strRef>
              <c:f>Donnee_Dover_3!$E$1</c:f>
              <c:strCache>
                <c:ptCount val="1"/>
                <c:pt idx="0">
                  <c:v>Connecteur 4</c:v>
                </c:pt>
              </c:strCache>
            </c:strRef>
          </c:tx>
          <c:spPr>
            <a:ln w="19050" cap="rnd">
              <a:solidFill>
                <a:schemeClr val="accent4"/>
              </a:solidFill>
              <a:round/>
            </a:ln>
            <a:effectLst/>
          </c:spPr>
          <c:marker>
            <c:symbol val="none"/>
          </c:marker>
          <c:xVal>
            <c:numRef>
              <c:f>Donnee_Dover_3!$A$2</c:f>
              <c:numCache>
                <c:formatCode>m/d/yyyy\ h:mm</c:formatCode>
                <c:ptCount val="1"/>
              </c:numCache>
            </c:numRef>
          </c:xVal>
          <c:yVal>
            <c:numRef>
              <c:f>Donnee_Dover_3!$E$2</c:f>
              <c:numCache>
                <c:formatCode>General</c:formatCode>
                <c:ptCount val="1"/>
              </c:numCache>
            </c:numRef>
          </c:yVal>
          <c:smooth val="0"/>
          <c:extLst>
            <c:ext xmlns:c16="http://schemas.microsoft.com/office/drawing/2014/chart" uri="{C3380CC4-5D6E-409C-BE32-E72D297353CC}">
              <c16:uniqueId val="{00000003-1179-478F-94E8-B68C49CE078B}"/>
            </c:ext>
          </c:extLst>
        </c:ser>
        <c:ser>
          <c:idx val="4"/>
          <c:order val="4"/>
          <c:tx>
            <c:strRef>
              <c:f>Donnee_Dover_3!$F$1</c:f>
              <c:strCache>
                <c:ptCount val="1"/>
                <c:pt idx="0">
                  <c:v>Connecteur 5</c:v>
                </c:pt>
              </c:strCache>
            </c:strRef>
          </c:tx>
          <c:spPr>
            <a:ln w="19050" cap="rnd">
              <a:solidFill>
                <a:schemeClr val="accent5"/>
              </a:solidFill>
              <a:round/>
            </a:ln>
            <a:effectLst/>
          </c:spPr>
          <c:marker>
            <c:symbol val="none"/>
          </c:marker>
          <c:xVal>
            <c:numRef>
              <c:f>Donnee_Dover_3!$A$2</c:f>
              <c:numCache>
                <c:formatCode>m/d/yyyy\ h:mm</c:formatCode>
                <c:ptCount val="1"/>
              </c:numCache>
            </c:numRef>
          </c:xVal>
          <c:yVal>
            <c:numRef>
              <c:f>Donnee_Dover_3!$F$2</c:f>
              <c:numCache>
                <c:formatCode>General</c:formatCode>
                <c:ptCount val="1"/>
              </c:numCache>
            </c:numRef>
          </c:yVal>
          <c:smooth val="0"/>
          <c:extLst>
            <c:ext xmlns:c16="http://schemas.microsoft.com/office/drawing/2014/chart" uri="{C3380CC4-5D6E-409C-BE32-E72D297353CC}">
              <c16:uniqueId val="{00000004-1179-478F-94E8-B68C49CE078B}"/>
            </c:ext>
          </c:extLst>
        </c:ser>
        <c:ser>
          <c:idx val="5"/>
          <c:order val="5"/>
          <c:tx>
            <c:strRef>
              <c:f>Donnee_Dover_3!$G$1</c:f>
              <c:strCache>
                <c:ptCount val="1"/>
                <c:pt idx="0">
                  <c:v>Connecteur 6</c:v>
                </c:pt>
              </c:strCache>
            </c:strRef>
          </c:tx>
          <c:spPr>
            <a:ln w="19050" cap="rnd">
              <a:solidFill>
                <a:schemeClr val="accent6"/>
              </a:solidFill>
              <a:round/>
            </a:ln>
            <a:effectLst/>
          </c:spPr>
          <c:marker>
            <c:symbol val="none"/>
          </c:marker>
          <c:xVal>
            <c:numRef>
              <c:f>Donnee_Dover_3!$A$2</c:f>
              <c:numCache>
                <c:formatCode>m/d/yyyy\ h:mm</c:formatCode>
                <c:ptCount val="1"/>
              </c:numCache>
            </c:numRef>
          </c:xVal>
          <c:yVal>
            <c:numRef>
              <c:f>Donnee_Dover_3!$G$2</c:f>
              <c:numCache>
                <c:formatCode>General</c:formatCode>
                <c:ptCount val="1"/>
              </c:numCache>
            </c:numRef>
          </c:yVal>
          <c:smooth val="0"/>
          <c:extLst>
            <c:ext xmlns:c16="http://schemas.microsoft.com/office/drawing/2014/chart" uri="{C3380CC4-5D6E-409C-BE32-E72D297353CC}">
              <c16:uniqueId val="{00000005-1179-478F-94E8-B68C49CE078B}"/>
            </c:ext>
          </c:extLst>
        </c:ser>
        <c:ser>
          <c:idx val="6"/>
          <c:order val="6"/>
          <c:tx>
            <c:strRef>
              <c:f>Donnee_Dover_3!$H$1</c:f>
              <c:strCache>
                <c:ptCount val="1"/>
                <c:pt idx="0">
                  <c:v>Connecteur 7</c:v>
                </c:pt>
              </c:strCache>
            </c:strRef>
          </c:tx>
          <c:spPr>
            <a:ln w="19050" cap="rnd">
              <a:solidFill>
                <a:schemeClr val="accent1">
                  <a:lumMod val="60000"/>
                </a:schemeClr>
              </a:solidFill>
              <a:round/>
            </a:ln>
            <a:effectLst/>
          </c:spPr>
          <c:marker>
            <c:symbol val="none"/>
          </c:marker>
          <c:xVal>
            <c:numRef>
              <c:f>Donnee_Dover_3!$A$2</c:f>
              <c:numCache>
                <c:formatCode>m/d/yyyy\ h:mm</c:formatCode>
                <c:ptCount val="1"/>
              </c:numCache>
            </c:numRef>
          </c:xVal>
          <c:yVal>
            <c:numRef>
              <c:f>Donnee_Dover_3!$H$2</c:f>
              <c:numCache>
                <c:formatCode>General</c:formatCode>
                <c:ptCount val="1"/>
              </c:numCache>
            </c:numRef>
          </c:yVal>
          <c:smooth val="0"/>
          <c:extLst>
            <c:ext xmlns:c16="http://schemas.microsoft.com/office/drawing/2014/chart" uri="{C3380CC4-5D6E-409C-BE32-E72D297353CC}">
              <c16:uniqueId val="{00000006-1179-478F-94E8-B68C49CE078B}"/>
            </c:ext>
          </c:extLst>
        </c:ser>
        <c:ser>
          <c:idx val="7"/>
          <c:order val="7"/>
          <c:tx>
            <c:strRef>
              <c:f>Donnee_Dover_3!$I$1</c:f>
              <c:strCache>
                <c:ptCount val="1"/>
                <c:pt idx="0">
                  <c:v>Connecteur 8</c:v>
                </c:pt>
              </c:strCache>
            </c:strRef>
          </c:tx>
          <c:spPr>
            <a:ln w="19050" cap="rnd">
              <a:solidFill>
                <a:schemeClr val="accent2">
                  <a:lumMod val="60000"/>
                </a:schemeClr>
              </a:solidFill>
              <a:round/>
            </a:ln>
            <a:effectLst/>
          </c:spPr>
          <c:marker>
            <c:symbol val="none"/>
          </c:marker>
          <c:xVal>
            <c:numRef>
              <c:f>Donnee_Dover_3!$A$2</c:f>
              <c:numCache>
                <c:formatCode>m/d/yyyy\ h:mm</c:formatCode>
                <c:ptCount val="1"/>
              </c:numCache>
            </c:numRef>
          </c:xVal>
          <c:yVal>
            <c:numRef>
              <c:f>Donnee_Dover_3!$I$2</c:f>
              <c:numCache>
                <c:formatCode>General</c:formatCode>
                <c:ptCount val="1"/>
              </c:numCache>
            </c:numRef>
          </c:yVal>
          <c:smooth val="0"/>
          <c:extLst>
            <c:ext xmlns:c16="http://schemas.microsoft.com/office/drawing/2014/chart" uri="{C3380CC4-5D6E-409C-BE32-E72D297353CC}">
              <c16:uniqueId val="{00000007-1179-478F-94E8-B68C49CE078B}"/>
            </c:ext>
          </c:extLst>
        </c:ser>
        <c:ser>
          <c:idx val="8"/>
          <c:order val="8"/>
          <c:tx>
            <c:strRef>
              <c:f>Donnee_Dover_3!$J$1</c:f>
              <c:strCache>
                <c:ptCount val="1"/>
                <c:pt idx="0">
                  <c:v>Connecteur 9</c:v>
                </c:pt>
              </c:strCache>
            </c:strRef>
          </c:tx>
          <c:spPr>
            <a:ln w="19050" cap="rnd">
              <a:solidFill>
                <a:schemeClr val="accent3">
                  <a:lumMod val="60000"/>
                </a:schemeClr>
              </a:solidFill>
              <a:round/>
            </a:ln>
            <a:effectLst/>
          </c:spPr>
          <c:marker>
            <c:symbol val="none"/>
          </c:marker>
          <c:xVal>
            <c:numRef>
              <c:f>Donnee_Dover_3!$A$2</c:f>
              <c:numCache>
                <c:formatCode>m/d/yyyy\ h:mm</c:formatCode>
                <c:ptCount val="1"/>
              </c:numCache>
            </c:numRef>
          </c:xVal>
          <c:yVal>
            <c:numRef>
              <c:f>Donnee_Dover_3!$J$2</c:f>
              <c:numCache>
                <c:formatCode>General</c:formatCode>
                <c:ptCount val="1"/>
              </c:numCache>
            </c:numRef>
          </c:yVal>
          <c:smooth val="0"/>
          <c:extLst>
            <c:ext xmlns:c16="http://schemas.microsoft.com/office/drawing/2014/chart" uri="{C3380CC4-5D6E-409C-BE32-E72D297353CC}">
              <c16:uniqueId val="{00000008-1179-478F-94E8-B68C49CE078B}"/>
            </c:ext>
          </c:extLst>
        </c:ser>
        <c:dLbls>
          <c:showLegendKey val="0"/>
          <c:showVal val="0"/>
          <c:showCatName val="0"/>
          <c:showSerName val="0"/>
          <c:showPercent val="0"/>
          <c:showBubbleSize val="0"/>
        </c:dLbls>
        <c:axId val="839244000"/>
        <c:axId val="839243640"/>
      </c:scatterChart>
      <c:valAx>
        <c:axId val="83924400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3640"/>
        <c:crosses val="autoZero"/>
        <c:crossBetween val="midCat"/>
      </c:valAx>
      <c:valAx>
        <c:axId val="839243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40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Donnee_Dover_1!$B$1</c:f>
              <c:strCache>
                <c:ptCount val="1"/>
                <c:pt idx="0">
                  <c:v>Connecteur 1</c:v>
                </c:pt>
              </c:strCache>
            </c:strRef>
          </c:tx>
          <c:spPr>
            <a:ln w="19050" cap="rnd">
              <a:solidFill>
                <a:schemeClr val="accent1"/>
              </a:solidFill>
              <a:round/>
            </a:ln>
            <a:effectLst/>
          </c:spPr>
          <c:marker>
            <c:symbol val="none"/>
          </c:marker>
          <c:xVal>
            <c:numRef>
              <c:f>Donnee_Dover_1!$A$2</c:f>
              <c:numCache>
                <c:formatCode>m/d/yyyy\ h:mm</c:formatCode>
                <c:ptCount val="1"/>
              </c:numCache>
            </c:numRef>
          </c:xVal>
          <c:yVal>
            <c:numRef>
              <c:f>Donnee_Dover_1!$B$2</c:f>
              <c:numCache>
                <c:formatCode>General</c:formatCode>
                <c:ptCount val="1"/>
              </c:numCache>
            </c:numRef>
          </c:yVal>
          <c:smooth val="0"/>
          <c:extLst>
            <c:ext xmlns:c16="http://schemas.microsoft.com/office/drawing/2014/chart" uri="{C3380CC4-5D6E-409C-BE32-E72D297353CC}">
              <c16:uniqueId val="{00000000-BB8B-40F7-8E71-672414C61E11}"/>
            </c:ext>
          </c:extLst>
        </c:ser>
        <c:ser>
          <c:idx val="1"/>
          <c:order val="1"/>
          <c:tx>
            <c:strRef>
              <c:f>Donnee_Dover_1!$C$1</c:f>
              <c:strCache>
                <c:ptCount val="1"/>
                <c:pt idx="0">
                  <c:v>Connecteur 2</c:v>
                </c:pt>
              </c:strCache>
            </c:strRef>
          </c:tx>
          <c:spPr>
            <a:ln w="19050" cap="rnd">
              <a:solidFill>
                <a:schemeClr val="accent2"/>
              </a:solidFill>
              <a:round/>
            </a:ln>
            <a:effectLst/>
          </c:spPr>
          <c:marker>
            <c:symbol val="none"/>
          </c:marker>
          <c:xVal>
            <c:numRef>
              <c:f>Donnee_Dover_1!$A$2</c:f>
              <c:numCache>
                <c:formatCode>m/d/yyyy\ h:mm</c:formatCode>
                <c:ptCount val="1"/>
              </c:numCache>
            </c:numRef>
          </c:xVal>
          <c:yVal>
            <c:numRef>
              <c:f>Donnee_Dover_1!$C$2</c:f>
              <c:numCache>
                <c:formatCode>General</c:formatCode>
                <c:ptCount val="1"/>
              </c:numCache>
            </c:numRef>
          </c:yVal>
          <c:smooth val="0"/>
          <c:extLst>
            <c:ext xmlns:c16="http://schemas.microsoft.com/office/drawing/2014/chart" uri="{C3380CC4-5D6E-409C-BE32-E72D297353CC}">
              <c16:uniqueId val="{00000001-BB8B-40F7-8E71-672414C61E11}"/>
            </c:ext>
          </c:extLst>
        </c:ser>
        <c:ser>
          <c:idx val="2"/>
          <c:order val="2"/>
          <c:tx>
            <c:strRef>
              <c:f>Donnee_Dover_1!$D$1</c:f>
              <c:strCache>
                <c:ptCount val="1"/>
                <c:pt idx="0">
                  <c:v>Connecteur 3</c:v>
                </c:pt>
              </c:strCache>
            </c:strRef>
          </c:tx>
          <c:spPr>
            <a:ln w="19050" cap="rnd">
              <a:solidFill>
                <a:schemeClr val="accent3"/>
              </a:solidFill>
              <a:round/>
            </a:ln>
            <a:effectLst/>
          </c:spPr>
          <c:marker>
            <c:symbol val="none"/>
          </c:marker>
          <c:xVal>
            <c:numRef>
              <c:f>Donnee_Dover_1!$A$2</c:f>
              <c:numCache>
                <c:formatCode>m/d/yyyy\ h:mm</c:formatCode>
                <c:ptCount val="1"/>
              </c:numCache>
            </c:numRef>
          </c:xVal>
          <c:yVal>
            <c:numRef>
              <c:f>Donnee_Dover_1!$D$2</c:f>
              <c:numCache>
                <c:formatCode>General</c:formatCode>
                <c:ptCount val="1"/>
              </c:numCache>
            </c:numRef>
          </c:yVal>
          <c:smooth val="0"/>
          <c:extLst>
            <c:ext xmlns:c16="http://schemas.microsoft.com/office/drawing/2014/chart" uri="{C3380CC4-5D6E-409C-BE32-E72D297353CC}">
              <c16:uniqueId val="{00000002-BB8B-40F7-8E71-672414C61E11}"/>
            </c:ext>
          </c:extLst>
        </c:ser>
        <c:ser>
          <c:idx val="3"/>
          <c:order val="3"/>
          <c:tx>
            <c:strRef>
              <c:f>Donnee_Dover_1!$E$1</c:f>
              <c:strCache>
                <c:ptCount val="1"/>
                <c:pt idx="0">
                  <c:v>Connecteur 4</c:v>
                </c:pt>
              </c:strCache>
            </c:strRef>
          </c:tx>
          <c:spPr>
            <a:ln w="19050" cap="rnd">
              <a:solidFill>
                <a:schemeClr val="accent4"/>
              </a:solidFill>
              <a:round/>
            </a:ln>
            <a:effectLst/>
          </c:spPr>
          <c:marker>
            <c:symbol val="none"/>
          </c:marker>
          <c:xVal>
            <c:numRef>
              <c:f>Donnee_Dover_1!$A$2</c:f>
              <c:numCache>
                <c:formatCode>m/d/yyyy\ h:mm</c:formatCode>
                <c:ptCount val="1"/>
              </c:numCache>
            </c:numRef>
          </c:xVal>
          <c:yVal>
            <c:numRef>
              <c:f>Donnee_Dover_1!$E$2</c:f>
              <c:numCache>
                <c:formatCode>General</c:formatCode>
                <c:ptCount val="1"/>
              </c:numCache>
            </c:numRef>
          </c:yVal>
          <c:smooth val="0"/>
          <c:extLst>
            <c:ext xmlns:c16="http://schemas.microsoft.com/office/drawing/2014/chart" uri="{C3380CC4-5D6E-409C-BE32-E72D297353CC}">
              <c16:uniqueId val="{00000003-BB8B-40F7-8E71-672414C61E11}"/>
            </c:ext>
          </c:extLst>
        </c:ser>
        <c:ser>
          <c:idx val="4"/>
          <c:order val="4"/>
          <c:tx>
            <c:strRef>
              <c:f>Donnee_Dover_1!$F$1</c:f>
              <c:strCache>
                <c:ptCount val="1"/>
                <c:pt idx="0">
                  <c:v>Connecteur 5</c:v>
                </c:pt>
              </c:strCache>
            </c:strRef>
          </c:tx>
          <c:spPr>
            <a:ln w="19050" cap="rnd">
              <a:solidFill>
                <a:schemeClr val="accent5"/>
              </a:solidFill>
              <a:round/>
            </a:ln>
            <a:effectLst/>
          </c:spPr>
          <c:marker>
            <c:symbol val="none"/>
          </c:marker>
          <c:xVal>
            <c:numRef>
              <c:f>Donnee_Dover_1!$A$2</c:f>
              <c:numCache>
                <c:formatCode>m/d/yyyy\ h:mm</c:formatCode>
                <c:ptCount val="1"/>
              </c:numCache>
            </c:numRef>
          </c:xVal>
          <c:yVal>
            <c:numRef>
              <c:f>Donnee_Dover_1!$F$2</c:f>
              <c:numCache>
                <c:formatCode>General</c:formatCode>
                <c:ptCount val="1"/>
              </c:numCache>
            </c:numRef>
          </c:yVal>
          <c:smooth val="0"/>
          <c:extLst>
            <c:ext xmlns:c16="http://schemas.microsoft.com/office/drawing/2014/chart" uri="{C3380CC4-5D6E-409C-BE32-E72D297353CC}">
              <c16:uniqueId val="{00000004-BB8B-40F7-8E71-672414C61E11}"/>
            </c:ext>
          </c:extLst>
        </c:ser>
        <c:ser>
          <c:idx val="5"/>
          <c:order val="5"/>
          <c:tx>
            <c:strRef>
              <c:f>Donnee_Dover_1!$G$1</c:f>
              <c:strCache>
                <c:ptCount val="1"/>
                <c:pt idx="0">
                  <c:v>Connecteur 6</c:v>
                </c:pt>
              </c:strCache>
            </c:strRef>
          </c:tx>
          <c:spPr>
            <a:ln w="19050" cap="rnd">
              <a:solidFill>
                <a:schemeClr val="accent6"/>
              </a:solidFill>
              <a:round/>
            </a:ln>
            <a:effectLst/>
          </c:spPr>
          <c:marker>
            <c:symbol val="none"/>
          </c:marker>
          <c:xVal>
            <c:numRef>
              <c:f>Donnee_Dover_1!$A$2</c:f>
              <c:numCache>
                <c:formatCode>m/d/yyyy\ h:mm</c:formatCode>
                <c:ptCount val="1"/>
              </c:numCache>
            </c:numRef>
          </c:xVal>
          <c:yVal>
            <c:numRef>
              <c:f>Donnee_Dover_1!$G$2</c:f>
              <c:numCache>
                <c:formatCode>General</c:formatCode>
                <c:ptCount val="1"/>
              </c:numCache>
            </c:numRef>
          </c:yVal>
          <c:smooth val="0"/>
          <c:extLst>
            <c:ext xmlns:c16="http://schemas.microsoft.com/office/drawing/2014/chart" uri="{C3380CC4-5D6E-409C-BE32-E72D297353CC}">
              <c16:uniqueId val="{00000005-BB8B-40F7-8E71-672414C61E11}"/>
            </c:ext>
          </c:extLst>
        </c:ser>
        <c:ser>
          <c:idx val="6"/>
          <c:order val="6"/>
          <c:tx>
            <c:strRef>
              <c:f>Donnee_Dover_1!$H$1</c:f>
              <c:strCache>
                <c:ptCount val="1"/>
                <c:pt idx="0">
                  <c:v>Connecteur 7</c:v>
                </c:pt>
              </c:strCache>
            </c:strRef>
          </c:tx>
          <c:spPr>
            <a:ln w="19050" cap="rnd">
              <a:solidFill>
                <a:schemeClr val="accent1">
                  <a:lumMod val="60000"/>
                </a:schemeClr>
              </a:solidFill>
              <a:round/>
            </a:ln>
            <a:effectLst/>
          </c:spPr>
          <c:marker>
            <c:symbol val="none"/>
          </c:marker>
          <c:xVal>
            <c:numRef>
              <c:f>Donnee_Dover_1!$A$2</c:f>
              <c:numCache>
                <c:formatCode>m/d/yyyy\ h:mm</c:formatCode>
                <c:ptCount val="1"/>
              </c:numCache>
            </c:numRef>
          </c:xVal>
          <c:yVal>
            <c:numRef>
              <c:f>Donnee_Dover_1!$H$2</c:f>
              <c:numCache>
                <c:formatCode>General</c:formatCode>
                <c:ptCount val="1"/>
              </c:numCache>
            </c:numRef>
          </c:yVal>
          <c:smooth val="0"/>
          <c:extLst>
            <c:ext xmlns:c16="http://schemas.microsoft.com/office/drawing/2014/chart" uri="{C3380CC4-5D6E-409C-BE32-E72D297353CC}">
              <c16:uniqueId val="{00000006-BB8B-40F7-8E71-672414C61E11}"/>
            </c:ext>
          </c:extLst>
        </c:ser>
        <c:ser>
          <c:idx val="7"/>
          <c:order val="7"/>
          <c:tx>
            <c:strRef>
              <c:f>Donnee_Dover_1!$I$1</c:f>
              <c:strCache>
                <c:ptCount val="1"/>
                <c:pt idx="0">
                  <c:v>Connecteur 8</c:v>
                </c:pt>
              </c:strCache>
            </c:strRef>
          </c:tx>
          <c:spPr>
            <a:ln w="19050" cap="rnd">
              <a:solidFill>
                <a:schemeClr val="accent2">
                  <a:lumMod val="60000"/>
                </a:schemeClr>
              </a:solidFill>
              <a:round/>
            </a:ln>
            <a:effectLst/>
          </c:spPr>
          <c:marker>
            <c:symbol val="none"/>
          </c:marker>
          <c:xVal>
            <c:numRef>
              <c:f>Donnee_Dover_1!$A$2</c:f>
              <c:numCache>
                <c:formatCode>m/d/yyyy\ h:mm</c:formatCode>
                <c:ptCount val="1"/>
              </c:numCache>
            </c:numRef>
          </c:xVal>
          <c:yVal>
            <c:numRef>
              <c:f>Donnee_Dover_1!$I$2</c:f>
              <c:numCache>
                <c:formatCode>General</c:formatCode>
                <c:ptCount val="1"/>
              </c:numCache>
            </c:numRef>
          </c:yVal>
          <c:smooth val="0"/>
          <c:extLst>
            <c:ext xmlns:c16="http://schemas.microsoft.com/office/drawing/2014/chart" uri="{C3380CC4-5D6E-409C-BE32-E72D297353CC}">
              <c16:uniqueId val="{00000007-BB8B-40F7-8E71-672414C61E11}"/>
            </c:ext>
          </c:extLst>
        </c:ser>
        <c:ser>
          <c:idx val="8"/>
          <c:order val="8"/>
          <c:tx>
            <c:strRef>
              <c:f>Donnee_Dover_1!$J$1</c:f>
              <c:strCache>
                <c:ptCount val="1"/>
                <c:pt idx="0">
                  <c:v>Connecteur 9</c:v>
                </c:pt>
              </c:strCache>
            </c:strRef>
          </c:tx>
          <c:spPr>
            <a:ln w="19050" cap="rnd">
              <a:solidFill>
                <a:schemeClr val="accent3">
                  <a:lumMod val="60000"/>
                </a:schemeClr>
              </a:solidFill>
              <a:round/>
            </a:ln>
            <a:effectLst/>
          </c:spPr>
          <c:marker>
            <c:symbol val="none"/>
          </c:marker>
          <c:xVal>
            <c:numRef>
              <c:f>Donnee_Dover_1!$A$2</c:f>
              <c:numCache>
                <c:formatCode>m/d/yyyy\ h:mm</c:formatCode>
                <c:ptCount val="1"/>
              </c:numCache>
            </c:numRef>
          </c:xVal>
          <c:yVal>
            <c:numRef>
              <c:f>Donnee_Dover_1!$J$2</c:f>
              <c:numCache>
                <c:formatCode>General</c:formatCode>
                <c:ptCount val="1"/>
              </c:numCache>
            </c:numRef>
          </c:yVal>
          <c:smooth val="0"/>
          <c:extLst>
            <c:ext xmlns:c16="http://schemas.microsoft.com/office/drawing/2014/chart" uri="{C3380CC4-5D6E-409C-BE32-E72D297353CC}">
              <c16:uniqueId val="{00000008-BB8B-40F7-8E71-672414C61E11}"/>
            </c:ext>
          </c:extLst>
        </c:ser>
        <c:dLbls>
          <c:showLegendKey val="0"/>
          <c:showVal val="0"/>
          <c:showCatName val="0"/>
          <c:showSerName val="0"/>
          <c:showPercent val="0"/>
          <c:showBubbleSize val="0"/>
        </c:dLbls>
        <c:axId val="836176936"/>
        <c:axId val="836175496"/>
      </c:scatterChart>
      <c:valAx>
        <c:axId val="836176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5496"/>
        <c:crosses val="autoZero"/>
        <c:crossBetween val="midCat"/>
      </c:valAx>
      <c:valAx>
        <c:axId val="836175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6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Donnee_Dover_2!$B$1</c:f>
              <c:strCache>
                <c:ptCount val="1"/>
                <c:pt idx="0">
                  <c:v>Connecteur 1</c:v>
                </c:pt>
              </c:strCache>
            </c:strRef>
          </c:tx>
          <c:spPr>
            <a:ln w="19050" cap="rnd">
              <a:solidFill>
                <a:schemeClr val="accent1"/>
              </a:solidFill>
              <a:round/>
            </a:ln>
            <a:effectLst/>
          </c:spPr>
          <c:marker>
            <c:symbol val="none"/>
          </c:marker>
          <c:xVal>
            <c:numRef>
              <c:f>Donnee_Dover_2!$A$2</c:f>
              <c:numCache>
                <c:formatCode>m/d/yyyy\ h:mm</c:formatCode>
                <c:ptCount val="1"/>
              </c:numCache>
            </c:numRef>
          </c:xVal>
          <c:yVal>
            <c:numRef>
              <c:f>Donnee_Dover_2!$B$2</c:f>
              <c:numCache>
                <c:formatCode>General</c:formatCode>
                <c:ptCount val="1"/>
              </c:numCache>
            </c:numRef>
          </c:yVal>
          <c:smooth val="0"/>
          <c:extLst>
            <c:ext xmlns:c16="http://schemas.microsoft.com/office/drawing/2014/chart" uri="{C3380CC4-5D6E-409C-BE32-E72D297353CC}">
              <c16:uniqueId val="{00000000-7896-4301-8DA0-8BCB615D5C1B}"/>
            </c:ext>
          </c:extLst>
        </c:ser>
        <c:ser>
          <c:idx val="1"/>
          <c:order val="1"/>
          <c:tx>
            <c:strRef>
              <c:f>Donnee_Dover_2!$C$1</c:f>
              <c:strCache>
                <c:ptCount val="1"/>
                <c:pt idx="0">
                  <c:v>Connecteur 2</c:v>
                </c:pt>
              </c:strCache>
            </c:strRef>
          </c:tx>
          <c:spPr>
            <a:ln w="19050" cap="rnd">
              <a:solidFill>
                <a:schemeClr val="accent2"/>
              </a:solidFill>
              <a:round/>
            </a:ln>
            <a:effectLst/>
          </c:spPr>
          <c:marker>
            <c:symbol val="none"/>
          </c:marker>
          <c:xVal>
            <c:numRef>
              <c:f>Donnee_Dover_2!$A$2</c:f>
              <c:numCache>
                <c:formatCode>m/d/yyyy\ h:mm</c:formatCode>
                <c:ptCount val="1"/>
              </c:numCache>
            </c:numRef>
          </c:xVal>
          <c:yVal>
            <c:numRef>
              <c:f>Donnee_Dover_2!$C$2</c:f>
              <c:numCache>
                <c:formatCode>General</c:formatCode>
                <c:ptCount val="1"/>
              </c:numCache>
            </c:numRef>
          </c:yVal>
          <c:smooth val="0"/>
          <c:extLst>
            <c:ext xmlns:c16="http://schemas.microsoft.com/office/drawing/2014/chart" uri="{C3380CC4-5D6E-409C-BE32-E72D297353CC}">
              <c16:uniqueId val="{00000001-7896-4301-8DA0-8BCB615D5C1B}"/>
            </c:ext>
          </c:extLst>
        </c:ser>
        <c:ser>
          <c:idx val="2"/>
          <c:order val="2"/>
          <c:tx>
            <c:strRef>
              <c:f>Donnee_Dover_2!$D$1</c:f>
              <c:strCache>
                <c:ptCount val="1"/>
                <c:pt idx="0">
                  <c:v>Connecteur 3</c:v>
                </c:pt>
              </c:strCache>
            </c:strRef>
          </c:tx>
          <c:spPr>
            <a:ln w="19050" cap="rnd">
              <a:solidFill>
                <a:schemeClr val="accent3"/>
              </a:solidFill>
              <a:round/>
            </a:ln>
            <a:effectLst/>
          </c:spPr>
          <c:marker>
            <c:symbol val="none"/>
          </c:marker>
          <c:xVal>
            <c:numRef>
              <c:f>Donnee_Dover_2!$A$2</c:f>
              <c:numCache>
                <c:formatCode>m/d/yyyy\ h:mm</c:formatCode>
                <c:ptCount val="1"/>
              </c:numCache>
            </c:numRef>
          </c:xVal>
          <c:yVal>
            <c:numRef>
              <c:f>Donnee_Dover_2!$D$2</c:f>
              <c:numCache>
                <c:formatCode>General</c:formatCode>
                <c:ptCount val="1"/>
              </c:numCache>
            </c:numRef>
          </c:yVal>
          <c:smooth val="0"/>
          <c:extLst>
            <c:ext xmlns:c16="http://schemas.microsoft.com/office/drawing/2014/chart" uri="{C3380CC4-5D6E-409C-BE32-E72D297353CC}">
              <c16:uniqueId val="{00000002-7896-4301-8DA0-8BCB615D5C1B}"/>
            </c:ext>
          </c:extLst>
        </c:ser>
        <c:ser>
          <c:idx val="3"/>
          <c:order val="3"/>
          <c:tx>
            <c:strRef>
              <c:f>Donnee_Dover_2!$E$1</c:f>
              <c:strCache>
                <c:ptCount val="1"/>
                <c:pt idx="0">
                  <c:v>Connecteur 4</c:v>
                </c:pt>
              </c:strCache>
            </c:strRef>
          </c:tx>
          <c:spPr>
            <a:ln w="19050" cap="rnd">
              <a:solidFill>
                <a:schemeClr val="accent4"/>
              </a:solidFill>
              <a:round/>
            </a:ln>
            <a:effectLst/>
          </c:spPr>
          <c:marker>
            <c:symbol val="none"/>
          </c:marker>
          <c:xVal>
            <c:numRef>
              <c:f>Donnee_Dover_2!$A$2</c:f>
              <c:numCache>
                <c:formatCode>m/d/yyyy\ h:mm</c:formatCode>
                <c:ptCount val="1"/>
              </c:numCache>
            </c:numRef>
          </c:xVal>
          <c:yVal>
            <c:numRef>
              <c:f>Donnee_Dover_2!$E$2</c:f>
              <c:numCache>
                <c:formatCode>General</c:formatCode>
                <c:ptCount val="1"/>
              </c:numCache>
            </c:numRef>
          </c:yVal>
          <c:smooth val="0"/>
          <c:extLst>
            <c:ext xmlns:c16="http://schemas.microsoft.com/office/drawing/2014/chart" uri="{C3380CC4-5D6E-409C-BE32-E72D297353CC}">
              <c16:uniqueId val="{00000003-7896-4301-8DA0-8BCB615D5C1B}"/>
            </c:ext>
          </c:extLst>
        </c:ser>
        <c:ser>
          <c:idx val="4"/>
          <c:order val="4"/>
          <c:tx>
            <c:strRef>
              <c:f>Donnee_Dover_2!$F$1</c:f>
              <c:strCache>
                <c:ptCount val="1"/>
                <c:pt idx="0">
                  <c:v>Connecteur 5</c:v>
                </c:pt>
              </c:strCache>
            </c:strRef>
          </c:tx>
          <c:spPr>
            <a:ln w="19050" cap="rnd">
              <a:solidFill>
                <a:schemeClr val="accent5"/>
              </a:solidFill>
              <a:round/>
            </a:ln>
            <a:effectLst/>
          </c:spPr>
          <c:marker>
            <c:symbol val="none"/>
          </c:marker>
          <c:xVal>
            <c:numRef>
              <c:f>Donnee_Dover_2!$A$2</c:f>
              <c:numCache>
                <c:formatCode>m/d/yyyy\ h:mm</c:formatCode>
                <c:ptCount val="1"/>
              </c:numCache>
            </c:numRef>
          </c:xVal>
          <c:yVal>
            <c:numRef>
              <c:f>Donnee_Dover_2!$F$2</c:f>
              <c:numCache>
                <c:formatCode>General</c:formatCode>
                <c:ptCount val="1"/>
              </c:numCache>
            </c:numRef>
          </c:yVal>
          <c:smooth val="0"/>
          <c:extLst>
            <c:ext xmlns:c16="http://schemas.microsoft.com/office/drawing/2014/chart" uri="{C3380CC4-5D6E-409C-BE32-E72D297353CC}">
              <c16:uniqueId val="{00000004-7896-4301-8DA0-8BCB615D5C1B}"/>
            </c:ext>
          </c:extLst>
        </c:ser>
        <c:ser>
          <c:idx val="5"/>
          <c:order val="5"/>
          <c:tx>
            <c:strRef>
              <c:f>Donnee_Dover_2!$G$1</c:f>
              <c:strCache>
                <c:ptCount val="1"/>
                <c:pt idx="0">
                  <c:v>Connecteur 6</c:v>
                </c:pt>
              </c:strCache>
            </c:strRef>
          </c:tx>
          <c:spPr>
            <a:ln w="19050" cap="rnd">
              <a:solidFill>
                <a:schemeClr val="accent6"/>
              </a:solidFill>
              <a:round/>
            </a:ln>
            <a:effectLst/>
          </c:spPr>
          <c:marker>
            <c:symbol val="none"/>
          </c:marker>
          <c:xVal>
            <c:numRef>
              <c:f>Donnee_Dover_2!$A$2</c:f>
              <c:numCache>
                <c:formatCode>m/d/yyyy\ h:mm</c:formatCode>
                <c:ptCount val="1"/>
              </c:numCache>
            </c:numRef>
          </c:xVal>
          <c:yVal>
            <c:numRef>
              <c:f>Donnee_Dover_2!$G$2</c:f>
              <c:numCache>
                <c:formatCode>General</c:formatCode>
                <c:ptCount val="1"/>
              </c:numCache>
            </c:numRef>
          </c:yVal>
          <c:smooth val="0"/>
          <c:extLst>
            <c:ext xmlns:c16="http://schemas.microsoft.com/office/drawing/2014/chart" uri="{C3380CC4-5D6E-409C-BE32-E72D297353CC}">
              <c16:uniqueId val="{00000005-7896-4301-8DA0-8BCB615D5C1B}"/>
            </c:ext>
          </c:extLst>
        </c:ser>
        <c:ser>
          <c:idx val="6"/>
          <c:order val="6"/>
          <c:tx>
            <c:strRef>
              <c:f>Donnee_Dover_2!$H$1</c:f>
              <c:strCache>
                <c:ptCount val="1"/>
                <c:pt idx="0">
                  <c:v>Connecteur 7</c:v>
                </c:pt>
              </c:strCache>
            </c:strRef>
          </c:tx>
          <c:spPr>
            <a:ln w="19050" cap="rnd">
              <a:solidFill>
                <a:schemeClr val="accent1">
                  <a:lumMod val="60000"/>
                </a:schemeClr>
              </a:solidFill>
              <a:round/>
            </a:ln>
            <a:effectLst/>
          </c:spPr>
          <c:marker>
            <c:symbol val="none"/>
          </c:marker>
          <c:xVal>
            <c:numRef>
              <c:f>Donnee_Dover_2!$A$2</c:f>
              <c:numCache>
                <c:formatCode>m/d/yyyy\ h:mm</c:formatCode>
                <c:ptCount val="1"/>
              </c:numCache>
            </c:numRef>
          </c:xVal>
          <c:yVal>
            <c:numRef>
              <c:f>Donnee_Dover_2!$H$2</c:f>
              <c:numCache>
                <c:formatCode>General</c:formatCode>
                <c:ptCount val="1"/>
              </c:numCache>
            </c:numRef>
          </c:yVal>
          <c:smooth val="0"/>
          <c:extLst>
            <c:ext xmlns:c16="http://schemas.microsoft.com/office/drawing/2014/chart" uri="{C3380CC4-5D6E-409C-BE32-E72D297353CC}">
              <c16:uniqueId val="{00000006-7896-4301-8DA0-8BCB615D5C1B}"/>
            </c:ext>
          </c:extLst>
        </c:ser>
        <c:ser>
          <c:idx val="7"/>
          <c:order val="7"/>
          <c:tx>
            <c:strRef>
              <c:f>Donnee_Dover_2!$I$1</c:f>
              <c:strCache>
                <c:ptCount val="1"/>
                <c:pt idx="0">
                  <c:v>Connecteur 8</c:v>
                </c:pt>
              </c:strCache>
            </c:strRef>
          </c:tx>
          <c:spPr>
            <a:ln w="19050" cap="rnd">
              <a:solidFill>
                <a:schemeClr val="accent2">
                  <a:lumMod val="60000"/>
                </a:schemeClr>
              </a:solidFill>
              <a:round/>
            </a:ln>
            <a:effectLst/>
          </c:spPr>
          <c:marker>
            <c:symbol val="none"/>
          </c:marker>
          <c:xVal>
            <c:numRef>
              <c:f>Donnee_Dover_2!$A$2</c:f>
              <c:numCache>
                <c:formatCode>m/d/yyyy\ h:mm</c:formatCode>
                <c:ptCount val="1"/>
              </c:numCache>
            </c:numRef>
          </c:xVal>
          <c:yVal>
            <c:numRef>
              <c:f>Donnee_Dover_2!$I$2</c:f>
              <c:numCache>
                <c:formatCode>General</c:formatCode>
                <c:ptCount val="1"/>
              </c:numCache>
            </c:numRef>
          </c:yVal>
          <c:smooth val="0"/>
          <c:extLst>
            <c:ext xmlns:c16="http://schemas.microsoft.com/office/drawing/2014/chart" uri="{C3380CC4-5D6E-409C-BE32-E72D297353CC}">
              <c16:uniqueId val="{00000007-7896-4301-8DA0-8BCB615D5C1B}"/>
            </c:ext>
          </c:extLst>
        </c:ser>
        <c:ser>
          <c:idx val="8"/>
          <c:order val="8"/>
          <c:tx>
            <c:strRef>
              <c:f>Donnee_Dover_2!$J$1</c:f>
              <c:strCache>
                <c:ptCount val="1"/>
                <c:pt idx="0">
                  <c:v>Connecteur 9</c:v>
                </c:pt>
              </c:strCache>
            </c:strRef>
          </c:tx>
          <c:spPr>
            <a:ln w="19050" cap="rnd">
              <a:solidFill>
                <a:schemeClr val="accent3">
                  <a:lumMod val="60000"/>
                </a:schemeClr>
              </a:solidFill>
              <a:round/>
            </a:ln>
            <a:effectLst/>
          </c:spPr>
          <c:marker>
            <c:symbol val="none"/>
          </c:marker>
          <c:xVal>
            <c:numRef>
              <c:f>Donnee_Dover_2!$A$2</c:f>
              <c:numCache>
                <c:formatCode>m/d/yyyy\ h:mm</c:formatCode>
                <c:ptCount val="1"/>
              </c:numCache>
            </c:numRef>
          </c:xVal>
          <c:yVal>
            <c:numRef>
              <c:f>Donnee_Dover_2!$J$2</c:f>
              <c:numCache>
                <c:formatCode>General</c:formatCode>
                <c:ptCount val="1"/>
              </c:numCache>
            </c:numRef>
          </c:yVal>
          <c:smooth val="0"/>
          <c:extLst>
            <c:ext xmlns:c16="http://schemas.microsoft.com/office/drawing/2014/chart" uri="{C3380CC4-5D6E-409C-BE32-E72D297353CC}">
              <c16:uniqueId val="{00000008-7896-4301-8DA0-8BCB615D5C1B}"/>
            </c:ext>
          </c:extLst>
        </c:ser>
        <c:dLbls>
          <c:showLegendKey val="0"/>
          <c:showVal val="0"/>
          <c:showCatName val="0"/>
          <c:showSerName val="0"/>
          <c:showPercent val="0"/>
          <c:showBubbleSize val="0"/>
        </c:dLbls>
        <c:axId val="828909048"/>
        <c:axId val="828916608"/>
      </c:scatterChart>
      <c:valAx>
        <c:axId val="828909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16608"/>
        <c:crosses val="autoZero"/>
        <c:crossBetween val="midCat"/>
      </c:valAx>
      <c:valAx>
        <c:axId val="82891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09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Donnee_Dover_3!$B$1</c:f>
              <c:strCache>
                <c:ptCount val="1"/>
                <c:pt idx="0">
                  <c:v>Connecteur 1</c:v>
                </c:pt>
              </c:strCache>
            </c:strRef>
          </c:tx>
          <c:spPr>
            <a:ln w="19050" cap="rnd">
              <a:solidFill>
                <a:schemeClr val="accent1"/>
              </a:solidFill>
              <a:round/>
            </a:ln>
            <a:effectLst/>
          </c:spPr>
          <c:marker>
            <c:symbol val="none"/>
          </c:marker>
          <c:xVal>
            <c:numRef>
              <c:f>Donnee_Dover_3!$A$2</c:f>
              <c:numCache>
                <c:formatCode>m/d/yyyy\ h:mm</c:formatCode>
                <c:ptCount val="1"/>
              </c:numCache>
            </c:numRef>
          </c:xVal>
          <c:yVal>
            <c:numRef>
              <c:f>Donnee_Dover_3!$B$2</c:f>
              <c:numCache>
                <c:formatCode>General</c:formatCode>
                <c:ptCount val="1"/>
              </c:numCache>
            </c:numRef>
          </c:yVal>
          <c:smooth val="0"/>
          <c:extLst>
            <c:ext xmlns:c16="http://schemas.microsoft.com/office/drawing/2014/chart" uri="{C3380CC4-5D6E-409C-BE32-E72D297353CC}">
              <c16:uniqueId val="{00000000-F381-4386-A469-2E36B775EBDB}"/>
            </c:ext>
          </c:extLst>
        </c:ser>
        <c:ser>
          <c:idx val="1"/>
          <c:order val="1"/>
          <c:tx>
            <c:strRef>
              <c:f>Donnee_Dover_3!$C$1</c:f>
              <c:strCache>
                <c:ptCount val="1"/>
                <c:pt idx="0">
                  <c:v>Connecteur 2</c:v>
                </c:pt>
              </c:strCache>
            </c:strRef>
          </c:tx>
          <c:spPr>
            <a:ln w="19050" cap="rnd">
              <a:solidFill>
                <a:schemeClr val="accent2"/>
              </a:solidFill>
              <a:round/>
            </a:ln>
            <a:effectLst/>
          </c:spPr>
          <c:marker>
            <c:symbol val="none"/>
          </c:marker>
          <c:xVal>
            <c:numRef>
              <c:f>Donnee_Dover_3!$A$2</c:f>
              <c:numCache>
                <c:formatCode>m/d/yyyy\ h:mm</c:formatCode>
                <c:ptCount val="1"/>
              </c:numCache>
            </c:numRef>
          </c:xVal>
          <c:yVal>
            <c:numRef>
              <c:f>Donnee_Dover_3!$C$2</c:f>
              <c:numCache>
                <c:formatCode>General</c:formatCode>
                <c:ptCount val="1"/>
              </c:numCache>
            </c:numRef>
          </c:yVal>
          <c:smooth val="0"/>
          <c:extLst>
            <c:ext xmlns:c16="http://schemas.microsoft.com/office/drawing/2014/chart" uri="{C3380CC4-5D6E-409C-BE32-E72D297353CC}">
              <c16:uniqueId val="{00000001-F381-4386-A469-2E36B775EBDB}"/>
            </c:ext>
          </c:extLst>
        </c:ser>
        <c:ser>
          <c:idx val="2"/>
          <c:order val="2"/>
          <c:tx>
            <c:strRef>
              <c:f>Donnee_Dover_3!$D$1</c:f>
              <c:strCache>
                <c:ptCount val="1"/>
                <c:pt idx="0">
                  <c:v>Connecteur 3</c:v>
                </c:pt>
              </c:strCache>
            </c:strRef>
          </c:tx>
          <c:spPr>
            <a:ln w="19050" cap="rnd">
              <a:solidFill>
                <a:schemeClr val="accent3"/>
              </a:solidFill>
              <a:round/>
            </a:ln>
            <a:effectLst/>
          </c:spPr>
          <c:marker>
            <c:symbol val="none"/>
          </c:marker>
          <c:xVal>
            <c:numRef>
              <c:f>Donnee_Dover_3!$A$2</c:f>
              <c:numCache>
                <c:formatCode>m/d/yyyy\ h:mm</c:formatCode>
                <c:ptCount val="1"/>
              </c:numCache>
            </c:numRef>
          </c:xVal>
          <c:yVal>
            <c:numRef>
              <c:f>Donnee_Dover_3!$D$2</c:f>
              <c:numCache>
                <c:formatCode>General</c:formatCode>
                <c:ptCount val="1"/>
              </c:numCache>
            </c:numRef>
          </c:yVal>
          <c:smooth val="0"/>
          <c:extLst>
            <c:ext xmlns:c16="http://schemas.microsoft.com/office/drawing/2014/chart" uri="{C3380CC4-5D6E-409C-BE32-E72D297353CC}">
              <c16:uniqueId val="{00000002-F381-4386-A469-2E36B775EBDB}"/>
            </c:ext>
          </c:extLst>
        </c:ser>
        <c:ser>
          <c:idx val="3"/>
          <c:order val="3"/>
          <c:tx>
            <c:strRef>
              <c:f>Donnee_Dover_3!$E$1</c:f>
              <c:strCache>
                <c:ptCount val="1"/>
                <c:pt idx="0">
                  <c:v>Connecteur 4</c:v>
                </c:pt>
              </c:strCache>
            </c:strRef>
          </c:tx>
          <c:spPr>
            <a:ln w="19050" cap="rnd">
              <a:solidFill>
                <a:schemeClr val="accent4"/>
              </a:solidFill>
              <a:round/>
            </a:ln>
            <a:effectLst/>
          </c:spPr>
          <c:marker>
            <c:symbol val="none"/>
          </c:marker>
          <c:xVal>
            <c:numRef>
              <c:f>Donnee_Dover_3!$A$2</c:f>
              <c:numCache>
                <c:formatCode>m/d/yyyy\ h:mm</c:formatCode>
                <c:ptCount val="1"/>
              </c:numCache>
            </c:numRef>
          </c:xVal>
          <c:yVal>
            <c:numRef>
              <c:f>Donnee_Dover_3!$E$2</c:f>
              <c:numCache>
                <c:formatCode>General</c:formatCode>
                <c:ptCount val="1"/>
              </c:numCache>
            </c:numRef>
          </c:yVal>
          <c:smooth val="0"/>
          <c:extLst>
            <c:ext xmlns:c16="http://schemas.microsoft.com/office/drawing/2014/chart" uri="{C3380CC4-5D6E-409C-BE32-E72D297353CC}">
              <c16:uniqueId val="{00000003-F381-4386-A469-2E36B775EBDB}"/>
            </c:ext>
          </c:extLst>
        </c:ser>
        <c:ser>
          <c:idx val="4"/>
          <c:order val="4"/>
          <c:tx>
            <c:strRef>
              <c:f>Donnee_Dover_3!$F$1</c:f>
              <c:strCache>
                <c:ptCount val="1"/>
                <c:pt idx="0">
                  <c:v>Connecteur 5</c:v>
                </c:pt>
              </c:strCache>
            </c:strRef>
          </c:tx>
          <c:spPr>
            <a:ln w="19050" cap="rnd">
              <a:solidFill>
                <a:schemeClr val="accent5"/>
              </a:solidFill>
              <a:round/>
            </a:ln>
            <a:effectLst/>
          </c:spPr>
          <c:marker>
            <c:symbol val="none"/>
          </c:marker>
          <c:xVal>
            <c:numRef>
              <c:f>Donnee_Dover_3!$A$2</c:f>
              <c:numCache>
                <c:formatCode>m/d/yyyy\ h:mm</c:formatCode>
                <c:ptCount val="1"/>
              </c:numCache>
            </c:numRef>
          </c:xVal>
          <c:yVal>
            <c:numRef>
              <c:f>Donnee_Dover_3!$F$2</c:f>
              <c:numCache>
                <c:formatCode>General</c:formatCode>
                <c:ptCount val="1"/>
              </c:numCache>
            </c:numRef>
          </c:yVal>
          <c:smooth val="0"/>
          <c:extLst>
            <c:ext xmlns:c16="http://schemas.microsoft.com/office/drawing/2014/chart" uri="{C3380CC4-5D6E-409C-BE32-E72D297353CC}">
              <c16:uniqueId val="{00000004-F381-4386-A469-2E36B775EBDB}"/>
            </c:ext>
          </c:extLst>
        </c:ser>
        <c:ser>
          <c:idx val="5"/>
          <c:order val="5"/>
          <c:tx>
            <c:strRef>
              <c:f>Donnee_Dover_3!$G$1</c:f>
              <c:strCache>
                <c:ptCount val="1"/>
                <c:pt idx="0">
                  <c:v>Connecteur 6</c:v>
                </c:pt>
              </c:strCache>
            </c:strRef>
          </c:tx>
          <c:spPr>
            <a:ln w="19050" cap="rnd">
              <a:solidFill>
                <a:schemeClr val="accent6"/>
              </a:solidFill>
              <a:round/>
            </a:ln>
            <a:effectLst/>
          </c:spPr>
          <c:marker>
            <c:symbol val="none"/>
          </c:marker>
          <c:xVal>
            <c:numRef>
              <c:f>Donnee_Dover_3!$A$2</c:f>
              <c:numCache>
                <c:formatCode>m/d/yyyy\ h:mm</c:formatCode>
                <c:ptCount val="1"/>
              </c:numCache>
            </c:numRef>
          </c:xVal>
          <c:yVal>
            <c:numRef>
              <c:f>Donnee_Dover_3!$G$2</c:f>
              <c:numCache>
                <c:formatCode>General</c:formatCode>
                <c:ptCount val="1"/>
              </c:numCache>
            </c:numRef>
          </c:yVal>
          <c:smooth val="0"/>
          <c:extLst>
            <c:ext xmlns:c16="http://schemas.microsoft.com/office/drawing/2014/chart" uri="{C3380CC4-5D6E-409C-BE32-E72D297353CC}">
              <c16:uniqueId val="{00000005-F381-4386-A469-2E36B775EBDB}"/>
            </c:ext>
          </c:extLst>
        </c:ser>
        <c:ser>
          <c:idx val="6"/>
          <c:order val="6"/>
          <c:tx>
            <c:strRef>
              <c:f>Donnee_Dover_3!$H$1</c:f>
              <c:strCache>
                <c:ptCount val="1"/>
                <c:pt idx="0">
                  <c:v>Connecteur 7</c:v>
                </c:pt>
              </c:strCache>
            </c:strRef>
          </c:tx>
          <c:spPr>
            <a:ln w="19050" cap="rnd">
              <a:solidFill>
                <a:schemeClr val="accent1">
                  <a:lumMod val="60000"/>
                </a:schemeClr>
              </a:solidFill>
              <a:round/>
            </a:ln>
            <a:effectLst/>
          </c:spPr>
          <c:marker>
            <c:symbol val="none"/>
          </c:marker>
          <c:xVal>
            <c:numRef>
              <c:f>Donnee_Dover_3!$A$2</c:f>
              <c:numCache>
                <c:formatCode>m/d/yyyy\ h:mm</c:formatCode>
                <c:ptCount val="1"/>
              </c:numCache>
            </c:numRef>
          </c:xVal>
          <c:yVal>
            <c:numRef>
              <c:f>Donnee_Dover_3!$H$2</c:f>
              <c:numCache>
                <c:formatCode>General</c:formatCode>
                <c:ptCount val="1"/>
              </c:numCache>
            </c:numRef>
          </c:yVal>
          <c:smooth val="0"/>
          <c:extLst>
            <c:ext xmlns:c16="http://schemas.microsoft.com/office/drawing/2014/chart" uri="{C3380CC4-5D6E-409C-BE32-E72D297353CC}">
              <c16:uniqueId val="{00000006-F381-4386-A469-2E36B775EBDB}"/>
            </c:ext>
          </c:extLst>
        </c:ser>
        <c:ser>
          <c:idx val="7"/>
          <c:order val="7"/>
          <c:tx>
            <c:strRef>
              <c:f>Donnee_Dover_3!$I$1</c:f>
              <c:strCache>
                <c:ptCount val="1"/>
                <c:pt idx="0">
                  <c:v>Connecteur 8</c:v>
                </c:pt>
              </c:strCache>
            </c:strRef>
          </c:tx>
          <c:spPr>
            <a:ln w="19050" cap="rnd">
              <a:solidFill>
                <a:schemeClr val="accent2">
                  <a:lumMod val="60000"/>
                </a:schemeClr>
              </a:solidFill>
              <a:round/>
            </a:ln>
            <a:effectLst/>
          </c:spPr>
          <c:marker>
            <c:symbol val="none"/>
          </c:marker>
          <c:xVal>
            <c:numRef>
              <c:f>Donnee_Dover_3!$A$2</c:f>
              <c:numCache>
                <c:formatCode>m/d/yyyy\ h:mm</c:formatCode>
                <c:ptCount val="1"/>
              </c:numCache>
            </c:numRef>
          </c:xVal>
          <c:yVal>
            <c:numRef>
              <c:f>Donnee_Dover_3!$I$2</c:f>
              <c:numCache>
                <c:formatCode>General</c:formatCode>
                <c:ptCount val="1"/>
              </c:numCache>
            </c:numRef>
          </c:yVal>
          <c:smooth val="0"/>
          <c:extLst>
            <c:ext xmlns:c16="http://schemas.microsoft.com/office/drawing/2014/chart" uri="{C3380CC4-5D6E-409C-BE32-E72D297353CC}">
              <c16:uniqueId val="{00000007-F381-4386-A469-2E36B775EBDB}"/>
            </c:ext>
          </c:extLst>
        </c:ser>
        <c:ser>
          <c:idx val="8"/>
          <c:order val="8"/>
          <c:tx>
            <c:strRef>
              <c:f>Donnee_Dover_3!$J$1</c:f>
              <c:strCache>
                <c:ptCount val="1"/>
                <c:pt idx="0">
                  <c:v>Connecteur 9</c:v>
                </c:pt>
              </c:strCache>
            </c:strRef>
          </c:tx>
          <c:spPr>
            <a:ln w="19050" cap="rnd">
              <a:solidFill>
                <a:schemeClr val="accent3">
                  <a:lumMod val="60000"/>
                </a:schemeClr>
              </a:solidFill>
              <a:round/>
            </a:ln>
            <a:effectLst/>
          </c:spPr>
          <c:marker>
            <c:symbol val="none"/>
          </c:marker>
          <c:xVal>
            <c:numRef>
              <c:f>Donnee_Dover_3!$A$2</c:f>
              <c:numCache>
                <c:formatCode>m/d/yyyy\ h:mm</c:formatCode>
                <c:ptCount val="1"/>
              </c:numCache>
            </c:numRef>
          </c:xVal>
          <c:yVal>
            <c:numRef>
              <c:f>Donnee_Dover_3!$J$2</c:f>
              <c:numCache>
                <c:formatCode>General</c:formatCode>
                <c:ptCount val="1"/>
              </c:numCache>
            </c:numRef>
          </c:yVal>
          <c:smooth val="0"/>
          <c:extLst>
            <c:ext xmlns:c16="http://schemas.microsoft.com/office/drawing/2014/chart" uri="{C3380CC4-5D6E-409C-BE32-E72D297353CC}">
              <c16:uniqueId val="{00000008-F381-4386-A469-2E36B775EBDB}"/>
            </c:ext>
          </c:extLst>
        </c:ser>
        <c:dLbls>
          <c:showLegendKey val="0"/>
          <c:showVal val="0"/>
          <c:showCatName val="0"/>
          <c:showSerName val="0"/>
          <c:showPercent val="0"/>
          <c:showBubbleSize val="0"/>
        </c:dLbls>
        <c:axId val="839244000"/>
        <c:axId val="839243640"/>
      </c:scatterChart>
      <c:valAx>
        <c:axId val="83924400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3640"/>
        <c:crosses val="autoZero"/>
        <c:crossBetween val="midCat"/>
      </c:valAx>
      <c:valAx>
        <c:axId val="839243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40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3" Type="http://schemas.openxmlformats.org/officeDocument/2006/relationships/image" Target="../media/image4.jpeg"/><Relationship Id="rId7" Type="http://schemas.openxmlformats.org/officeDocument/2006/relationships/chart" Target="../charts/chart8.xml"/><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g"/><Relationship Id="rId1" Type="http://schemas.openxmlformats.org/officeDocument/2006/relationships/image" Target="../media/image2.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image" Target="../media/image6.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8.png"/><Relationship Id="rId2" Type="http://schemas.microsoft.com/office/2007/relationships/hdphoto" Target="../media/hdphoto1.wdp"/><Relationship Id="rId1" Type="http://schemas.openxmlformats.org/officeDocument/2006/relationships/image" Target="../media/image7.png"/><Relationship Id="rId5" Type="http://schemas.openxmlformats.org/officeDocument/2006/relationships/image" Target="../media/image10.png"/><Relationship Id="rId4" Type="http://schemas.openxmlformats.org/officeDocument/2006/relationships/image" Target="../media/image9.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10.png"/><Relationship Id="rId2" Type="http://schemas.openxmlformats.org/officeDocument/2006/relationships/image" Target="../media/image5.jpg"/><Relationship Id="rId1" Type="http://schemas.openxmlformats.org/officeDocument/2006/relationships/image" Target="../media/image2.jpeg"/><Relationship Id="rId6" Type="http://schemas.openxmlformats.org/officeDocument/2006/relationships/image" Target="../media/image11.png"/><Relationship Id="rId5" Type="http://schemas.openxmlformats.org/officeDocument/2006/relationships/chart" Target="../charts/chart13.xml"/><Relationship Id="rId4" Type="http://schemas.microsoft.com/office/2007/relationships/hdphoto" Target="../media/hdphoto1.wdp"/></Relationships>
</file>

<file path=xl/drawings/_rels/drawing1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image" Target="../media/image5.jpg"/><Relationship Id="rId1" Type="http://schemas.openxmlformats.org/officeDocument/2006/relationships/image" Target="../media/image2.jpeg"/></Relationships>
</file>

<file path=xl/drawings/_rels/drawing2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21.xml"/><Relationship Id="rId4" Type="http://schemas.openxmlformats.org/officeDocument/2006/relationships/chart" Target="../charts/chart2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27.xml"/><Relationship Id="rId4" Type="http://schemas.openxmlformats.org/officeDocument/2006/relationships/chart" Target="../charts/chart2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514350</xdr:colOff>
          <xdr:row>4</xdr:row>
          <xdr:rowOff>57150</xdr:rowOff>
        </xdr:from>
        <xdr:to>
          <xdr:col>14</xdr:col>
          <xdr:colOff>438150</xdr:colOff>
          <xdr:row>11</xdr:row>
          <xdr:rowOff>19050</xdr:rowOff>
        </xdr:to>
        <xdr:sp macro="" textlink="">
          <xdr:nvSpPr>
            <xdr:cNvPr id="10243" name="ComboBox1" descr="sedrftgyh"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238125</xdr:colOff>
          <xdr:row>5</xdr:row>
          <xdr:rowOff>104775</xdr:rowOff>
        </xdr:from>
        <xdr:to>
          <xdr:col>24</xdr:col>
          <xdr:colOff>219075</xdr:colOff>
          <xdr:row>11</xdr:row>
          <xdr:rowOff>47625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Reset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6</xdr:row>
          <xdr:rowOff>171450</xdr:rowOff>
        </xdr:from>
        <xdr:to>
          <xdr:col>6</xdr:col>
          <xdr:colOff>0</xdr:colOff>
          <xdr:row>10</xdr:row>
          <xdr:rowOff>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300-0000010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Traitement automatique TUS</a:t>
              </a:r>
            </a:p>
          </xdr:txBody>
        </xdr:sp>
        <xdr:clientData fPrintsWithSheet="0"/>
      </xdr:twoCellAnchor>
    </mc:Choice>
    <mc:Fallback/>
  </mc:AlternateContent>
  <xdr:twoCellAnchor>
    <xdr:from>
      <xdr:col>0</xdr:col>
      <xdr:colOff>434629</xdr:colOff>
      <xdr:row>36</xdr:row>
      <xdr:rowOff>95245</xdr:rowOff>
    </xdr:from>
    <xdr:to>
      <xdr:col>1</xdr:col>
      <xdr:colOff>1409740</xdr:colOff>
      <xdr:row>49</xdr:row>
      <xdr:rowOff>130345</xdr:rowOff>
    </xdr:to>
    <xdr:grpSp>
      <xdr:nvGrpSpPr>
        <xdr:cNvPr id="2" name="Groupe 1">
          <a:extLst>
            <a:ext uri="{FF2B5EF4-FFF2-40B4-BE49-F238E27FC236}">
              <a16:creationId xmlns:a16="http://schemas.microsoft.com/office/drawing/2014/main" id="{00000000-0008-0000-0300-000002000000}"/>
            </a:ext>
          </a:extLst>
        </xdr:cNvPr>
        <xdr:cNvGrpSpPr/>
      </xdr:nvGrpSpPr>
      <xdr:grpSpPr>
        <a:xfrm>
          <a:off x="434629" y="8259531"/>
          <a:ext cx="3601290" cy="3532135"/>
          <a:chOff x="2463313" y="7293419"/>
          <a:chExt cx="6636551" cy="6095363"/>
        </a:xfrm>
      </xdr:grpSpPr>
      <xdr:grpSp>
        <xdr:nvGrpSpPr>
          <xdr:cNvPr id="3" name="Groupe 2">
            <a:extLst>
              <a:ext uri="{FF2B5EF4-FFF2-40B4-BE49-F238E27FC236}">
                <a16:creationId xmlns:a16="http://schemas.microsoft.com/office/drawing/2014/main" id="{00000000-0008-0000-0300-000003000000}"/>
              </a:ext>
            </a:extLst>
          </xdr:cNvPr>
          <xdr:cNvGrpSpPr/>
        </xdr:nvGrpSpPr>
        <xdr:grpSpPr>
          <a:xfrm>
            <a:off x="2463313" y="7293419"/>
            <a:ext cx="6636551" cy="6095363"/>
            <a:chOff x="6422083" y="25878608"/>
            <a:chExt cx="6648938" cy="6081770"/>
          </a:xfrm>
        </xdr:grpSpPr>
        <xdr:grpSp>
          <xdr:nvGrpSpPr>
            <xdr:cNvPr id="13" name="Groupe 12">
              <a:extLst>
                <a:ext uri="{FF2B5EF4-FFF2-40B4-BE49-F238E27FC236}">
                  <a16:creationId xmlns:a16="http://schemas.microsoft.com/office/drawing/2014/main" id="{00000000-0008-0000-0300-00000D000000}"/>
                </a:ext>
              </a:extLst>
            </xdr:cNvPr>
            <xdr:cNvGrpSpPr/>
          </xdr:nvGrpSpPr>
          <xdr:grpSpPr>
            <a:xfrm>
              <a:off x="6422083" y="26474592"/>
              <a:ext cx="6648938" cy="5485786"/>
              <a:chOff x="5684687" y="27738378"/>
              <a:chExt cx="5730039" cy="5749301"/>
            </a:xfrm>
          </xdr:grpSpPr>
          <xdr:grpSp>
            <xdr:nvGrpSpPr>
              <xdr:cNvPr id="68608" name="Groupe 68607">
                <a:extLst>
                  <a:ext uri="{FF2B5EF4-FFF2-40B4-BE49-F238E27FC236}">
                    <a16:creationId xmlns:a16="http://schemas.microsoft.com/office/drawing/2014/main" id="{00000000-0008-0000-0300-0000000C0100}"/>
                  </a:ext>
                </a:extLst>
              </xdr:cNvPr>
              <xdr:cNvGrpSpPr/>
            </xdr:nvGrpSpPr>
            <xdr:grpSpPr>
              <a:xfrm>
                <a:off x="5684687" y="27738378"/>
                <a:ext cx="5730039" cy="5749301"/>
                <a:chOff x="5590566" y="726873"/>
                <a:chExt cx="5366620" cy="5749301"/>
              </a:xfrm>
            </xdr:grpSpPr>
            <xdr:sp macro="" textlink="">
              <xdr:nvSpPr>
                <xdr:cNvPr id="68614" name="Organigramme : Terminateur 68613">
                  <a:extLst>
                    <a:ext uri="{FF2B5EF4-FFF2-40B4-BE49-F238E27FC236}">
                      <a16:creationId xmlns:a16="http://schemas.microsoft.com/office/drawing/2014/main" id="{00000000-0008-0000-0300-0000060C0100}"/>
                    </a:ext>
                  </a:extLst>
                </xdr:cNvPr>
                <xdr:cNvSpPr/>
              </xdr:nvSpPr>
              <xdr:spPr>
                <a:xfrm>
                  <a:off x="6800335" y="6011598"/>
                  <a:ext cx="1773538" cy="464576"/>
                </a:xfrm>
                <a:prstGeom prst="flowChartTerminator">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chemeClr val="tx1"/>
                      </a:solidFill>
                    </a:rPr>
                    <a:t>Face avant du four – coté armoire</a:t>
                  </a:r>
                  <a:endParaRPr lang="en-US" sz="800">
                    <a:solidFill>
                      <a:schemeClr val="tx1"/>
                    </a:solidFill>
                  </a:endParaRPr>
                </a:p>
              </xdr:txBody>
            </xdr:sp>
            <xdr:grpSp>
              <xdr:nvGrpSpPr>
                <xdr:cNvPr id="68615" name="Groupe 68614">
                  <a:extLst>
                    <a:ext uri="{FF2B5EF4-FFF2-40B4-BE49-F238E27FC236}">
                      <a16:creationId xmlns:a16="http://schemas.microsoft.com/office/drawing/2014/main" id="{00000000-0008-0000-0300-0000070C0100}"/>
                    </a:ext>
                  </a:extLst>
                </xdr:cNvPr>
                <xdr:cNvGrpSpPr/>
              </xdr:nvGrpSpPr>
              <xdr:grpSpPr>
                <a:xfrm>
                  <a:off x="5590566" y="726873"/>
                  <a:ext cx="5366620" cy="5157554"/>
                  <a:chOff x="3079760" y="768600"/>
                  <a:chExt cx="4722989" cy="4177263"/>
                </a:xfrm>
              </xdr:grpSpPr>
              <xdr:grpSp>
                <xdr:nvGrpSpPr>
                  <xdr:cNvPr id="68616" name="Groupe 68615">
                    <a:extLst>
                      <a:ext uri="{FF2B5EF4-FFF2-40B4-BE49-F238E27FC236}">
                        <a16:creationId xmlns:a16="http://schemas.microsoft.com/office/drawing/2014/main" id="{00000000-0008-0000-0300-0000080C0100}"/>
                      </a:ext>
                    </a:extLst>
                  </xdr:cNvPr>
                  <xdr:cNvGrpSpPr/>
                </xdr:nvGrpSpPr>
                <xdr:grpSpPr>
                  <a:xfrm>
                    <a:off x="6788227" y="3014605"/>
                    <a:ext cx="1014522" cy="369214"/>
                    <a:chOff x="10551833" y="2920942"/>
                    <a:chExt cx="1260487" cy="388305"/>
                  </a:xfrm>
                </xdr:grpSpPr>
                <xdr:sp macro="" textlink="">
                  <xdr:nvSpPr>
                    <xdr:cNvPr id="68651" name="Flèche : pentagone 57">
                      <a:extLst>
                        <a:ext uri="{FF2B5EF4-FFF2-40B4-BE49-F238E27FC236}">
                          <a16:creationId xmlns:a16="http://schemas.microsoft.com/office/drawing/2014/main" id="{00000000-0008-0000-0300-00002B0C0100}"/>
                        </a:ext>
                      </a:extLst>
                    </xdr:cNvPr>
                    <xdr:cNvSpPr/>
                  </xdr:nvSpPr>
                  <xdr:spPr>
                    <a:xfrm rot="10800000">
                      <a:off x="10551833" y="2920942"/>
                      <a:ext cx="1160146" cy="388305"/>
                    </a:xfrm>
                    <a:prstGeom prst="homePlat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68652" name="Zone de texte 2">
                      <a:extLst>
                        <a:ext uri="{FF2B5EF4-FFF2-40B4-BE49-F238E27FC236}">
                          <a16:creationId xmlns:a16="http://schemas.microsoft.com/office/drawing/2014/main" id="{00000000-0008-0000-0300-00002C0C0100}"/>
                        </a:ext>
                      </a:extLst>
                    </xdr:cNvPr>
                    <xdr:cNvSpPr txBox="1"/>
                  </xdr:nvSpPr>
                  <xdr:spPr>
                    <a:xfrm>
                      <a:off x="10589284" y="2935524"/>
                      <a:ext cx="1223036" cy="356211"/>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formage</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68617" name="Groupe 68616">
                    <a:extLst>
                      <a:ext uri="{FF2B5EF4-FFF2-40B4-BE49-F238E27FC236}">
                        <a16:creationId xmlns:a16="http://schemas.microsoft.com/office/drawing/2014/main" id="{00000000-0008-0000-0300-0000090C0100}"/>
                      </a:ext>
                    </a:extLst>
                  </xdr:cNvPr>
                  <xdr:cNvGrpSpPr/>
                </xdr:nvGrpSpPr>
                <xdr:grpSpPr>
                  <a:xfrm rot="10800000">
                    <a:off x="3079760" y="2970313"/>
                    <a:ext cx="954157" cy="357739"/>
                    <a:chOff x="0" y="-100156"/>
                    <a:chExt cx="1372726" cy="376781"/>
                  </a:xfrm>
                </xdr:grpSpPr>
                <xdr:sp macro="" textlink="">
                  <xdr:nvSpPr>
                    <xdr:cNvPr id="68649" name="Flèche : pentagone 55">
                      <a:extLst>
                        <a:ext uri="{FF2B5EF4-FFF2-40B4-BE49-F238E27FC236}">
                          <a16:creationId xmlns:a16="http://schemas.microsoft.com/office/drawing/2014/main" id="{00000000-0008-0000-0300-0000290C0100}"/>
                        </a:ext>
                      </a:extLst>
                    </xdr:cNvPr>
                    <xdr:cNvSpPr/>
                  </xdr:nvSpPr>
                  <xdr:spPr>
                    <a:xfrm rot="10800000">
                      <a:off x="0" y="-100156"/>
                      <a:ext cx="1333365" cy="376781"/>
                    </a:xfrm>
                    <a:prstGeom prst="homePlate">
                      <a:avLst/>
                    </a:prstGeom>
                    <a:solidFill>
                      <a:srgbClr val="FFFF00"/>
                    </a:solidFill>
                    <a:ln w="12700" cap="flat" cmpd="sng" algn="ctr">
                      <a:solidFill>
                        <a:srgbClr val="4472C4">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68650" name="Zone de texte 7">
                      <a:extLst>
                        <a:ext uri="{FF2B5EF4-FFF2-40B4-BE49-F238E27FC236}">
                          <a16:creationId xmlns:a16="http://schemas.microsoft.com/office/drawing/2014/main" id="{00000000-0008-0000-0300-00002A0C0100}"/>
                        </a:ext>
                      </a:extLst>
                    </xdr:cNvPr>
                    <xdr:cNvSpPr txBox="1"/>
                  </xdr:nvSpPr>
                  <xdr:spPr>
                    <a:xfrm rot="10800000">
                      <a:off x="95839" y="-93869"/>
                      <a:ext cx="1276887" cy="332231"/>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couloir</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68618" name="Groupe 68617">
                    <a:extLst>
                      <a:ext uri="{FF2B5EF4-FFF2-40B4-BE49-F238E27FC236}">
                        <a16:creationId xmlns:a16="http://schemas.microsoft.com/office/drawing/2014/main" id="{00000000-0008-0000-0300-00000A0C0100}"/>
                      </a:ext>
                    </a:extLst>
                  </xdr:cNvPr>
                  <xdr:cNvGrpSpPr/>
                </xdr:nvGrpSpPr>
                <xdr:grpSpPr>
                  <a:xfrm>
                    <a:off x="4101596" y="768600"/>
                    <a:ext cx="2646900" cy="4177263"/>
                    <a:chOff x="4080934" y="768007"/>
                    <a:chExt cx="2646900" cy="4177263"/>
                  </a:xfrm>
                </xdr:grpSpPr>
                <xdr:grpSp>
                  <xdr:nvGrpSpPr>
                    <xdr:cNvPr id="68619" name="Groupe 68618">
                      <a:extLst>
                        <a:ext uri="{FF2B5EF4-FFF2-40B4-BE49-F238E27FC236}">
                          <a16:creationId xmlns:a16="http://schemas.microsoft.com/office/drawing/2014/main" id="{00000000-0008-0000-0300-00000B0C0100}"/>
                        </a:ext>
                      </a:extLst>
                    </xdr:cNvPr>
                    <xdr:cNvGrpSpPr/>
                  </xdr:nvGrpSpPr>
                  <xdr:grpSpPr>
                    <a:xfrm>
                      <a:off x="4080934" y="1428305"/>
                      <a:ext cx="2646900" cy="3516965"/>
                      <a:chOff x="7035923" y="2618913"/>
                      <a:chExt cx="2768724" cy="3320248"/>
                    </a:xfrm>
                  </xdr:grpSpPr>
                  <xdr:sp macro="" textlink="">
                    <xdr:nvSpPr>
                      <xdr:cNvPr id="68632" name="Rectangle 68631">
                        <a:extLst>
                          <a:ext uri="{FF2B5EF4-FFF2-40B4-BE49-F238E27FC236}">
                            <a16:creationId xmlns:a16="http://schemas.microsoft.com/office/drawing/2014/main" id="{00000000-0008-0000-0300-0000180C0100}"/>
                          </a:ext>
                        </a:extLst>
                      </xdr:cNvPr>
                      <xdr:cNvSpPr/>
                    </xdr:nvSpPr>
                    <xdr:spPr>
                      <a:xfrm>
                        <a:off x="7039992" y="3266983"/>
                        <a:ext cx="1651247" cy="26721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633" name="Connecteur droit 68632">
                        <a:extLst>
                          <a:ext uri="{FF2B5EF4-FFF2-40B4-BE49-F238E27FC236}">
                            <a16:creationId xmlns:a16="http://schemas.microsoft.com/office/drawing/2014/main" id="{00000000-0008-0000-0300-0000190C0100}"/>
                          </a:ext>
                        </a:extLst>
                      </xdr:cNvPr>
                      <xdr:cNvCxnSpPr/>
                    </xdr:nvCxnSpPr>
                    <xdr:spPr>
                      <a:xfrm flipV="1">
                        <a:off x="7039992" y="261891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4" name="Connecteur droit 68633">
                        <a:extLst>
                          <a:ext uri="{FF2B5EF4-FFF2-40B4-BE49-F238E27FC236}">
                            <a16:creationId xmlns:a16="http://schemas.microsoft.com/office/drawing/2014/main" id="{00000000-0008-0000-0300-00001A0C0100}"/>
                          </a:ext>
                        </a:extLst>
                      </xdr:cNvPr>
                      <xdr:cNvCxnSpPr/>
                    </xdr:nvCxnSpPr>
                    <xdr:spPr>
                      <a:xfrm flipV="1">
                        <a:off x="7052569" y="3617149"/>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5" name="Connecteur droit 68634">
                        <a:extLst>
                          <a:ext uri="{FF2B5EF4-FFF2-40B4-BE49-F238E27FC236}">
                            <a16:creationId xmlns:a16="http://schemas.microsoft.com/office/drawing/2014/main" id="{00000000-0008-0000-0300-00001B0C0100}"/>
                          </a:ext>
                        </a:extLst>
                      </xdr:cNvPr>
                      <xdr:cNvCxnSpPr/>
                    </xdr:nvCxnSpPr>
                    <xdr:spPr>
                      <a:xfrm flipV="1">
                        <a:off x="8689020" y="439007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6" name="Connecteur droit 68635">
                        <a:extLst>
                          <a:ext uri="{FF2B5EF4-FFF2-40B4-BE49-F238E27FC236}">
                            <a16:creationId xmlns:a16="http://schemas.microsoft.com/office/drawing/2014/main" id="{00000000-0008-0000-0300-00001C0C0100}"/>
                          </a:ext>
                        </a:extLst>
                      </xdr:cNvPr>
                      <xdr:cNvCxnSpPr/>
                    </xdr:nvCxnSpPr>
                    <xdr:spPr>
                      <a:xfrm flipV="1">
                        <a:off x="8689020" y="362881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7" name="Connecteur droit 68636">
                        <a:extLst>
                          <a:ext uri="{FF2B5EF4-FFF2-40B4-BE49-F238E27FC236}">
                            <a16:creationId xmlns:a16="http://schemas.microsoft.com/office/drawing/2014/main" id="{00000000-0008-0000-0300-00001D0C0100}"/>
                          </a:ext>
                        </a:extLst>
                      </xdr:cNvPr>
                      <xdr:cNvCxnSpPr/>
                    </xdr:nvCxnSpPr>
                    <xdr:spPr>
                      <a:xfrm flipV="1">
                        <a:off x="8689020" y="262807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8" name="Connecteur droit 68637">
                        <a:extLst>
                          <a:ext uri="{FF2B5EF4-FFF2-40B4-BE49-F238E27FC236}">
                            <a16:creationId xmlns:a16="http://schemas.microsoft.com/office/drawing/2014/main" id="{00000000-0008-0000-0300-00001E0C0100}"/>
                          </a:ext>
                        </a:extLst>
                      </xdr:cNvPr>
                      <xdr:cNvCxnSpPr/>
                    </xdr:nvCxnSpPr>
                    <xdr:spPr>
                      <a:xfrm flipV="1">
                        <a:off x="8691239" y="529109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9" name="Connecteur droit 68638">
                        <a:extLst>
                          <a:ext uri="{FF2B5EF4-FFF2-40B4-BE49-F238E27FC236}">
                            <a16:creationId xmlns:a16="http://schemas.microsoft.com/office/drawing/2014/main" id="{00000000-0008-0000-0300-00001F0C0100}"/>
                          </a:ext>
                        </a:extLst>
                      </xdr:cNvPr>
                      <xdr:cNvCxnSpPr/>
                    </xdr:nvCxnSpPr>
                    <xdr:spPr>
                      <a:xfrm flipV="1">
                        <a:off x="7035923" y="4396322"/>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0" name="Connecteur droit 68639">
                        <a:extLst>
                          <a:ext uri="{FF2B5EF4-FFF2-40B4-BE49-F238E27FC236}">
                            <a16:creationId xmlns:a16="http://schemas.microsoft.com/office/drawing/2014/main" id="{00000000-0008-0000-0300-0000200C0100}"/>
                          </a:ext>
                        </a:extLst>
                      </xdr:cNvPr>
                      <xdr:cNvCxnSpPr/>
                    </xdr:nvCxnSpPr>
                    <xdr:spPr>
                      <a:xfrm>
                        <a:off x="7052569" y="50443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1" name="Connecteur droit 68640">
                        <a:extLst>
                          <a:ext uri="{FF2B5EF4-FFF2-40B4-BE49-F238E27FC236}">
                            <a16:creationId xmlns:a16="http://schemas.microsoft.com/office/drawing/2014/main" id="{00000000-0008-0000-0300-0000210C0100}"/>
                          </a:ext>
                        </a:extLst>
                      </xdr:cNvPr>
                      <xdr:cNvCxnSpPr/>
                    </xdr:nvCxnSpPr>
                    <xdr:spPr>
                      <a:xfrm>
                        <a:off x="7067365" y="4265219"/>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2" name="Connecteur droit 68641">
                        <a:extLst>
                          <a:ext uri="{FF2B5EF4-FFF2-40B4-BE49-F238E27FC236}">
                            <a16:creationId xmlns:a16="http://schemas.microsoft.com/office/drawing/2014/main" id="{00000000-0008-0000-0300-0000220C0100}"/>
                          </a:ext>
                        </a:extLst>
                      </xdr:cNvPr>
                      <xdr:cNvCxnSpPr/>
                    </xdr:nvCxnSpPr>
                    <xdr:spPr>
                      <a:xfrm>
                        <a:off x="8165977" y="439632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3" name="Connecteur droit 68642">
                        <a:extLst>
                          <a:ext uri="{FF2B5EF4-FFF2-40B4-BE49-F238E27FC236}">
                            <a16:creationId xmlns:a16="http://schemas.microsoft.com/office/drawing/2014/main" id="{00000000-0008-0000-0300-0000230C0100}"/>
                          </a:ext>
                        </a:extLst>
                      </xdr:cNvPr>
                      <xdr:cNvCxnSpPr/>
                    </xdr:nvCxnSpPr>
                    <xdr:spPr>
                      <a:xfrm>
                        <a:off x="8134535" y="36345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4" name="Connecteur droit 68643">
                        <a:extLst>
                          <a:ext uri="{FF2B5EF4-FFF2-40B4-BE49-F238E27FC236}">
                            <a16:creationId xmlns:a16="http://schemas.microsoft.com/office/drawing/2014/main" id="{00000000-0008-0000-0300-0000240C0100}"/>
                          </a:ext>
                        </a:extLst>
                      </xdr:cNvPr>
                      <xdr:cNvCxnSpPr>
                        <a:cxnSpLocks/>
                      </xdr:cNvCxnSpPr>
                    </xdr:nvCxnSpPr>
                    <xdr:spPr>
                      <a:xfrm>
                        <a:off x="8165977" y="2618913"/>
                        <a:ext cx="1636451" cy="91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5" name="Connecteur droit 68644">
                        <a:extLst>
                          <a:ext uri="{FF2B5EF4-FFF2-40B4-BE49-F238E27FC236}">
                            <a16:creationId xmlns:a16="http://schemas.microsoft.com/office/drawing/2014/main" id="{00000000-0008-0000-0300-0000250C0100}"/>
                          </a:ext>
                        </a:extLst>
                      </xdr:cNvPr>
                      <xdr:cNvCxnSpPr/>
                    </xdr:nvCxnSpPr>
                    <xdr:spPr>
                      <a:xfrm>
                        <a:off x="9802428" y="2618913"/>
                        <a:ext cx="0" cy="267217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6" name="Connecteur droit 68645">
                        <a:extLst>
                          <a:ext uri="{FF2B5EF4-FFF2-40B4-BE49-F238E27FC236}">
                            <a16:creationId xmlns:a16="http://schemas.microsoft.com/office/drawing/2014/main" id="{00000000-0008-0000-0300-0000260C0100}"/>
                          </a:ext>
                        </a:extLst>
                      </xdr:cNvPr>
                      <xdr:cNvCxnSpPr/>
                    </xdr:nvCxnSpPr>
                    <xdr:spPr>
                      <a:xfrm flipV="1">
                        <a:off x="7052569" y="528371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7" name="Connecteur droit 68646">
                        <a:extLst>
                          <a:ext uri="{FF2B5EF4-FFF2-40B4-BE49-F238E27FC236}">
                            <a16:creationId xmlns:a16="http://schemas.microsoft.com/office/drawing/2014/main" id="{00000000-0008-0000-0300-0000270C0100}"/>
                          </a:ext>
                        </a:extLst>
                      </xdr:cNvPr>
                      <xdr:cNvCxnSpPr/>
                    </xdr:nvCxnSpPr>
                    <xdr:spPr>
                      <a:xfrm>
                        <a:off x="8165977" y="5283711"/>
                        <a:ext cx="1634233"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8" name="Connecteur droit 68647">
                        <a:extLst>
                          <a:ext uri="{FF2B5EF4-FFF2-40B4-BE49-F238E27FC236}">
                            <a16:creationId xmlns:a16="http://schemas.microsoft.com/office/drawing/2014/main" id="{00000000-0008-0000-0300-0000280C0100}"/>
                          </a:ext>
                        </a:extLst>
                      </xdr:cNvPr>
                      <xdr:cNvCxnSpPr/>
                    </xdr:nvCxnSpPr>
                    <xdr:spPr>
                      <a:xfrm>
                        <a:off x="8165977" y="2628073"/>
                        <a:ext cx="0" cy="2655638"/>
                      </a:xfrm>
                      <a:prstGeom prst="line">
                        <a:avLst/>
                      </a:prstGeom>
                    </xdr:spPr>
                    <xdr:style>
                      <a:lnRef idx="1">
                        <a:schemeClr val="accent1"/>
                      </a:lnRef>
                      <a:fillRef idx="0">
                        <a:schemeClr val="accent1"/>
                      </a:fillRef>
                      <a:effectRef idx="0">
                        <a:schemeClr val="accent1"/>
                      </a:effectRef>
                      <a:fontRef idx="minor">
                        <a:schemeClr val="tx1"/>
                      </a:fontRef>
                    </xdr:style>
                  </xdr:cxnSp>
                </xdr:grpSp>
                <xdr:grpSp>
                  <xdr:nvGrpSpPr>
                    <xdr:cNvPr id="68620" name="Groupe 68619">
                      <a:extLst>
                        <a:ext uri="{FF2B5EF4-FFF2-40B4-BE49-F238E27FC236}">
                          <a16:creationId xmlns:a16="http://schemas.microsoft.com/office/drawing/2014/main" id="{00000000-0008-0000-0300-00000C0C0100}"/>
                        </a:ext>
                      </a:extLst>
                    </xdr:cNvPr>
                    <xdr:cNvGrpSpPr/>
                  </xdr:nvGrpSpPr>
                  <xdr:grpSpPr>
                    <a:xfrm>
                      <a:off x="4090064" y="1404736"/>
                      <a:ext cx="799986" cy="719739"/>
                      <a:chOff x="4090064" y="1404736"/>
                      <a:chExt cx="799986" cy="719739"/>
                    </a:xfrm>
                  </xdr:grpSpPr>
                  <xdr:cxnSp macro="">
                    <xdr:nvCxnSpPr>
                      <xdr:cNvPr id="68629" name="Connecteur droit avec flèche 68628">
                        <a:extLst>
                          <a:ext uri="{FF2B5EF4-FFF2-40B4-BE49-F238E27FC236}">
                            <a16:creationId xmlns:a16="http://schemas.microsoft.com/office/drawing/2014/main" id="{00000000-0008-0000-0300-0000150C01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30" name="Connecteur droit 68629">
                        <a:extLst>
                          <a:ext uri="{FF2B5EF4-FFF2-40B4-BE49-F238E27FC236}">
                            <a16:creationId xmlns:a16="http://schemas.microsoft.com/office/drawing/2014/main" id="{00000000-0008-0000-0300-0000160C0100}"/>
                          </a:ext>
                        </a:extLst>
                      </xdr:cNvPr>
                      <xdr:cNvCxnSpPr>
                        <a:cxnSpLocks/>
                      </xdr:cNvCxnSpPr>
                    </xdr:nvCxnSpPr>
                    <xdr:spPr>
                      <a:xfrm flipV="1">
                        <a:off x="4090064" y="1404736"/>
                        <a:ext cx="1624" cy="710036"/>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31" name="ZoneTexte 37">
                        <a:extLst>
                          <a:ext uri="{FF2B5EF4-FFF2-40B4-BE49-F238E27FC236}">
                            <a16:creationId xmlns:a16="http://schemas.microsoft.com/office/drawing/2014/main" id="{00000000-0008-0000-0300-0000170C01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68621" name="Groupe 68620">
                      <a:extLst>
                        <a:ext uri="{FF2B5EF4-FFF2-40B4-BE49-F238E27FC236}">
                          <a16:creationId xmlns:a16="http://schemas.microsoft.com/office/drawing/2014/main" id="{00000000-0008-0000-0300-00000D0C0100}"/>
                        </a:ext>
                      </a:extLst>
                    </xdr:cNvPr>
                    <xdr:cNvGrpSpPr/>
                  </xdr:nvGrpSpPr>
                  <xdr:grpSpPr>
                    <a:xfrm>
                      <a:off x="5664390" y="1530820"/>
                      <a:ext cx="793202" cy="594311"/>
                      <a:chOff x="4096848" y="1530164"/>
                      <a:chExt cx="793202" cy="594311"/>
                    </a:xfrm>
                  </xdr:grpSpPr>
                  <xdr:cxnSp macro="">
                    <xdr:nvCxnSpPr>
                      <xdr:cNvPr id="68626" name="Connecteur droit avec flèche 68625">
                        <a:extLst>
                          <a:ext uri="{FF2B5EF4-FFF2-40B4-BE49-F238E27FC236}">
                            <a16:creationId xmlns:a16="http://schemas.microsoft.com/office/drawing/2014/main" id="{00000000-0008-0000-0300-0000120C01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27" name="Connecteur droit 68626">
                        <a:extLst>
                          <a:ext uri="{FF2B5EF4-FFF2-40B4-BE49-F238E27FC236}">
                            <a16:creationId xmlns:a16="http://schemas.microsoft.com/office/drawing/2014/main" id="{00000000-0008-0000-0300-0000130C0100}"/>
                          </a:ext>
                        </a:extLst>
                      </xdr:cNvPr>
                      <xdr:cNvCxnSpPr>
                        <a:cxnSpLocks/>
                      </xdr:cNvCxnSpPr>
                    </xdr:nvCxnSpPr>
                    <xdr:spPr>
                      <a:xfrm flipV="1">
                        <a:off x="4096848" y="1561475"/>
                        <a:ext cx="0" cy="55329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28" name="ZoneTexte 33">
                        <a:extLst>
                          <a:ext uri="{FF2B5EF4-FFF2-40B4-BE49-F238E27FC236}">
                            <a16:creationId xmlns:a16="http://schemas.microsoft.com/office/drawing/2014/main" id="{00000000-0008-0000-0300-0000140C01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68622" name="Groupe 68621">
                      <a:extLst>
                        <a:ext uri="{FF2B5EF4-FFF2-40B4-BE49-F238E27FC236}">
                          <a16:creationId xmlns:a16="http://schemas.microsoft.com/office/drawing/2014/main" id="{00000000-0008-0000-0300-00000E0C0100}"/>
                        </a:ext>
                      </a:extLst>
                    </xdr:cNvPr>
                    <xdr:cNvGrpSpPr/>
                  </xdr:nvGrpSpPr>
                  <xdr:grpSpPr>
                    <a:xfrm>
                      <a:off x="5158826" y="768007"/>
                      <a:ext cx="654031" cy="671323"/>
                      <a:chOff x="4096833" y="1444280"/>
                      <a:chExt cx="654031" cy="671323"/>
                    </a:xfrm>
                  </xdr:grpSpPr>
                  <xdr:cxnSp macro="">
                    <xdr:nvCxnSpPr>
                      <xdr:cNvPr id="68623" name="Connecteur droit avec flèche 68622">
                        <a:extLst>
                          <a:ext uri="{FF2B5EF4-FFF2-40B4-BE49-F238E27FC236}">
                            <a16:creationId xmlns:a16="http://schemas.microsoft.com/office/drawing/2014/main" id="{00000000-0008-0000-0300-00000F0C0100}"/>
                          </a:ext>
                        </a:extLst>
                      </xdr:cNvPr>
                      <xdr:cNvCxnSpPr>
                        <a:cxnSpLocks/>
                      </xdr:cNvCxnSpPr>
                    </xdr:nvCxnSpPr>
                    <xdr:spPr>
                      <a:xfrm>
                        <a:off x="4167083" y="1521292"/>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24" name="Connecteur droit 68623">
                        <a:extLst>
                          <a:ext uri="{FF2B5EF4-FFF2-40B4-BE49-F238E27FC236}">
                            <a16:creationId xmlns:a16="http://schemas.microsoft.com/office/drawing/2014/main" id="{00000000-0008-0000-0300-0000100C0100}"/>
                          </a:ext>
                        </a:extLst>
                      </xdr:cNvPr>
                      <xdr:cNvCxnSpPr>
                        <a:cxnSpLocks/>
                      </xdr:cNvCxnSpPr>
                    </xdr:nvCxnSpPr>
                    <xdr:spPr>
                      <a:xfrm flipH="1" flipV="1">
                        <a:off x="4096833" y="1444280"/>
                        <a:ext cx="115" cy="665571"/>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25" name="ZoneTexte 29">
                        <a:extLst>
                          <a:ext uri="{FF2B5EF4-FFF2-40B4-BE49-F238E27FC236}">
                            <a16:creationId xmlns:a16="http://schemas.microsoft.com/office/drawing/2014/main" id="{00000000-0008-0000-0300-0000110C0100}"/>
                          </a:ext>
                        </a:extLst>
                      </xdr:cNvPr>
                      <xdr:cNvSpPr txBox="1"/>
                    </xdr:nvSpPr>
                    <xdr:spPr>
                      <a:xfrm>
                        <a:off x="4112911" y="1671498"/>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grpSp>
          </xdr:grpSp>
          <xdr:grpSp>
            <xdr:nvGrpSpPr>
              <xdr:cNvPr id="68610" name="Groupe 68609">
                <a:extLst>
                  <a:ext uri="{FF2B5EF4-FFF2-40B4-BE49-F238E27FC236}">
                    <a16:creationId xmlns:a16="http://schemas.microsoft.com/office/drawing/2014/main" id="{00000000-0008-0000-0300-0000020C0100}"/>
                  </a:ext>
                </a:extLst>
              </xdr:cNvPr>
              <xdr:cNvGrpSpPr/>
            </xdr:nvGrpSpPr>
            <xdr:grpSpPr>
              <a:xfrm>
                <a:off x="10123465" y="27860101"/>
                <a:ext cx="1028795" cy="733781"/>
                <a:chOff x="10123465" y="27860101"/>
                <a:chExt cx="1028795" cy="733781"/>
              </a:xfrm>
            </xdr:grpSpPr>
            <xdr:cxnSp macro="">
              <xdr:nvCxnSpPr>
                <xdr:cNvPr id="68611" name="Connecteur droit 68610">
                  <a:extLst>
                    <a:ext uri="{FF2B5EF4-FFF2-40B4-BE49-F238E27FC236}">
                      <a16:creationId xmlns:a16="http://schemas.microsoft.com/office/drawing/2014/main" id="{00000000-0008-0000-0300-0000030C0100}"/>
                    </a:ext>
                  </a:extLst>
                </xdr:cNvPr>
                <xdr:cNvCxnSpPr>
                  <a:cxnSpLocks/>
                </xdr:cNvCxnSpPr>
              </xdr:nvCxnSpPr>
              <xdr:spPr>
                <a:xfrm flipV="1">
                  <a:off x="10123465" y="27926972"/>
                  <a:ext cx="432" cy="64306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68612" name="Connecteur droit avec flèche 68611">
                  <a:extLst>
                    <a:ext uri="{FF2B5EF4-FFF2-40B4-BE49-F238E27FC236}">
                      <a16:creationId xmlns:a16="http://schemas.microsoft.com/office/drawing/2014/main" id="{00000000-0008-0000-0300-0000040C0100}"/>
                    </a:ext>
                  </a:extLst>
                </xdr:cNvPr>
                <xdr:cNvCxnSpPr>
                  <a:cxnSpLocks/>
                </xdr:cNvCxnSpPr>
              </xdr:nvCxnSpPr>
              <xdr:spPr>
                <a:xfrm>
                  <a:off x="10390280" y="27860101"/>
                  <a:ext cx="0" cy="73378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8613" name="ZoneTexte 29">
                  <a:extLst>
                    <a:ext uri="{FF2B5EF4-FFF2-40B4-BE49-F238E27FC236}">
                      <a16:creationId xmlns:a16="http://schemas.microsoft.com/office/drawing/2014/main" id="{00000000-0008-0000-0300-0000050C0100}"/>
                    </a:ext>
                  </a:extLst>
                </xdr:cNvPr>
                <xdr:cNvSpPr txBox="1"/>
              </xdr:nvSpPr>
              <xdr:spPr>
                <a:xfrm>
                  <a:off x="10378281" y="28078906"/>
                  <a:ext cx="773979" cy="261610"/>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sp macro="" textlink="$C$28">
          <xdr:nvSpPr>
            <xdr:cNvPr id="14" name="Dodécagone 13">
              <a:extLst>
                <a:ext uri="{FF2B5EF4-FFF2-40B4-BE49-F238E27FC236}">
                  <a16:creationId xmlns:a16="http://schemas.microsoft.com/office/drawing/2014/main" id="{00000000-0008-0000-0300-00000E000000}"/>
                </a:ext>
              </a:extLst>
            </xdr:cNvPr>
            <xdr:cNvSpPr/>
          </xdr:nvSpPr>
          <xdr:spPr>
            <a:xfrm>
              <a:off x="7703822" y="27046644"/>
              <a:ext cx="359772" cy="34997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085136-3363-464D-9187-A8A17D46FD89}" type="TxLink">
                <a:rPr lang="en-US" sz="1100" b="0" i="0" u="none" strike="noStrike">
                  <a:solidFill>
                    <a:srgbClr val="000000"/>
                  </a:solidFill>
                  <a:latin typeface="Calibri"/>
                  <a:cs typeface="Calibri"/>
                </a:rPr>
                <a:pPr algn="l"/>
                <a:t> </a:t>
              </a:fld>
              <a:endParaRPr lang="en-US" sz="1100" b="0" i="0" u="none" strike="noStrike">
                <a:solidFill>
                  <a:srgbClr val="000000"/>
                </a:solidFill>
                <a:latin typeface="Calibri"/>
                <a:cs typeface="Calibri"/>
              </a:endParaRPr>
            </a:p>
          </xdr:txBody>
        </xdr:sp>
        <xdr:sp macro="" textlink="$C29">
          <xdr:nvSpPr>
            <xdr:cNvPr id="15" name="Dodécagone 14">
              <a:extLst>
                <a:ext uri="{FF2B5EF4-FFF2-40B4-BE49-F238E27FC236}">
                  <a16:creationId xmlns:a16="http://schemas.microsoft.com/office/drawing/2014/main" id="{00000000-0008-0000-0300-00000F000000}"/>
                </a:ext>
              </a:extLst>
            </xdr:cNvPr>
            <xdr:cNvSpPr/>
          </xdr:nvSpPr>
          <xdr:spPr>
            <a:xfrm>
              <a:off x="9203328" y="26250085"/>
              <a:ext cx="363038" cy="34943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F78DC204-7C53-407B-97EA-2030A3093221}" type="TxLink">
                <a:rPr lang="en-US" sz="1100" b="0" i="0" u="none" strike="noStrike">
                  <a:solidFill>
                    <a:srgbClr val="000000"/>
                  </a:solidFill>
                  <a:latin typeface="Calibri"/>
                  <a:cs typeface="Calibri"/>
                </a:rPr>
                <a:pPr algn="l"/>
                <a:t> </a:t>
              </a:fld>
              <a:endParaRPr lang="fr-FR" sz="1100"/>
            </a:p>
          </xdr:txBody>
        </xdr:sp>
        <xdr:sp macro="" textlink="$C30">
          <xdr:nvSpPr>
            <xdr:cNvPr id="16" name="Dodécagone 15">
              <a:extLst>
                <a:ext uri="{FF2B5EF4-FFF2-40B4-BE49-F238E27FC236}">
                  <a16:creationId xmlns:a16="http://schemas.microsoft.com/office/drawing/2014/main" id="{00000000-0008-0000-0300-000010000000}"/>
                </a:ext>
              </a:extLst>
            </xdr:cNvPr>
            <xdr:cNvSpPr/>
          </xdr:nvSpPr>
          <xdr:spPr>
            <a:xfrm>
              <a:off x="11375029" y="26424800"/>
              <a:ext cx="364670" cy="340993"/>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32BA44A-48E4-4E98-86BA-2FFDA962A8F3}" type="TxLink">
                <a:rPr lang="en-US" sz="1100" b="0" i="0" u="none" strike="noStrike">
                  <a:solidFill>
                    <a:srgbClr val="000000"/>
                  </a:solidFill>
                  <a:latin typeface="Calibri"/>
                  <a:cs typeface="Calibri"/>
                </a:rPr>
                <a:pPr algn="l"/>
                <a:t> </a:t>
              </a:fld>
              <a:endParaRPr lang="fr-FR" sz="1100"/>
            </a:p>
          </xdr:txBody>
        </xdr:sp>
        <xdr:sp macro="" textlink="$C31">
          <xdr:nvSpPr>
            <xdr:cNvPr id="17" name="Dodécagone 16">
              <a:extLst>
                <a:ext uri="{FF2B5EF4-FFF2-40B4-BE49-F238E27FC236}">
                  <a16:creationId xmlns:a16="http://schemas.microsoft.com/office/drawing/2014/main" id="{00000000-0008-0000-0300-000011000000}"/>
                </a:ext>
              </a:extLst>
            </xdr:cNvPr>
            <xdr:cNvSpPr/>
          </xdr:nvSpPr>
          <xdr:spPr>
            <a:xfrm>
              <a:off x="9952811" y="27038208"/>
              <a:ext cx="355418" cy="35950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4C96B2E-9475-4C3B-A085-118272164E09}" type="TxLink">
                <a:rPr lang="en-US" sz="1100" b="0" i="0" u="none" strike="noStrike">
                  <a:solidFill>
                    <a:srgbClr val="000000"/>
                  </a:solidFill>
                  <a:latin typeface="Calibri"/>
                  <a:cs typeface="Calibri"/>
                </a:rPr>
                <a:pPr algn="l"/>
                <a:t> </a:t>
              </a:fld>
              <a:endParaRPr lang="fr-FR" sz="1100"/>
            </a:p>
          </xdr:txBody>
        </xdr:sp>
        <xdr:sp macro="" textlink="$C32">
          <xdr:nvSpPr>
            <xdr:cNvPr id="18" name="Dodécagone 17">
              <a:extLst>
                <a:ext uri="{FF2B5EF4-FFF2-40B4-BE49-F238E27FC236}">
                  <a16:creationId xmlns:a16="http://schemas.microsoft.com/office/drawing/2014/main" id="{00000000-0008-0000-0300-000012000000}"/>
                </a:ext>
              </a:extLst>
            </xdr:cNvPr>
            <xdr:cNvSpPr/>
          </xdr:nvSpPr>
          <xdr:spPr>
            <a:xfrm>
              <a:off x="7694569" y="31199273"/>
              <a:ext cx="35732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A5117F51-2EE5-479F-9A3C-CC7E66B754C4}" type="TxLink">
                <a:rPr lang="en-US" sz="1100" b="0" i="0" u="none" strike="noStrike">
                  <a:solidFill>
                    <a:srgbClr val="000000"/>
                  </a:solidFill>
                  <a:latin typeface="Calibri"/>
                  <a:cs typeface="Calibri"/>
                </a:rPr>
                <a:pPr algn="l"/>
                <a:t> </a:t>
              </a:fld>
              <a:endParaRPr lang="fr-FR" sz="1100"/>
            </a:p>
          </xdr:txBody>
        </xdr:sp>
        <xdr:sp macro="" textlink="$C35">
          <xdr:nvSpPr>
            <xdr:cNvPr id="19" name="Dodécagone 18">
              <a:extLst>
                <a:ext uri="{FF2B5EF4-FFF2-40B4-BE49-F238E27FC236}">
                  <a16:creationId xmlns:a16="http://schemas.microsoft.com/office/drawing/2014/main" id="{00000000-0008-0000-0300-000013000000}"/>
                </a:ext>
              </a:extLst>
            </xdr:cNvPr>
            <xdr:cNvSpPr/>
          </xdr:nvSpPr>
          <xdr:spPr>
            <a:xfrm>
              <a:off x="9918792" y="31199273"/>
              <a:ext cx="35351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941F972-10B1-436F-8272-88806995C94E}" type="TxLink">
                <a:rPr lang="en-US" sz="1100" b="0" i="0" u="none" strike="noStrike">
                  <a:solidFill>
                    <a:srgbClr val="000000"/>
                  </a:solidFill>
                  <a:latin typeface="Calibri"/>
                  <a:cs typeface="Calibri"/>
                </a:rPr>
                <a:pPr algn="l"/>
                <a:t> </a:t>
              </a:fld>
              <a:endParaRPr lang="fr-FR" sz="1100"/>
            </a:p>
          </xdr:txBody>
        </xdr:sp>
        <xdr:sp macro="" textlink="$C33">
          <xdr:nvSpPr>
            <xdr:cNvPr id="20" name="Dodécagone 19">
              <a:extLst>
                <a:ext uri="{FF2B5EF4-FFF2-40B4-BE49-F238E27FC236}">
                  <a16:creationId xmlns:a16="http://schemas.microsoft.com/office/drawing/2014/main" id="{00000000-0008-0000-0300-000014000000}"/>
                </a:ext>
              </a:extLst>
            </xdr:cNvPr>
            <xdr:cNvSpPr/>
          </xdr:nvSpPr>
          <xdr:spPr>
            <a:xfrm>
              <a:off x="9194892" y="30402712"/>
              <a:ext cx="353513" cy="34861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564CA02-9E4F-46FF-989C-D910B62616AF}" type="TxLink">
                <a:rPr lang="en-US" sz="1100" b="0" i="0" u="none" strike="noStrike">
                  <a:solidFill>
                    <a:srgbClr val="000000"/>
                  </a:solidFill>
                  <a:latin typeface="Calibri"/>
                  <a:cs typeface="Calibri"/>
                </a:rPr>
                <a:pPr algn="l"/>
                <a:t> </a:t>
              </a:fld>
              <a:endParaRPr lang="fr-FR" sz="1100"/>
            </a:p>
          </xdr:txBody>
        </xdr:sp>
        <xdr:sp macro="" textlink="$C34">
          <xdr:nvSpPr>
            <xdr:cNvPr id="21" name="Dodécagone 20">
              <a:extLst>
                <a:ext uri="{FF2B5EF4-FFF2-40B4-BE49-F238E27FC236}">
                  <a16:creationId xmlns:a16="http://schemas.microsoft.com/office/drawing/2014/main" id="{00000000-0008-0000-0300-000015000000}"/>
                </a:ext>
              </a:extLst>
            </xdr:cNvPr>
            <xdr:cNvSpPr/>
          </xdr:nvSpPr>
          <xdr:spPr>
            <a:xfrm>
              <a:off x="11410135" y="30397541"/>
              <a:ext cx="366575"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598C577-2893-4341-9E53-80D94AC69706}" type="TxLink">
                <a:rPr lang="en-US" sz="1100" b="0" i="0" u="none" strike="noStrike">
                  <a:solidFill>
                    <a:srgbClr val="000000"/>
                  </a:solidFill>
                  <a:latin typeface="Calibri"/>
                  <a:cs typeface="Calibri"/>
                </a:rPr>
                <a:pPr algn="l"/>
                <a:t> </a:t>
              </a:fld>
              <a:endParaRPr lang="fr-FR" sz="1100"/>
            </a:p>
          </xdr:txBody>
        </xdr:sp>
        <xdr:sp macro="" textlink="$B$28">
          <xdr:nvSpPr>
            <xdr:cNvPr id="22" name="Dodécagone 21">
              <a:extLst>
                <a:ext uri="{FF2B5EF4-FFF2-40B4-BE49-F238E27FC236}">
                  <a16:creationId xmlns:a16="http://schemas.microsoft.com/office/drawing/2014/main" id="{00000000-0008-0000-0300-000016000000}"/>
                </a:ext>
              </a:extLst>
            </xdr:cNvPr>
            <xdr:cNvSpPr/>
          </xdr:nvSpPr>
          <xdr:spPr>
            <a:xfrm>
              <a:off x="7714435" y="26691770"/>
              <a:ext cx="355418" cy="340994"/>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BDC08ADA-7948-4C0B-87CD-BCAC636E4845}" type="TxLink">
                <a:rPr lang="en-US" sz="1100" b="0" i="0" u="none" strike="noStrike">
                  <a:solidFill>
                    <a:srgbClr val="000000"/>
                  </a:solidFill>
                  <a:latin typeface="Calibri"/>
                  <a:cs typeface="Calibri"/>
                </a:rPr>
                <a:pPr algn="l"/>
                <a:t> </a:t>
              </a:fld>
              <a:endParaRPr lang="fr-FR" sz="1100"/>
            </a:p>
          </xdr:txBody>
        </xdr:sp>
        <xdr:sp macro="" textlink="$B$29">
          <xdr:nvSpPr>
            <xdr:cNvPr id="23" name="Dodécagone 22">
              <a:extLst>
                <a:ext uri="{FF2B5EF4-FFF2-40B4-BE49-F238E27FC236}">
                  <a16:creationId xmlns:a16="http://schemas.microsoft.com/office/drawing/2014/main" id="{00000000-0008-0000-0300-000017000000}"/>
                </a:ext>
              </a:extLst>
            </xdr:cNvPr>
            <xdr:cNvSpPr/>
          </xdr:nvSpPr>
          <xdr:spPr>
            <a:xfrm>
              <a:off x="9207682" y="25878608"/>
              <a:ext cx="353513" cy="35786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82F1F7C2-27B9-4BEB-BB91-CDECA3065A66}" type="TxLink">
                <a:rPr lang="en-US" sz="1100" b="0" i="0" u="none" strike="noStrike">
                  <a:solidFill>
                    <a:srgbClr val="000000"/>
                  </a:solidFill>
                  <a:latin typeface="Calibri"/>
                  <a:cs typeface="Calibri"/>
                </a:rPr>
                <a:pPr algn="l"/>
                <a:t> </a:t>
              </a:fld>
              <a:endParaRPr lang="fr-FR" sz="1100"/>
            </a:p>
          </xdr:txBody>
        </xdr:sp>
        <xdr:sp macro="" textlink="$B$30">
          <xdr:nvSpPr>
            <xdr:cNvPr id="24" name="Dodécagone 23">
              <a:extLst>
                <a:ext uri="{FF2B5EF4-FFF2-40B4-BE49-F238E27FC236}">
                  <a16:creationId xmlns:a16="http://schemas.microsoft.com/office/drawing/2014/main" id="{00000000-0008-0000-0300-000018000000}"/>
                </a:ext>
              </a:extLst>
            </xdr:cNvPr>
            <xdr:cNvSpPr/>
          </xdr:nvSpPr>
          <xdr:spPr>
            <a:xfrm>
              <a:off x="11379382" y="26063937"/>
              <a:ext cx="357050" cy="35024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C5C30DE-05FF-4B69-8FBD-A9C3B783DD4A}" type="TxLink">
                <a:rPr lang="en-US" sz="1100" b="0" i="0" u="none" strike="noStrike">
                  <a:solidFill>
                    <a:srgbClr val="000000"/>
                  </a:solidFill>
                  <a:latin typeface="Calibri"/>
                  <a:cs typeface="Calibri"/>
                </a:rPr>
                <a:pPr algn="l"/>
                <a:t> </a:t>
              </a:fld>
              <a:endParaRPr lang="fr-FR" sz="1100"/>
            </a:p>
          </xdr:txBody>
        </xdr:sp>
        <xdr:sp macro="" textlink="$B$31">
          <xdr:nvSpPr>
            <xdr:cNvPr id="25" name="Dodécagone 24">
              <a:extLst>
                <a:ext uri="{FF2B5EF4-FFF2-40B4-BE49-F238E27FC236}">
                  <a16:creationId xmlns:a16="http://schemas.microsoft.com/office/drawing/2014/main" id="{00000000-0008-0000-0300-000019000000}"/>
                </a:ext>
              </a:extLst>
            </xdr:cNvPr>
            <xdr:cNvSpPr/>
          </xdr:nvSpPr>
          <xdr:spPr>
            <a:xfrm>
              <a:off x="9957079" y="26671181"/>
              <a:ext cx="353513"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1E0278D-8A5A-413F-A1F1-A94E0D5F5AB2}" type="TxLink">
                <a:rPr lang="en-US" sz="1100" b="0" i="0" u="none" strike="noStrike">
                  <a:solidFill>
                    <a:srgbClr val="000000"/>
                  </a:solidFill>
                  <a:latin typeface="Calibri"/>
                  <a:cs typeface="Calibri"/>
                </a:rPr>
                <a:pPr algn="l"/>
                <a:t> </a:t>
              </a:fld>
              <a:endParaRPr lang="fr-FR" sz="1100"/>
            </a:p>
          </xdr:txBody>
        </xdr:sp>
        <xdr:sp macro="" textlink="$B$32">
          <xdr:nvSpPr>
            <xdr:cNvPr id="26" name="Dodécagone 25">
              <a:extLst>
                <a:ext uri="{FF2B5EF4-FFF2-40B4-BE49-F238E27FC236}">
                  <a16:creationId xmlns:a16="http://schemas.microsoft.com/office/drawing/2014/main" id="{00000000-0008-0000-0300-00001A000000}"/>
                </a:ext>
              </a:extLst>
            </xdr:cNvPr>
            <xdr:cNvSpPr/>
          </xdr:nvSpPr>
          <xdr:spPr>
            <a:xfrm>
              <a:off x="7694568" y="30830712"/>
              <a:ext cx="357323" cy="339088"/>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ADFAD6F-1C97-4641-BB79-0ED98A35EBE5}" type="TxLink">
                <a:rPr lang="en-US" sz="1100" b="0" i="0" u="none" strike="noStrike">
                  <a:solidFill>
                    <a:srgbClr val="000000"/>
                  </a:solidFill>
                  <a:latin typeface="Calibri"/>
                  <a:cs typeface="Calibri"/>
                </a:rPr>
                <a:pPr algn="l"/>
                <a:t> </a:t>
              </a:fld>
              <a:endParaRPr lang="fr-FR" sz="1100"/>
            </a:p>
          </xdr:txBody>
        </xdr:sp>
        <xdr:sp macro="" textlink="$B$33">
          <xdr:nvSpPr>
            <xdr:cNvPr id="27" name="Dodécagone 26">
              <a:extLst>
                <a:ext uri="{FF2B5EF4-FFF2-40B4-BE49-F238E27FC236}">
                  <a16:creationId xmlns:a16="http://schemas.microsoft.com/office/drawing/2014/main" id="{00000000-0008-0000-0300-00001B000000}"/>
                </a:ext>
              </a:extLst>
            </xdr:cNvPr>
            <xdr:cNvSpPr/>
          </xdr:nvSpPr>
          <xdr:spPr>
            <a:xfrm>
              <a:off x="9175072" y="30048285"/>
              <a:ext cx="363038" cy="348615"/>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1773489D-60FE-4121-ADC9-A0B16B2D74F2}" type="TxLink">
                <a:rPr lang="en-US" sz="1100" b="0" i="0" u="none" strike="noStrike">
                  <a:solidFill>
                    <a:srgbClr val="000000"/>
                  </a:solidFill>
                  <a:latin typeface="Calibri"/>
                  <a:cs typeface="Calibri"/>
                </a:rPr>
                <a:pPr algn="l"/>
                <a:t> </a:t>
              </a:fld>
              <a:endParaRPr lang="fr-FR" sz="1100"/>
            </a:p>
          </xdr:txBody>
        </xdr:sp>
        <xdr:sp macro="" textlink="$B$34">
          <xdr:nvSpPr>
            <xdr:cNvPr id="28" name="Dodécagone 27">
              <a:extLst>
                <a:ext uri="{FF2B5EF4-FFF2-40B4-BE49-F238E27FC236}">
                  <a16:creationId xmlns:a16="http://schemas.microsoft.com/office/drawing/2014/main" id="{00000000-0008-0000-0300-00001C000000}"/>
                </a:ext>
              </a:extLst>
            </xdr:cNvPr>
            <xdr:cNvSpPr/>
          </xdr:nvSpPr>
          <xdr:spPr>
            <a:xfrm>
              <a:off x="11410134" y="30043115"/>
              <a:ext cx="366575" cy="339586"/>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D29F374-D4C8-477F-90F3-80473D609FC0}" type="TxLink">
                <a:rPr lang="en-US" sz="1100" b="0" i="0" u="none" strike="noStrike">
                  <a:solidFill>
                    <a:srgbClr val="000000"/>
                  </a:solidFill>
                  <a:latin typeface="Calibri"/>
                  <a:cs typeface="Calibri"/>
                </a:rPr>
                <a:pPr algn="l"/>
                <a:t> </a:t>
              </a:fld>
              <a:endParaRPr lang="fr-FR" sz="1100"/>
            </a:p>
          </xdr:txBody>
        </xdr:sp>
        <xdr:sp macro="" textlink="$B$35">
          <xdr:nvSpPr>
            <xdr:cNvPr id="29" name="Dodécagone 28">
              <a:extLst>
                <a:ext uri="{FF2B5EF4-FFF2-40B4-BE49-F238E27FC236}">
                  <a16:creationId xmlns:a16="http://schemas.microsoft.com/office/drawing/2014/main" id="{00000000-0008-0000-0300-00001D000000}"/>
                </a:ext>
              </a:extLst>
            </xdr:cNvPr>
            <xdr:cNvSpPr/>
          </xdr:nvSpPr>
          <xdr:spPr>
            <a:xfrm>
              <a:off x="9904095" y="30842928"/>
              <a:ext cx="363038" cy="340993"/>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1606F99-91CC-4FCA-AD1E-FDEADEA28D00}" type="TxLink">
                <a:rPr lang="en-US" sz="1100" b="0" i="0" u="none" strike="noStrike">
                  <a:solidFill>
                    <a:srgbClr val="000000"/>
                  </a:solidFill>
                  <a:latin typeface="Calibri"/>
                  <a:cs typeface="Calibri"/>
                </a:rPr>
                <a:pPr algn="l"/>
                <a:t> </a:t>
              </a:fld>
              <a:endParaRPr lang="fr-FR" sz="1100"/>
            </a:p>
          </xdr:txBody>
        </xdr:sp>
        <xdr:sp macro="" textlink="$C36">
          <xdr:nvSpPr>
            <xdr:cNvPr id="30" name="Dodécagone 29">
              <a:extLst>
                <a:ext uri="{FF2B5EF4-FFF2-40B4-BE49-F238E27FC236}">
                  <a16:creationId xmlns:a16="http://schemas.microsoft.com/office/drawing/2014/main" id="{00000000-0008-0000-0300-00001E000000}"/>
                </a:ext>
              </a:extLst>
            </xdr:cNvPr>
            <xdr:cNvSpPr/>
          </xdr:nvSpPr>
          <xdr:spPr>
            <a:xfrm>
              <a:off x="9624605" y="29253453"/>
              <a:ext cx="355690"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3111710-FF55-4F58-B57D-547C11B17CA6}" type="TxLink">
                <a:rPr lang="en-US" sz="1100" b="0" i="0" u="none" strike="noStrike">
                  <a:solidFill>
                    <a:srgbClr val="000000"/>
                  </a:solidFill>
                  <a:latin typeface="Calibri"/>
                  <a:cs typeface="Calibri"/>
                </a:rPr>
                <a:pPr algn="l"/>
                <a:t> </a:t>
              </a:fld>
              <a:endParaRPr lang="fr-FR" sz="1100"/>
            </a:p>
          </xdr:txBody>
        </xdr:sp>
        <xdr:sp macro="" textlink="$B$36">
          <xdr:nvSpPr>
            <xdr:cNvPr id="31" name="Dodécagone 30">
              <a:extLst>
                <a:ext uri="{FF2B5EF4-FFF2-40B4-BE49-F238E27FC236}">
                  <a16:creationId xmlns:a16="http://schemas.microsoft.com/office/drawing/2014/main" id="{00000000-0008-0000-0300-00001F000000}"/>
                </a:ext>
              </a:extLst>
            </xdr:cNvPr>
            <xdr:cNvSpPr/>
          </xdr:nvSpPr>
          <xdr:spPr>
            <a:xfrm>
              <a:off x="9626782" y="28924593"/>
              <a:ext cx="358684"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2BAF3215-FC48-4188-807B-29B7FCAF796E}" type="TxLink">
                <a:rPr lang="en-US" sz="1100" b="0" i="0" u="none" strike="noStrike">
                  <a:solidFill>
                    <a:srgbClr val="000000"/>
                  </a:solidFill>
                  <a:latin typeface="Calibri"/>
                  <a:cs typeface="Calibri"/>
                </a:rPr>
                <a:pPr algn="l"/>
                <a:t> </a:t>
              </a:fld>
              <a:endParaRPr lang="fr-FR" sz="1100"/>
            </a:p>
          </xdr:txBody>
        </xdr:sp>
      </xdr:grpSp>
      <xdr:sp macro="" textlink="$A$28">
        <xdr:nvSpPr>
          <xdr:cNvPr id="4" name="Dodécagone 3">
            <a:extLst>
              <a:ext uri="{FF2B5EF4-FFF2-40B4-BE49-F238E27FC236}">
                <a16:creationId xmlns:a16="http://schemas.microsoft.com/office/drawing/2014/main" id="{00000000-0008-0000-0300-000004000000}"/>
              </a:ext>
            </a:extLst>
          </xdr:cNvPr>
          <xdr:cNvSpPr/>
        </xdr:nvSpPr>
        <xdr:spPr>
          <a:xfrm>
            <a:off x="3378381" y="9108894"/>
            <a:ext cx="332668" cy="34894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145BF93-0F6E-4843-833B-9B9F8F512CED}" type="TxLink">
              <a:rPr lang="en-US" sz="1100" b="0" i="0" u="none" strike="noStrike">
                <a:solidFill>
                  <a:srgbClr val="000000"/>
                </a:solidFill>
                <a:latin typeface="Calibri"/>
                <a:cs typeface="Calibri"/>
              </a:rPr>
              <a:pPr algn="l"/>
              <a:t>1</a:t>
            </a:fld>
            <a:endParaRPr lang="fr-FR" sz="1100"/>
          </a:p>
        </xdr:txBody>
      </xdr:sp>
      <xdr:sp macro="" textlink="$A$29">
        <xdr:nvSpPr>
          <xdr:cNvPr id="5" name="Dodécagone 4">
            <a:extLst>
              <a:ext uri="{FF2B5EF4-FFF2-40B4-BE49-F238E27FC236}">
                <a16:creationId xmlns:a16="http://schemas.microsoft.com/office/drawing/2014/main" id="{00000000-0008-0000-0300-000005000000}"/>
              </a:ext>
            </a:extLst>
          </xdr:cNvPr>
          <xdr:cNvSpPr/>
        </xdr:nvSpPr>
        <xdr:spPr>
          <a:xfrm>
            <a:off x="4953802" y="8265527"/>
            <a:ext cx="366958" cy="36418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A71815C8-2219-440C-8115-490F7DBF5B04}" type="TxLink">
              <a:rPr lang="en-US" sz="1100" b="0" i="0" u="none" strike="noStrike">
                <a:solidFill>
                  <a:srgbClr val="000000"/>
                </a:solidFill>
                <a:latin typeface="Calibri"/>
                <a:cs typeface="Calibri"/>
              </a:rPr>
              <a:pPr algn="l"/>
              <a:t>2</a:t>
            </a:fld>
            <a:endParaRPr lang="fr-FR" sz="1100"/>
          </a:p>
        </xdr:txBody>
      </xdr:sp>
      <xdr:sp macro="" textlink="$A$30">
        <xdr:nvSpPr>
          <xdr:cNvPr id="6" name="Dodécagone 5">
            <a:extLst>
              <a:ext uri="{FF2B5EF4-FFF2-40B4-BE49-F238E27FC236}">
                <a16:creationId xmlns:a16="http://schemas.microsoft.com/office/drawing/2014/main" id="{00000000-0008-0000-0300-000006000000}"/>
              </a:ext>
            </a:extLst>
          </xdr:cNvPr>
          <xdr:cNvSpPr/>
        </xdr:nvSpPr>
        <xdr:spPr>
          <a:xfrm>
            <a:off x="7191088" y="8278589"/>
            <a:ext cx="353623" cy="33560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72CD9B4-ACEA-4C44-B440-5F1D4E63DA98}" type="TxLink">
              <a:rPr lang="en-US" sz="1100" b="0" i="0" u="none" strike="noStrike">
                <a:solidFill>
                  <a:srgbClr val="000000"/>
                </a:solidFill>
                <a:latin typeface="Calibri"/>
                <a:cs typeface="Calibri"/>
              </a:rPr>
              <a:pPr algn="l"/>
              <a:t>3</a:t>
            </a:fld>
            <a:endParaRPr lang="fr-FR" sz="1100"/>
          </a:p>
        </xdr:txBody>
      </xdr:sp>
      <xdr:sp macro="" textlink="$A$31">
        <xdr:nvSpPr>
          <xdr:cNvPr id="7" name="Dodécagone 6">
            <a:extLst>
              <a:ext uri="{FF2B5EF4-FFF2-40B4-BE49-F238E27FC236}">
                <a16:creationId xmlns:a16="http://schemas.microsoft.com/office/drawing/2014/main" id="{00000000-0008-0000-0300-000007000000}"/>
              </a:ext>
            </a:extLst>
          </xdr:cNvPr>
          <xdr:cNvSpPr/>
        </xdr:nvSpPr>
        <xdr:spPr>
          <a:xfrm>
            <a:off x="5711721" y="9079506"/>
            <a:ext cx="365053" cy="35465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1F586D73-52BD-4673-947F-E98FDB0FCF36}" type="TxLink">
              <a:rPr lang="en-US" sz="1100" b="0" i="0" u="none" strike="noStrike">
                <a:solidFill>
                  <a:srgbClr val="000000"/>
                </a:solidFill>
                <a:latin typeface="Calibri"/>
                <a:cs typeface="Calibri"/>
              </a:rPr>
              <a:pPr algn="l"/>
              <a:t>4</a:t>
            </a:fld>
            <a:endParaRPr lang="fr-FR" sz="1100"/>
          </a:p>
        </xdr:txBody>
      </xdr:sp>
      <xdr:sp macro="" textlink="$A$32">
        <xdr:nvSpPr>
          <xdr:cNvPr id="8" name="Dodécagone 7">
            <a:extLst>
              <a:ext uri="{FF2B5EF4-FFF2-40B4-BE49-F238E27FC236}">
                <a16:creationId xmlns:a16="http://schemas.microsoft.com/office/drawing/2014/main" id="{00000000-0008-0000-0300-000008000000}"/>
              </a:ext>
            </a:extLst>
          </xdr:cNvPr>
          <xdr:cNvSpPr/>
        </xdr:nvSpPr>
        <xdr:spPr>
          <a:xfrm>
            <a:off x="3231139" y="12374340"/>
            <a:ext cx="355528"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C55E6EA7-97DC-494F-AC97-D2A7390C8271}" type="TxLink">
              <a:rPr lang="en-US" sz="1100" b="0" i="0" u="none" strike="noStrike">
                <a:solidFill>
                  <a:srgbClr val="000000"/>
                </a:solidFill>
                <a:latin typeface="Calibri"/>
                <a:cs typeface="Calibri"/>
              </a:rPr>
              <a:pPr algn="l"/>
              <a:t>5</a:t>
            </a:fld>
            <a:endParaRPr lang="fr-FR" sz="1100"/>
          </a:p>
        </xdr:txBody>
      </xdr:sp>
      <xdr:sp macro="" textlink="$A$33">
        <xdr:nvSpPr>
          <xdr:cNvPr id="9" name="Dodécagone 8">
            <a:extLst>
              <a:ext uri="{FF2B5EF4-FFF2-40B4-BE49-F238E27FC236}">
                <a16:creationId xmlns:a16="http://schemas.microsoft.com/office/drawing/2014/main" id="{00000000-0008-0000-0300-000009000000}"/>
              </a:ext>
            </a:extLst>
          </xdr:cNvPr>
          <xdr:cNvSpPr/>
        </xdr:nvSpPr>
        <xdr:spPr>
          <a:xfrm>
            <a:off x="4716222" y="11847471"/>
            <a:ext cx="357433" cy="34703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29CD6E8-D1E6-4F00-BFD9-AF0DAB482B0E}" type="TxLink">
              <a:rPr lang="en-US" sz="1100" b="0" i="0" u="none" strike="noStrike">
                <a:solidFill>
                  <a:srgbClr val="000000"/>
                </a:solidFill>
                <a:latin typeface="Calibri"/>
                <a:cs typeface="Calibri"/>
              </a:rPr>
              <a:pPr algn="l"/>
              <a:t>6</a:t>
            </a:fld>
            <a:endParaRPr lang="fr-FR" sz="1100"/>
          </a:p>
        </xdr:txBody>
      </xdr:sp>
      <xdr:sp macro="" textlink="$A$34">
        <xdr:nvSpPr>
          <xdr:cNvPr id="10" name="Dodécagone 9">
            <a:extLst>
              <a:ext uri="{FF2B5EF4-FFF2-40B4-BE49-F238E27FC236}">
                <a16:creationId xmlns:a16="http://schemas.microsoft.com/office/drawing/2014/main" id="{00000000-0008-0000-0300-00000A000000}"/>
              </a:ext>
            </a:extLst>
          </xdr:cNvPr>
          <xdr:cNvSpPr/>
        </xdr:nvSpPr>
        <xdr:spPr>
          <a:xfrm>
            <a:off x="6922756" y="11816447"/>
            <a:ext cx="357433"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4C679327-8C79-4456-ABFF-13DCB28CB2B1}" type="TxLink">
              <a:rPr lang="en-US" sz="1100" b="0" i="0" u="none" strike="noStrike">
                <a:solidFill>
                  <a:srgbClr val="000000"/>
                </a:solidFill>
                <a:latin typeface="Calibri"/>
                <a:cs typeface="Calibri"/>
              </a:rPr>
              <a:pPr algn="l"/>
              <a:t>7</a:t>
            </a:fld>
            <a:endParaRPr lang="fr-FR" sz="1100"/>
          </a:p>
        </xdr:txBody>
      </xdr:sp>
      <xdr:sp macro="" textlink="$A$35">
        <xdr:nvSpPr>
          <xdr:cNvPr id="11" name="Dodécagone 10">
            <a:extLst>
              <a:ext uri="{FF2B5EF4-FFF2-40B4-BE49-F238E27FC236}">
                <a16:creationId xmlns:a16="http://schemas.microsoft.com/office/drawing/2014/main" id="{00000000-0008-0000-0300-00000B000000}"/>
              </a:ext>
            </a:extLst>
          </xdr:cNvPr>
          <xdr:cNvSpPr/>
        </xdr:nvSpPr>
        <xdr:spPr>
          <a:xfrm>
            <a:off x="5480399" y="12353112"/>
            <a:ext cx="380293" cy="35084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AC4482E9-81D0-46AD-9603-36DFE2B9D8BD}" type="TxLink">
              <a:rPr lang="en-US" sz="1100" b="0" i="0" u="none" strike="noStrike">
                <a:solidFill>
                  <a:srgbClr val="000000"/>
                </a:solidFill>
                <a:latin typeface="Calibri"/>
                <a:cs typeface="Calibri"/>
              </a:rPr>
              <a:pPr algn="l"/>
              <a:t>8</a:t>
            </a:fld>
            <a:endParaRPr lang="fr-FR" sz="1100"/>
          </a:p>
        </xdr:txBody>
      </xdr:sp>
      <xdr:sp macro="" textlink="$A$36">
        <xdr:nvSpPr>
          <xdr:cNvPr id="12" name="Dodécagone 11">
            <a:extLst>
              <a:ext uri="{FF2B5EF4-FFF2-40B4-BE49-F238E27FC236}">
                <a16:creationId xmlns:a16="http://schemas.microsoft.com/office/drawing/2014/main" id="{00000000-0008-0000-0300-00000C000000}"/>
              </a:ext>
            </a:extLst>
          </xdr:cNvPr>
          <xdr:cNvSpPr/>
        </xdr:nvSpPr>
        <xdr:spPr>
          <a:xfrm>
            <a:off x="5256969" y="10493016"/>
            <a:ext cx="376483"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431DAFA1-D85E-4C94-AA00-3ED150F60DBD}" type="TxLink">
              <a:rPr lang="en-US" sz="1100" b="0" i="0" u="none" strike="noStrike">
                <a:solidFill>
                  <a:srgbClr val="000000"/>
                </a:solidFill>
                <a:latin typeface="Calibri"/>
                <a:cs typeface="Calibri"/>
              </a:rPr>
              <a:pPr algn="l"/>
              <a:t>9</a:t>
            </a:fld>
            <a:endParaRPr lang="fr-FR"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23</xdr:row>
      <xdr:rowOff>0</xdr:rowOff>
    </xdr:from>
    <xdr:to>
      <xdr:col>24</xdr:col>
      <xdr:colOff>369794</xdr:colOff>
      <xdr:row>44</xdr:row>
      <xdr:rowOff>44823</xdr:rowOff>
    </xdr:to>
    <xdr:graphicFrame macro="">
      <xdr:nvGraphicFramePr>
        <xdr:cNvPr id="3" name="Graph80">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12</xdr:col>
      <xdr:colOff>0</xdr:colOff>
      <xdr:row>24</xdr:row>
      <xdr:rowOff>0</xdr:rowOff>
    </xdr:from>
    <xdr:to>
      <xdr:col>24</xdr:col>
      <xdr:colOff>369794</xdr:colOff>
      <xdr:row>43</xdr:row>
      <xdr:rowOff>179293</xdr:rowOff>
    </xdr:to>
    <xdr:graphicFrame macro="">
      <xdr:nvGraphicFramePr>
        <xdr:cNvPr id="3" name="Graph200">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12</xdr:col>
      <xdr:colOff>0</xdr:colOff>
      <xdr:row>23</xdr:row>
      <xdr:rowOff>0</xdr:rowOff>
    </xdr:from>
    <xdr:to>
      <xdr:col>24</xdr:col>
      <xdr:colOff>371475</xdr:colOff>
      <xdr:row>44</xdr:row>
      <xdr:rowOff>9525</xdr:rowOff>
    </xdr:to>
    <xdr:graphicFrame macro="">
      <xdr:nvGraphicFramePr>
        <xdr:cNvPr id="3" name="Graph385">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12</xdr:col>
      <xdr:colOff>0</xdr:colOff>
      <xdr:row>23</xdr:row>
      <xdr:rowOff>0</xdr:rowOff>
    </xdr:from>
    <xdr:to>
      <xdr:col>24</xdr:col>
      <xdr:colOff>369794</xdr:colOff>
      <xdr:row>44</xdr:row>
      <xdr:rowOff>44824</xdr:rowOff>
    </xdr:to>
    <xdr:graphicFrame macro="">
      <xdr:nvGraphicFramePr>
        <xdr:cNvPr id="3" name="Graph535">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19846</xdr:colOff>
      <xdr:row>0</xdr:row>
      <xdr:rowOff>36497</xdr:rowOff>
    </xdr:from>
    <xdr:to>
      <xdr:col>1</xdr:col>
      <xdr:colOff>1393200</xdr:colOff>
      <xdr:row>3</xdr:row>
      <xdr:rowOff>168053</xdr:rowOff>
    </xdr:to>
    <xdr:pic>
      <xdr:nvPicPr>
        <xdr:cNvPr id="2" name="Imag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846" y="36497"/>
          <a:ext cx="1925804" cy="703056"/>
        </a:xfrm>
        <a:prstGeom prst="rect">
          <a:avLst/>
        </a:prstGeom>
      </xdr:spPr>
    </xdr:pic>
    <xdr:clientData/>
  </xdr:twoCellAnchor>
  <xdr:twoCellAnchor editAs="oneCell">
    <xdr:from>
      <xdr:col>0</xdr:col>
      <xdr:colOff>79374</xdr:colOff>
      <xdr:row>47</xdr:row>
      <xdr:rowOff>155559</xdr:rowOff>
    </xdr:from>
    <xdr:to>
      <xdr:col>2</xdr:col>
      <xdr:colOff>21960</xdr:colOff>
      <xdr:row>51</xdr:row>
      <xdr:rowOff>98600</xdr:rowOff>
    </xdr:to>
    <xdr:pic>
      <xdr:nvPicPr>
        <xdr:cNvPr id="3" name="Imag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374" y="9604359"/>
          <a:ext cx="1914261" cy="705041"/>
        </a:xfrm>
        <a:prstGeom prst="rect">
          <a:avLst/>
        </a:prstGeom>
      </xdr:spPr>
    </xdr:pic>
    <xdr:clientData/>
  </xdr:twoCellAnchor>
  <xdr:twoCellAnchor editAs="oneCell">
    <xdr:from>
      <xdr:col>5</xdr:col>
      <xdr:colOff>833437</xdr:colOff>
      <xdr:row>69</xdr:row>
      <xdr:rowOff>157560</xdr:rowOff>
    </xdr:from>
    <xdr:to>
      <xdr:col>7</xdr:col>
      <xdr:colOff>1068981</xdr:colOff>
      <xdr:row>91</xdr:row>
      <xdr:rowOff>19448</xdr:rowOff>
    </xdr:to>
    <xdr:pic>
      <xdr:nvPicPr>
        <xdr:cNvPr id="4" name="Image 3">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01037" y="13844985"/>
          <a:ext cx="3988394" cy="4100513"/>
        </a:xfrm>
        <a:prstGeom prst="rect">
          <a:avLst/>
        </a:prstGeom>
      </xdr:spPr>
    </xdr:pic>
    <xdr:clientData/>
  </xdr:twoCellAnchor>
  <xdr:twoCellAnchor editAs="oneCell">
    <xdr:from>
      <xdr:col>0</xdr:col>
      <xdr:colOff>109141</xdr:colOff>
      <xdr:row>92</xdr:row>
      <xdr:rowOff>116059</xdr:rowOff>
    </xdr:from>
    <xdr:to>
      <xdr:col>2</xdr:col>
      <xdr:colOff>116620</xdr:colOff>
      <xdr:row>96</xdr:row>
      <xdr:rowOff>95715</xdr:rowOff>
    </xdr:to>
    <xdr:pic>
      <xdr:nvPicPr>
        <xdr:cNvPr id="5" name="Imag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1" y="18232609"/>
          <a:ext cx="1979154" cy="741656"/>
        </a:xfrm>
        <a:prstGeom prst="rect">
          <a:avLst/>
        </a:prstGeom>
      </xdr:spPr>
    </xdr:pic>
    <xdr:clientData/>
  </xdr:twoCellAnchor>
  <xdr:twoCellAnchor editAs="oneCell">
    <xdr:from>
      <xdr:col>0</xdr:col>
      <xdr:colOff>109140</xdr:colOff>
      <xdr:row>135</xdr:row>
      <xdr:rowOff>145823</xdr:rowOff>
    </xdr:from>
    <xdr:to>
      <xdr:col>2</xdr:col>
      <xdr:colOff>116619</xdr:colOff>
      <xdr:row>139</xdr:row>
      <xdr:rowOff>112144</xdr:rowOff>
    </xdr:to>
    <xdr:pic>
      <xdr:nvPicPr>
        <xdr:cNvPr id="6" name="Image 5">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0" y="26596748"/>
          <a:ext cx="1979154" cy="728321"/>
        </a:xfrm>
        <a:prstGeom prst="rect">
          <a:avLst/>
        </a:prstGeom>
      </xdr:spPr>
    </xdr:pic>
    <xdr:clientData/>
  </xdr:twoCellAnchor>
  <xdr:twoCellAnchor editAs="oneCell">
    <xdr:from>
      <xdr:col>0</xdr:col>
      <xdr:colOff>138906</xdr:colOff>
      <xdr:row>171</xdr:row>
      <xdr:rowOff>145824</xdr:rowOff>
    </xdr:from>
    <xdr:to>
      <xdr:col>2</xdr:col>
      <xdr:colOff>133050</xdr:colOff>
      <xdr:row>175</xdr:row>
      <xdr:rowOff>112146</xdr:rowOff>
    </xdr:to>
    <xdr:pic>
      <xdr:nvPicPr>
        <xdr:cNvPr id="7" name="Image 6">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8906" y="33502374"/>
          <a:ext cx="1965819" cy="728322"/>
        </a:xfrm>
        <a:prstGeom prst="rect">
          <a:avLst/>
        </a:prstGeom>
      </xdr:spPr>
    </xdr:pic>
    <xdr:clientData/>
  </xdr:twoCellAnchor>
  <xdr:twoCellAnchor editAs="oneCell">
    <xdr:from>
      <xdr:col>0</xdr:col>
      <xdr:colOff>99219</xdr:colOff>
      <xdr:row>202</xdr:row>
      <xdr:rowOff>116057</xdr:rowOff>
    </xdr:from>
    <xdr:to>
      <xdr:col>2</xdr:col>
      <xdr:colOff>93363</xdr:colOff>
      <xdr:row>206</xdr:row>
      <xdr:rowOff>95713</xdr:rowOff>
    </xdr:to>
    <xdr:pic>
      <xdr:nvPicPr>
        <xdr:cNvPr id="8" name="Image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9219" y="40092482"/>
          <a:ext cx="1965819" cy="741656"/>
        </a:xfrm>
        <a:prstGeom prst="rect">
          <a:avLst/>
        </a:prstGeom>
      </xdr:spPr>
    </xdr:pic>
    <xdr:clientData/>
  </xdr:twoCellAnchor>
  <xdr:twoCellAnchor editAs="oneCell">
    <xdr:from>
      <xdr:col>0</xdr:col>
      <xdr:colOff>109140</xdr:colOff>
      <xdr:row>245</xdr:row>
      <xdr:rowOff>106136</xdr:rowOff>
    </xdr:from>
    <xdr:to>
      <xdr:col>2</xdr:col>
      <xdr:colOff>116619</xdr:colOff>
      <xdr:row>249</xdr:row>
      <xdr:rowOff>72457</xdr:rowOff>
    </xdr:to>
    <xdr:pic>
      <xdr:nvPicPr>
        <xdr:cNvPr id="9" name="Image 8">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0" y="48416936"/>
          <a:ext cx="1979154" cy="728321"/>
        </a:xfrm>
        <a:prstGeom prst="rect">
          <a:avLst/>
        </a:prstGeom>
      </xdr:spPr>
    </xdr:pic>
    <xdr:clientData/>
  </xdr:twoCellAnchor>
  <xdr:twoCellAnchor editAs="oneCell">
    <xdr:from>
      <xdr:col>0</xdr:col>
      <xdr:colOff>128985</xdr:colOff>
      <xdr:row>271</xdr:row>
      <xdr:rowOff>135902</xdr:rowOff>
    </xdr:from>
    <xdr:to>
      <xdr:col>2</xdr:col>
      <xdr:colOff>132654</xdr:colOff>
      <xdr:row>275</xdr:row>
      <xdr:rowOff>98411</xdr:rowOff>
    </xdr:to>
    <xdr:pic>
      <xdr:nvPicPr>
        <xdr:cNvPr id="10" name="Image 9">
          <a:extLst>
            <a:ext uri="{FF2B5EF4-FFF2-40B4-BE49-F238E27FC236}">
              <a16:creationId xmlns:a16="http://schemas.microsoft.com/office/drawing/2014/main" id="{00000000-0008-0000-10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5" y="54790352"/>
          <a:ext cx="1975344" cy="724509"/>
        </a:xfrm>
        <a:prstGeom prst="rect">
          <a:avLst/>
        </a:prstGeom>
      </xdr:spPr>
    </xdr:pic>
    <xdr:clientData/>
  </xdr:twoCellAnchor>
  <xdr:twoCellAnchor editAs="oneCell">
    <xdr:from>
      <xdr:col>0</xdr:col>
      <xdr:colOff>119063</xdr:colOff>
      <xdr:row>302</xdr:row>
      <xdr:rowOff>106136</xdr:rowOff>
    </xdr:from>
    <xdr:to>
      <xdr:col>2</xdr:col>
      <xdr:colOff>130352</xdr:colOff>
      <xdr:row>306</xdr:row>
      <xdr:rowOff>72459</xdr:rowOff>
    </xdr:to>
    <xdr:pic>
      <xdr:nvPicPr>
        <xdr:cNvPr id="11" name="Image 10">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9063" y="61380461"/>
          <a:ext cx="1982964" cy="728323"/>
        </a:xfrm>
        <a:prstGeom prst="rect">
          <a:avLst/>
        </a:prstGeom>
      </xdr:spPr>
    </xdr:pic>
    <xdr:clientData/>
  </xdr:twoCellAnchor>
  <xdr:twoCellAnchor editAs="oneCell">
    <xdr:from>
      <xdr:col>0</xdr:col>
      <xdr:colOff>59531</xdr:colOff>
      <xdr:row>348</xdr:row>
      <xdr:rowOff>125979</xdr:rowOff>
    </xdr:from>
    <xdr:to>
      <xdr:col>2</xdr:col>
      <xdr:colOff>59390</xdr:colOff>
      <xdr:row>352</xdr:row>
      <xdr:rowOff>96111</xdr:rowOff>
    </xdr:to>
    <xdr:pic>
      <xdr:nvPicPr>
        <xdr:cNvPr id="12" name="Image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70306179"/>
          <a:ext cx="1971534" cy="732132"/>
        </a:xfrm>
        <a:prstGeom prst="rect">
          <a:avLst/>
        </a:prstGeom>
      </xdr:spPr>
    </xdr:pic>
    <xdr:clientData/>
  </xdr:twoCellAnchor>
  <xdr:oneCellAnchor>
    <xdr:from>
      <xdr:col>0</xdr:col>
      <xdr:colOff>128984</xdr:colOff>
      <xdr:row>475</xdr:row>
      <xdr:rowOff>145824</xdr:rowOff>
    </xdr:from>
    <xdr:ext cx="1978080" cy="720383"/>
    <xdr:pic>
      <xdr:nvPicPr>
        <xdr:cNvPr id="13" name="Image 12">
          <a:extLst>
            <a:ext uri="{FF2B5EF4-FFF2-40B4-BE49-F238E27FC236}">
              <a16:creationId xmlns:a16="http://schemas.microsoft.com/office/drawing/2014/main" id="{00000000-0008-0000-10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4" y="98062824"/>
          <a:ext cx="1978080" cy="720383"/>
        </a:xfrm>
        <a:prstGeom prst="rect">
          <a:avLst/>
        </a:prstGeom>
      </xdr:spPr>
    </xdr:pic>
    <xdr:clientData/>
  </xdr:oneCellAnchor>
  <xdr:oneCellAnchor>
    <xdr:from>
      <xdr:col>0</xdr:col>
      <xdr:colOff>89298</xdr:colOff>
      <xdr:row>506</xdr:row>
      <xdr:rowOff>86292</xdr:rowOff>
    </xdr:from>
    <xdr:ext cx="1978080" cy="720383"/>
    <xdr:pic>
      <xdr:nvPicPr>
        <xdr:cNvPr id="14" name="Image 13">
          <a:extLst>
            <a:ext uri="{FF2B5EF4-FFF2-40B4-BE49-F238E27FC236}">
              <a16:creationId xmlns:a16="http://schemas.microsoft.com/office/drawing/2014/main" id="{00000000-0008-0000-10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298" y="104623167"/>
          <a:ext cx="1978080" cy="720383"/>
        </a:xfrm>
        <a:prstGeom prst="rect">
          <a:avLst/>
        </a:prstGeom>
      </xdr:spPr>
    </xdr:pic>
    <xdr:clientData/>
  </xdr:oneCellAnchor>
  <xdr:oneCellAnchor>
    <xdr:from>
      <xdr:col>0</xdr:col>
      <xdr:colOff>59531</xdr:colOff>
      <xdr:row>551</xdr:row>
      <xdr:rowOff>76369</xdr:rowOff>
    </xdr:from>
    <xdr:ext cx="1978080" cy="720383"/>
    <xdr:pic>
      <xdr:nvPicPr>
        <xdr:cNvPr id="15" name="Image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113328619"/>
          <a:ext cx="1978080" cy="720383"/>
        </a:xfrm>
        <a:prstGeom prst="rect">
          <a:avLst/>
        </a:prstGeom>
      </xdr:spPr>
    </xdr:pic>
    <xdr:clientData/>
  </xdr:oneCellAnchor>
  <xdr:oneCellAnchor>
    <xdr:from>
      <xdr:col>0</xdr:col>
      <xdr:colOff>89297</xdr:colOff>
      <xdr:row>576</xdr:row>
      <xdr:rowOff>106135</xdr:rowOff>
    </xdr:from>
    <xdr:ext cx="1978080" cy="720383"/>
    <xdr:pic>
      <xdr:nvPicPr>
        <xdr:cNvPr id="16" name="Image 15">
          <a:extLst>
            <a:ext uri="{FF2B5EF4-FFF2-40B4-BE49-F238E27FC236}">
              <a16:creationId xmlns:a16="http://schemas.microsoft.com/office/drawing/2014/main" id="{00000000-0008-0000-10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297" y="119463910"/>
          <a:ext cx="1978080" cy="720383"/>
        </a:xfrm>
        <a:prstGeom prst="rect">
          <a:avLst/>
        </a:prstGeom>
      </xdr:spPr>
    </xdr:pic>
    <xdr:clientData/>
  </xdr:oneCellAnchor>
  <xdr:oneCellAnchor>
    <xdr:from>
      <xdr:col>0</xdr:col>
      <xdr:colOff>128985</xdr:colOff>
      <xdr:row>373</xdr:row>
      <xdr:rowOff>135902</xdr:rowOff>
    </xdr:from>
    <xdr:ext cx="1979714" cy="728320"/>
    <xdr:pic>
      <xdr:nvPicPr>
        <xdr:cNvPr id="17" name="Image 16">
          <a:extLst>
            <a:ext uri="{FF2B5EF4-FFF2-40B4-BE49-F238E27FC236}">
              <a16:creationId xmlns:a16="http://schemas.microsoft.com/office/drawing/2014/main" id="{00000000-0008-0000-10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5" y="76421627"/>
          <a:ext cx="1979714" cy="728320"/>
        </a:xfrm>
        <a:prstGeom prst="rect">
          <a:avLst/>
        </a:prstGeom>
      </xdr:spPr>
    </xdr:pic>
    <xdr:clientData/>
  </xdr:oneCellAnchor>
  <xdr:oneCellAnchor>
    <xdr:from>
      <xdr:col>0</xdr:col>
      <xdr:colOff>119063</xdr:colOff>
      <xdr:row>404</xdr:row>
      <xdr:rowOff>106136</xdr:rowOff>
    </xdr:from>
    <xdr:ext cx="1979714" cy="728321"/>
    <xdr:pic>
      <xdr:nvPicPr>
        <xdr:cNvPr id="18" name="Image 17">
          <a:extLst>
            <a:ext uri="{FF2B5EF4-FFF2-40B4-BE49-F238E27FC236}">
              <a16:creationId xmlns:a16="http://schemas.microsoft.com/office/drawing/2014/main" id="{00000000-0008-0000-10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9063" y="83011736"/>
          <a:ext cx="1979714" cy="728321"/>
        </a:xfrm>
        <a:prstGeom prst="rect">
          <a:avLst/>
        </a:prstGeom>
      </xdr:spPr>
    </xdr:pic>
    <xdr:clientData/>
  </xdr:oneCellAnchor>
  <xdr:oneCellAnchor>
    <xdr:from>
      <xdr:col>0</xdr:col>
      <xdr:colOff>59531</xdr:colOff>
      <xdr:row>450</xdr:row>
      <xdr:rowOff>125979</xdr:rowOff>
    </xdr:from>
    <xdr:ext cx="1979714" cy="728321"/>
    <xdr:pic>
      <xdr:nvPicPr>
        <xdr:cNvPr id="19" name="Image 18">
          <a:extLst>
            <a:ext uri="{FF2B5EF4-FFF2-40B4-BE49-F238E27FC236}">
              <a16:creationId xmlns:a16="http://schemas.microsoft.com/office/drawing/2014/main" id="{00000000-0008-0000-10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91937454"/>
          <a:ext cx="1979714" cy="728321"/>
        </a:xfrm>
        <a:prstGeom prst="rect">
          <a:avLst/>
        </a:prstGeom>
      </xdr:spPr>
    </xdr:pic>
    <xdr:clientData/>
  </xdr:oneCellAnchor>
  <xdr:twoCellAnchor>
    <xdr:from>
      <xdr:col>1</xdr:col>
      <xdr:colOff>0</xdr:colOff>
      <xdr:row>224</xdr:row>
      <xdr:rowOff>0</xdr:rowOff>
    </xdr:from>
    <xdr:to>
      <xdr:col>8</xdr:col>
      <xdr:colOff>0</xdr:colOff>
      <xdr:row>243</xdr:row>
      <xdr:rowOff>163809</xdr:rowOff>
    </xdr:to>
    <xdr:graphicFrame macro="">
      <xdr:nvGraphicFramePr>
        <xdr:cNvPr id="20" name="Graph80PV">
          <a:extLst>
            <a:ext uri="{FF2B5EF4-FFF2-40B4-BE49-F238E27FC236}">
              <a16:creationId xmlns:a16="http://schemas.microsoft.com/office/drawing/2014/main" id="{00000000-0008-0000-1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323</xdr:row>
      <xdr:rowOff>16300</xdr:rowOff>
    </xdr:from>
    <xdr:to>
      <xdr:col>8</xdr:col>
      <xdr:colOff>0</xdr:colOff>
      <xdr:row>346</xdr:row>
      <xdr:rowOff>0</xdr:rowOff>
    </xdr:to>
    <xdr:graphicFrame macro="">
      <xdr:nvGraphicFramePr>
        <xdr:cNvPr id="21" name="Graph200PV">
          <a:extLst>
            <a:ext uri="{FF2B5EF4-FFF2-40B4-BE49-F238E27FC236}">
              <a16:creationId xmlns:a16="http://schemas.microsoft.com/office/drawing/2014/main" id="{00000000-0008-0000-1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425</xdr:row>
      <xdr:rowOff>0</xdr:rowOff>
    </xdr:from>
    <xdr:to>
      <xdr:col>8</xdr:col>
      <xdr:colOff>0</xdr:colOff>
      <xdr:row>449</xdr:row>
      <xdr:rowOff>0</xdr:rowOff>
    </xdr:to>
    <xdr:graphicFrame macro="">
      <xdr:nvGraphicFramePr>
        <xdr:cNvPr id="22" name="Graph385PV">
          <a:extLst>
            <a:ext uri="{FF2B5EF4-FFF2-40B4-BE49-F238E27FC236}">
              <a16:creationId xmlns:a16="http://schemas.microsoft.com/office/drawing/2014/main" id="{00000000-0008-0000-10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527</xdr:row>
      <xdr:rowOff>16299</xdr:rowOff>
    </xdr:from>
    <xdr:to>
      <xdr:col>8</xdr:col>
      <xdr:colOff>0</xdr:colOff>
      <xdr:row>549</xdr:row>
      <xdr:rowOff>180108</xdr:rowOff>
    </xdr:to>
    <xdr:graphicFrame macro="">
      <xdr:nvGraphicFramePr>
        <xdr:cNvPr id="23" name="Graph535PV">
          <a:extLst>
            <a:ext uri="{FF2B5EF4-FFF2-40B4-BE49-F238E27FC236}">
              <a16:creationId xmlns:a16="http://schemas.microsoft.com/office/drawing/2014/main" id="{00000000-0008-0000-10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1051025</xdr:colOff>
      <xdr:row>136</xdr:row>
      <xdr:rowOff>132530</xdr:rowOff>
    </xdr:from>
    <xdr:to>
      <xdr:col>8</xdr:col>
      <xdr:colOff>2952</xdr:colOff>
      <xdr:row>170</xdr:row>
      <xdr:rowOff>21398</xdr:rowOff>
    </xdr:to>
    <xdr:grpSp>
      <xdr:nvGrpSpPr>
        <xdr:cNvPr id="24" name="Groupe 23">
          <a:extLst>
            <a:ext uri="{FF2B5EF4-FFF2-40B4-BE49-F238E27FC236}">
              <a16:creationId xmlns:a16="http://schemas.microsoft.com/office/drawing/2014/main" id="{00000000-0008-0000-1000-000018000000}"/>
            </a:ext>
          </a:extLst>
        </xdr:cNvPr>
        <xdr:cNvGrpSpPr/>
      </xdr:nvGrpSpPr>
      <xdr:grpSpPr>
        <a:xfrm>
          <a:off x="6453061" y="26924994"/>
          <a:ext cx="6163712" cy="6420297"/>
          <a:chOff x="6629953" y="25878608"/>
          <a:chExt cx="6343225" cy="5967449"/>
        </a:xfrm>
      </xdr:grpSpPr>
      <xdr:grpSp>
        <xdr:nvGrpSpPr>
          <xdr:cNvPr id="25" name="Groupe 24">
            <a:extLst>
              <a:ext uri="{FF2B5EF4-FFF2-40B4-BE49-F238E27FC236}">
                <a16:creationId xmlns:a16="http://schemas.microsoft.com/office/drawing/2014/main" id="{00000000-0008-0000-1000-000019000000}"/>
              </a:ext>
            </a:extLst>
          </xdr:cNvPr>
          <xdr:cNvGrpSpPr/>
        </xdr:nvGrpSpPr>
        <xdr:grpSpPr>
          <a:xfrm>
            <a:off x="6629953" y="26474601"/>
            <a:ext cx="6343225" cy="5371456"/>
            <a:chOff x="5863825" y="27738378"/>
            <a:chExt cx="5466578" cy="5629477"/>
          </a:xfrm>
        </xdr:grpSpPr>
        <xdr:grpSp>
          <xdr:nvGrpSpPr>
            <xdr:cNvPr id="44" name="Groupe 43">
              <a:extLst>
                <a:ext uri="{FF2B5EF4-FFF2-40B4-BE49-F238E27FC236}">
                  <a16:creationId xmlns:a16="http://schemas.microsoft.com/office/drawing/2014/main" id="{00000000-0008-0000-1000-00002C000000}"/>
                </a:ext>
              </a:extLst>
            </xdr:cNvPr>
            <xdr:cNvGrpSpPr/>
          </xdr:nvGrpSpPr>
          <xdr:grpSpPr>
            <a:xfrm>
              <a:off x="5863825" y="27738378"/>
              <a:ext cx="5466578" cy="5629477"/>
              <a:chOff x="5758349" y="726873"/>
              <a:chExt cx="5119870" cy="5629477"/>
            </a:xfrm>
          </xdr:grpSpPr>
          <xdr:sp macro="" textlink="">
            <xdr:nvSpPr>
              <xdr:cNvPr id="49" name="Organigramme : Terminateur 48">
                <a:extLst>
                  <a:ext uri="{FF2B5EF4-FFF2-40B4-BE49-F238E27FC236}">
                    <a16:creationId xmlns:a16="http://schemas.microsoft.com/office/drawing/2014/main" id="{00000000-0008-0000-1000-000031000000}"/>
                  </a:ext>
                </a:extLst>
              </xdr:cNvPr>
              <xdr:cNvSpPr/>
            </xdr:nvSpPr>
            <xdr:spPr>
              <a:xfrm>
                <a:off x="6800336" y="6087016"/>
                <a:ext cx="1778459" cy="269334"/>
              </a:xfrm>
              <a:prstGeom prst="flowChartTerminator">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chemeClr val="tx1"/>
                    </a:solidFill>
                  </a:rPr>
                  <a:t>Face avant du four – coté armoire</a:t>
                </a:r>
                <a:endParaRPr lang="en-US" sz="800">
                  <a:solidFill>
                    <a:schemeClr val="tx1"/>
                  </a:solidFill>
                </a:endParaRPr>
              </a:p>
            </xdr:txBody>
          </xdr:sp>
          <xdr:grpSp>
            <xdr:nvGrpSpPr>
              <xdr:cNvPr id="50" name="Groupe 49">
                <a:extLst>
                  <a:ext uri="{FF2B5EF4-FFF2-40B4-BE49-F238E27FC236}">
                    <a16:creationId xmlns:a16="http://schemas.microsoft.com/office/drawing/2014/main" id="{00000000-0008-0000-1000-000032000000}"/>
                  </a:ext>
                </a:extLst>
              </xdr:cNvPr>
              <xdr:cNvGrpSpPr/>
            </xdr:nvGrpSpPr>
            <xdr:grpSpPr>
              <a:xfrm>
                <a:off x="5758349" y="726873"/>
                <a:ext cx="5119870" cy="5157554"/>
                <a:chOff x="3227421" y="768600"/>
                <a:chExt cx="4505832" cy="4177263"/>
              </a:xfrm>
            </xdr:grpSpPr>
            <xdr:grpSp>
              <xdr:nvGrpSpPr>
                <xdr:cNvPr id="51" name="Groupe 50">
                  <a:extLst>
                    <a:ext uri="{FF2B5EF4-FFF2-40B4-BE49-F238E27FC236}">
                      <a16:creationId xmlns:a16="http://schemas.microsoft.com/office/drawing/2014/main" id="{00000000-0008-0000-1000-000033000000}"/>
                    </a:ext>
                  </a:extLst>
                </xdr:cNvPr>
                <xdr:cNvGrpSpPr/>
              </xdr:nvGrpSpPr>
              <xdr:grpSpPr>
                <a:xfrm>
                  <a:off x="6799495" y="3014607"/>
                  <a:ext cx="933758" cy="249971"/>
                  <a:chOff x="10565859" y="2920942"/>
                  <a:chExt cx="1160145" cy="262896"/>
                </a:xfrm>
              </xdr:grpSpPr>
              <xdr:sp macro="" textlink="">
                <xdr:nvSpPr>
                  <xdr:cNvPr id="86" name="Flèche : pentagone 57">
                    <a:extLst>
                      <a:ext uri="{FF2B5EF4-FFF2-40B4-BE49-F238E27FC236}">
                        <a16:creationId xmlns:a16="http://schemas.microsoft.com/office/drawing/2014/main" id="{00000000-0008-0000-1000-000056000000}"/>
                      </a:ext>
                    </a:extLst>
                  </xdr:cNvPr>
                  <xdr:cNvSpPr/>
                </xdr:nvSpPr>
                <xdr:spPr>
                  <a:xfrm rot="10800000">
                    <a:off x="10565859" y="2920942"/>
                    <a:ext cx="1160145" cy="262896"/>
                  </a:xfrm>
                  <a:prstGeom prst="homePlat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87" name="Zone de texte 2">
                    <a:extLst>
                      <a:ext uri="{FF2B5EF4-FFF2-40B4-BE49-F238E27FC236}">
                        <a16:creationId xmlns:a16="http://schemas.microsoft.com/office/drawing/2014/main" id="{00000000-0008-0000-1000-000057000000}"/>
                      </a:ext>
                    </a:extLst>
                  </xdr:cNvPr>
                  <xdr:cNvSpPr txBox="1"/>
                </xdr:nvSpPr>
                <xdr:spPr>
                  <a:xfrm>
                    <a:off x="10797206" y="2949249"/>
                    <a:ext cx="760894" cy="201144"/>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formage</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52" name="Groupe 51">
                  <a:extLst>
                    <a:ext uri="{FF2B5EF4-FFF2-40B4-BE49-F238E27FC236}">
                      <a16:creationId xmlns:a16="http://schemas.microsoft.com/office/drawing/2014/main" id="{00000000-0008-0000-1000-000034000000}"/>
                    </a:ext>
                  </a:extLst>
                </xdr:cNvPr>
                <xdr:cNvGrpSpPr/>
              </xdr:nvGrpSpPr>
              <xdr:grpSpPr>
                <a:xfrm rot="10800000">
                  <a:off x="3227421" y="2970313"/>
                  <a:ext cx="806496" cy="262645"/>
                  <a:chOff x="0" y="0"/>
                  <a:chExt cx="1160289" cy="276625"/>
                </a:xfrm>
              </xdr:grpSpPr>
              <xdr:sp macro="" textlink="">
                <xdr:nvSpPr>
                  <xdr:cNvPr id="84" name="Flèche : pentagone 55">
                    <a:extLst>
                      <a:ext uri="{FF2B5EF4-FFF2-40B4-BE49-F238E27FC236}">
                        <a16:creationId xmlns:a16="http://schemas.microsoft.com/office/drawing/2014/main" id="{00000000-0008-0000-1000-000054000000}"/>
                      </a:ext>
                    </a:extLst>
                  </xdr:cNvPr>
                  <xdr:cNvSpPr/>
                </xdr:nvSpPr>
                <xdr:spPr>
                  <a:xfrm rot="10800000">
                    <a:off x="0" y="0"/>
                    <a:ext cx="1160289" cy="276625"/>
                  </a:xfrm>
                  <a:prstGeom prst="homePlate">
                    <a:avLst/>
                  </a:prstGeom>
                  <a:solidFill>
                    <a:srgbClr val="FFFF00"/>
                  </a:solidFill>
                  <a:ln w="12700" cap="flat" cmpd="sng" algn="ctr">
                    <a:solidFill>
                      <a:srgbClr val="4472C4">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85" name="Zone de texte 7">
                    <a:extLst>
                      <a:ext uri="{FF2B5EF4-FFF2-40B4-BE49-F238E27FC236}">
                        <a16:creationId xmlns:a16="http://schemas.microsoft.com/office/drawing/2014/main" id="{00000000-0008-0000-1000-000055000000}"/>
                      </a:ext>
                    </a:extLst>
                  </xdr:cNvPr>
                  <xdr:cNvSpPr txBox="1"/>
                </xdr:nvSpPr>
                <xdr:spPr>
                  <a:xfrm rot="10800000">
                    <a:off x="49647" y="12904"/>
                    <a:ext cx="929483" cy="206749"/>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couloir</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53" name="Groupe 52">
                  <a:extLst>
                    <a:ext uri="{FF2B5EF4-FFF2-40B4-BE49-F238E27FC236}">
                      <a16:creationId xmlns:a16="http://schemas.microsoft.com/office/drawing/2014/main" id="{00000000-0008-0000-1000-000035000000}"/>
                    </a:ext>
                  </a:extLst>
                </xdr:cNvPr>
                <xdr:cNvGrpSpPr/>
              </xdr:nvGrpSpPr>
              <xdr:grpSpPr>
                <a:xfrm>
                  <a:off x="4101596" y="768600"/>
                  <a:ext cx="2646900" cy="4177263"/>
                  <a:chOff x="4080934" y="768007"/>
                  <a:chExt cx="2646900" cy="4177263"/>
                </a:xfrm>
              </xdr:grpSpPr>
              <xdr:grpSp>
                <xdr:nvGrpSpPr>
                  <xdr:cNvPr id="54" name="Groupe 53">
                    <a:extLst>
                      <a:ext uri="{FF2B5EF4-FFF2-40B4-BE49-F238E27FC236}">
                        <a16:creationId xmlns:a16="http://schemas.microsoft.com/office/drawing/2014/main" id="{00000000-0008-0000-1000-000036000000}"/>
                      </a:ext>
                    </a:extLst>
                  </xdr:cNvPr>
                  <xdr:cNvGrpSpPr/>
                </xdr:nvGrpSpPr>
                <xdr:grpSpPr>
                  <a:xfrm>
                    <a:off x="4080934" y="1428305"/>
                    <a:ext cx="2646900" cy="3516965"/>
                    <a:chOff x="7035923" y="2618913"/>
                    <a:chExt cx="2768724" cy="3320248"/>
                  </a:xfrm>
                </xdr:grpSpPr>
                <xdr:sp macro="" textlink="">
                  <xdr:nvSpPr>
                    <xdr:cNvPr id="67" name="Rectangle 66">
                      <a:extLst>
                        <a:ext uri="{FF2B5EF4-FFF2-40B4-BE49-F238E27FC236}">
                          <a16:creationId xmlns:a16="http://schemas.microsoft.com/office/drawing/2014/main" id="{00000000-0008-0000-1000-000043000000}"/>
                        </a:ext>
                      </a:extLst>
                    </xdr:cNvPr>
                    <xdr:cNvSpPr/>
                  </xdr:nvSpPr>
                  <xdr:spPr>
                    <a:xfrm>
                      <a:off x="7039992" y="3266983"/>
                      <a:ext cx="1651247" cy="26721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 name="Connecteur droit 67">
                      <a:extLst>
                        <a:ext uri="{FF2B5EF4-FFF2-40B4-BE49-F238E27FC236}">
                          <a16:creationId xmlns:a16="http://schemas.microsoft.com/office/drawing/2014/main" id="{00000000-0008-0000-1000-000044000000}"/>
                        </a:ext>
                      </a:extLst>
                    </xdr:cNvPr>
                    <xdr:cNvCxnSpPr/>
                  </xdr:nvCxnSpPr>
                  <xdr:spPr>
                    <a:xfrm flipV="1">
                      <a:off x="7039992" y="261891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9" name="Connecteur droit 68">
                      <a:extLst>
                        <a:ext uri="{FF2B5EF4-FFF2-40B4-BE49-F238E27FC236}">
                          <a16:creationId xmlns:a16="http://schemas.microsoft.com/office/drawing/2014/main" id="{00000000-0008-0000-1000-000045000000}"/>
                        </a:ext>
                      </a:extLst>
                    </xdr:cNvPr>
                    <xdr:cNvCxnSpPr/>
                  </xdr:nvCxnSpPr>
                  <xdr:spPr>
                    <a:xfrm flipV="1">
                      <a:off x="7052569" y="3617149"/>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0" name="Connecteur droit 69">
                      <a:extLst>
                        <a:ext uri="{FF2B5EF4-FFF2-40B4-BE49-F238E27FC236}">
                          <a16:creationId xmlns:a16="http://schemas.microsoft.com/office/drawing/2014/main" id="{00000000-0008-0000-1000-000046000000}"/>
                        </a:ext>
                      </a:extLst>
                    </xdr:cNvPr>
                    <xdr:cNvCxnSpPr/>
                  </xdr:nvCxnSpPr>
                  <xdr:spPr>
                    <a:xfrm flipV="1">
                      <a:off x="8689020" y="439007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1" name="Connecteur droit 70">
                      <a:extLst>
                        <a:ext uri="{FF2B5EF4-FFF2-40B4-BE49-F238E27FC236}">
                          <a16:creationId xmlns:a16="http://schemas.microsoft.com/office/drawing/2014/main" id="{00000000-0008-0000-1000-000047000000}"/>
                        </a:ext>
                      </a:extLst>
                    </xdr:cNvPr>
                    <xdr:cNvCxnSpPr/>
                  </xdr:nvCxnSpPr>
                  <xdr:spPr>
                    <a:xfrm flipV="1">
                      <a:off x="8689020" y="362881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2" name="Connecteur droit 71">
                      <a:extLst>
                        <a:ext uri="{FF2B5EF4-FFF2-40B4-BE49-F238E27FC236}">
                          <a16:creationId xmlns:a16="http://schemas.microsoft.com/office/drawing/2014/main" id="{00000000-0008-0000-1000-000048000000}"/>
                        </a:ext>
                      </a:extLst>
                    </xdr:cNvPr>
                    <xdr:cNvCxnSpPr/>
                  </xdr:nvCxnSpPr>
                  <xdr:spPr>
                    <a:xfrm flipV="1">
                      <a:off x="8689020" y="262807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3" name="Connecteur droit 72">
                      <a:extLst>
                        <a:ext uri="{FF2B5EF4-FFF2-40B4-BE49-F238E27FC236}">
                          <a16:creationId xmlns:a16="http://schemas.microsoft.com/office/drawing/2014/main" id="{00000000-0008-0000-1000-000049000000}"/>
                        </a:ext>
                      </a:extLst>
                    </xdr:cNvPr>
                    <xdr:cNvCxnSpPr/>
                  </xdr:nvCxnSpPr>
                  <xdr:spPr>
                    <a:xfrm flipV="1">
                      <a:off x="8691239" y="529109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4" name="Connecteur droit 73">
                      <a:extLst>
                        <a:ext uri="{FF2B5EF4-FFF2-40B4-BE49-F238E27FC236}">
                          <a16:creationId xmlns:a16="http://schemas.microsoft.com/office/drawing/2014/main" id="{00000000-0008-0000-1000-00004A000000}"/>
                        </a:ext>
                      </a:extLst>
                    </xdr:cNvPr>
                    <xdr:cNvCxnSpPr/>
                  </xdr:nvCxnSpPr>
                  <xdr:spPr>
                    <a:xfrm flipV="1">
                      <a:off x="7035923" y="4396322"/>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5" name="Connecteur droit 74">
                      <a:extLst>
                        <a:ext uri="{FF2B5EF4-FFF2-40B4-BE49-F238E27FC236}">
                          <a16:creationId xmlns:a16="http://schemas.microsoft.com/office/drawing/2014/main" id="{00000000-0008-0000-1000-00004B000000}"/>
                        </a:ext>
                      </a:extLst>
                    </xdr:cNvPr>
                    <xdr:cNvCxnSpPr/>
                  </xdr:nvCxnSpPr>
                  <xdr:spPr>
                    <a:xfrm>
                      <a:off x="7052569" y="50443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6" name="Connecteur droit 75">
                      <a:extLst>
                        <a:ext uri="{FF2B5EF4-FFF2-40B4-BE49-F238E27FC236}">
                          <a16:creationId xmlns:a16="http://schemas.microsoft.com/office/drawing/2014/main" id="{00000000-0008-0000-1000-00004C000000}"/>
                        </a:ext>
                      </a:extLst>
                    </xdr:cNvPr>
                    <xdr:cNvCxnSpPr/>
                  </xdr:nvCxnSpPr>
                  <xdr:spPr>
                    <a:xfrm>
                      <a:off x="7067365" y="4265219"/>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7" name="Connecteur droit 76">
                      <a:extLst>
                        <a:ext uri="{FF2B5EF4-FFF2-40B4-BE49-F238E27FC236}">
                          <a16:creationId xmlns:a16="http://schemas.microsoft.com/office/drawing/2014/main" id="{00000000-0008-0000-1000-00004D000000}"/>
                        </a:ext>
                      </a:extLst>
                    </xdr:cNvPr>
                    <xdr:cNvCxnSpPr/>
                  </xdr:nvCxnSpPr>
                  <xdr:spPr>
                    <a:xfrm>
                      <a:off x="8165977" y="439632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8" name="Connecteur droit 77">
                      <a:extLst>
                        <a:ext uri="{FF2B5EF4-FFF2-40B4-BE49-F238E27FC236}">
                          <a16:creationId xmlns:a16="http://schemas.microsoft.com/office/drawing/2014/main" id="{00000000-0008-0000-1000-00004E000000}"/>
                        </a:ext>
                      </a:extLst>
                    </xdr:cNvPr>
                    <xdr:cNvCxnSpPr/>
                  </xdr:nvCxnSpPr>
                  <xdr:spPr>
                    <a:xfrm>
                      <a:off x="8134535" y="36345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9" name="Connecteur droit 78">
                      <a:extLst>
                        <a:ext uri="{FF2B5EF4-FFF2-40B4-BE49-F238E27FC236}">
                          <a16:creationId xmlns:a16="http://schemas.microsoft.com/office/drawing/2014/main" id="{00000000-0008-0000-1000-00004F000000}"/>
                        </a:ext>
                      </a:extLst>
                    </xdr:cNvPr>
                    <xdr:cNvCxnSpPr>
                      <a:cxnSpLocks/>
                    </xdr:cNvCxnSpPr>
                  </xdr:nvCxnSpPr>
                  <xdr:spPr>
                    <a:xfrm>
                      <a:off x="8165977" y="2618913"/>
                      <a:ext cx="1636451" cy="91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0" name="Connecteur droit 79">
                      <a:extLst>
                        <a:ext uri="{FF2B5EF4-FFF2-40B4-BE49-F238E27FC236}">
                          <a16:creationId xmlns:a16="http://schemas.microsoft.com/office/drawing/2014/main" id="{00000000-0008-0000-1000-000050000000}"/>
                        </a:ext>
                      </a:extLst>
                    </xdr:cNvPr>
                    <xdr:cNvCxnSpPr/>
                  </xdr:nvCxnSpPr>
                  <xdr:spPr>
                    <a:xfrm>
                      <a:off x="9802428" y="2618913"/>
                      <a:ext cx="0" cy="267217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1" name="Connecteur droit 80">
                      <a:extLst>
                        <a:ext uri="{FF2B5EF4-FFF2-40B4-BE49-F238E27FC236}">
                          <a16:creationId xmlns:a16="http://schemas.microsoft.com/office/drawing/2014/main" id="{00000000-0008-0000-1000-000051000000}"/>
                        </a:ext>
                      </a:extLst>
                    </xdr:cNvPr>
                    <xdr:cNvCxnSpPr/>
                  </xdr:nvCxnSpPr>
                  <xdr:spPr>
                    <a:xfrm flipV="1">
                      <a:off x="7052569" y="528371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2" name="Connecteur droit 81">
                      <a:extLst>
                        <a:ext uri="{FF2B5EF4-FFF2-40B4-BE49-F238E27FC236}">
                          <a16:creationId xmlns:a16="http://schemas.microsoft.com/office/drawing/2014/main" id="{00000000-0008-0000-1000-000052000000}"/>
                        </a:ext>
                      </a:extLst>
                    </xdr:cNvPr>
                    <xdr:cNvCxnSpPr/>
                  </xdr:nvCxnSpPr>
                  <xdr:spPr>
                    <a:xfrm>
                      <a:off x="8165977" y="5283711"/>
                      <a:ext cx="1634233"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3" name="Connecteur droit 82">
                      <a:extLst>
                        <a:ext uri="{FF2B5EF4-FFF2-40B4-BE49-F238E27FC236}">
                          <a16:creationId xmlns:a16="http://schemas.microsoft.com/office/drawing/2014/main" id="{00000000-0008-0000-1000-000053000000}"/>
                        </a:ext>
                      </a:extLst>
                    </xdr:cNvPr>
                    <xdr:cNvCxnSpPr/>
                  </xdr:nvCxnSpPr>
                  <xdr:spPr>
                    <a:xfrm>
                      <a:off x="8165977" y="2628073"/>
                      <a:ext cx="0" cy="2655638"/>
                    </a:xfrm>
                    <a:prstGeom prst="line">
                      <a:avLst/>
                    </a:prstGeom>
                  </xdr:spPr>
                  <xdr:style>
                    <a:lnRef idx="1">
                      <a:schemeClr val="accent1"/>
                    </a:lnRef>
                    <a:fillRef idx="0">
                      <a:schemeClr val="accent1"/>
                    </a:fillRef>
                    <a:effectRef idx="0">
                      <a:schemeClr val="accent1"/>
                    </a:effectRef>
                    <a:fontRef idx="minor">
                      <a:schemeClr val="tx1"/>
                    </a:fontRef>
                  </xdr:style>
                </xdr:cxnSp>
              </xdr:grpSp>
              <xdr:grpSp>
                <xdr:nvGrpSpPr>
                  <xdr:cNvPr id="55" name="Groupe 54">
                    <a:extLst>
                      <a:ext uri="{FF2B5EF4-FFF2-40B4-BE49-F238E27FC236}">
                        <a16:creationId xmlns:a16="http://schemas.microsoft.com/office/drawing/2014/main" id="{00000000-0008-0000-1000-000037000000}"/>
                      </a:ext>
                    </a:extLst>
                  </xdr:cNvPr>
                  <xdr:cNvGrpSpPr/>
                </xdr:nvGrpSpPr>
                <xdr:grpSpPr>
                  <a:xfrm>
                    <a:off x="4090064" y="1404736"/>
                    <a:ext cx="799986" cy="719739"/>
                    <a:chOff x="4090064" y="1404736"/>
                    <a:chExt cx="799986" cy="719739"/>
                  </a:xfrm>
                </xdr:grpSpPr>
                <xdr:cxnSp macro="">
                  <xdr:nvCxnSpPr>
                    <xdr:cNvPr id="64" name="Connecteur droit avec flèche 63">
                      <a:extLst>
                        <a:ext uri="{FF2B5EF4-FFF2-40B4-BE49-F238E27FC236}">
                          <a16:creationId xmlns:a16="http://schemas.microsoft.com/office/drawing/2014/main" id="{00000000-0008-0000-1000-0000400000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5" name="Connecteur droit 64">
                      <a:extLst>
                        <a:ext uri="{FF2B5EF4-FFF2-40B4-BE49-F238E27FC236}">
                          <a16:creationId xmlns:a16="http://schemas.microsoft.com/office/drawing/2014/main" id="{00000000-0008-0000-1000-000041000000}"/>
                        </a:ext>
                      </a:extLst>
                    </xdr:cNvPr>
                    <xdr:cNvCxnSpPr>
                      <a:cxnSpLocks/>
                    </xdr:cNvCxnSpPr>
                  </xdr:nvCxnSpPr>
                  <xdr:spPr>
                    <a:xfrm flipV="1">
                      <a:off x="4090064" y="1404736"/>
                      <a:ext cx="1624" cy="710036"/>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6" name="ZoneTexte 37">
                      <a:extLst>
                        <a:ext uri="{FF2B5EF4-FFF2-40B4-BE49-F238E27FC236}">
                          <a16:creationId xmlns:a16="http://schemas.microsoft.com/office/drawing/2014/main" id="{00000000-0008-0000-1000-0000420000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56" name="Groupe 55">
                    <a:extLst>
                      <a:ext uri="{FF2B5EF4-FFF2-40B4-BE49-F238E27FC236}">
                        <a16:creationId xmlns:a16="http://schemas.microsoft.com/office/drawing/2014/main" id="{00000000-0008-0000-1000-000038000000}"/>
                      </a:ext>
                    </a:extLst>
                  </xdr:cNvPr>
                  <xdr:cNvGrpSpPr/>
                </xdr:nvGrpSpPr>
                <xdr:grpSpPr>
                  <a:xfrm>
                    <a:off x="5664390" y="1530820"/>
                    <a:ext cx="793202" cy="594311"/>
                    <a:chOff x="4096848" y="1530164"/>
                    <a:chExt cx="793202" cy="594311"/>
                  </a:xfrm>
                </xdr:grpSpPr>
                <xdr:cxnSp macro="">
                  <xdr:nvCxnSpPr>
                    <xdr:cNvPr id="61" name="Connecteur droit avec flèche 60">
                      <a:extLst>
                        <a:ext uri="{FF2B5EF4-FFF2-40B4-BE49-F238E27FC236}">
                          <a16:creationId xmlns:a16="http://schemas.microsoft.com/office/drawing/2014/main" id="{00000000-0008-0000-1000-00003D0000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Connecteur droit 61">
                      <a:extLst>
                        <a:ext uri="{FF2B5EF4-FFF2-40B4-BE49-F238E27FC236}">
                          <a16:creationId xmlns:a16="http://schemas.microsoft.com/office/drawing/2014/main" id="{00000000-0008-0000-1000-00003E000000}"/>
                        </a:ext>
                      </a:extLst>
                    </xdr:cNvPr>
                    <xdr:cNvCxnSpPr>
                      <a:cxnSpLocks/>
                    </xdr:cNvCxnSpPr>
                  </xdr:nvCxnSpPr>
                  <xdr:spPr>
                    <a:xfrm flipV="1">
                      <a:off x="4096848" y="1561475"/>
                      <a:ext cx="0" cy="55329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ZoneTexte 33">
                      <a:extLst>
                        <a:ext uri="{FF2B5EF4-FFF2-40B4-BE49-F238E27FC236}">
                          <a16:creationId xmlns:a16="http://schemas.microsoft.com/office/drawing/2014/main" id="{00000000-0008-0000-1000-00003F0000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57" name="Groupe 56">
                    <a:extLst>
                      <a:ext uri="{FF2B5EF4-FFF2-40B4-BE49-F238E27FC236}">
                        <a16:creationId xmlns:a16="http://schemas.microsoft.com/office/drawing/2014/main" id="{00000000-0008-0000-1000-000039000000}"/>
                      </a:ext>
                    </a:extLst>
                  </xdr:cNvPr>
                  <xdr:cNvGrpSpPr/>
                </xdr:nvGrpSpPr>
                <xdr:grpSpPr>
                  <a:xfrm>
                    <a:off x="5158826" y="768007"/>
                    <a:ext cx="654031" cy="671323"/>
                    <a:chOff x="4096833" y="1444280"/>
                    <a:chExt cx="654031" cy="671323"/>
                  </a:xfrm>
                </xdr:grpSpPr>
                <xdr:cxnSp macro="">
                  <xdr:nvCxnSpPr>
                    <xdr:cNvPr id="58" name="Connecteur droit avec flèche 57">
                      <a:extLst>
                        <a:ext uri="{FF2B5EF4-FFF2-40B4-BE49-F238E27FC236}">
                          <a16:creationId xmlns:a16="http://schemas.microsoft.com/office/drawing/2014/main" id="{00000000-0008-0000-1000-00003A000000}"/>
                        </a:ext>
                      </a:extLst>
                    </xdr:cNvPr>
                    <xdr:cNvCxnSpPr>
                      <a:cxnSpLocks/>
                    </xdr:cNvCxnSpPr>
                  </xdr:nvCxnSpPr>
                  <xdr:spPr>
                    <a:xfrm>
                      <a:off x="4167083" y="1521292"/>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9" name="Connecteur droit 58">
                      <a:extLst>
                        <a:ext uri="{FF2B5EF4-FFF2-40B4-BE49-F238E27FC236}">
                          <a16:creationId xmlns:a16="http://schemas.microsoft.com/office/drawing/2014/main" id="{00000000-0008-0000-1000-00003B000000}"/>
                        </a:ext>
                      </a:extLst>
                    </xdr:cNvPr>
                    <xdr:cNvCxnSpPr>
                      <a:cxnSpLocks/>
                    </xdr:cNvCxnSpPr>
                  </xdr:nvCxnSpPr>
                  <xdr:spPr>
                    <a:xfrm flipH="1" flipV="1">
                      <a:off x="4096833" y="1444280"/>
                      <a:ext cx="115" cy="665571"/>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0" name="ZoneTexte 29">
                      <a:extLst>
                        <a:ext uri="{FF2B5EF4-FFF2-40B4-BE49-F238E27FC236}">
                          <a16:creationId xmlns:a16="http://schemas.microsoft.com/office/drawing/2014/main" id="{00000000-0008-0000-1000-00003C000000}"/>
                        </a:ext>
                      </a:extLst>
                    </xdr:cNvPr>
                    <xdr:cNvSpPr txBox="1"/>
                  </xdr:nvSpPr>
                  <xdr:spPr>
                    <a:xfrm>
                      <a:off x="4112911" y="1671498"/>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grpSp>
        </xdr:grpSp>
        <xdr:grpSp>
          <xdr:nvGrpSpPr>
            <xdr:cNvPr id="45" name="Groupe 44">
              <a:extLst>
                <a:ext uri="{FF2B5EF4-FFF2-40B4-BE49-F238E27FC236}">
                  <a16:creationId xmlns:a16="http://schemas.microsoft.com/office/drawing/2014/main" id="{00000000-0008-0000-1000-00002D000000}"/>
                </a:ext>
              </a:extLst>
            </xdr:cNvPr>
            <xdr:cNvGrpSpPr/>
          </xdr:nvGrpSpPr>
          <xdr:grpSpPr>
            <a:xfrm>
              <a:off x="10123465" y="27860101"/>
              <a:ext cx="1028795" cy="733781"/>
              <a:chOff x="10123465" y="27860101"/>
              <a:chExt cx="1028795" cy="733781"/>
            </a:xfrm>
          </xdr:grpSpPr>
          <xdr:cxnSp macro="">
            <xdr:nvCxnSpPr>
              <xdr:cNvPr id="46" name="Connecteur droit 45">
                <a:extLst>
                  <a:ext uri="{FF2B5EF4-FFF2-40B4-BE49-F238E27FC236}">
                    <a16:creationId xmlns:a16="http://schemas.microsoft.com/office/drawing/2014/main" id="{00000000-0008-0000-1000-00002E000000}"/>
                  </a:ext>
                </a:extLst>
              </xdr:cNvPr>
              <xdr:cNvCxnSpPr>
                <a:cxnSpLocks/>
              </xdr:cNvCxnSpPr>
            </xdr:nvCxnSpPr>
            <xdr:spPr>
              <a:xfrm flipV="1">
                <a:off x="10123465" y="27926972"/>
                <a:ext cx="432" cy="64306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47" name="Connecteur droit avec flèche 46">
                <a:extLst>
                  <a:ext uri="{FF2B5EF4-FFF2-40B4-BE49-F238E27FC236}">
                    <a16:creationId xmlns:a16="http://schemas.microsoft.com/office/drawing/2014/main" id="{00000000-0008-0000-1000-00002F000000}"/>
                  </a:ext>
                </a:extLst>
              </xdr:cNvPr>
              <xdr:cNvCxnSpPr>
                <a:cxnSpLocks/>
              </xdr:cNvCxnSpPr>
            </xdr:nvCxnSpPr>
            <xdr:spPr>
              <a:xfrm>
                <a:off x="10390280" y="27860101"/>
                <a:ext cx="0" cy="73378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 name="ZoneTexte 29">
                <a:extLst>
                  <a:ext uri="{FF2B5EF4-FFF2-40B4-BE49-F238E27FC236}">
                    <a16:creationId xmlns:a16="http://schemas.microsoft.com/office/drawing/2014/main" id="{00000000-0008-0000-1000-000030000000}"/>
                  </a:ext>
                </a:extLst>
              </xdr:cNvPr>
              <xdr:cNvSpPr txBox="1"/>
            </xdr:nvSpPr>
            <xdr:spPr>
              <a:xfrm>
                <a:off x="10378281" y="28078906"/>
                <a:ext cx="773979" cy="261610"/>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sp macro="" textlink="$D$147">
        <xdr:nvSpPr>
          <xdr:cNvPr id="26" name="Dodécagone 25">
            <a:extLst>
              <a:ext uri="{FF2B5EF4-FFF2-40B4-BE49-F238E27FC236}">
                <a16:creationId xmlns:a16="http://schemas.microsoft.com/office/drawing/2014/main" id="{00000000-0008-0000-1000-00001A000000}"/>
              </a:ext>
            </a:extLst>
          </xdr:cNvPr>
          <xdr:cNvSpPr/>
        </xdr:nvSpPr>
        <xdr:spPr>
          <a:xfrm>
            <a:off x="7703822" y="27046644"/>
            <a:ext cx="359772" cy="34997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20147DF-82C0-4BA5-8694-4FA3A98AB41E}" type="TxLink">
              <a:rPr lang="en-US" sz="1100" b="0" i="0" u="none" strike="noStrike">
                <a:solidFill>
                  <a:srgbClr val="000000"/>
                </a:solidFill>
                <a:latin typeface="Calibri"/>
                <a:cs typeface="Calibri"/>
              </a:rPr>
              <a:pPr algn="l"/>
              <a:t>0</a:t>
            </a:fld>
            <a:endParaRPr lang="fr-FR" sz="1100"/>
          </a:p>
        </xdr:txBody>
      </xdr:sp>
      <xdr:sp macro="" textlink="$D$148">
        <xdr:nvSpPr>
          <xdr:cNvPr id="27" name="Dodécagone 26">
            <a:extLst>
              <a:ext uri="{FF2B5EF4-FFF2-40B4-BE49-F238E27FC236}">
                <a16:creationId xmlns:a16="http://schemas.microsoft.com/office/drawing/2014/main" id="{00000000-0008-0000-1000-00001B000000}"/>
              </a:ext>
            </a:extLst>
          </xdr:cNvPr>
          <xdr:cNvSpPr/>
        </xdr:nvSpPr>
        <xdr:spPr>
          <a:xfrm>
            <a:off x="9203328" y="26250085"/>
            <a:ext cx="363038" cy="34943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C49C7A8-7232-48D0-9343-936028B1DD9A}" type="TxLink">
              <a:rPr lang="en-US" sz="1100" b="0" i="0" u="none" strike="noStrike">
                <a:solidFill>
                  <a:srgbClr val="000000"/>
                </a:solidFill>
                <a:latin typeface="Calibri"/>
                <a:cs typeface="Calibri"/>
              </a:rPr>
              <a:pPr algn="l"/>
              <a:t>0</a:t>
            </a:fld>
            <a:endParaRPr lang="fr-FR" sz="1100"/>
          </a:p>
        </xdr:txBody>
      </xdr:sp>
      <xdr:sp macro="" textlink="$D$149">
        <xdr:nvSpPr>
          <xdr:cNvPr id="28" name="Dodécagone 27">
            <a:extLst>
              <a:ext uri="{FF2B5EF4-FFF2-40B4-BE49-F238E27FC236}">
                <a16:creationId xmlns:a16="http://schemas.microsoft.com/office/drawing/2014/main" id="{00000000-0008-0000-1000-00001C000000}"/>
              </a:ext>
            </a:extLst>
          </xdr:cNvPr>
          <xdr:cNvSpPr/>
        </xdr:nvSpPr>
        <xdr:spPr>
          <a:xfrm>
            <a:off x="11375029" y="26424800"/>
            <a:ext cx="364670" cy="340993"/>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BBEBC00E-8E04-4A8A-9050-AC5AF6EB76BA}" type="TxLink">
              <a:rPr lang="en-US" sz="1100" b="0" i="0" u="none" strike="noStrike">
                <a:solidFill>
                  <a:srgbClr val="000000"/>
                </a:solidFill>
                <a:latin typeface="Calibri"/>
                <a:cs typeface="Calibri"/>
              </a:rPr>
              <a:pPr algn="l"/>
              <a:t>0</a:t>
            </a:fld>
            <a:endParaRPr lang="fr-FR" sz="1100"/>
          </a:p>
        </xdr:txBody>
      </xdr:sp>
      <xdr:sp macro="" textlink="$D$150">
        <xdr:nvSpPr>
          <xdr:cNvPr id="29" name="Dodécagone 28">
            <a:extLst>
              <a:ext uri="{FF2B5EF4-FFF2-40B4-BE49-F238E27FC236}">
                <a16:creationId xmlns:a16="http://schemas.microsoft.com/office/drawing/2014/main" id="{00000000-0008-0000-1000-00001D000000}"/>
              </a:ext>
            </a:extLst>
          </xdr:cNvPr>
          <xdr:cNvSpPr/>
        </xdr:nvSpPr>
        <xdr:spPr>
          <a:xfrm>
            <a:off x="9952811" y="27038208"/>
            <a:ext cx="355418" cy="35950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454D7B-6F09-4FB0-B2A9-C64CB4C73AB1}" type="TxLink">
              <a:rPr lang="en-US" sz="1100" b="0" i="0" u="none" strike="noStrike">
                <a:solidFill>
                  <a:srgbClr val="000000"/>
                </a:solidFill>
                <a:latin typeface="Calibri"/>
                <a:cs typeface="Calibri"/>
              </a:rPr>
              <a:pPr algn="l"/>
              <a:t>0</a:t>
            </a:fld>
            <a:endParaRPr lang="fr-FR" sz="1100"/>
          </a:p>
        </xdr:txBody>
      </xdr:sp>
      <xdr:sp macro="" textlink="$D$151">
        <xdr:nvSpPr>
          <xdr:cNvPr id="30" name="Dodécagone 29">
            <a:extLst>
              <a:ext uri="{FF2B5EF4-FFF2-40B4-BE49-F238E27FC236}">
                <a16:creationId xmlns:a16="http://schemas.microsoft.com/office/drawing/2014/main" id="{00000000-0008-0000-1000-00001E000000}"/>
              </a:ext>
            </a:extLst>
          </xdr:cNvPr>
          <xdr:cNvSpPr/>
        </xdr:nvSpPr>
        <xdr:spPr>
          <a:xfrm>
            <a:off x="7694569" y="31199273"/>
            <a:ext cx="35732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9CDE93F8-6A89-4CC2-A7D4-C6D3BCD3EC8A}" type="TxLink">
              <a:rPr lang="en-US" sz="1100" b="0" i="0" u="none" strike="noStrike">
                <a:solidFill>
                  <a:srgbClr val="000000"/>
                </a:solidFill>
                <a:latin typeface="Calibri"/>
                <a:cs typeface="Calibri"/>
              </a:rPr>
              <a:pPr algn="l"/>
              <a:t>0</a:t>
            </a:fld>
            <a:endParaRPr lang="fr-FR" sz="1100"/>
          </a:p>
        </xdr:txBody>
      </xdr:sp>
      <xdr:sp macro="" textlink="$D$154">
        <xdr:nvSpPr>
          <xdr:cNvPr id="31" name="Dodécagone 30">
            <a:extLst>
              <a:ext uri="{FF2B5EF4-FFF2-40B4-BE49-F238E27FC236}">
                <a16:creationId xmlns:a16="http://schemas.microsoft.com/office/drawing/2014/main" id="{00000000-0008-0000-1000-00001F000000}"/>
              </a:ext>
            </a:extLst>
          </xdr:cNvPr>
          <xdr:cNvSpPr/>
        </xdr:nvSpPr>
        <xdr:spPr>
          <a:xfrm>
            <a:off x="9918792" y="31199273"/>
            <a:ext cx="35351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38CBA35-7575-4E00-80B9-18CC9E385644}" type="TxLink">
              <a:rPr lang="en-US" sz="1100" b="0" i="0" u="none" strike="noStrike">
                <a:solidFill>
                  <a:srgbClr val="000000"/>
                </a:solidFill>
                <a:latin typeface="Calibri"/>
                <a:cs typeface="Calibri"/>
              </a:rPr>
              <a:pPr algn="l"/>
              <a:t>0</a:t>
            </a:fld>
            <a:endParaRPr lang="fr-FR" sz="1100"/>
          </a:p>
        </xdr:txBody>
      </xdr:sp>
      <xdr:sp macro="" textlink="$D$152">
        <xdr:nvSpPr>
          <xdr:cNvPr id="32" name="Dodécagone 31">
            <a:extLst>
              <a:ext uri="{FF2B5EF4-FFF2-40B4-BE49-F238E27FC236}">
                <a16:creationId xmlns:a16="http://schemas.microsoft.com/office/drawing/2014/main" id="{00000000-0008-0000-1000-000020000000}"/>
              </a:ext>
            </a:extLst>
          </xdr:cNvPr>
          <xdr:cNvSpPr/>
        </xdr:nvSpPr>
        <xdr:spPr>
          <a:xfrm>
            <a:off x="9194892" y="30402712"/>
            <a:ext cx="353513" cy="34861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0C9E325-E90E-4F09-BAC3-3FD6C428A1AD}" type="TxLink">
              <a:rPr lang="en-US" sz="1100" b="0" i="0" u="none" strike="noStrike">
                <a:solidFill>
                  <a:srgbClr val="000000"/>
                </a:solidFill>
                <a:latin typeface="Calibri"/>
                <a:cs typeface="Calibri"/>
              </a:rPr>
              <a:pPr algn="l"/>
              <a:t>0</a:t>
            </a:fld>
            <a:endParaRPr lang="fr-FR" sz="1100"/>
          </a:p>
        </xdr:txBody>
      </xdr:sp>
      <xdr:sp macro="" textlink="$D$153">
        <xdr:nvSpPr>
          <xdr:cNvPr id="33" name="Dodécagone 32">
            <a:extLst>
              <a:ext uri="{FF2B5EF4-FFF2-40B4-BE49-F238E27FC236}">
                <a16:creationId xmlns:a16="http://schemas.microsoft.com/office/drawing/2014/main" id="{00000000-0008-0000-1000-000021000000}"/>
              </a:ext>
            </a:extLst>
          </xdr:cNvPr>
          <xdr:cNvSpPr/>
        </xdr:nvSpPr>
        <xdr:spPr>
          <a:xfrm>
            <a:off x="11410135" y="30397541"/>
            <a:ext cx="366575"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7506336-B047-4994-B208-96B7881DC6F3}" type="TxLink">
              <a:rPr lang="en-US" sz="1100" b="0" i="0" u="none" strike="noStrike">
                <a:solidFill>
                  <a:srgbClr val="000000"/>
                </a:solidFill>
                <a:latin typeface="Calibri"/>
                <a:cs typeface="Calibri"/>
              </a:rPr>
              <a:pPr algn="l"/>
              <a:t>0</a:t>
            </a:fld>
            <a:endParaRPr lang="fr-FR" sz="1100"/>
          </a:p>
        </xdr:txBody>
      </xdr:sp>
      <xdr:sp macro="" textlink="$C$147">
        <xdr:nvSpPr>
          <xdr:cNvPr id="34" name="Dodécagone 33">
            <a:extLst>
              <a:ext uri="{FF2B5EF4-FFF2-40B4-BE49-F238E27FC236}">
                <a16:creationId xmlns:a16="http://schemas.microsoft.com/office/drawing/2014/main" id="{00000000-0008-0000-1000-000022000000}"/>
              </a:ext>
            </a:extLst>
          </xdr:cNvPr>
          <xdr:cNvSpPr/>
        </xdr:nvSpPr>
        <xdr:spPr>
          <a:xfrm>
            <a:off x="7714435" y="26691770"/>
            <a:ext cx="355418" cy="340994"/>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E7A8913-B747-47D5-BAD0-F6523078F648}" type="TxLink">
              <a:rPr lang="en-US" sz="1100" b="0" i="0" u="none" strike="noStrike">
                <a:solidFill>
                  <a:srgbClr val="000000"/>
                </a:solidFill>
                <a:latin typeface="Calibri"/>
                <a:cs typeface="Calibri"/>
              </a:rPr>
              <a:pPr algn="l"/>
              <a:t>0</a:t>
            </a:fld>
            <a:endParaRPr lang="fr-FR" sz="1100"/>
          </a:p>
        </xdr:txBody>
      </xdr:sp>
      <xdr:sp macro="" textlink="$C$148">
        <xdr:nvSpPr>
          <xdr:cNvPr id="35" name="Dodécagone 34">
            <a:extLst>
              <a:ext uri="{FF2B5EF4-FFF2-40B4-BE49-F238E27FC236}">
                <a16:creationId xmlns:a16="http://schemas.microsoft.com/office/drawing/2014/main" id="{00000000-0008-0000-1000-000023000000}"/>
              </a:ext>
            </a:extLst>
          </xdr:cNvPr>
          <xdr:cNvSpPr/>
        </xdr:nvSpPr>
        <xdr:spPr>
          <a:xfrm>
            <a:off x="9207682" y="25878608"/>
            <a:ext cx="353513" cy="35786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742A3AD-DEE1-4E12-B562-A2EEF15158AC}" type="TxLink">
              <a:rPr lang="en-US" sz="1100" b="0" i="0" u="none" strike="noStrike">
                <a:solidFill>
                  <a:srgbClr val="000000"/>
                </a:solidFill>
                <a:latin typeface="Calibri"/>
                <a:cs typeface="Calibri"/>
              </a:rPr>
              <a:pPr algn="l"/>
              <a:t>0</a:t>
            </a:fld>
            <a:endParaRPr lang="fr-FR" sz="1100"/>
          </a:p>
        </xdr:txBody>
      </xdr:sp>
      <xdr:sp macro="" textlink="$C$149">
        <xdr:nvSpPr>
          <xdr:cNvPr id="36" name="Dodécagone 35">
            <a:extLst>
              <a:ext uri="{FF2B5EF4-FFF2-40B4-BE49-F238E27FC236}">
                <a16:creationId xmlns:a16="http://schemas.microsoft.com/office/drawing/2014/main" id="{00000000-0008-0000-1000-000024000000}"/>
              </a:ext>
            </a:extLst>
          </xdr:cNvPr>
          <xdr:cNvSpPr/>
        </xdr:nvSpPr>
        <xdr:spPr>
          <a:xfrm>
            <a:off x="11379382" y="26063937"/>
            <a:ext cx="357050" cy="35024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13A9DCD1-E681-4697-9612-C263AC2B14AB}" type="TxLink">
              <a:rPr lang="en-US" sz="1100" b="0" i="0" u="none" strike="noStrike">
                <a:solidFill>
                  <a:srgbClr val="000000"/>
                </a:solidFill>
                <a:latin typeface="Calibri"/>
                <a:cs typeface="Calibri"/>
              </a:rPr>
              <a:pPr algn="l"/>
              <a:t>0</a:t>
            </a:fld>
            <a:endParaRPr lang="fr-FR" sz="1100"/>
          </a:p>
        </xdr:txBody>
      </xdr:sp>
      <xdr:sp macro="" textlink="$C$150">
        <xdr:nvSpPr>
          <xdr:cNvPr id="37" name="Dodécagone 36">
            <a:extLst>
              <a:ext uri="{FF2B5EF4-FFF2-40B4-BE49-F238E27FC236}">
                <a16:creationId xmlns:a16="http://schemas.microsoft.com/office/drawing/2014/main" id="{00000000-0008-0000-1000-000025000000}"/>
              </a:ext>
            </a:extLst>
          </xdr:cNvPr>
          <xdr:cNvSpPr/>
        </xdr:nvSpPr>
        <xdr:spPr>
          <a:xfrm>
            <a:off x="9957079" y="26671181"/>
            <a:ext cx="353513"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C9827D-ECC7-4858-9A44-6604C3F7CE2C}" type="TxLink">
              <a:rPr lang="en-US" sz="1100" b="0" i="0" u="none" strike="noStrike">
                <a:solidFill>
                  <a:srgbClr val="000000"/>
                </a:solidFill>
                <a:latin typeface="Calibri"/>
                <a:cs typeface="Calibri"/>
              </a:rPr>
              <a:pPr algn="l"/>
              <a:t>0</a:t>
            </a:fld>
            <a:endParaRPr lang="fr-FR" sz="1100"/>
          </a:p>
        </xdr:txBody>
      </xdr:sp>
      <xdr:sp macro="" textlink="$C$151">
        <xdr:nvSpPr>
          <xdr:cNvPr id="38" name="Dodécagone 37">
            <a:extLst>
              <a:ext uri="{FF2B5EF4-FFF2-40B4-BE49-F238E27FC236}">
                <a16:creationId xmlns:a16="http://schemas.microsoft.com/office/drawing/2014/main" id="{00000000-0008-0000-1000-000026000000}"/>
              </a:ext>
            </a:extLst>
          </xdr:cNvPr>
          <xdr:cNvSpPr/>
        </xdr:nvSpPr>
        <xdr:spPr>
          <a:xfrm>
            <a:off x="7694568" y="30830712"/>
            <a:ext cx="357323" cy="339088"/>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BFE4BF9-3BFB-47E4-B1A0-011C0E32E006}" type="TxLink">
              <a:rPr lang="en-US" sz="1100" b="0" i="0" u="none" strike="noStrike">
                <a:solidFill>
                  <a:srgbClr val="000000"/>
                </a:solidFill>
                <a:latin typeface="Calibri"/>
                <a:cs typeface="Calibri"/>
              </a:rPr>
              <a:pPr algn="l"/>
              <a:t>0</a:t>
            </a:fld>
            <a:endParaRPr lang="fr-FR" sz="1100"/>
          </a:p>
        </xdr:txBody>
      </xdr:sp>
      <xdr:sp macro="" textlink="$C$152">
        <xdr:nvSpPr>
          <xdr:cNvPr id="39" name="Dodécagone 38">
            <a:extLst>
              <a:ext uri="{FF2B5EF4-FFF2-40B4-BE49-F238E27FC236}">
                <a16:creationId xmlns:a16="http://schemas.microsoft.com/office/drawing/2014/main" id="{00000000-0008-0000-1000-000027000000}"/>
              </a:ext>
            </a:extLst>
          </xdr:cNvPr>
          <xdr:cNvSpPr/>
        </xdr:nvSpPr>
        <xdr:spPr>
          <a:xfrm>
            <a:off x="9175072" y="30048285"/>
            <a:ext cx="363038" cy="348615"/>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9148C02D-BDE6-43DA-9423-6229E9248AE9}" type="TxLink">
              <a:rPr lang="en-US" sz="1100" b="0" i="0" u="none" strike="noStrike">
                <a:solidFill>
                  <a:srgbClr val="000000"/>
                </a:solidFill>
                <a:latin typeface="Calibri"/>
                <a:cs typeface="Calibri"/>
              </a:rPr>
              <a:pPr algn="l"/>
              <a:t>0</a:t>
            </a:fld>
            <a:endParaRPr lang="fr-FR" sz="1100"/>
          </a:p>
        </xdr:txBody>
      </xdr:sp>
      <xdr:sp macro="" textlink="$C$153">
        <xdr:nvSpPr>
          <xdr:cNvPr id="40" name="Dodécagone 39">
            <a:extLst>
              <a:ext uri="{FF2B5EF4-FFF2-40B4-BE49-F238E27FC236}">
                <a16:creationId xmlns:a16="http://schemas.microsoft.com/office/drawing/2014/main" id="{00000000-0008-0000-1000-000028000000}"/>
              </a:ext>
            </a:extLst>
          </xdr:cNvPr>
          <xdr:cNvSpPr/>
        </xdr:nvSpPr>
        <xdr:spPr>
          <a:xfrm>
            <a:off x="11410134" y="30043115"/>
            <a:ext cx="366575" cy="339586"/>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FE440E7-AC0C-4FA3-BCE3-3B53D82BECFB}" type="TxLink">
              <a:rPr lang="en-US" sz="1100" b="0" i="0" u="none" strike="noStrike">
                <a:solidFill>
                  <a:srgbClr val="000000"/>
                </a:solidFill>
                <a:latin typeface="Calibri"/>
                <a:cs typeface="Calibri"/>
              </a:rPr>
              <a:pPr algn="l"/>
              <a:t>0</a:t>
            </a:fld>
            <a:endParaRPr lang="fr-FR" sz="1100"/>
          </a:p>
        </xdr:txBody>
      </xdr:sp>
      <xdr:sp macro="" textlink="$C$154">
        <xdr:nvSpPr>
          <xdr:cNvPr id="41" name="Dodécagone 40">
            <a:extLst>
              <a:ext uri="{FF2B5EF4-FFF2-40B4-BE49-F238E27FC236}">
                <a16:creationId xmlns:a16="http://schemas.microsoft.com/office/drawing/2014/main" id="{00000000-0008-0000-1000-000029000000}"/>
              </a:ext>
            </a:extLst>
          </xdr:cNvPr>
          <xdr:cNvSpPr/>
        </xdr:nvSpPr>
        <xdr:spPr>
          <a:xfrm>
            <a:off x="9904095" y="30842928"/>
            <a:ext cx="363038" cy="340993"/>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F0A600A2-0004-4FB1-8EAC-77A86922294C}" type="TxLink">
              <a:rPr lang="en-US" sz="1100" b="0" i="0" u="none" strike="noStrike">
                <a:solidFill>
                  <a:srgbClr val="000000"/>
                </a:solidFill>
                <a:latin typeface="Calibri"/>
                <a:cs typeface="Calibri"/>
              </a:rPr>
              <a:pPr algn="l"/>
              <a:t>0</a:t>
            </a:fld>
            <a:endParaRPr lang="fr-FR" sz="1100"/>
          </a:p>
        </xdr:txBody>
      </xdr:sp>
      <xdr:sp macro="" textlink="$D$155">
        <xdr:nvSpPr>
          <xdr:cNvPr id="42" name="Dodécagone 41">
            <a:extLst>
              <a:ext uri="{FF2B5EF4-FFF2-40B4-BE49-F238E27FC236}">
                <a16:creationId xmlns:a16="http://schemas.microsoft.com/office/drawing/2014/main" id="{00000000-0008-0000-1000-00002A000000}"/>
              </a:ext>
            </a:extLst>
          </xdr:cNvPr>
          <xdr:cNvSpPr/>
        </xdr:nvSpPr>
        <xdr:spPr>
          <a:xfrm>
            <a:off x="9624605" y="29253453"/>
            <a:ext cx="355690"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03E615A-3C92-4523-93E6-0F967AE37046}" type="TxLink">
              <a:rPr lang="en-US" sz="1100" b="0" i="0" u="none" strike="noStrike">
                <a:solidFill>
                  <a:srgbClr val="000000"/>
                </a:solidFill>
                <a:latin typeface="Calibri"/>
                <a:cs typeface="Calibri"/>
              </a:rPr>
              <a:pPr algn="l"/>
              <a:t>0</a:t>
            </a:fld>
            <a:endParaRPr lang="fr-FR" sz="1100"/>
          </a:p>
        </xdr:txBody>
      </xdr:sp>
      <xdr:sp macro="" textlink="$C$155">
        <xdr:nvSpPr>
          <xdr:cNvPr id="43" name="Dodécagone 42">
            <a:extLst>
              <a:ext uri="{FF2B5EF4-FFF2-40B4-BE49-F238E27FC236}">
                <a16:creationId xmlns:a16="http://schemas.microsoft.com/office/drawing/2014/main" id="{00000000-0008-0000-1000-00002B000000}"/>
              </a:ext>
            </a:extLst>
          </xdr:cNvPr>
          <xdr:cNvSpPr/>
        </xdr:nvSpPr>
        <xdr:spPr>
          <a:xfrm>
            <a:off x="9626782" y="28924593"/>
            <a:ext cx="358684"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4D380944-5C71-4E45-B89E-106A56923424}" type="TxLink">
              <a:rPr lang="en-US" sz="1100" b="0" i="0" u="none" strike="noStrike">
                <a:solidFill>
                  <a:srgbClr val="000000"/>
                </a:solidFill>
                <a:latin typeface="Calibri"/>
                <a:cs typeface="Calibri"/>
              </a:rPr>
              <a:pPr algn="l"/>
              <a:t>0</a:t>
            </a:fld>
            <a:endParaRPr lang="fr-FR" sz="1100"/>
          </a:p>
        </xdr:txBody>
      </xdr:sp>
    </xdr:grpSp>
    <xdr:clientData/>
  </xdr:twoCellAnchor>
  <xdr:twoCellAnchor>
    <xdr:from>
      <xdr:col>4</xdr:col>
      <xdr:colOff>1756695</xdr:colOff>
      <xdr:row>146</xdr:row>
      <xdr:rowOff>116746</xdr:rowOff>
    </xdr:from>
    <xdr:to>
      <xdr:col>4</xdr:col>
      <xdr:colOff>2098888</xdr:colOff>
      <xdr:row>148</xdr:row>
      <xdr:rowOff>111901</xdr:rowOff>
    </xdr:to>
    <xdr:sp macro="" textlink="$B$147">
      <xdr:nvSpPr>
        <xdr:cNvPr id="88" name="Dodécagone 87">
          <a:extLst>
            <a:ext uri="{FF2B5EF4-FFF2-40B4-BE49-F238E27FC236}">
              <a16:creationId xmlns:a16="http://schemas.microsoft.com/office/drawing/2014/main" id="{00000000-0008-0000-1000-000058000000}"/>
            </a:ext>
          </a:extLst>
        </xdr:cNvPr>
        <xdr:cNvSpPr/>
      </xdr:nvSpPr>
      <xdr:spPr>
        <a:xfrm>
          <a:off x="7157370" y="28710796"/>
          <a:ext cx="313618" cy="37615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178163E-481A-4A4E-B80A-92C8A44EEB10}" type="TxLink">
            <a:rPr lang="en-US" sz="1100" b="0" i="0" u="none" strike="noStrike">
              <a:solidFill>
                <a:srgbClr val="000000"/>
              </a:solidFill>
              <a:latin typeface="Calibri"/>
              <a:cs typeface="Calibri"/>
            </a:rPr>
            <a:pPr algn="l"/>
            <a:t>1</a:t>
          </a:fld>
          <a:endParaRPr lang="fr-FR" sz="1100"/>
        </a:p>
      </xdr:txBody>
    </xdr:sp>
    <xdr:clientData/>
  </xdr:twoCellAnchor>
  <xdr:twoCellAnchor>
    <xdr:from>
      <xdr:col>5</xdr:col>
      <xdr:colOff>1222737</xdr:colOff>
      <xdr:row>141</xdr:row>
      <xdr:rowOff>223702</xdr:rowOff>
    </xdr:from>
    <xdr:to>
      <xdr:col>5</xdr:col>
      <xdr:colOff>1568740</xdr:colOff>
      <xdr:row>143</xdr:row>
      <xdr:rowOff>172049</xdr:rowOff>
    </xdr:to>
    <xdr:sp macro="" textlink="$B$148">
      <xdr:nvSpPr>
        <xdr:cNvPr id="89" name="Dodécagone 88">
          <a:extLst>
            <a:ext uri="{FF2B5EF4-FFF2-40B4-BE49-F238E27FC236}">
              <a16:creationId xmlns:a16="http://schemas.microsoft.com/office/drawing/2014/main" id="{00000000-0008-0000-1000-000059000000}"/>
            </a:ext>
          </a:extLst>
        </xdr:cNvPr>
        <xdr:cNvSpPr/>
      </xdr:nvSpPr>
      <xdr:spPr>
        <a:xfrm>
          <a:off x="8690337" y="27817627"/>
          <a:ext cx="346003" cy="376972"/>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2DEDD410-24D1-4D24-BD73-E9FEFD4CAFCF}" type="TxLink">
            <a:rPr lang="en-US" sz="1100" b="0" i="0" u="none" strike="noStrike">
              <a:solidFill>
                <a:srgbClr val="000000"/>
              </a:solidFill>
              <a:latin typeface="Calibri"/>
              <a:cs typeface="Calibri"/>
            </a:rPr>
            <a:pPr algn="l"/>
            <a:t>2</a:t>
          </a:fld>
          <a:endParaRPr lang="fr-FR" sz="1100"/>
        </a:p>
      </xdr:txBody>
    </xdr:sp>
    <xdr:clientData/>
  </xdr:twoCellAnchor>
  <xdr:twoCellAnchor>
    <xdr:from>
      <xdr:col>6</xdr:col>
      <xdr:colOff>1353093</xdr:colOff>
      <xdr:row>141</xdr:row>
      <xdr:rowOff>227239</xdr:rowOff>
    </xdr:from>
    <xdr:to>
      <xdr:col>6</xdr:col>
      <xdr:colOff>1710526</xdr:colOff>
      <xdr:row>143</xdr:row>
      <xdr:rowOff>158441</xdr:rowOff>
    </xdr:to>
    <xdr:sp macro="" textlink="$B$149">
      <xdr:nvSpPr>
        <xdr:cNvPr id="90" name="Dodécagone 89">
          <a:extLst>
            <a:ext uri="{FF2B5EF4-FFF2-40B4-BE49-F238E27FC236}">
              <a16:creationId xmlns:a16="http://schemas.microsoft.com/office/drawing/2014/main" id="{00000000-0008-0000-1000-00005A000000}"/>
            </a:ext>
          </a:extLst>
        </xdr:cNvPr>
        <xdr:cNvSpPr/>
      </xdr:nvSpPr>
      <xdr:spPr>
        <a:xfrm>
          <a:off x="10859043" y="27821164"/>
          <a:ext cx="357433" cy="359827"/>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DC68B832-5CAF-4764-B628-E9B56C280A59}" type="TxLink">
            <a:rPr lang="en-US" sz="1100" b="0" i="0" u="none" strike="noStrike">
              <a:solidFill>
                <a:srgbClr val="000000"/>
              </a:solidFill>
              <a:latin typeface="Calibri"/>
              <a:cs typeface="Calibri"/>
            </a:rPr>
            <a:pPr algn="l"/>
            <a:t>3</a:t>
          </a:fld>
          <a:endParaRPr lang="fr-FR" sz="1100"/>
        </a:p>
      </xdr:txBody>
    </xdr:sp>
    <xdr:clientData/>
  </xdr:twoCellAnchor>
  <xdr:twoCellAnchor>
    <xdr:from>
      <xdr:col>5</xdr:col>
      <xdr:colOff>1974941</xdr:colOff>
      <xdr:row>146</xdr:row>
      <xdr:rowOff>85453</xdr:rowOff>
    </xdr:from>
    <xdr:to>
      <xdr:col>6</xdr:col>
      <xdr:colOff>236874</xdr:colOff>
      <xdr:row>148</xdr:row>
      <xdr:rowOff>80608</xdr:rowOff>
    </xdr:to>
    <xdr:sp macro="" textlink="$B$150">
      <xdr:nvSpPr>
        <xdr:cNvPr id="91" name="Dodécagone 90">
          <a:extLst>
            <a:ext uri="{FF2B5EF4-FFF2-40B4-BE49-F238E27FC236}">
              <a16:creationId xmlns:a16="http://schemas.microsoft.com/office/drawing/2014/main" id="{00000000-0008-0000-1000-00005B000000}"/>
            </a:ext>
          </a:extLst>
        </xdr:cNvPr>
        <xdr:cNvSpPr/>
      </xdr:nvSpPr>
      <xdr:spPr>
        <a:xfrm>
          <a:off x="9442541" y="28679503"/>
          <a:ext cx="300283" cy="37615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F71F8CBA-6D91-493F-BE4E-38E645F215EE}" type="TxLink">
            <a:rPr lang="en-US" sz="1100" b="0" i="0" u="none" strike="noStrike">
              <a:solidFill>
                <a:srgbClr val="000000"/>
              </a:solidFill>
              <a:latin typeface="Calibri"/>
              <a:cs typeface="Calibri"/>
            </a:rPr>
            <a:pPr algn="l"/>
            <a:t>4</a:t>
          </a:fld>
          <a:endParaRPr lang="fr-FR" sz="1100"/>
        </a:p>
      </xdr:txBody>
    </xdr:sp>
    <xdr:clientData/>
  </xdr:twoCellAnchor>
  <xdr:twoCellAnchor>
    <xdr:from>
      <xdr:col>4</xdr:col>
      <xdr:colOff>1609453</xdr:colOff>
      <xdr:row>165</xdr:row>
      <xdr:rowOff>17418</xdr:rowOff>
    </xdr:from>
    <xdr:to>
      <xdr:col>4</xdr:col>
      <xdr:colOff>1968791</xdr:colOff>
      <xdr:row>167</xdr:row>
      <xdr:rowOff>14478</xdr:rowOff>
    </xdr:to>
    <xdr:sp macro="" textlink="$B$151">
      <xdr:nvSpPr>
        <xdr:cNvPr id="92" name="Dodécagone 91">
          <a:extLst>
            <a:ext uri="{FF2B5EF4-FFF2-40B4-BE49-F238E27FC236}">
              <a16:creationId xmlns:a16="http://schemas.microsoft.com/office/drawing/2014/main" id="{00000000-0008-0000-1000-00005C000000}"/>
            </a:ext>
          </a:extLst>
        </xdr:cNvPr>
        <xdr:cNvSpPr/>
      </xdr:nvSpPr>
      <xdr:spPr>
        <a:xfrm>
          <a:off x="7010128" y="32230968"/>
          <a:ext cx="359338" cy="378060"/>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2DD565DD-B9F2-4583-B418-C9F05EECA2DD}" type="TxLink">
            <a:rPr lang="en-US" sz="1100" b="0" i="0" u="none" strike="noStrike">
              <a:solidFill>
                <a:srgbClr val="000000"/>
              </a:solidFill>
              <a:latin typeface="Calibri"/>
              <a:cs typeface="Calibri"/>
            </a:rPr>
            <a:pPr algn="l"/>
            <a:t>5</a:t>
          </a:fld>
          <a:endParaRPr lang="fr-FR" sz="1100"/>
        </a:p>
      </xdr:txBody>
    </xdr:sp>
    <xdr:clientData/>
  </xdr:twoCellAnchor>
  <xdr:twoCellAnchor>
    <xdr:from>
      <xdr:col>5</xdr:col>
      <xdr:colOff>962297</xdr:colOff>
      <xdr:row>162</xdr:row>
      <xdr:rowOff>19322</xdr:rowOff>
    </xdr:from>
    <xdr:to>
      <xdr:col>5</xdr:col>
      <xdr:colOff>1333065</xdr:colOff>
      <xdr:row>164</xdr:row>
      <xdr:rowOff>14478</xdr:rowOff>
    </xdr:to>
    <xdr:sp macro="" textlink="$B$152">
      <xdr:nvSpPr>
        <xdr:cNvPr id="93" name="Dodécagone 92">
          <a:extLst>
            <a:ext uri="{FF2B5EF4-FFF2-40B4-BE49-F238E27FC236}">
              <a16:creationId xmlns:a16="http://schemas.microsoft.com/office/drawing/2014/main" id="{00000000-0008-0000-1000-00005D000000}"/>
            </a:ext>
          </a:extLst>
        </xdr:cNvPr>
        <xdr:cNvSpPr/>
      </xdr:nvSpPr>
      <xdr:spPr>
        <a:xfrm>
          <a:off x="8429897" y="31661372"/>
          <a:ext cx="370768" cy="37615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65678589-B140-4988-9854-2CC7BDC8D795}" type="TxLink">
            <a:rPr lang="en-US" sz="1100" b="0" i="0" u="none" strike="noStrike">
              <a:solidFill>
                <a:srgbClr val="000000"/>
              </a:solidFill>
              <a:latin typeface="Calibri"/>
              <a:cs typeface="Calibri"/>
            </a:rPr>
            <a:pPr algn="l"/>
            <a:t>6</a:t>
          </a:fld>
          <a:endParaRPr lang="fr-FR" sz="1100"/>
        </a:p>
      </xdr:txBody>
    </xdr:sp>
    <xdr:clientData/>
  </xdr:twoCellAnchor>
  <xdr:twoCellAnchor>
    <xdr:from>
      <xdr:col>6</xdr:col>
      <xdr:colOff>1084761</xdr:colOff>
      <xdr:row>161</xdr:row>
      <xdr:rowOff>165191</xdr:rowOff>
    </xdr:from>
    <xdr:to>
      <xdr:col>6</xdr:col>
      <xdr:colOff>1446004</xdr:colOff>
      <xdr:row>163</xdr:row>
      <xdr:rowOff>162251</xdr:rowOff>
    </xdr:to>
    <xdr:sp macro="" textlink="$B$153">
      <xdr:nvSpPr>
        <xdr:cNvPr id="94" name="Dodécagone 93">
          <a:extLst>
            <a:ext uri="{FF2B5EF4-FFF2-40B4-BE49-F238E27FC236}">
              <a16:creationId xmlns:a16="http://schemas.microsoft.com/office/drawing/2014/main" id="{00000000-0008-0000-1000-00005E000000}"/>
            </a:ext>
          </a:extLst>
        </xdr:cNvPr>
        <xdr:cNvSpPr/>
      </xdr:nvSpPr>
      <xdr:spPr>
        <a:xfrm>
          <a:off x="10590711" y="31616741"/>
          <a:ext cx="361243" cy="378060"/>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82F6A174-C2C2-4960-B033-C940A8F50FB0}" type="TxLink">
            <a:rPr lang="en-US" sz="1100" b="0" i="0" u="none" strike="noStrike">
              <a:solidFill>
                <a:srgbClr val="000000"/>
              </a:solidFill>
              <a:latin typeface="Calibri"/>
              <a:cs typeface="Calibri"/>
            </a:rPr>
            <a:pPr algn="l"/>
            <a:t>7</a:t>
          </a:fld>
          <a:endParaRPr lang="fr-FR" sz="1100"/>
        </a:p>
      </xdr:txBody>
    </xdr:sp>
    <xdr:clientData/>
  </xdr:twoCellAnchor>
  <xdr:twoCellAnchor>
    <xdr:from>
      <xdr:col>5</xdr:col>
      <xdr:colOff>1741714</xdr:colOff>
      <xdr:row>165</xdr:row>
      <xdr:rowOff>0</xdr:rowOff>
    </xdr:from>
    <xdr:to>
      <xdr:col>6</xdr:col>
      <xdr:colOff>11267</xdr:colOff>
      <xdr:row>166</xdr:row>
      <xdr:rowOff>168238</xdr:rowOff>
    </xdr:to>
    <xdr:sp macro="" textlink="$B$154">
      <xdr:nvSpPr>
        <xdr:cNvPr id="95" name="Dodécagone 94">
          <a:extLst>
            <a:ext uri="{FF2B5EF4-FFF2-40B4-BE49-F238E27FC236}">
              <a16:creationId xmlns:a16="http://schemas.microsoft.com/office/drawing/2014/main" id="{00000000-0008-0000-1000-00005F000000}"/>
            </a:ext>
          </a:extLst>
        </xdr:cNvPr>
        <xdr:cNvSpPr/>
      </xdr:nvSpPr>
      <xdr:spPr>
        <a:xfrm>
          <a:off x="9209314" y="32213550"/>
          <a:ext cx="307903" cy="358738"/>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9200C600-10F7-4790-AC12-D192E1E4B42F}" type="TxLink">
            <a:rPr lang="en-US" sz="1100" b="0" i="0" u="none" strike="noStrike">
              <a:solidFill>
                <a:srgbClr val="000000"/>
              </a:solidFill>
              <a:latin typeface="Calibri"/>
              <a:cs typeface="Calibri"/>
            </a:rPr>
            <a:pPr algn="l"/>
            <a:t>8</a:t>
          </a:fld>
          <a:endParaRPr lang="fr-FR" sz="1100"/>
        </a:p>
      </xdr:txBody>
    </xdr:sp>
    <xdr:clientData/>
  </xdr:twoCellAnchor>
  <xdr:twoCellAnchor>
    <xdr:from>
      <xdr:col>5</xdr:col>
      <xdr:colOff>1523999</xdr:colOff>
      <xdr:row>154</xdr:row>
      <xdr:rowOff>95250</xdr:rowOff>
    </xdr:from>
    <xdr:to>
      <xdr:col>5</xdr:col>
      <xdr:colOff>1889052</xdr:colOff>
      <xdr:row>156</xdr:row>
      <xdr:rowOff>86595</xdr:rowOff>
    </xdr:to>
    <xdr:sp macro="" textlink="$B$155">
      <xdr:nvSpPr>
        <xdr:cNvPr id="96" name="Dodécagone 95">
          <a:extLst>
            <a:ext uri="{FF2B5EF4-FFF2-40B4-BE49-F238E27FC236}">
              <a16:creationId xmlns:a16="http://schemas.microsoft.com/office/drawing/2014/main" id="{00000000-0008-0000-1000-000060000000}"/>
            </a:ext>
          </a:extLst>
        </xdr:cNvPr>
        <xdr:cNvSpPr/>
      </xdr:nvSpPr>
      <xdr:spPr>
        <a:xfrm>
          <a:off x="8991599" y="30213300"/>
          <a:ext cx="365053" cy="37234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9668297E-8971-429A-B16D-C0C8ABCF2E5E}" type="TxLink">
            <a:rPr lang="en-US" sz="1100" b="0" i="0" u="none" strike="noStrike">
              <a:solidFill>
                <a:srgbClr val="000000"/>
              </a:solidFill>
              <a:latin typeface="Calibri"/>
              <a:cs typeface="Calibri"/>
            </a:rPr>
            <a:pPr algn="l"/>
            <a:t>9</a:t>
          </a:fld>
          <a:endParaRPr lang="fr-FR"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257175</xdr:colOff>
      <xdr:row>13</xdr:row>
      <xdr:rowOff>38099</xdr:rowOff>
    </xdr:from>
    <xdr:to>
      <xdr:col>12</xdr:col>
      <xdr:colOff>1038225</xdr:colOff>
      <xdr:row>37</xdr:row>
      <xdr:rowOff>133350</xdr:rowOff>
    </xdr:to>
    <xdr:grpSp>
      <xdr:nvGrpSpPr>
        <xdr:cNvPr id="62479" name="Groupe 62478">
          <a:extLst>
            <a:ext uri="{FF2B5EF4-FFF2-40B4-BE49-F238E27FC236}">
              <a16:creationId xmlns:a16="http://schemas.microsoft.com/office/drawing/2014/main" id="{00000000-0008-0000-1100-00000FF40000}"/>
            </a:ext>
          </a:extLst>
        </xdr:cNvPr>
        <xdr:cNvGrpSpPr/>
      </xdr:nvGrpSpPr>
      <xdr:grpSpPr>
        <a:xfrm>
          <a:off x="7058025" y="3886199"/>
          <a:ext cx="5762625" cy="4686301"/>
          <a:chOff x="7058025" y="2857499"/>
          <a:chExt cx="5762625" cy="4686301"/>
        </a:xfrm>
      </xdr:grpSpPr>
      <xdr:grpSp>
        <xdr:nvGrpSpPr>
          <xdr:cNvPr id="34" name="Groupe 33">
            <a:extLst>
              <a:ext uri="{FF2B5EF4-FFF2-40B4-BE49-F238E27FC236}">
                <a16:creationId xmlns:a16="http://schemas.microsoft.com/office/drawing/2014/main" id="{00000000-0008-0000-1100-000022000000}"/>
              </a:ext>
            </a:extLst>
          </xdr:cNvPr>
          <xdr:cNvGrpSpPr/>
        </xdr:nvGrpSpPr>
        <xdr:grpSpPr>
          <a:xfrm>
            <a:off x="7058025" y="2857499"/>
            <a:ext cx="4391025" cy="4686301"/>
            <a:chOff x="8605630" y="3404152"/>
            <a:chExt cx="4174435" cy="4556558"/>
          </a:xfrm>
        </xdr:grpSpPr>
        <xdr:sp macro="" textlink="">
          <xdr:nvSpPr>
            <xdr:cNvPr id="35" name="Organigramme : Connecteur 34">
              <a:extLst>
                <a:ext uri="{FF2B5EF4-FFF2-40B4-BE49-F238E27FC236}">
                  <a16:creationId xmlns:a16="http://schemas.microsoft.com/office/drawing/2014/main" id="{00000000-0008-0000-1100-000023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36" name="Groupe 35">
              <a:extLst>
                <a:ext uri="{FF2B5EF4-FFF2-40B4-BE49-F238E27FC236}">
                  <a16:creationId xmlns:a16="http://schemas.microsoft.com/office/drawing/2014/main" id="{00000000-0008-0000-1100-000024000000}"/>
                </a:ext>
              </a:extLst>
            </xdr:cNvPr>
            <xdr:cNvGrpSpPr/>
          </xdr:nvGrpSpPr>
          <xdr:grpSpPr>
            <a:xfrm>
              <a:off x="8605630" y="3404152"/>
              <a:ext cx="4174435" cy="4556558"/>
              <a:chOff x="8605630" y="3404152"/>
              <a:chExt cx="4174435" cy="4556558"/>
            </a:xfrm>
          </xdr:grpSpPr>
          <xdr:grpSp>
            <xdr:nvGrpSpPr>
              <xdr:cNvPr id="37" name="Groupe 36">
                <a:extLst>
                  <a:ext uri="{FF2B5EF4-FFF2-40B4-BE49-F238E27FC236}">
                    <a16:creationId xmlns:a16="http://schemas.microsoft.com/office/drawing/2014/main" id="{00000000-0008-0000-1100-000025000000}"/>
                  </a:ext>
                </a:extLst>
              </xdr:cNvPr>
              <xdr:cNvGrpSpPr/>
            </xdr:nvGrpSpPr>
            <xdr:grpSpPr>
              <a:xfrm>
                <a:off x="9316277" y="3404152"/>
                <a:ext cx="3463788" cy="3327953"/>
                <a:chOff x="9092647" y="3420717"/>
                <a:chExt cx="3463788" cy="3327953"/>
              </a:xfrm>
            </xdr:grpSpPr>
            <xdr:sp macro="" textlink="">
              <xdr:nvSpPr>
                <xdr:cNvPr id="41" name="Organigramme : Connecteur 40">
                  <a:extLst>
                    <a:ext uri="{FF2B5EF4-FFF2-40B4-BE49-F238E27FC236}">
                      <a16:creationId xmlns:a16="http://schemas.microsoft.com/office/drawing/2014/main" id="{00000000-0008-0000-1100-000029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42" name="Organigramme : Connecteur 41">
                  <a:extLst>
                    <a:ext uri="{FF2B5EF4-FFF2-40B4-BE49-F238E27FC236}">
                      <a16:creationId xmlns:a16="http://schemas.microsoft.com/office/drawing/2014/main" id="{00000000-0008-0000-1100-00002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43" name="Organigramme : Connecteur 42">
                  <a:extLst>
                    <a:ext uri="{FF2B5EF4-FFF2-40B4-BE49-F238E27FC236}">
                      <a16:creationId xmlns:a16="http://schemas.microsoft.com/office/drawing/2014/main" id="{00000000-0008-0000-1100-00002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44" name="Organigramme : Connecteur 43">
                  <a:extLst>
                    <a:ext uri="{FF2B5EF4-FFF2-40B4-BE49-F238E27FC236}">
                      <a16:creationId xmlns:a16="http://schemas.microsoft.com/office/drawing/2014/main" id="{00000000-0008-0000-1100-00002C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45" name="Organigramme : Connecteur 44">
                  <a:extLst>
                    <a:ext uri="{FF2B5EF4-FFF2-40B4-BE49-F238E27FC236}">
                      <a16:creationId xmlns:a16="http://schemas.microsoft.com/office/drawing/2014/main" id="{00000000-0008-0000-1100-00002D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46" name="Organigramme : Connecteur 45">
                  <a:extLst>
                    <a:ext uri="{FF2B5EF4-FFF2-40B4-BE49-F238E27FC236}">
                      <a16:creationId xmlns:a16="http://schemas.microsoft.com/office/drawing/2014/main" id="{00000000-0008-0000-1100-00002E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47" name="Groupe 46">
                  <a:extLst>
                    <a:ext uri="{FF2B5EF4-FFF2-40B4-BE49-F238E27FC236}">
                      <a16:creationId xmlns:a16="http://schemas.microsoft.com/office/drawing/2014/main" id="{00000000-0008-0000-1100-00002F000000}"/>
                    </a:ext>
                  </a:extLst>
                </xdr:cNvPr>
                <xdr:cNvGrpSpPr/>
              </xdr:nvGrpSpPr>
              <xdr:grpSpPr>
                <a:xfrm>
                  <a:off x="9092647" y="3592995"/>
                  <a:ext cx="3463788" cy="3155675"/>
                  <a:chOff x="9092647" y="3592995"/>
                  <a:chExt cx="3463788" cy="3155675"/>
                </a:xfrm>
              </xdr:grpSpPr>
              <xdr:sp macro="" textlink="">
                <xdr:nvSpPr>
                  <xdr:cNvPr id="48" name="Organigramme : Connecteur 47">
                    <a:extLst>
                      <a:ext uri="{FF2B5EF4-FFF2-40B4-BE49-F238E27FC236}">
                        <a16:creationId xmlns:a16="http://schemas.microsoft.com/office/drawing/2014/main" id="{00000000-0008-0000-1100-000030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49" name="Organigramme : Connecteur 48">
                    <a:extLst>
                      <a:ext uri="{FF2B5EF4-FFF2-40B4-BE49-F238E27FC236}">
                        <a16:creationId xmlns:a16="http://schemas.microsoft.com/office/drawing/2014/main" id="{00000000-0008-0000-1100-000031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6">
                <xdr:nvSpPr>
                  <xdr:cNvPr id="50" name="Organigramme : Connecteur 49">
                    <a:extLst>
                      <a:ext uri="{FF2B5EF4-FFF2-40B4-BE49-F238E27FC236}">
                        <a16:creationId xmlns:a16="http://schemas.microsoft.com/office/drawing/2014/main" id="{00000000-0008-0000-1100-000032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63F362-8B22-4449-BA8F-D83F2A3EE872}" type="TxLink">
                      <a:rPr lang="en-US" sz="1100" b="0" i="0" u="none" strike="noStrike">
                        <a:solidFill>
                          <a:srgbClr val="000000"/>
                        </a:solidFill>
                        <a:latin typeface="Calibri"/>
                        <a:cs typeface="Calibri"/>
                      </a:rPr>
                      <a:pPr algn="ctr"/>
                      <a:t> </a:t>
                    </a:fld>
                    <a:endParaRPr lang="fr-FR" sz="1100"/>
                  </a:p>
                </xdr:txBody>
              </xdr:sp>
              <xdr:sp macro="" textlink="$B$27">
                <xdr:nvSpPr>
                  <xdr:cNvPr id="51" name="Organigramme : Connecteur 50">
                    <a:extLst>
                      <a:ext uri="{FF2B5EF4-FFF2-40B4-BE49-F238E27FC236}">
                        <a16:creationId xmlns:a16="http://schemas.microsoft.com/office/drawing/2014/main" id="{00000000-0008-0000-1100-000033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52EAD06-1B3B-4E37-BD84-03A77855B54C}" type="TxLink">
                      <a:rPr lang="en-US" sz="1100" b="0" i="0" u="none" strike="noStrike">
                        <a:solidFill>
                          <a:srgbClr val="000000"/>
                        </a:solidFill>
                        <a:latin typeface="Calibri"/>
                        <a:cs typeface="Calibri"/>
                      </a:rPr>
                      <a:pPr algn="ctr"/>
                      <a:t> </a:t>
                    </a:fld>
                    <a:endParaRPr lang="fr-FR" sz="1100"/>
                  </a:p>
                </xdr:txBody>
              </xdr:sp>
              <xdr:sp macro="" textlink="$B$29">
                <xdr:nvSpPr>
                  <xdr:cNvPr id="52" name="Organigramme : Connecteur 51">
                    <a:extLst>
                      <a:ext uri="{FF2B5EF4-FFF2-40B4-BE49-F238E27FC236}">
                        <a16:creationId xmlns:a16="http://schemas.microsoft.com/office/drawing/2014/main" id="{00000000-0008-0000-1100-000034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E51C5D6-0BD4-4619-A879-C9B6C56CE8A4}" type="TxLink">
                      <a:rPr lang="en-US" sz="1100" b="0" i="0" u="none" strike="noStrike">
                        <a:solidFill>
                          <a:srgbClr val="000000"/>
                        </a:solidFill>
                        <a:latin typeface="Calibri"/>
                        <a:cs typeface="Calibri"/>
                      </a:rPr>
                      <a:pPr algn="ctr"/>
                      <a:t> </a:t>
                    </a:fld>
                    <a:endParaRPr lang="fr-FR" sz="1100"/>
                  </a:p>
                </xdr:txBody>
              </xdr:sp>
              <xdr:sp macro="" textlink="$B$31">
                <xdr:nvSpPr>
                  <xdr:cNvPr id="53" name="Organigramme : Connecteur 52">
                    <a:extLst>
                      <a:ext uri="{FF2B5EF4-FFF2-40B4-BE49-F238E27FC236}">
                        <a16:creationId xmlns:a16="http://schemas.microsoft.com/office/drawing/2014/main" id="{00000000-0008-0000-1100-000035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B64E26-1CA7-4CB1-BC20-9D70C0B4CAD2}" type="TxLink">
                      <a:rPr lang="en-US" sz="1100" b="0" i="0" u="none" strike="noStrike">
                        <a:solidFill>
                          <a:srgbClr val="000000"/>
                        </a:solidFill>
                        <a:latin typeface="Calibri"/>
                        <a:cs typeface="Calibri"/>
                      </a:rPr>
                      <a:pPr algn="ctr"/>
                      <a:t> </a:t>
                    </a:fld>
                    <a:endParaRPr lang="fr-FR" sz="1100"/>
                  </a:p>
                </xdr:txBody>
              </xdr:sp>
              <xdr:sp macro="" textlink="$B$30">
                <xdr:nvSpPr>
                  <xdr:cNvPr id="54" name="Organigramme : Connecteur 53">
                    <a:extLst>
                      <a:ext uri="{FF2B5EF4-FFF2-40B4-BE49-F238E27FC236}">
                        <a16:creationId xmlns:a16="http://schemas.microsoft.com/office/drawing/2014/main" id="{00000000-0008-0000-1100-000036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8DED866-5CA0-47AA-AAFB-707E0AA2339B}" type="TxLink">
                      <a:rPr lang="en-US" sz="1100" b="0" i="0" u="none" strike="noStrike">
                        <a:solidFill>
                          <a:srgbClr val="000000"/>
                        </a:solidFill>
                        <a:latin typeface="Calibri"/>
                        <a:cs typeface="Calibri"/>
                      </a:rPr>
                      <a:pPr algn="ctr"/>
                      <a:t> </a:t>
                    </a:fld>
                    <a:endParaRPr lang="fr-FR" sz="1100"/>
                  </a:p>
                </xdr:txBody>
              </xdr:sp>
              <xdr:sp macro="" textlink="$C$31">
                <xdr:nvSpPr>
                  <xdr:cNvPr id="55" name="Organigramme : Connecteur 54">
                    <a:extLst>
                      <a:ext uri="{FF2B5EF4-FFF2-40B4-BE49-F238E27FC236}">
                        <a16:creationId xmlns:a16="http://schemas.microsoft.com/office/drawing/2014/main" id="{00000000-0008-0000-1100-000037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B8F252F-1701-4893-8DA9-82D3A655A034}" type="TxLink">
                      <a:rPr lang="en-US" sz="1100" b="0" i="0" u="none" strike="noStrike">
                        <a:solidFill>
                          <a:srgbClr val="000000"/>
                        </a:solidFill>
                        <a:latin typeface="Calibri"/>
                        <a:cs typeface="Calibri"/>
                      </a:rPr>
                      <a:pPr algn="ctr"/>
                      <a:t> </a:t>
                    </a:fld>
                    <a:endParaRPr lang="fr-FR" sz="1100"/>
                  </a:p>
                </xdr:txBody>
              </xdr:sp>
              <xdr:sp macro="" textlink="$C$26">
                <xdr:nvSpPr>
                  <xdr:cNvPr id="56" name="Organigramme : Connecteur 55">
                    <a:extLst>
                      <a:ext uri="{FF2B5EF4-FFF2-40B4-BE49-F238E27FC236}">
                        <a16:creationId xmlns:a16="http://schemas.microsoft.com/office/drawing/2014/main" id="{00000000-0008-0000-1100-000038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334C02C-4725-4B9D-8C8F-9D95BA80E856}" type="TxLink">
                      <a:rPr lang="en-US" sz="1100" b="0" i="0" u="none" strike="noStrike">
                        <a:solidFill>
                          <a:srgbClr val="000000"/>
                        </a:solidFill>
                        <a:latin typeface="Calibri"/>
                        <a:cs typeface="Calibri"/>
                      </a:rPr>
                      <a:pPr algn="ctr"/>
                      <a:t> </a:t>
                    </a:fld>
                    <a:endParaRPr lang="fr-FR" sz="1100"/>
                  </a:p>
                </xdr:txBody>
              </xdr:sp>
              <xdr:sp macro="" textlink="$C$30">
                <xdr:nvSpPr>
                  <xdr:cNvPr id="57" name="Organigramme : Connecteur 56">
                    <a:extLst>
                      <a:ext uri="{FF2B5EF4-FFF2-40B4-BE49-F238E27FC236}">
                        <a16:creationId xmlns:a16="http://schemas.microsoft.com/office/drawing/2014/main" id="{00000000-0008-0000-1100-000039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CDCEC34-70D3-4A77-944F-DBF1B1BD5358}" type="TxLink">
                      <a:rPr lang="en-US" sz="1100" b="0" i="0" u="none" strike="noStrike">
                        <a:solidFill>
                          <a:srgbClr val="000000"/>
                        </a:solidFill>
                        <a:latin typeface="Calibri"/>
                        <a:cs typeface="Calibri"/>
                      </a:rPr>
                      <a:pPr algn="ctr"/>
                      <a:t> </a:t>
                    </a:fld>
                    <a:endParaRPr lang="fr-FR" sz="1100"/>
                  </a:p>
                </xdr:txBody>
              </xdr:sp>
              <xdr:sp macro="" textlink="$C$29">
                <xdr:nvSpPr>
                  <xdr:cNvPr id="58" name="Organigramme : Connecteur 57">
                    <a:extLst>
                      <a:ext uri="{FF2B5EF4-FFF2-40B4-BE49-F238E27FC236}">
                        <a16:creationId xmlns:a16="http://schemas.microsoft.com/office/drawing/2014/main" id="{00000000-0008-0000-1100-00003A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D63012E-7628-4D92-AEB7-4D388E68171E}" type="TxLink">
                      <a:rPr lang="en-US" sz="1100" b="0" i="0" u="none" strike="noStrike">
                        <a:solidFill>
                          <a:srgbClr val="000000"/>
                        </a:solidFill>
                        <a:latin typeface="Calibri"/>
                        <a:cs typeface="Calibri"/>
                      </a:rPr>
                      <a:pPr algn="ctr"/>
                      <a:t> </a:t>
                    </a:fld>
                    <a:endParaRPr lang="fr-FR" sz="1100"/>
                  </a:p>
                </xdr:txBody>
              </xdr:sp>
              <xdr:sp macro="" textlink="$C$27">
                <xdr:nvSpPr>
                  <xdr:cNvPr id="59" name="Organigramme : Connecteur 58">
                    <a:extLst>
                      <a:ext uri="{FF2B5EF4-FFF2-40B4-BE49-F238E27FC236}">
                        <a16:creationId xmlns:a16="http://schemas.microsoft.com/office/drawing/2014/main" id="{00000000-0008-0000-1100-00003B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9A252C4-ACFF-472F-9BC2-51D99FAA1C97}" type="TxLink">
                      <a:rPr lang="en-US" sz="1100" b="0" i="0" u="none" strike="noStrike">
                        <a:solidFill>
                          <a:srgbClr val="000000"/>
                        </a:solidFill>
                        <a:latin typeface="Calibri"/>
                        <a:cs typeface="Calibri"/>
                      </a:rPr>
                      <a:pPr algn="ctr"/>
                      <a:t> </a:t>
                    </a:fld>
                    <a:endParaRPr lang="fr-FR" sz="1100"/>
                  </a:p>
                </xdr:txBody>
              </xdr:sp>
              <xdr:grpSp>
                <xdr:nvGrpSpPr>
                  <xdr:cNvPr id="60" name="Groupe 59">
                    <a:extLst>
                      <a:ext uri="{FF2B5EF4-FFF2-40B4-BE49-F238E27FC236}">
                        <a16:creationId xmlns:a16="http://schemas.microsoft.com/office/drawing/2014/main" id="{00000000-0008-0000-1100-00003C000000}"/>
                      </a:ext>
                    </a:extLst>
                  </xdr:cNvPr>
                  <xdr:cNvGrpSpPr/>
                </xdr:nvGrpSpPr>
                <xdr:grpSpPr>
                  <a:xfrm>
                    <a:off x="9230139" y="3592995"/>
                    <a:ext cx="3326296" cy="2792482"/>
                    <a:chOff x="9230139" y="3592995"/>
                    <a:chExt cx="3326296" cy="2792482"/>
                  </a:xfrm>
                </xdr:grpSpPr>
                <xdr:grpSp>
                  <xdr:nvGrpSpPr>
                    <xdr:cNvPr id="61" name="Groupe 60">
                      <a:extLst>
                        <a:ext uri="{FF2B5EF4-FFF2-40B4-BE49-F238E27FC236}">
                          <a16:creationId xmlns:a16="http://schemas.microsoft.com/office/drawing/2014/main" id="{00000000-0008-0000-1100-00003D000000}"/>
                        </a:ext>
                      </a:extLst>
                    </xdr:cNvPr>
                    <xdr:cNvGrpSpPr/>
                  </xdr:nvGrpSpPr>
                  <xdr:grpSpPr>
                    <a:xfrm>
                      <a:off x="9310480" y="3635237"/>
                      <a:ext cx="2949367" cy="2750240"/>
                      <a:chOff x="9320893" y="3638550"/>
                      <a:chExt cx="2950550" cy="2755446"/>
                    </a:xfrm>
                  </xdr:grpSpPr>
                  <xdr:sp macro="" textlink="">
                    <xdr:nvSpPr>
                      <xdr:cNvPr id="62471" name="Cube 62470">
                        <a:extLst>
                          <a:ext uri="{FF2B5EF4-FFF2-40B4-BE49-F238E27FC236}">
                            <a16:creationId xmlns:a16="http://schemas.microsoft.com/office/drawing/2014/main" id="{00000000-0008-0000-1100-000007F4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62472" name="Connecteur droit 62471">
                        <a:extLst>
                          <a:ext uri="{FF2B5EF4-FFF2-40B4-BE49-F238E27FC236}">
                            <a16:creationId xmlns:a16="http://schemas.microsoft.com/office/drawing/2014/main" id="{00000000-0008-0000-1100-000008F4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2473" name="Connecteur droit 62472">
                        <a:extLst>
                          <a:ext uri="{FF2B5EF4-FFF2-40B4-BE49-F238E27FC236}">
                            <a16:creationId xmlns:a16="http://schemas.microsoft.com/office/drawing/2014/main" id="{00000000-0008-0000-1100-000009F4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2474" name="Connecteur droit 62473">
                        <a:extLst>
                          <a:ext uri="{FF2B5EF4-FFF2-40B4-BE49-F238E27FC236}">
                            <a16:creationId xmlns:a16="http://schemas.microsoft.com/office/drawing/2014/main" id="{00000000-0008-0000-1100-00000AF4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4">
                  <xdr:nvSpPr>
                    <xdr:cNvPr id="62" name="Organigramme : Connecteur 61">
                      <a:extLst>
                        <a:ext uri="{FF2B5EF4-FFF2-40B4-BE49-F238E27FC236}">
                          <a16:creationId xmlns:a16="http://schemas.microsoft.com/office/drawing/2014/main" id="{00000000-0008-0000-1100-00003E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6C58362-AB02-4DE1-822E-5EEF7CDF5FA9}" type="TxLink">
                        <a:rPr lang="en-US" sz="1100" b="0" i="0" u="none" strike="noStrike">
                          <a:solidFill>
                            <a:srgbClr val="000000"/>
                          </a:solidFill>
                          <a:latin typeface="Calibri"/>
                          <a:cs typeface="Calibri"/>
                        </a:rPr>
                        <a:pPr algn="ctr"/>
                        <a:t> </a:t>
                      </a:fld>
                      <a:endParaRPr lang="fr-FR" sz="1100"/>
                    </a:p>
                  </xdr:txBody>
                </xdr:sp>
                <xdr:sp macro="" textlink="$C$24">
                  <xdr:nvSpPr>
                    <xdr:cNvPr id="63" name="Organigramme : Connecteur 62">
                      <a:extLst>
                        <a:ext uri="{FF2B5EF4-FFF2-40B4-BE49-F238E27FC236}">
                          <a16:creationId xmlns:a16="http://schemas.microsoft.com/office/drawing/2014/main" id="{00000000-0008-0000-1100-00003F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A7A5C36-7E84-44E2-A814-F5300607AAB3}" type="TxLink">
                        <a:rPr lang="en-US" sz="1100" b="0" i="0" u="none" strike="noStrike">
                          <a:solidFill>
                            <a:srgbClr val="000000"/>
                          </a:solidFill>
                          <a:latin typeface="Calibri"/>
                          <a:cs typeface="Calibri"/>
                        </a:rPr>
                        <a:pPr algn="ctr"/>
                        <a:t> </a:t>
                      </a:fld>
                      <a:endParaRPr lang="fr-FR" sz="1100"/>
                    </a:p>
                  </xdr:txBody>
                </xdr:sp>
                <xdr:sp macro="" textlink="$B$25">
                  <xdr:nvSpPr>
                    <xdr:cNvPr id="62464" name="Organigramme : Connecteur 62463">
                      <a:extLst>
                        <a:ext uri="{FF2B5EF4-FFF2-40B4-BE49-F238E27FC236}">
                          <a16:creationId xmlns:a16="http://schemas.microsoft.com/office/drawing/2014/main" id="{00000000-0008-0000-1100-000000F4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810A220-2A71-4994-8FA0-072A21A509CC}" type="TxLink">
                        <a:rPr lang="en-US" sz="1100" b="0" i="0" u="none" strike="noStrike">
                          <a:solidFill>
                            <a:srgbClr val="000000"/>
                          </a:solidFill>
                          <a:latin typeface="Calibri"/>
                          <a:cs typeface="Calibri"/>
                        </a:rPr>
                        <a:pPr algn="ctr"/>
                        <a:t> </a:t>
                      </a:fld>
                      <a:endParaRPr lang="fr-FR" sz="1100"/>
                    </a:p>
                  </xdr:txBody>
                </xdr:sp>
                <xdr:sp macro="" textlink="$B$28">
                  <xdr:nvSpPr>
                    <xdr:cNvPr id="62466" name="Organigramme : Connecteur 62465">
                      <a:extLst>
                        <a:ext uri="{FF2B5EF4-FFF2-40B4-BE49-F238E27FC236}">
                          <a16:creationId xmlns:a16="http://schemas.microsoft.com/office/drawing/2014/main" id="{00000000-0008-0000-1100-000002F4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A397030-C00B-494F-9275-27918985CE7D}" type="TxLink">
                        <a:rPr lang="en-US" sz="1100" b="0" i="0" u="none" strike="noStrike">
                          <a:solidFill>
                            <a:srgbClr val="000000"/>
                          </a:solidFill>
                          <a:latin typeface="Calibri"/>
                          <a:cs typeface="Calibri"/>
                        </a:rPr>
                        <a:pPr algn="ctr"/>
                        <a:t> </a:t>
                      </a:fld>
                      <a:endParaRPr lang="fr-FR" sz="1100"/>
                    </a:p>
                  </xdr:txBody>
                </xdr:sp>
                <xdr:sp macro="" textlink="$B$32">
                  <xdr:nvSpPr>
                    <xdr:cNvPr id="62467" name="Organigramme : Connecteur 62466">
                      <a:extLst>
                        <a:ext uri="{FF2B5EF4-FFF2-40B4-BE49-F238E27FC236}">
                          <a16:creationId xmlns:a16="http://schemas.microsoft.com/office/drawing/2014/main" id="{00000000-0008-0000-1100-000003F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2AE9DA3-BF58-4E23-A4DD-6F98752576C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62468" name="Organigramme : Connecteur 62467">
                      <a:extLst>
                        <a:ext uri="{FF2B5EF4-FFF2-40B4-BE49-F238E27FC236}">
                          <a16:creationId xmlns:a16="http://schemas.microsoft.com/office/drawing/2014/main" id="{00000000-0008-0000-1100-000004F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C13ADA8-CF11-4C45-A5B5-95759E465B67}" type="TxLink">
                        <a:rPr lang="en-US" sz="1100" b="0" i="0" u="none" strike="noStrike">
                          <a:solidFill>
                            <a:srgbClr val="000000"/>
                          </a:solidFill>
                          <a:latin typeface="Calibri"/>
                          <a:cs typeface="Calibri"/>
                        </a:rPr>
                        <a:pPr algn="ctr"/>
                        <a:t> </a:t>
                      </a:fld>
                      <a:endParaRPr lang="fr-FR" sz="1100"/>
                    </a:p>
                  </xdr:txBody>
                </xdr:sp>
                <xdr:sp macro="" textlink="$C$28">
                  <xdr:nvSpPr>
                    <xdr:cNvPr id="62469" name="Organigramme : Connecteur 62468">
                      <a:extLst>
                        <a:ext uri="{FF2B5EF4-FFF2-40B4-BE49-F238E27FC236}">
                          <a16:creationId xmlns:a16="http://schemas.microsoft.com/office/drawing/2014/main" id="{00000000-0008-0000-1100-000005F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3509816-55DA-4DA7-9B90-70D00609DE22}" type="TxLink">
                        <a:rPr lang="en-US" sz="1100" b="0" i="0" u="none" strike="noStrike">
                          <a:solidFill>
                            <a:srgbClr val="000000"/>
                          </a:solidFill>
                          <a:latin typeface="Calibri"/>
                          <a:cs typeface="Calibri"/>
                        </a:rPr>
                        <a:pPr algn="ctr"/>
                        <a:t> </a:t>
                      </a:fld>
                      <a:endParaRPr lang="fr-FR" sz="1100"/>
                    </a:p>
                  </xdr:txBody>
                </xdr:sp>
                <xdr:sp macro="" textlink="$C$25">
                  <xdr:nvSpPr>
                    <xdr:cNvPr id="62470" name="Organigramme : Connecteur 62469">
                      <a:extLst>
                        <a:ext uri="{FF2B5EF4-FFF2-40B4-BE49-F238E27FC236}">
                          <a16:creationId xmlns:a16="http://schemas.microsoft.com/office/drawing/2014/main" id="{00000000-0008-0000-1100-000006F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C014BAA-DE8D-47DC-A53B-4A8DC81EA4D0}" type="TxLink">
                        <a:rPr lang="en-US" sz="1100" b="0" i="0" u="none" strike="noStrike">
                          <a:solidFill>
                            <a:srgbClr val="000000"/>
                          </a:solidFill>
                          <a:latin typeface="Calibri"/>
                          <a:cs typeface="Calibri"/>
                        </a:rPr>
                        <a:pPr algn="ctr"/>
                        <a:t> </a:t>
                      </a:fld>
                      <a:endParaRPr lang="fr-FR" sz="1100"/>
                    </a:p>
                  </xdr:txBody>
                </xdr:sp>
              </xdr:grpSp>
            </xdr:grpSp>
          </xdr:grpSp>
          <xdr:sp macro="" textlink="$B$24">
            <xdr:nvSpPr>
              <xdr:cNvPr id="38" name="Organigramme : Connecteur 37">
                <a:extLst>
                  <a:ext uri="{FF2B5EF4-FFF2-40B4-BE49-F238E27FC236}">
                    <a16:creationId xmlns:a16="http://schemas.microsoft.com/office/drawing/2014/main" id="{00000000-0008-0000-1100-000026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4">
            <xdr:nvSpPr>
              <xdr:cNvPr id="39" name="Organigramme : Connecteur 38">
                <a:extLst>
                  <a:ext uri="{FF2B5EF4-FFF2-40B4-BE49-F238E27FC236}">
                    <a16:creationId xmlns:a16="http://schemas.microsoft.com/office/drawing/2014/main" id="{00000000-0008-0000-1100-000027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40" name="ZoneTexte 39">
                <a:extLst>
                  <a:ext uri="{FF2B5EF4-FFF2-40B4-BE49-F238E27FC236}">
                    <a16:creationId xmlns:a16="http://schemas.microsoft.com/office/drawing/2014/main" id="{00000000-0008-0000-1100-000028000000}"/>
                  </a:ext>
                </a:extLst>
              </xdr:cNvPr>
              <xdr:cNvSpPr txBox="1"/>
            </xdr:nvSpPr>
            <xdr:spPr>
              <a:xfrm>
                <a:off x="8820978" y="6990521"/>
                <a:ext cx="1590261" cy="9701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a:p>
                <a:endParaRPr lang="fr-FR" sz="1100"/>
              </a:p>
              <a:p>
                <a:r>
                  <a:rPr lang="fr-FR" sz="1100"/>
                  <a:t>Sonde de régulation</a:t>
                </a:r>
              </a:p>
            </xdr:txBody>
          </xdr:sp>
        </xdr:grpSp>
      </xdr:grpSp>
      <xdr:cxnSp macro="">
        <xdr:nvCxnSpPr>
          <xdr:cNvPr id="62476" name="Connecteur droit avec flèche 62475">
            <a:extLst>
              <a:ext uri="{FF2B5EF4-FFF2-40B4-BE49-F238E27FC236}">
                <a16:creationId xmlns:a16="http://schemas.microsoft.com/office/drawing/2014/main" id="{00000000-0008-0000-1100-00000CF4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2478" name="ZoneTexte 62477">
            <a:extLst>
              <a:ext uri="{FF2B5EF4-FFF2-40B4-BE49-F238E27FC236}">
                <a16:creationId xmlns:a16="http://schemas.microsoft.com/office/drawing/2014/main" id="{00000000-0008-0000-1100-00000EF4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clientData/>
  </xdr:twoCellAnchor>
  <xdr:twoCellAnchor>
    <xdr:from>
      <xdr:col>11</xdr:col>
      <xdr:colOff>285750</xdr:colOff>
      <xdr:row>22</xdr:row>
      <xdr:rowOff>38100</xdr:rowOff>
    </xdr:from>
    <xdr:to>
      <xdr:col>11</xdr:col>
      <xdr:colOff>486134</xdr:colOff>
      <xdr:row>23</xdr:row>
      <xdr:rowOff>16963</xdr:rowOff>
    </xdr:to>
    <xdr:sp macro="" textlink="">
      <xdr:nvSpPr>
        <xdr:cNvPr id="62521" name="Organigramme : Connecteur 62520">
          <a:extLst>
            <a:ext uri="{FF2B5EF4-FFF2-40B4-BE49-F238E27FC236}">
              <a16:creationId xmlns:a16="http://schemas.microsoft.com/office/drawing/2014/main" id="{00000000-0008-0000-1100-000039F40000}"/>
            </a:ext>
          </a:extLst>
        </xdr:cNvPr>
        <xdr:cNvSpPr/>
      </xdr:nvSpPr>
      <xdr:spPr>
        <a:xfrm>
          <a:off x="10134600" y="4581525"/>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clientData/>
  </xdr:twoCellAnchor>
  <xdr:twoCellAnchor>
    <xdr:from>
      <xdr:col>10</xdr:col>
      <xdr:colOff>66675</xdr:colOff>
      <xdr:row>17</xdr:row>
      <xdr:rowOff>123825</xdr:rowOff>
    </xdr:from>
    <xdr:to>
      <xdr:col>10</xdr:col>
      <xdr:colOff>523875</xdr:colOff>
      <xdr:row>19</xdr:row>
      <xdr:rowOff>85725</xdr:rowOff>
    </xdr:to>
    <xdr:sp macro="" textlink="">
      <xdr:nvSpPr>
        <xdr:cNvPr id="62523" name="Étoile : 5 branches 62522">
          <a:extLst>
            <a:ext uri="{FF2B5EF4-FFF2-40B4-BE49-F238E27FC236}">
              <a16:creationId xmlns:a16="http://schemas.microsoft.com/office/drawing/2014/main" id="{00000000-0008-0000-1100-00003BF40000}"/>
            </a:ext>
          </a:extLst>
        </xdr:cNvPr>
        <xdr:cNvSpPr/>
      </xdr:nvSpPr>
      <xdr:spPr>
        <a:xfrm>
          <a:off x="9153525" y="3705225"/>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twoCellAnchor>
    <xdr:from>
      <xdr:col>10</xdr:col>
      <xdr:colOff>66675</xdr:colOff>
      <xdr:row>19</xdr:row>
      <xdr:rowOff>104775</xdr:rowOff>
    </xdr:from>
    <xdr:to>
      <xdr:col>10</xdr:col>
      <xdr:colOff>267059</xdr:colOff>
      <xdr:row>20</xdr:row>
      <xdr:rowOff>93163</xdr:rowOff>
    </xdr:to>
    <xdr:sp macro="" textlink="$B$33">
      <xdr:nvSpPr>
        <xdr:cNvPr id="62524" name="Organigramme : Connecteur 62523">
          <a:extLst>
            <a:ext uri="{FF2B5EF4-FFF2-40B4-BE49-F238E27FC236}">
              <a16:creationId xmlns:a16="http://schemas.microsoft.com/office/drawing/2014/main" id="{00000000-0008-0000-1100-00003CF40000}"/>
            </a:ext>
          </a:extLst>
        </xdr:cNvPr>
        <xdr:cNvSpPr/>
      </xdr:nvSpPr>
      <xdr:spPr>
        <a:xfrm>
          <a:off x="9153525" y="4067175"/>
          <a:ext cx="200384" cy="178888"/>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71D705A-40CE-432C-8EBD-9762BFF6F8D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clientData/>
  </xdr:twoCellAnchor>
  <xdr:twoCellAnchor>
    <xdr:from>
      <xdr:col>10</xdr:col>
      <xdr:colOff>276225</xdr:colOff>
      <xdr:row>19</xdr:row>
      <xdr:rowOff>104775</xdr:rowOff>
    </xdr:from>
    <xdr:to>
      <xdr:col>10</xdr:col>
      <xdr:colOff>476609</xdr:colOff>
      <xdr:row>20</xdr:row>
      <xdr:rowOff>93163</xdr:rowOff>
    </xdr:to>
    <xdr:sp macro="" textlink="$C$33">
      <xdr:nvSpPr>
        <xdr:cNvPr id="62525" name="Organigramme : Connecteur 62524">
          <a:extLst>
            <a:ext uri="{FF2B5EF4-FFF2-40B4-BE49-F238E27FC236}">
              <a16:creationId xmlns:a16="http://schemas.microsoft.com/office/drawing/2014/main" id="{00000000-0008-0000-1100-00003DF40000}"/>
            </a:ext>
          </a:extLst>
        </xdr:cNvPr>
        <xdr:cNvSpPr/>
      </xdr:nvSpPr>
      <xdr:spPr>
        <a:xfrm>
          <a:off x="9363075" y="4067175"/>
          <a:ext cx="200384" cy="178888"/>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3A72947-C8DF-48AD-B95B-4B6CC0A50BB8}" type="TxLink">
            <a:rPr lang="en-US" sz="1100" b="0" i="0" u="none" strike="noStrike">
              <a:solidFill>
                <a:srgbClr val="000000"/>
              </a:solidFill>
              <a:latin typeface="Calibri"/>
              <a:cs typeface="Calibri"/>
            </a:rPr>
            <a:pPr algn="ctr"/>
            <a:t> </a:t>
          </a:fld>
          <a:endParaRPr lang="fr-FR" sz="1100"/>
        </a:p>
      </xdr:txBody>
    </xdr:sp>
    <xdr:clientData/>
  </xdr:twoCellAnchor>
  <mc:AlternateContent xmlns:mc="http://schemas.openxmlformats.org/markup-compatibility/2006">
    <mc:Choice xmlns:a14="http://schemas.microsoft.com/office/drawing/2010/main" Requires="a14">
      <xdr:twoCellAnchor>
        <xdr:from>
          <xdr:col>8</xdr:col>
          <xdr:colOff>466725</xdr:colOff>
          <xdr:row>5</xdr:row>
          <xdr:rowOff>9525</xdr:rowOff>
        </xdr:from>
        <xdr:to>
          <xdr:col>12</xdr:col>
          <xdr:colOff>619125</xdr:colOff>
          <xdr:row>10</xdr:row>
          <xdr:rowOff>114300</xdr:rowOff>
        </xdr:to>
        <xdr:sp macro="" textlink="">
          <xdr:nvSpPr>
            <xdr:cNvPr id="74754" name="Button 2" hidden="1">
              <a:extLst>
                <a:ext uri="{63B3BB69-23CF-44E3-9099-C40C66FF867C}">
                  <a14:compatExt spid="_x0000_s74754"/>
                </a:ext>
                <a:ext uri="{FF2B5EF4-FFF2-40B4-BE49-F238E27FC236}">
                  <a16:creationId xmlns:a16="http://schemas.microsoft.com/office/drawing/2014/main" id="{00000000-0008-0000-1100-0000022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ressuage BCH</a:t>
              </a:r>
            </a:p>
          </xdr:txBody>
        </xdr:sp>
        <xdr:clientData fPrintsWithSheet="0"/>
      </xdr:twoCellAnchor>
    </mc:Choice>
    <mc:Fallback/>
  </mc:AlternateContent>
  <xdr:twoCellAnchor>
    <xdr:from>
      <xdr:col>7</xdr:col>
      <xdr:colOff>133350</xdr:colOff>
      <xdr:row>35</xdr:row>
      <xdr:rowOff>133350</xdr:rowOff>
    </xdr:from>
    <xdr:to>
      <xdr:col>7</xdr:col>
      <xdr:colOff>533400</xdr:colOff>
      <xdr:row>37</xdr:row>
      <xdr:rowOff>95250</xdr:rowOff>
    </xdr:to>
    <xdr:sp macro="" textlink="">
      <xdr:nvSpPr>
        <xdr:cNvPr id="2" name="Étoile : 5 branches 1">
          <a:extLst>
            <a:ext uri="{FF2B5EF4-FFF2-40B4-BE49-F238E27FC236}">
              <a16:creationId xmlns:a16="http://schemas.microsoft.com/office/drawing/2014/main" id="{00000000-0008-0000-1100-000002000000}"/>
            </a:ext>
          </a:extLst>
        </xdr:cNvPr>
        <xdr:cNvSpPr/>
      </xdr:nvSpPr>
      <xdr:spPr>
        <a:xfrm>
          <a:off x="6934200" y="8191500"/>
          <a:ext cx="40005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26</xdr:row>
      <xdr:rowOff>0</xdr:rowOff>
    </xdr:from>
    <xdr:to>
      <xdr:col>12</xdr:col>
      <xdr:colOff>104775</xdr:colOff>
      <xdr:row>46</xdr:row>
      <xdr:rowOff>57150</xdr:rowOff>
    </xdr:to>
    <xdr:graphicFrame macro="">
      <xdr:nvGraphicFramePr>
        <xdr:cNvPr id="3" name="Graphique 2">
          <a:extLst>
            <a:ext uri="{FF2B5EF4-FFF2-40B4-BE49-F238E27FC236}">
              <a16:creationId xmlns:a16="http://schemas.microsoft.com/office/drawing/2014/main" id="{00000000-0008-0000-1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4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800" kern="1200">
              <a:solidFill>
                <a:schemeClr val="tx1"/>
              </a:solidFill>
              <a:effectLst/>
              <a:latin typeface="+mn-lt"/>
              <a:ea typeface="+mn-ea"/>
              <a:cs typeface="+mn-cs"/>
            </a:rPr>
            <a:t>L’enregistreur portable est programmé pour obtenir un enregistrement toutes les minutes des 9 thermocouples de TUS. Les données de l’enregistreur portable ne sont pas corrigées. Les corrections (voie de l’enregistreur + thermocouple) sont appliquées à postériori. </a:t>
          </a:r>
          <a:endParaRPr lang="fr-FR" sz="2000">
            <a:effectLst/>
          </a:endParaRPr>
        </a:p>
        <a:p>
          <a:r>
            <a:rPr lang="fr-FR" sz="1800" kern="1200">
              <a:solidFill>
                <a:schemeClr val="tx1"/>
              </a:solidFill>
              <a:effectLst/>
              <a:latin typeface="+mn-lt"/>
              <a:ea typeface="+mn-ea"/>
              <a:cs typeface="+mn-cs"/>
            </a:rPr>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endParaRPr lang="fr-FR" sz="2000">
            <a:effectLst/>
          </a:endParaRPr>
        </a:p>
        <a:p>
          <a:r>
            <a:rPr lang="fr-FR" sz="1800" kern="1200">
              <a:solidFill>
                <a:schemeClr val="tx1"/>
              </a:solidFill>
              <a:effectLst/>
              <a:latin typeface="+mn-lt"/>
              <a:ea typeface="+mn-ea"/>
              <a:cs typeface="+mn-cs"/>
            </a:rPr>
            <a:t>Les 9 capteurs de contrôle sont positionnés de telle sorte à représenter le volume utile à contrôler.</a:t>
          </a:r>
          <a:endParaRPr lang="fr-FR" sz="2000">
            <a:effectLst/>
          </a:endParaRPr>
        </a:p>
        <a:p>
          <a:r>
            <a:rPr lang="fr-FR" sz="1800" kern="1200">
              <a:solidFill>
                <a:schemeClr val="tx1"/>
              </a:solidFill>
              <a:effectLst/>
              <a:latin typeface="+mn-lt"/>
              <a:ea typeface="+mn-ea"/>
              <a:cs typeface="+mn-cs"/>
            </a:rPr>
            <a:t>Les fichiers informatiques des données créés par les enregistreurs sous format .uhh ne sont pas modifiables.</a:t>
          </a:r>
          <a:endParaRPr lang="fr-FR" sz="2000">
            <a:effectLst/>
          </a:endParaRPr>
        </a:p>
        <a:p>
          <a:br>
            <a:rPr lang="fr-FR" sz="1800" kern="1200">
              <a:solidFill>
                <a:schemeClr val="tx1"/>
              </a:solidFill>
              <a:effectLst/>
              <a:latin typeface="+mn-lt"/>
              <a:ea typeface="+mn-ea"/>
              <a:cs typeface="+mn-cs"/>
            </a:rPr>
          </a:br>
          <a:r>
            <a:rPr lang="fr-FR" sz="1800" kern="1200">
              <a:solidFill>
                <a:schemeClr val="tx1"/>
              </a:solidFill>
              <a:effectLst/>
              <a:latin typeface="+mn-lt"/>
              <a:ea typeface="+mn-ea"/>
              <a:cs typeface="+mn-cs"/>
            </a:rPr>
            <a:t> </a:t>
          </a:r>
          <a:endParaRPr lang="fr-FR" sz="2000">
            <a:effectLst/>
          </a:endParaRP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1" name="Image 10" descr="fregat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421822</xdr:colOff>
      <xdr:row>165</xdr:row>
      <xdr:rowOff>163286</xdr:rowOff>
    </xdr:from>
    <xdr:to>
      <xdr:col>7</xdr:col>
      <xdr:colOff>1000126</xdr:colOff>
      <xdr:row>190</xdr:row>
      <xdr:rowOff>54429</xdr:rowOff>
    </xdr:to>
    <xdr:grpSp>
      <xdr:nvGrpSpPr>
        <xdr:cNvPr id="12" name="Groupe 11">
          <a:extLst>
            <a:ext uri="{FF2B5EF4-FFF2-40B4-BE49-F238E27FC236}">
              <a16:creationId xmlns:a16="http://schemas.microsoft.com/office/drawing/2014/main" id="{00000000-0008-0000-1400-00000C000000}"/>
            </a:ext>
          </a:extLst>
        </xdr:cNvPr>
        <xdr:cNvGrpSpPr/>
      </xdr:nvGrpSpPr>
      <xdr:grpSpPr>
        <a:xfrm>
          <a:off x="7851322" y="36861750"/>
          <a:ext cx="5762625" cy="4653643"/>
          <a:chOff x="7058025" y="2857499"/>
          <a:chExt cx="5762625" cy="4653643"/>
        </a:xfrm>
      </xdr:grpSpPr>
      <xdr:grpSp>
        <xdr:nvGrpSpPr>
          <xdr:cNvPr id="13" name="Groupe 12">
            <a:extLst>
              <a:ext uri="{FF2B5EF4-FFF2-40B4-BE49-F238E27FC236}">
                <a16:creationId xmlns:a16="http://schemas.microsoft.com/office/drawing/2014/main" id="{00000000-0008-0000-1400-00000D000000}"/>
              </a:ext>
            </a:extLst>
          </xdr:cNvPr>
          <xdr:cNvGrpSpPr/>
        </xdr:nvGrpSpPr>
        <xdr:grpSpPr>
          <a:xfrm>
            <a:off x="7058025" y="2857499"/>
            <a:ext cx="4391025" cy="4653643"/>
            <a:chOff x="8605630" y="3404152"/>
            <a:chExt cx="4174435" cy="4524804"/>
          </a:xfrm>
        </xdr:grpSpPr>
        <xdr:sp macro="" textlink="">
          <xdr:nvSpPr>
            <xdr:cNvPr id="16" name="Organigramme : Connecteur 15">
              <a:extLst>
                <a:ext uri="{FF2B5EF4-FFF2-40B4-BE49-F238E27FC236}">
                  <a16:creationId xmlns:a16="http://schemas.microsoft.com/office/drawing/2014/main" id="{00000000-0008-0000-1400-000010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7" name="Groupe 16">
              <a:extLst>
                <a:ext uri="{FF2B5EF4-FFF2-40B4-BE49-F238E27FC236}">
                  <a16:creationId xmlns:a16="http://schemas.microsoft.com/office/drawing/2014/main" id="{00000000-0008-0000-1400-000011000000}"/>
                </a:ext>
              </a:extLst>
            </xdr:cNvPr>
            <xdr:cNvGrpSpPr/>
          </xdr:nvGrpSpPr>
          <xdr:grpSpPr>
            <a:xfrm>
              <a:off x="8605630" y="3404152"/>
              <a:ext cx="4174435" cy="4524804"/>
              <a:chOff x="8605630" y="3404152"/>
              <a:chExt cx="4174435" cy="4524804"/>
            </a:xfrm>
          </xdr:grpSpPr>
          <xdr:grpSp>
            <xdr:nvGrpSpPr>
              <xdr:cNvPr id="18" name="Groupe 17">
                <a:extLst>
                  <a:ext uri="{FF2B5EF4-FFF2-40B4-BE49-F238E27FC236}">
                    <a16:creationId xmlns:a16="http://schemas.microsoft.com/office/drawing/2014/main" id="{00000000-0008-0000-1400-000012000000}"/>
                  </a:ext>
                </a:extLst>
              </xdr:cNvPr>
              <xdr:cNvGrpSpPr/>
            </xdr:nvGrpSpPr>
            <xdr:grpSpPr>
              <a:xfrm>
                <a:off x="9316277" y="3404152"/>
                <a:ext cx="3463788" cy="3327953"/>
                <a:chOff x="9092647" y="3420717"/>
                <a:chExt cx="3463788" cy="3327953"/>
              </a:xfrm>
            </xdr:grpSpPr>
            <xdr:sp macro="" textlink="">
              <xdr:nvSpPr>
                <xdr:cNvPr id="22" name="Organigramme : Connecteur 21">
                  <a:extLst>
                    <a:ext uri="{FF2B5EF4-FFF2-40B4-BE49-F238E27FC236}">
                      <a16:creationId xmlns:a16="http://schemas.microsoft.com/office/drawing/2014/main" id="{00000000-0008-0000-1400-000016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3" name="Organigramme : Connecteur 22">
                  <a:extLst>
                    <a:ext uri="{FF2B5EF4-FFF2-40B4-BE49-F238E27FC236}">
                      <a16:creationId xmlns:a16="http://schemas.microsoft.com/office/drawing/2014/main" id="{00000000-0008-0000-1400-000017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4" name="Organigramme : Connecteur 23">
                  <a:extLst>
                    <a:ext uri="{FF2B5EF4-FFF2-40B4-BE49-F238E27FC236}">
                      <a16:creationId xmlns:a16="http://schemas.microsoft.com/office/drawing/2014/main" id="{00000000-0008-0000-1400-000018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5" name="Organigramme : Connecteur 24">
                  <a:extLst>
                    <a:ext uri="{FF2B5EF4-FFF2-40B4-BE49-F238E27FC236}">
                      <a16:creationId xmlns:a16="http://schemas.microsoft.com/office/drawing/2014/main" id="{00000000-0008-0000-1400-000019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6" name="Organigramme : Connecteur 25">
                  <a:extLst>
                    <a:ext uri="{FF2B5EF4-FFF2-40B4-BE49-F238E27FC236}">
                      <a16:creationId xmlns:a16="http://schemas.microsoft.com/office/drawing/2014/main" id="{00000000-0008-0000-1400-00001A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27" name="Organigramme : Connecteur 26">
                  <a:extLst>
                    <a:ext uri="{FF2B5EF4-FFF2-40B4-BE49-F238E27FC236}">
                      <a16:creationId xmlns:a16="http://schemas.microsoft.com/office/drawing/2014/main" id="{00000000-0008-0000-1400-00001B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28" name="Groupe 27">
                  <a:extLst>
                    <a:ext uri="{FF2B5EF4-FFF2-40B4-BE49-F238E27FC236}">
                      <a16:creationId xmlns:a16="http://schemas.microsoft.com/office/drawing/2014/main" id="{00000000-0008-0000-1400-00001C000000}"/>
                    </a:ext>
                  </a:extLst>
                </xdr:cNvPr>
                <xdr:cNvGrpSpPr/>
              </xdr:nvGrpSpPr>
              <xdr:grpSpPr>
                <a:xfrm>
                  <a:off x="9092647" y="3592995"/>
                  <a:ext cx="3463788" cy="3155675"/>
                  <a:chOff x="9092647" y="3592995"/>
                  <a:chExt cx="3463788" cy="3155675"/>
                </a:xfrm>
              </xdr:grpSpPr>
              <xdr:sp macro="" textlink="">
                <xdr:nvSpPr>
                  <xdr:cNvPr id="29" name="Organigramme : Connecteur 28">
                    <a:extLst>
                      <a:ext uri="{FF2B5EF4-FFF2-40B4-BE49-F238E27FC236}">
                        <a16:creationId xmlns:a16="http://schemas.microsoft.com/office/drawing/2014/main" id="{00000000-0008-0000-1400-00001D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30" name="Organigramme : Connecteur 29">
                    <a:extLst>
                      <a:ext uri="{FF2B5EF4-FFF2-40B4-BE49-F238E27FC236}">
                        <a16:creationId xmlns:a16="http://schemas.microsoft.com/office/drawing/2014/main" id="{00000000-0008-0000-1400-00001E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Ressuage_BCH!$B$26">
                <xdr:nvSpPr>
                  <xdr:cNvPr id="31" name="Organigramme : Connecteur 30">
                    <a:extLst>
                      <a:ext uri="{FF2B5EF4-FFF2-40B4-BE49-F238E27FC236}">
                        <a16:creationId xmlns:a16="http://schemas.microsoft.com/office/drawing/2014/main" id="{00000000-0008-0000-1400-00001F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C22A5D-4F8C-47E5-9C85-AB9BC54E9D44}" type="TxLink">
                      <a:rPr lang="en-US" sz="1100" b="0" i="0" u="none" strike="noStrike">
                        <a:solidFill>
                          <a:srgbClr val="000000"/>
                        </a:solidFill>
                        <a:latin typeface="Calibri"/>
                        <a:cs typeface="Calibri"/>
                      </a:rPr>
                      <a:pPr algn="ctr"/>
                      <a:t> </a:t>
                    </a:fld>
                    <a:endParaRPr lang="fr-FR" sz="1100"/>
                  </a:p>
                </xdr:txBody>
              </xdr:sp>
              <xdr:sp macro="" textlink="Mesures_Ressuage_BCH!$B$27">
                <xdr:nvSpPr>
                  <xdr:cNvPr id="32" name="Organigramme : Connecteur 31">
                    <a:extLst>
                      <a:ext uri="{FF2B5EF4-FFF2-40B4-BE49-F238E27FC236}">
                        <a16:creationId xmlns:a16="http://schemas.microsoft.com/office/drawing/2014/main" id="{00000000-0008-0000-1400-000020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18A699-9F0E-4E17-B70B-7E9EAC0A8C50}" type="TxLink">
                      <a:rPr lang="en-US" sz="1100" b="0" i="0" u="none" strike="noStrike">
                        <a:solidFill>
                          <a:srgbClr val="000000"/>
                        </a:solidFill>
                        <a:latin typeface="Calibri"/>
                        <a:cs typeface="Calibri"/>
                      </a:rPr>
                      <a:pPr algn="ctr"/>
                      <a:t> </a:t>
                    </a:fld>
                    <a:endParaRPr lang="fr-FR" sz="1100"/>
                  </a:p>
                </xdr:txBody>
              </xdr:sp>
              <xdr:sp macro="" textlink="Mesures_Ressuage_BCH!$B$29">
                <xdr:nvSpPr>
                  <xdr:cNvPr id="33" name="Organigramme : Connecteur 32">
                    <a:extLst>
                      <a:ext uri="{FF2B5EF4-FFF2-40B4-BE49-F238E27FC236}">
                        <a16:creationId xmlns:a16="http://schemas.microsoft.com/office/drawing/2014/main" id="{00000000-0008-0000-1400-000021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259792E-6714-4C58-900E-1D14A9448FEB}" type="TxLink">
                      <a:rPr lang="en-US" sz="1100" b="0" i="0" u="none" strike="noStrike">
                        <a:solidFill>
                          <a:srgbClr val="000000"/>
                        </a:solidFill>
                        <a:latin typeface="Calibri"/>
                        <a:cs typeface="Calibri"/>
                      </a:rPr>
                      <a:pPr algn="ctr"/>
                      <a:t> </a:t>
                    </a:fld>
                    <a:endParaRPr lang="fr-FR" sz="1100"/>
                  </a:p>
                </xdr:txBody>
              </xdr:sp>
              <xdr:sp macro="" textlink="Mesures_Ressuage_BCH!$B$31">
                <xdr:nvSpPr>
                  <xdr:cNvPr id="34" name="Organigramme : Connecteur 33">
                    <a:extLst>
                      <a:ext uri="{FF2B5EF4-FFF2-40B4-BE49-F238E27FC236}">
                        <a16:creationId xmlns:a16="http://schemas.microsoft.com/office/drawing/2014/main" id="{00000000-0008-0000-1400-000022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60A6DA5-AFA0-40AD-821A-D3CB56AA945F}" type="TxLink">
                      <a:rPr lang="en-US" sz="1100" b="0" i="0" u="none" strike="noStrike">
                        <a:solidFill>
                          <a:srgbClr val="000000"/>
                        </a:solidFill>
                        <a:latin typeface="Calibri"/>
                        <a:cs typeface="Calibri"/>
                      </a:rPr>
                      <a:pPr algn="ctr"/>
                      <a:t> </a:t>
                    </a:fld>
                    <a:endParaRPr lang="fr-FR" sz="1100"/>
                  </a:p>
                </xdr:txBody>
              </xdr:sp>
              <xdr:sp macro="" textlink="Mesures_Ressuage_BCH!$B$30">
                <xdr:nvSpPr>
                  <xdr:cNvPr id="35" name="Organigramme : Connecteur 34">
                    <a:extLst>
                      <a:ext uri="{FF2B5EF4-FFF2-40B4-BE49-F238E27FC236}">
                        <a16:creationId xmlns:a16="http://schemas.microsoft.com/office/drawing/2014/main" id="{00000000-0008-0000-1400-000023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02E0C4A-40B1-4BA0-A2F0-6A45C0C346FB}" type="TxLink">
                      <a:rPr lang="en-US" sz="1100" b="0" i="0" u="none" strike="noStrike">
                        <a:solidFill>
                          <a:srgbClr val="000000"/>
                        </a:solidFill>
                        <a:latin typeface="Calibri"/>
                        <a:cs typeface="Calibri"/>
                      </a:rPr>
                      <a:pPr algn="ctr"/>
                      <a:t> </a:t>
                    </a:fld>
                    <a:endParaRPr lang="fr-FR" sz="1100"/>
                  </a:p>
                </xdr:txBody>
              </xdr:sp>
              <xdr:sp macro="" textlink="Mesures_Ressuage_BCH!$C$31">
                <xdr:nvSpPr>
                  <xdr:cNvPr id="36" name="Organigramme : Connecteur 35">
                    <a:extLst>
                      <a:ext uri="{FF2B5EF4-FFF2-40B4-BE49-F238E27FC236}">
                        <a16:creationId xmlns:a16="http://schemas.microsoft.com/office/drawing/2014/main" id="{00000000-0008-0000-1400-000024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9CD6431-C007-4227-B35C-BBFF1B7F4FBE}" type="TxLink">
                      <a:rPr lang="en-US" sz="1100" b="0" i="0" u="none" strike="noStrike">
                        <a:solidFill>
                          <a:srgbClr val="000000"/>
                        </a:solidFill>
                        <a:latin typeface="Calibri"/>
                        <a:cs typeface="Calibri"/>
                      </a:rPr>
                      <a:pPr algn="ctr"/>
                      <a:t> </a:t>
                    </a:fld>
                    <a:endParaRPr lang="fr-FR" sz="1100"/>
                  </a:p>
                </xdr:txBody>
              </xdr:sp>
              <xdr:sp macro="" textlink="Mesures_Ressuage_BCH!$C$26">
                <xdr:nvSpPr>
                  <xdr:cNvPr id="37" name="Organigramme : Connecteur 36">
                    <a:extLst>
                      <a:ext uri="{FF2B5EF4-FFF2-40B4-BE49-F238E27FC236}">
                        <a16:creationId xmlns:a16="http://schemas.microsoft.com/office/drawing/2014/main" id="{00000000-0008-0000-1400-000025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7F77DD-7ACC-41E5-9841-C70E0085CF35}" type="TxLink">
                      <a:rPr lang="en-US" sz="1100" b="0" i="0" u="none" strike="noStrike">
                        <a:solidFill>
                          <a:srgbClr val="000000"/>
                        </a:solidFill>
                        <a:latin typeface="Calibri"/>
                        <a:cs typeface="Calibri"/>
                      </a:rPr>
                      <a:pPr algn="ctr"/>
                      <a:t> </a:t>
                    </a:fld>
                    <a:endParaRPr lang="fr-FR" sz="1100"/>
                  </a:p>
                </xdr:txBody>
              </xdr:sp>
              <xdr:sp macro="" textlink="Mesures_Ressuage_BCH!$C$30">
                <xdr:nvSpPr>
                  <xdr:cNvPr id="38" name="Organigramme : Connecteur 37">
                    <a:extLst>
                      <a:ext uri="{FF2B5EF4-FFF2-40B4-BE49-F238E27FC236}">
                        <a16:creationId xmlns:a16="http://schemas.microsoft.com/office/drawing/2014/main" id="{00000000-0008-0000-1400-000026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58634FA-368C-4663-9F82-90741F4BF4D3}" type="TxLink">
                      <a:rPr lang="en-US" sz="1100" b="0" i="0" u="none" strike="noStrike">
                        <a:solidFill>
                          <a:srgbClr val="000000"/>
                        </a:solidFill>
                        <a:latin typeface="Calibri"/>
                        <a:cs typeface="Calibri"/>
                      </a:rPr>
                      <a:pPr algn="ctr"/>
                      <a:t> </a:t>
                    </a:fld>
                    <a:endParaRPr lang="fr-FR" sz="1100"/>
                  </a:p>
                </xdr:txBody>
              </xdr:sp>
              <xdr:sp macro="" textlink="Mesures_Ressuage_BCH!$C$29">
                <xdr:nvSpPr>
                  <xdr:cNvPr id="39" name="Organigramme : Connecteur 38">
                    <a:extLst>
                      <a:ext uri="{FF2B5EF4-FFF2-40B4-BE49-F238E27FC236}">
                        <a16:creationId xmlns:a16="http://schemas.microsoft.com/office/drawing/2014/main" id="{00000000-0008-0000-1400-000027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748FCE4-BC9C-48D5-BB9F-6CEC3C9926BA}" type="TxLink">
                      <a:rPr lang="en-US" sz="1100" b="0" i="0" u="none" strike="noStrike">
                        <a:solidFill>
                          <a:srgbClr val="000000"/>
                        </a:solidFill>
                        <a:latin typeface="Calibri"/>
                        <a:cs typeface="Calibri"/>
                      </a:rPr>
                      <a:pPr algn="ctr"/>
                      <a:t> </a:t>
                    </a:fld>
                    <a:endParaRPr lang="fr-FR" sz="1100"/>
                  </a:p>
                </xdr:txBody>
              </xdr:sp>
              <xdr:sp macro="" textlink="Mesures_Ressuage_BCH!$C$27">
                <xdr:nvSpPr>
                  <xdr:cNvPr id="40" name="Organigramme : Connecteur 39">
                    <a:extLst>
                      <a:ext uri="{FF2B5EF4-FFF2-40B4-BE49-F238E27FC236}">
                        <a16:creationId xmlns:a16="http://schemas.microsoft.com/office/drawing/2014/main" id="{00000000-0008-0000-1400-000028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39B8FCA-2D89-40E7-ADB3-04034FABB2F9}" type="TxLink">
                      <a:rPr lang="en-US" sz="1100" b="0" i="0" u="none" strike="noStrike">
                        <a:solidFill>
                          <a:srgbClr val="000000"/>
                        </a:solidFill>
                        <a:latin typeface="Calibri"/>
                        <a:cs typeface="Calibri"/>
                      </a:rPr>
                      <a:pPr algn="ctr"/>
                      <a:t> </a:t>
                    </a:fld>
                    <a:endParaRPr lang="fr-FR" sz="1100"/>
                  </a:p>
                </xdr:txBody>
              </xdr:sp>
              <xdr:grpSp>
                <xdr:nvGrpSpPr>
                  <xdr:cNvPr id="41" name="Groupe 40">
                    <a:extLst>
                      <a:ext uri="{FF2B5EF4-FFF2-40B4-BE49-F238E27FC236}">
                        <a16:creationId xmlns:a16="http://schemas.microsoft.com/office/drawing/2014/main" id="{00000000-0008-0000-1400-000029000000}"/>
                      </a:ext>
                    </a:extLst>
                  </xdr:cNvPr>
                  <xdr:cNvGrpSpPr/>
                </xdr:nvGrpSpPr>
                <xdr:grpSpPr>
                  <a:xfrm>
                    <a:off x="9230139" y="3592995"/>
                    <a:ext cx="3326296" cy="2792482"/>
                    <a:chOff x="9230139" y="3592995"/>
                    <a:chExt cx="3326296" cy="2792482"/>
                  </a:xfrm>
                </xdr:grpSpPr>
                <xdr:grpSp>
                  <xdr:nvGrpSpPr>
                    <xdr:cNvPr id="42" name="Groupe 41">
                      <a:extLst>
                        <a:ext uri="{FF2B5EF4-FFF2-40B4-BE49-F238E27FC236}">
                          <a16:creationId xmlns:a16="http://schemas.microsoft.com/office/drawing/2014/main" id="{00000000-0008-0000-1400-00002A000000}"/>
                        </a:ext>
                      </a:extLst>
                    </xdr:cNvPr>
                    <xdr:cNvGrpSpPr/>
                  </xdr:nvGrpSpPr>
                  <xdr:grpSpPr>
                    <a:xfrm>
                      <a:off x="9310480" y="3635237"/>
                      <a:ext cx="2949367" cy="2750240"/>
                      <a:chOff x="9320893" y="3638550"/>
                      <a:chExt cx="2950550" cy="2755446"/>
                    </a:xfrm>
                  </xdr:grpSpPr>
                  <xdr:sp macro="" textlink="">
                    <xdr:nvSpPr>
                      <xdr:cNvPr id="95" name="Cube 94">
                        <a:extLst>
                          <a:ext uri="{FF2B5EF4-FFF2-40B4-BE49-F238E27FC236}">
                            <a16:creationId xmlns:a16="http://schemas.microsoft.com/office/drawing/2014/main" id="{00000000-0008-0000-1400-00005F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96" name="Connecteur droit 95">
                        <a:extLst>
                          <a:ext uri="{FF2B5EF4-FFF2-40B4-BE49-F238E27FC236}">
                            <a16:creationId xmlns:a16="http://schemas.microsoft.com/office/drawing/2014/main" id="{00000000-0008-0000-1400-000060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7" name="Connecteur droit 96">
                        <a:extLst>
                          <a:ext uri="{FF2B5EF4-FFF2-40B4-BE49-F238E27FC236}">
                            <a16:creationId xmlns:a16="http://schemas.microsoft.com/office/drawing/2014/main" id="{00000000-0008-0000-1400-000061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8" name="Connecteur droit 97">
                        <a:extLst>
                          <a:ext uri="{FF2B5EF4-FFF2-40B4-BE49-F238E27FC236}">
                            <a16:creationId xmlns:a16="http://schemas.microsoft.com/office/drawing/2014/main" id="{00000000-0008-0000-1400-000062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Ressuage_BCH!$B$24">
                  <xdr:nvSpPr>
                    <xdr:cNvPr id="43" name="Organigramme : Connecteur 42">
                      <a:extLst>
                        <a:ext uri="{FF2B5EF4-FFF2-40B4-BE49-F238E27FC236}">
                          <a16:creationId xmlns:a16="http://schemas.microsoft.com/office/drawing/2014/main" id="{00000000-0008-0000-1400-00002B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AC9174C-A292-4DC5-B514-1B25F014A748}" type="TxLink">
                        <a:rPr lang="en-US" sz="1100" b="0" i="0" u="none" strike="noStrike">
                          <a:solidFill>
                            <a:srgbClr val="000000"/>
                          </a:solidFill>
                          <a:latin typeface="Calibri"/>
                          <a:cs typeface="Calibri"/>
                        </a:rPr>
                        <a:pPr algn="ctr"/>
                        <a:t> </a:t>
                      </a:fld>
                      <a:endParaRPr lang="fr-FR" sz="1100"/>
                    </a:p>
                  </xdr:txBody>
                </xdr:sp>
                <xdr:sp macro="" textlink="Mesures_Ressuage_BCH!$C$24">
                  <xdr:nvSpPr>
                    <xdr:cNvPr id="44" name="Organigramme : Connecteur 43">
                      <a:extLst>
                        <a:ext uri="{FF2B5EF4-FFF2-40B4-BE49-F238E27FC236}">
                          <a16:creationId xmlns:a16="http://schemas.microsoft.com/office/drawing/2014/main" id="{00000000-0008-0000-1400-00002C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2193BEC-4F31-4135-A484-7F98662BE9B7}" type="TxLink">
                        <a:rPr lang="en-US" sz="1100" b="0" i="0" u="none" strike="noStrike">
                          <a:solidFill>
                            <a:srgbClr val="000000"/>
                          </a:solidFill>
                          <a:latin typeface="Calibri"/>
                          <a:cs typeface="Calibri"/>
                        </a:rPr>
                        <a:pPr algn="ctr"/>
                        <a:t> </a:t>
                      </a:fld>
                      <a:endParaRPr lang="fr-FR" sz="1100"/>
                    </a:p>
                  </xdr:txBody>
                </xdr:sp>
                <xdr:sp macro="" textlink="Mesures_Ressuage_BCH!$B$25">
                  <xdr:nvSpPr>
                    <xdr:cNvPr id="89" name="Organigramme : Connecteur 88">
                      <a:extLst>
                        <a:ext uri="{FF2B5EF4-FFF2-40B4-BE49-F238E27FC236}">
                          <a16:creationId xmlns:a16="http://schemas.microsoft.com/office/drawing/2014/main" id="{00000000-0008-0000-1400-000059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9BCBD07-7AB3-479F-9E9E-33297235F7CE}" type="TxLink">
                        <a:rPr lang="en-US" sz="1100" b="0" i="0" u="none" strike="noStrike">
                          <a:solidFill>
                            <a:srgbClr val="000000"/>
                          </a:solidFill>
                          <a:latin typeface="Calibri"/>
                          <a:cs typeface="Calibri"/>
                        </a:rPr>
                        <a:pPr algn="ctr"/>
                        <a:t> </a:t>
                      </a:fld>
                      <a:endParaRPr lang="fr-FR" sz="1100"/>
                    </a:p>
                  </xdr:txBody>
                </xdr:sp>
                <xdr:sp macro="" textlink="Mesures_Ressuage_BCH!$B$28">
                  <xdr:nvSpPr>
                    <xdr:cNvPr id="90" name="Organigramme : Connecteur 89">
                      <a:extLst>
                        <a:ext uri="{FF2B5EF4-FFF2-40B4-BE49-F238E27FC236}">
                          <a16:creationId xmlns:a16="http://schemas.microsoft.com/office/drawing/2014/main" id="{00000000-0008-0000-1400-00005A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5733D64-CBF8-463D-B998-9C5328C9DD4C}" type="TxLink">
                        <a:rPr lang="en-US" sz="1100" b="0" i="0" u="none" strike="noStrike">
                          <a:solidFill>
                            <a:srgbClr val="000000"/>
                          </a:solidFill>
                          <a:latin typeface="Calibri"/>
                          <a:cs typeface="Calibri"/>
                        </a:rPr>
                        <a:pPr algn="ctr"/>
                        <a:t> </a:t>
                      </a:fld>
                      <a:endParaRPr lang="fr-FR" sz="1100"/>
                    </a:p>
                  </xdr:txBody>
                </xdr:sp>
                <xdr:sp macro="" textlink="Mesures_Ressuage_BCH!$B$32">
                  <xdr:nvSpPr>
                    <xdr:cNvPr id="91" name="Organigramme : Connecteur 90">
                      <a:extLst>
                        <a:ext uri="{FF2B5EF4-FFF2-40B4-BE49-F238E27FC236}">
                          <a16:creationId xmlns:a16="http://schemas.microsoft.com/office/drawing/2014/main" id="{00000000-0008-0000-1400-00005B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D98B4E8-C0FC-4EDE-BEDD-72AF5136331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Ressuage_BCH!$C$32">
                  <xdr:nvSpPr>
                    <xdr:cNvPr id="92" name="Organigramme : Connecteur 91">
                      <a:extLst>
                        <a:ext uri="{FF2B5EF4-FFF2-40B4-BE49-F238E27FC236}">
                          <a16:creationId xmlns:a16="http://schemas.microsoft.com/office/drawing/2014/main" id="{00000000-0008-0000-1400-00005C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53027A3-B140-423D-BFDF-B7FC00EEFE8E}" type="TxLink">
                        <a:rPr lang="en-US" sz="1100" b="0" i="0" u="none" strike="noStrike">
                          <a:solidFill>
                            <a:srgbClr val="000000"/>
                          </a:solidFill>
                          <a:latin typeface="Calibri"/>
                          <a:cs typeface="Calibri"/>
                        </a:rPr>
                        <a:pPr algn="ctr"/>
                        <a:t> </a:t>
                      </a:fld>
                      <a:endParaRPr lang="fr-FR" sz="1100"/>
                    </a:p>
                  </xdr:txBody>
                </xdr:sp>
                <xdr:sp macro="" textlink="Mesures_Ressuage_BCH!$C$28">
                  <xdr:nvSpPr>
                    <xdr:cNvPr id="93" name="Organigramme : Connecteur 92">
                      <a:extLst>
                        <a:ext uri="{FF2B5EF4-FFF2-40B4-BE49-F238E27FC236}">
                          <a16:creationId xmlns:a16="http://schemas.microsoft.com/office/drawing/2014/main" id="{00000000-0008-0000-1400-00005D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1AE9456-585D-4086-A9BE-1485E376631F}" type="TxLink">
                        <a:rPr lang="en-US" sz="1100" b="0" i="0" u="none" strike="noStrike">
                          <a:solidFill>
                            <a:srgbClr val="000000"/>
                          </a:solidFill>
                          <a:latin typeface="Calibri"/>
                          <a:cs typeface="Calibri"/>
                        </a:rPr>
                        <a:pPr algn="ctr"/>
                        <a:t> </a:t>
                      </a:fld>
                      <a:endParaRPr lang="fr-FR" sz="1100"/>
                    </a:p>
                  </xdr:txBody>
                </xdr:sp>
                <xdr:sp macro="" textlink="Mesures_Ressuage_BCH!$C$25">
                  <xdr:nvSpPr>
                    <xdr:cNvPr id="94" name="Organigramme : Connecteur 93">
                      <a:extLst>
                        <a:ext uri="{FF2B5EF4-FFF2-40B4-BE49-F238E27FC236}">
                          <a16:creationId xmlns:a16="http://schemas.microsoft.com/office/drawing/2014/main" id="{00000000-0008-0000-1400-00005E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A4671EA-B587-4E2C-927F-8B7FAEE8480F}" type="TxLink">
                        <a:rPr lang="en-US" sz="1100" b="0" i="0" u="none" strike="noStrike">
                          <a:solidFill>
                            <a:srgbClr val="000000"/>
                          </a:solidFill>
                          <a:latin typeface="Calibri"/>
                          <a:cs typeface="Calibri"/>
                        </a:rPr>
                        <a:pPr algn="ctr"/>
                        <a:t> </a:t>
                      </a:fld>
                      <a:endParaRPr lang="fr-FR" sz="1100"/>
                    </a:p>
                  </xdr:txBody>
                </xdr:sp>
              </xdr:grpSp>
            </xdr:grpSp>
          </xdr:grpSp>
          <xdr:sp macro="" textlink="$B$23">
            <xdr:nvSpPr>
              <xdr:cNvPr id="19" name="Organigramme : Connecteur 18">
                <a:extLst>
                  <a:ext uri="{FF2B5EF4-FFF2-40B4-BE49-F238E27FC236}">
                    <a16:creationId xmlns:a16="http://schemas.microsoft.com/office/drawing/2014/main" id="{00000000-0008-0000-1400-000013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20" name="Organigramme : Connecteur 19">
                <a:extLst>
                  <a:ext uri="{FF2B5EF4-FFF2-40B4-BE49-F238E27FC236}">
                    <a16:creationId xmlns:a16="http://schemas.microsoft.com/office/drawing/2014/main" id="{00000000-0008-0000-1400-000014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21" name="ZoneTexte 20">
                <a:extLst>
                  <a:ext uri="{FF2B5EF4-FFF2-40B4-BE49-F238E27FC236}">
                    <a16:creationId xmlns:a16="http://schemas.microsoft.com/office/drawing/2014/main" id="{00000000-0008-0000-1400-000015000000}"/>
                  </a:ext>
                </a:extLst>
              </xdr:cNvPr>
              <xdr:cNvSpPr txBox="1"/>
            </xdr:nvSpPr>
            <xdr:spPr>
              <a:xfrm>
                <a:off x="8820978" y="6990521"/>
                <a:ext cx="1590261" cy="9384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a:p>
                <a:endParaRPr lang="fr-FR" sz="1100"/>
              </a:p>
              <a:p>
                <a:r>
                  <a:rPr lang="fr-FR" sz="1100"/>
                  <a:t>Sonde de régulation</a:t>
                </a:r>
              </a:p>
            </xdr:txBody>
          </xdr:sp>
        </xdr:grpSp>
      </xdr:grpSp>
      <xdr:cxnSp macro="">
        <xdr:nvCxnSpPr>
          <xdr:cNvPr id="14" name="Connecteur droit avec flèche 13">
            <a:extLst>
              <a:ext uri="{FF2B5EF4-FFF2-40B4-BE49-F238E27FC236}">
                <a16:creationId xmlns:a16="http://schemas.microsoft.com/office/drawing/2014/main" id="{00000000-0008-0000-1400-00000E00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ZoneTexte 14">
            <a:extLst>
              <a:ext uri="{FF2B5EF4-FFF2-40B4-BE49-F238E27FC236}">
                <a16:creationId xmlns:a16="http://schemas.microsoft.com/office/drawing/2014/main" id="{00000000-0008-0000-1400-00000F00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clientData/>
  </xdr:twoCellAnchor>
  <xdr:twoCellAnchor>
    <xdr:from>
      <xdr:col>5</xdr:col>
      <xdr:colOff>1115786</xdr:colOff>
      <xdr:row>170</xdr:row>
      <xdr:rowOff>68036</xdr:rowOff>
    </xdr:from>
    <xdr:to>
      <xdr:col>5</xdr:col>
      <xdr:colOff>1572986</xdr:colOff>
      <xdr:row>172</xdr:row>
      <xdr:rowOff>29936</xdr:rowOff>
    </xdr:to>
    <xdr:sp macro="" textlink="">
      <xdr:nvSpPr>
        <xdr:cNvPr id="45" name="Étoile : 5 branches 44">
          <a:extLst>
            <a:ext uri="{FF2B5EF4-FFF2-40B4-BE49-F238E27FC236}">
              <a16:creationId xmlns:a16="http://schemas.microsoft.com/office/drawing/2014/main" id="{00000000-0008-0000-1400-00002D000000}"/>
            </a:ext>
          </a:extLst>
        </xdr:cNvPr>
        <xdr:cNvSpPr/>
      </xdr:nvSpPr>
      <xdr:spPr>
        <a:xfrm>
          <a:off x="9892393" y="37719000"/>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twoCellAnchor>
    <xdr:from>
      <xdr:col>5</xdr:col>
      <xdr:colOff>1115786</xdr:colOff>
      <xdr:row>172</xdr:row>
      <xdr:rowOff>48986</xdr:rowOff>
    </xdr:from>
    <xdr:to>
      <xdr:col>5</xdr:col>
      <xdr:colOff>1316170</xdr:colOff>
      <xdr:row>173</xdr:row>
      <xdr:rowOff>37374</xdr:rowOff>
    </xdr:to>
    <xdr:sp macro="" textlink="Mesures_Ressuage_BCH!$B$33">
      <xdr:nvSpPr>
        <xdr:cNvPr id="46" name="Organigramme : Connecteur 45">
          <a:extLst>
            <a:ext uri="{FF2B5EF4-FFF2-40B4-BE49-F238E27FC236}">
              <a16:creationId xmlns:a16="http://schemas.microsoft.com/office/drawing/2014/main" id="{00000000-0008-0000-1400-00002E000000}"/>
            </a:ext>
          </a:extLst>
        </xdr:cNvPr>
        <xdr:cNvSpPr/>
      </xdr:nvSpPr>
      <xdr:spPr>
        <a:xfrm>
          <a:off x="9892393" y="38080950"/>
          <a:ext cx="200384" cy="178888"/>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16E8D2B-9BA3-4941-B901-D15EC0B0D85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clientData/>
  </xdr:twoCellAnchor>
  <xdr:twoCellAnchor>
    <xdr:from>
      <xdr:col>5</xdr:col>
      <xdr:colOff>1325336</xdr:colOff>
      <xdr:row>172</xdr:row>
      <xdr:rowOff>48986</xdr:rowOff>
    </xdr:from>
    <xdr:to>
      <xdr:col>5</xdr:col>
      <xdr:colOff>1525720</xdr:colOff>
      <xdr:row>173</xdr:row>
      <xdr:rowOff>37374</xdr:rowOff>
    </xdr:to>
    <xdr:sp macro="" textlink="Mesures_Ressuage_BCH!$C$33">
      <xdr:nvSpPr>
        <xdr:cNvPr id="47" name="Organigramme : Connecteur 46">
          <a:extLst>
            <a:ext uri="{FF2B5EF4-FFF2-40B4-BE49-F238E27FC236}">
              <a16:creationId xmlns:a16="http://schemas.microsoft.com/office/drawing/2014/main" id="{00000000-0008-0000-1400-00002F000000}"/>
            </a:ext>
          </a:extLst>
        </xdr:cNvPr>
        <xdr:cNvSpPr/>
      </xdr:nvSpPr>
      <xdr:spPr>
        <a:xfrm>
          <a:off x="10101943" y="38080950"/>
          <a:ext cx="200384" cy="178888"/>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997A4F9-7D8C-4AE3-A90A-5A75F9E5E5D2}" type="TxLink">
            <a:rPr lang="en-US" sz="1100" b="0" i="0" u="none" strike="noStrike">
              <a:solidFill>
                <a:srgbClr val="000000"/>
              </a:solidFill>
              <a:latin typeface="Calibri"/>
              <a:cs typeface="Calibri"/>
            </a:rPr>
            <a:pPr algn="ctr"/>
            <a:t> </a:t>
          </a:fld>
          <a:endParaRPr lang="fr-FR" sz="1100"/>
        </a:p>
      </xdr:txBody>
    </xdr:sp>
    <xdr:clientData/>
  </xdr:twoCellAnchor>
  <xdr:twoCellAnchor>
    <xdr:from>
      <xdr:col>1</xdr:col>
      <xdr:colOff>0</xdr:colOff>
      <xdr:row>261</xdr:row>
      <xdr:rowOff>0</xdr:rowOff>
    </xdr:from>
    <xdr:to>
      <xdr:col>8</xdr:col>
      <xdr:colOff>217714</xdr:colOff>
      <xdr:row>288</xdr:row>
      <xdr:rowOff>27214</xdr:rowOff>
    </xdr:to>
    <xdr:graphicFrame macro="">
      <xdr:nvGraphicFramePr>
        <xdr:cNvPr id="48" name="Graphique 47">
          <a:extLst>
            <a:ext uri="{FF2B5EF4-FFF2-40B4-BE49-F238E27FC236}">
              <a16:creationId xmlns:a16="http://schemas.microsoft.com/office/drawing/2014/main" id="{00000000-0008-0000-14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176893</xdr:colOff>
      <xdr:row>188</xdr:row>
      <xdr:rowOff>108857</xdr:rowOff>
    </xdr:from>
    <xdr:to>
      <xdr:col>4</xdr:col>
      <xdr:colOff>634093</xdr:colOff>
      <xdr:row>190</xdr:row>
      <xdr:rowOff>70757</xdr:rowOff>
    </xdr:to>
    <xdr:sp macro="" textlink="">
      <xdr:nvSpPr>
        <xdr:cNvPr id="49" name="Étoile : 5 branches 48">
          <a:extLst>
            <a:ext uri="{FF2B5EF4-FFF2-40B4-BE49-F238E27FC236}">
              <a16:creationId xmlns:a16="http://schemas.microsoft.com/office/drawing/2014/main" id="{00000000-0008-0000-1400-000031000000}"/>
            </a:ext>
          </a:extLst>
        </xdr:cNvPr>
        <xdr:cNvSpPr/>
      </xdr:nvSpPr>
      <xdr:spPr>
        <a:xfrm>
          <a:off x="7606393" y="41188821"/>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2174874</xdr:colOff>
      <xdr:row>32</xdr:row>
      <xdr:rowOff>0</xdr:rowOff>
    </xdr:from>
    <xdr:to>
      <xdr:col>7</xdr:col>
      <xdr:colOff>2809874</xdr:colOff>
      <xdr:row>63</xdr:row>
      <xdr:rowOff>15875</xdr:rowOff>
    </xdr:to>
    <xdr:graphicFrame macro="">
      <xdr:nvGraphicFramePr>
        <xdr:cNvPr id="4" name="Graphique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428625</xdr:colOff>
          <xdr:row>6</xdr:row>
          <xdr:rowOff>95250</xdr:rowOff>
        </xdr:from>
        <xdr:to>
          <xdr:col>12</xdr:col>
          <xdr:colOff>904875</xdr:colOff>
          <xdr:row>13</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1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du Congel</a:t>
              </a:r>
            </a:p>
          </xdr:txBody>
        </xdr:sp>
        <xdr:clientData fPrintsWithSheet="0"/>
      </xdr:twoCellAnchor>
    </mc:Choice>
    <mc:Fallback/>
  </mc:AlternateContent>
  <xdr:twoCellAnchor>
    <xdr:from>
      <xdr:col>6</xdr:col>
      <xdr:colOff>49529</xdr:colOff>
      <xdr:row>16</xdr:row>
      <xdr:rowOff>171450</xdr:rowOff>
    </xdr:from>
    <xdr:to>
      <xdr:col>12</xdr:col>
      <xdr:colOff>560</xdr:colOff>
      <xdr:row>35</xdr:row>
      <xdr:rowOff>171450</xdr:rowOff>
    </xdr:to>
    <xdr:grpSp>
      <xdr:nvGrpSpPr>
        <xdr:cNvPr id="6" name="Groupe 5">
          <a:extLst>
            <a:ext uri="{FF2B5EF4-FFF2-40B4-BE49-F238E27FC236}">
              <a16:creationId xmlns:a16="http://schemas.microsoft.com/office/drawing/2014/main" id="{00000000-0008-0000-1600-000006000000}"/>
            </a:ext>
          </a:extLst>
        </xdr:cNvPr>
        <xdr:cNvGrpSpPr/>
      </xdr:nvGrpSpPr>
      <xdr:grpSpPr>
        <a:xfrm>
          <a:off x="6240779" y="4429125"/>
          <a:ext cx="5694606" cy="3638550"/>
          <a:chOff x="6240779" y="4429125"/>
          <a:chExt cx="5694606" cy="3638550"/>
        </a:xfrm>
      </xdr:grpSpPr>
      <xdr:grpSp>
        <xdr:nvGrpSpPr>
          <xdr:cNvPr id="3112" name="Groupe 3111">
            <a:extLst>
              <a:ext uri="{FF2B5EF4-FFF2-40B4-BE49-F238E27FC236}">
                <a16:creationId xmlns:a16="http://schemas.microsoft.com/office/drawing/2014/main" id="{00000000-0008-0000-1600-0000280C0000}"/>
              </a:ext>
            </a:extLst>
          </xdr:cNvPr>
          <xdr:cNvGrpSpPr/>
        </xdr:nvGrpSpPr>
        <xdr:grpSpPr>
          <a:xfrm>
            <a:off x="6240779" y="4429125"/>
            <a:ext cx="5694606" cy="3500718"/>
            <a:chOff x="6545579" y="1943100"/>
            <a:chExt cx="6151245" cy="4078885"/>
          </a:xfrm>
        </xdr:grpSpPr>
        <xdr:grpSp>
          <xdr:nvGrpSpPr>
            <xdr:cNvPr id="3113" name="Groupe 3112">
              <a:extLst>
                <a:ext uri="{FF2B5EF4-FFF2-40B4-BE49-F238E27FC236}">
                  <a16:creationId xmlns:a16="http://schemas.microsoft.com/office/drawing/2014/main" id="{00000000-0008-0000-1600-0000290C0000}"/>
                </a:ext>
              </a:extLst>
            </xdr:cNvPr>
            <xdr:cNvGrpSpPr/>
          </xdr:nvGrpSpPr>
          <xdr:grpSpPr>
            <a:xfrm>
              <a:off x="6545579" y="1943100"/>
              <a:ext cx="6151245" cy="4078885"/>
              <a:chOff x="6497954" y="1828800"/>
              <a:chExt cx="6151245" cy="4078885"/>
            </a:xfrm>
          </xdr:grpSpPr>
          <xdr:grpSp>
            <xdr:nvGrpSpPr>
              <xdr:cNvPr id="3120" name="Groupe 3119">
                <a:extLst>
                  <a:ext uri="{FF2B5EF4-FFF2-40B4-BE49-F238E27FC236}">
                    <a16:creationId xmlns:a16="http://schemas.microsoft.com/office/drawing/2014/main" id="{00000000-0008-0000-1600-0000300C0000}"/>
                  </a:ext>
                </a:extLst>
              </xdr:cNvPr>
              <xdr:cNvGrpSpPr/>
            </xdr:nvGrpSpPr>
            <xdr:grpSpPr>
              <a:xfrm>
                <a:off x="6497954" y="1828800"/>
                <a:ext cx="6151245" cy="4078885"/>
                <a:chOff x="6097904" y="1828800"/>
                <a:chExt cx="6151245" cy="4078885"/>
              </a:xfrm>
            </xdr:grpSpPr>
            <xdr:grpSp>
              <xdr:nvGrpSpPr>
                <xdr:cNvPr id="3124" name="Groupe 3123">
                  <a:extLst>
                    <a:ext uri="{FF2B5EF4-FFF2-40B4-BE49-F238E27FC236}">
                      <a16:creationId xmlns:a16="http://schemas.microsoft.com/office/drawing/2014/main" id="{00000000-0008-0000-1600-0000340C0000}"/>
                    </a:ext>
                  </a:extLst>
                </xdr:cNvPr>
                <xdr:cNvGrpSpPr/>
              </xdr:nvGrpSpPr>
              <xdr:grpSpPr>
                <a:xfrm>
                  <a:off x="6097904" y="2282190"/>
                  <a:ext cx="6151245" cy="3625495"/>
                  <a:chOff x="6097904" y="2282190"/>
                  <a:chExt cx="6151245" cy="3625495"/>
                </a:xfrm>
              </xdr:grpSpPr>
              <xdr:pic>
                <xdr:nvPicPr>
                  <xdr:cNvPr id="3141" name="Image 3140">
                    <a:extLst>
                      <a:ext uri="{FF2B5EF4-FFF2-40B4-BE49-F238E27FC236}">
                        <a16:creationId xmlns:a16="http://schemas.microsoft.com/office/drawing/2014/main" id="{00000000-0008-0000-1600-0000450C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4">
                <xdr:nvSpPr>
                  <xdr:cNvPr id="3142" name="Ellipse 3141">
                    <a:extLst>
                      <a:ext uri="{FF2B5EF4-FFF2-40B4-BE49-F238E27FC236}">
                        <a16:creationId xmlns:a16="http://schemas.microsoft.com/office/drawing/2014/main" id="{00000000-0008-0000-1600-0000460C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4">
                <xdr:nvSpPr>
                  <xdr:cNvPr id="3143" name="Ellipse 3142">
                    <a:extLst>
                      <a:ext uri="{FF2B5EF4-FFF2-40B4-BE49-F238E27FC236}">
                        <a16:creationId xmlns:a16="http://schemas.microsoft.com/office/drawing/2014/main" id="{00000000-0008-0000-1600-0000470C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9">
              <xdr:nvSpPr>
                <xdr:cNvPr id="3125" name="Ellipse 3124">
                  <a:extLst>
                    <a:ext uri="{FF2B5EF4-FFF2-40B4-BE49-F238E27FC236}">
                      <a16:creationId xmlns:a16="http://schemas.microsoft.com/office/drawing/2014/main" id="{00000000-0008-0000-1600-0000350C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3126" name="Ellipse 3125">
                  <a:extLst>
                    <a:ext uri="{FF2B5EF4-FFF2-40B4-BE49-F238E27FC236}">
                      <a16:creationId xmlns:a16="http://schemas.microsoft.com/office/drawing/2014/main" id="{00000000-0008-0000-1600-0000360C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3127" name="Ellipse 3126">
                  <a:extLst>
                    <a:ext uri="{FF2B5EF4-FFF2-40B4-BE49-F238E27FC236}">
                      <a16:creationId xmlns:a16="http://schemas.microsoft.com/office/drawing/2014/main" id="{00000000-0008-0000-1600-0000370C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3128" name="Ellipse 3127">
                  <a:extLst>
                    <a:ext uri="{FF2B5EF4-FFF2-40B4-BE49-F238E27FC236}">
                      <a16:creationId xmlns:a16="http://schemas.microsoft.com/office/drawing/2014/main" id="{00000000-0008-0000-1600-0000380C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3129" name="Ellipse 3128">
                  <a:extLst>
                    <a:ext uri="{FF2B5EF4-FFF2-40B4-BE49-F238E27FC236}">
                      <a16:creationId xmlns:a16="http://schemas.microsoft.com/office/drawing/2014/main" id="{00000000-0008-0000-1600-0000390C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3130" name="Ellipse 3129">
                  <a:extLst>
                    <a:ext uri="{FF2B5EF4-FFF2-40B4-BE49-F238E27FC236}">
                      <a16:creationId xmlns:a16="http://schemas.microsoft.com/office/drawing/2014/main" id="{00000000-0008-0000-1600-00003A0C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3131" name="Ellipse 3130">
                  <a:extLst>
                    <a:ext uri="{FF2B5EF4-FFF2-40B4-BE49-F238E27FC236}">
                      <a16:creationId xmlns:a16="http://schemas.microsoft.com/office/drawing/2014/main" id="{00000000-0008-0000-1600-00003B0C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3132" name="Ellipse 3131">
                  <a:extLst>
                    <a:ext uri="{FF2B5EF4-FFF2-40B4-BE49-F238E27FC236}">
                      <a16:creationId xmlns:a16="http://schemas.microsoft.com/office/drawing/2014/main" id="{00000000-0008-0000-1600-00003C0C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3133" name="Ellipse 3132">
                  <a:extLst>
                    <a:ext uri="{FF2B5EF4-FFF2-40B4-BE49-F238E27FC236}">
                      <a16:creationId xmlns:a16="http://schemas.microsoft.com/office/drawing/2014/main" id="{00000000-0008-0000-1600-00003D0C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3134" name="Ellipse 3133">
                  <a:extLst>
                    <a:ext uri="{FF2B5EF4-FFF2-40B4-BE49-F238E27FC236}">
                      <a16:creationId xmlns:a16="http://schemas.microsoft.com/office/drawing/2014/main" id="{00000000-0008-0000-1600-00003E0C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3135" name="Ellipse 3134">
                  <a:extLst>
                    <a:ext uri="{FF2B5EF4-FFF2-40B4-BE49-F238E27FC236}">
                      <a16:creationId xmlns:a16="http://schemas.microsoft.com/office/drawing/2014/main" id="{00000000-0008-0000-1600-00003F0C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3136" name="Ellipse 3135">
                  <a:extLst>
                    <a:ext uri="{FF2B5EF4-FFF2-40B4-BE49-F238E27FC236}">
                      <a16:creationId xmlns:a16="http://schemas.microsoft.com/office/drawing/2014/main" id="{00000000-0008-0000-1600-0000400C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8">
              <xdr:nvSpPr>
                <xdr:cNvPr id="3137" name="Ellipse 3136">
                  <a:extLst>
                    <a:ext uri="{FF2B5EF4-FFF2-40B4-BE49-F238E27FC236}">
                      <a16:creationId xmlns:a16="http://schemas.microsoft.com/office/drawing/2014/main" id="{00000000-0008-0000-1600-0000410C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3138" name="Ellipse 3137">
                  <a:extLst>
                    <a:ext uri="{FF2B5EF4-FFF2-40B4-BE49-F238E27FC236}">
                      <a16:creationId xmlns:a16="http://schemas.microsoft.com/office/drawing/2014/main" id="{00000000-0008-0000-1600-0000420C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3139" name="Ellipse 3138">
                  <a:extLst>
                    <a:ext uri="{FF2B5EF4-FFF2-40B4-BE49-F238E27FC236}">
                      <a16:creationId xmlns:a16="http://schemas.microsoft.com/office/drawing/2014/main" id="{00000000-0008-0000-1600-0000430C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3140" name="Ellipse 3139">
                  <a:extLst>
                    <a:ext uri="{FF2B5EF4-FFF2-40B4-BE49-F238E27FC236}">
                      <a16:creationId xmlns:a16="http://schemas.microsoft.com/office/drawing/2014/main" id="{00000000-0008-0000-1600-0000440C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3121" name="ZoneTexte 3120">
                <a:extLst>
                  <a:ext uri="{FF2B5EF4-FFF2-40B4-BE49-F238E27FC236}">
                    <a16:creationId xmlns:a16="http://schemas.microsoft.com/office/drawing/2014/main" id="{00000000-0008-0000-1600-0000310C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3122" name="ZoneTexte 3121">
                <a:extLst>
                  <a:ext uri="{FF2B5EF4-FFF2-40B4-BE49-F238E27FC236}">
                    <a16:creationId xmlns:a16="http://schemas.microsoft.com/office/drawing/2014/main" id="{00000000-0008-0000-1600-0000320C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3123" name="ZoneTexte 3122">
                <a:extLst>
                  <a:ext uri="{FF2B5EF4-FFF2-40B4-BE49-F238E27FC236}">
                    <a16:creationId xmlns:a16="http://schemas.microsoft.com/office/drawing/2014/main" id="{00000000-0008-0000-1600-0000330C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5">
          <xdr:nvSpPr>
            <xdr:cNvPr id="3114" name="Ellipse 3113">
              <a:extLst>
                <a:ext uri="{FF2B5EF4-FFF2-40B4-BE49-F238E27FC236}">
                  <a16:creationId xmlns:a16="http://schemas.microsoft.com/office/drawing/2014/main" id="{00000000-0008-0000-1600-00002A0C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4">
          <xdr:nvSpPr>
            <xdr:cNvPr id="3115" name="Ellipse 3114">
              <a:extLst>
                <a:ext uri="{FF2B5EF4-FFF2-40B4-BE49-F238E27FC236}">
                  <a16:creationId xmlns:a16="http://schemas.microsoft.com/office/drawing/2014/main" id="{00000000-0008-0000-1600-00002B0C0000}"/>
                </a:ext>
              </a:extLst>
            </xdr:cNvPr>
            <xdr:cNvSpPr/>
          </xdr:nvSpPr>
          <xdr:spPr>
            <a:xfrm>
              <a:off x="9877038" y="2944798"/>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3116" name="Ellipse 3115">
              <a:extLst>
                <a:ext uri="{FF2B5EF4-FFF2-40B4-BE49-F238E27FC236}">
                  <a16:creationId xmlns:a16="http://schemas.microsoft.com/office/drawing/2014/main" id="{00000000-0008-0000-1600-00002C0C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5">
          <xdr:nvSpPr>
            <xdr:cNvPr id="3117" name="Ellipse 3116">
              <a:extLst>
                <a:ext uri="{FF2B5EF4-FFF2-40B4-BE49-F238E27FC236}">
                  <a16:creationId xmlns:a16="http://schemas.microsoft.com/office/drawing/2014/main" id="{00000000-0008-0000-1600-00002D0C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3118" name="Ellipse 3117">
              <a:extLst>
                <a:ext uri="{FF2B5EF4-FFF2-40B4-BE49-F238E27FC236}">
                  <a16:creationId xmlns:a16="http://schemas.microsoft.com/office/drawing/2014/main" id="{00000000-0008-0000-1600-00002E0C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3119" name="Ellipse 3118">
              <a:extLst>
                <a:ext uri="{FF2B5EF4-FFF2-40B4-BE49-F238E27FC236}">
                  <a16:creationId xmlns:a16="http://schemas.microsoft.com/office/drawing/2014/main" id="{00000000-0008-0000-1600-00002F0C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sp macro="" textlink="">
        <xdr:nvSpPr>
          <xdr:cNvPr id="2" name="ZoneTexte 1">
            <a:extLst>
              <a:ext uri="{FF2B5EF4-FFF2-40B4-BE49-F238E27FC236}">
                <a16:creationId xmlns:a16="http://schemas.microsoft.com/office/drawing/2014/main" id="{00000000-0008-0000-1600-000002000000}"/>
              </a:ext>
            </a:extLst>
          </xdr:cNvPr>
          <xdr:cNvSpPr txBox="1"/>
        </xdr:nvSpPr>
        <xdr:spPr>
          <a:xfrm>
            <a:off x="10477499" y="7400925"/>
            <a:ext cx="1457325"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a:p>
            <a:r>
              <a:rPr lang="fr-FR" sz="1100"/>
              <a:t>PT</a:t>
            </a:r>
            <a:r>
              <a:rPr lang="fr-FR" sz="1100" baseline="0"/>
              <a:t> froid, PT chaud, Regulation</a:t>
            </a:r>
            <a:endParaRPr lang="fr-FR" sz="1100"/>
          </a:p>
        </xdr:txBody>
      </xdr:sp>
      <xdr:pic>
        <xdr:nvPicPr>
          <xdr:cNvPr id="3" name="Image 2">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3"/>
          <a:stretch>
            <a:fillRect/>
          </a:stretch>
        </xdr:blipFill>
        <xdr:spPr>
          <a:xfrm>
            <a:off x="10477499" y="7400925"/>
            <a:ext cx="266737" cy="228632"/>
          </a:xfrm>
          <a:prstGeom prst="rect">
            <a:avLst/>
          </a:prstGeom>
        </xdr:spPr>
      </xdr:pic>
      <xdr:pic>
        <xdr:nvPicPr>
          <xdr:cNvPr id="4" name="Image 3">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4"/>
          <a:stretch>
            <a:fillRect/>
          </a:stretch>
        </xdr:blipFill>
        <xdr:spPr>
          <a:xfrm>
            <a:off x="10753724" y="7400925"/>
            <a:ext cx="238158" cy="228632"/>
          </a:xfrm>
          <a:prstGeom prst="rect">
            <a:avLst/>
          </a:prstGeom>
        </xdr:spPr>
      </xdr:pic>
      <xdr:pic>
        <xdr:nvPicPr>
          <xdr:cNvPr id="5" name="Image 4">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5"/>
          <a:stretch>
            <a:fillRect/>
          </a:stretch>
        </xdr:blipFill>
        <xdr:spPr>
          <a:xfrm>
            <a:off x="11001374" y="7410450"/>
            <a:ext cx="266667" cy="228571"/>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419100</xdr:colOff>
      <xdr:row>23</xdr:row>
      <xdr:rowOff>152400</xdr:rowOff>
    </xdr:from>
    <xdr:to>
      <xdr:col>13</xdr:col>
      <xdr:colOff>28575</xdr:colOff>
      <xdr:row>46</xdr:row>
      <xdr:rowOff>66675</xdr:rowOff>
    </xdr:to>
    <xdr:graphicFrame macro="">
      <xdr:nvGraphicFramePr>
        <xdr:cNvPr id="3" name="Graphique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9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1" name="Image 10" descr="fregat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2" name="Image 11" descr="fregate">
          <a:extLst>
            <a:ext uri="{FF2B5EF4-FFF2-40B4-BE49-F238E27FC236}">
              <a16:creationId xmlns:a16="http://schemas.microsoft.com/office/drawing/2014/main" id="{00000000-0008-0000-19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462641</xdr:colOff>
      <xdr:row>164</xdr:row>
      <xdr:rowOff>54428</xdr:rowOff>
    </xdr:from>
    <xdr:to>
      <xdr:col>8</xdr:col>
      <xdr:colOff>435428</xdr:colOff>
      <xdr:row>186</xdr:row>
      <xdr:rowOff>163285</xdr:rowOff>
    </xdr:to>
    <xdr:grpSp>
      <xdr:nvGrpSpPr>
        <xdr:cNvPr id="45" name="Groupe 44">
          <a:extLst>
            <a:ext uri="{FF2B5EF4-FFF2-40B4-BE49-F238E27FC236}">
              <a16:creationId xmlns:a16="http://schemas.microsoft.com/office/drawing/2014/main" id="{00000000-0008-0000-1900-00002D000000}"/>
            </a:ext>
          </a:extLst>
        </xdr:cNvPr>
        <xdr:cNvGrpSpPr/>
      </xdr:nvGrpSpPr>
      <xdr:grpSpPr>
        <a:xfrm>
          <a:off x="7701641" y="36535178"/>
          <a:ext cx="6980466" cy="4299857"/>
          <a:chOff x="6545579" y="1943100"/>
          <a:chExt cx="6151245" cy="4078885"/>
        </a:xfrm>
      </xdr:grpSpPr>
      <xdr:grpSp>
        <xdr:nvGrpSpPr>
          <xdr:cNvPr id="46" name="Groupe 45">
            <a:extLst>
              <a:ext uri="{FF2B5EF4-FFF2-40B4-BE49-F238E27FC236}">
                <a16:creationId xmlns:a16="http://schemas.microsoft.com/office/drawing/2014/main" id="{00000000-0008-0000-1900-00002E000000}"/>
              </a:ext>
            </a:extLst>
          </xdr:cNvPr>
          <xdr:cNvGrpSpPr/>
        </xdr:nvGrpSpPr>
        <xdr:grpSpPr>
          <a:xfrm>
            <a:off x="6545579" y="1943100"/>
            <a:ext cx="6151245" cy="4078885"/>
            <a:chOff x="6497954" y="1828800"/>
            <a:chExt cx="6151245" cy="4078885"/>
          </a:xfrm>
        </xdr:grpSpPr>
        <xdr:grpSp>
          <xdr:nvGrpSpPr>
            <xdr:cNvPr id="53" name="Groupe 52">
              <a:extLst>
                <a:ext uri="{FF2B5EF4-FFF2-40B4-BE49-F238E27FC236}">
                  <a16:creationId xmlns:a16="http://schemas.microsoft.com/office/drawing/2014/main" id="{00000000-0008-0000-1900-000035000000}"/>
                </a:ext>
              </a:extLst>
            </xdr:cNvPr>
            <xdr:cNvGrpSpPr/>
          </xdr:nvGrpSpPr>
          <xdr:grpSpPr>
            <a:xfrm>
              <a:off x="6497954" y="1828800"/>
              <a:ext cx="6151245" cy="4078885"/>
              <a:chOff x="6097904" y="1828800"/>
              <a:chExt cx="6151245" cy="4078885"/>
            </a:xfrm>
          </xdr:grpSpPr>
          <xdr:grpSp>
            <xdr:nvGrpSpPr>
              <xdr:cNvPr id="57" name="Groupe 56">
                <a:extLst>
                  <a:ext uri="{FF2B5EF4-FFF2-40B4-BE49-F238E27FC236}">
                    <a16:creationId xmlns:a16="http://schemas.microsoft.com/office/drawing/2014/main" id="{00000000-0008-0000-1900-000039000000}"/>
                  </a:ext>
                </a:extLst>
              </xdr:cNvPr>
              <xdr:cNvGrpSpPr/>
            </xdr:nvGrpSpPr>
            <xdr:grpSpPr>
              <a:xfrm>
                <a:off x="6097904" y="2282190"/>
                <a:ext cx="6151245" cy="3625495"/>
                <a:chOff x="6097904" y="2282190"/>
                <a:chExt cx="6151245" cy="3625495"/>
              </a:xfrm>
            </xdr:grpSpPr>
            <xdr:pic>
              <xdr:nvPicPr>
                <xdr:cNvPr id="74" name="Image 73">
                  <a:extLst>
                    <a:ext uri="{FF2B5EF4-FFF2-40B4-BE49-F238E27FC236}">
                      <a16:creationId xmlns:a16="http://schemas.microsoft.com/office/drawing/2014/main" id="{00000000-0008-0000-1900-00004A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Mesures_Congel!$C$24">
              <xdr:nvSpPr>
                <xdr:cNvPr id="75" name="Ellipse 74">
                  <a:extLst>
                    <a:ext uri="{FF2B5EF4-FFF2-40B4-BE49-F238E27FC236}">
                      <a16:creationId xmlns:a16="http://schemas.microsoft.com/office/drawing/2014/main" id="{00000000-0008-0000-1900-00004B00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416717F-8759-445D-A1D1-5A8B51BC1F3C}" type="TxLink">
                    <a:rPr lang="en-US" sz="1100" b="0" i="0" u="none" strike="noStrike">
                      <a:solidFill>
                        <a:srgbClr val="000000"/>
                      </a:solidFill>
                      <a:latin typeface="Calibri"/>
                      <a:cs typeface="Calibri"/>
                    </a:rPr>
                    <a:pPr algn="ctr"/>
                    <a:t> </a:t>
                  </a:fld>
                  <a:endParaRPr lang="fr-FR" sz="1100"/>
                </a:p>
              </xdr:txBody>
            </xdr:sp>
            <xdr:sp macro="" textlink="Mesures_Congel!$B$24">
              <xdr:nvSpPr>
                <xdr:cNvPr id="76" name="Ellipse 75">
                  <a:extLst>
                    <a:ext uri="{FF2B5EF4-FFF2-40B4-BE49-F238E27FC236}">
                      <a16:creationId xmlns:a16="http://schemas.microsoft.com/office/drawing/2014/main" id="{00000000-0008-0000-1900-00004C00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CBECE4B-5C39-459A-AEB0-31127E65AB24}" type="TxLink">
                    <a:rPr lang="en-US" sz="1100" b="0" i="0" u="none" strike="noStrike">
                      <a:solidFill>
                        <a:srgbClr val="000000"/>
                      </a:solidFill>
                      <a:latin typeface="Calibri"/>
                      <a:cs typeface="Calibri"/>
                    </a:rPr>
                    <a:pPr algn="ctr"/>
                    <a:t> </a:t>
                  </a:fld>
                  <a:endParaRPr lang="fr-FR" sz="1100"/>
                </a:p>
              </xdr:txBody>
            </xdr:sp>
          </xdr:grpSp>
          <xdr:sp macro="" textlink="Mesures_Congel!$B$29">
            <xdr:nvSpPr>
              <xdr:cNvPr id="58" name="Ellipse 57">
                <a:extLst>
                  <a:ext uri="{FF2B5EF4-FFF2-40B4-BE49-F238E27FC236}">
                    <a16:creationId xmlns:a16="http://schemas.microsoft.com/office/drawing/2014/main" id="{00000000-0008-0000-1900-00003A00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DD2420E9-BE37-4BB5-97ED-F97405827F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0">
            <xdr:nvSpPr>
              <xdr:cNvPr id="59" name="Ellipse 58">
                <a:extLst>
                  <a:ext uri="{FF2B5EF4-FFF2-40B4-BE49-F238E27FC236}">
                    <a16:creationId xmlns:a16="http://schemas.microsoft.com/office/drawing/2014/main" id="{00000000-0008-0000-1900-00003B00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C9C6CFA-1797-41FB-BA43-9CF8A8161E2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1">
            <xdr:nvSpPr>
              <xdr:cNvPr id="60" name="Ellipse 59">
                <a:extLst>
                  <a:ext uri="{FF2B5EF4-FFF2-40B4-BE49-F238E27FC236}">
                    <a16:creationId xmlns:a16="http://schemas.microsoft.com/office/drawing/2014/main" id="{00000000-0008-0000-1900-00003C00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0D0419B-D430-41C7-A302-59DC7E54DF3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5">
            <xdr:nvSpPr>
              <xdr:cNvPr id="61" name="Ellipse 60">
                <a:extLst>
                  <a:ext uri="{FF2B5EF4-FFF2-40B4-BE49-F238E27FC236}">
                    <a16:creationId xmlns:a16="http://schemas.microsoft.com/office/drawing/2014/main" id="{00000000-0008-0000-1900-00003D00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6CE2DDD-5AA6-4727-9E9D-3349A49A0C1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2">
            <xdr:nvSpPr>
              <xdr:cNvPr id="62" name="Ellipse 61">
                <a:extLst>
                  <a:ext uri="{FF2B5EF4-FFF2-40B4-BE49-F238E27FC236}">
                    <a16:creationId xmlns:a16="http://schemas.microsoft.com/office/drawing/2014/main" id="{00000000-0008-0000-1900-00003E00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488EAD0-E18A-4CED-94D1-753898C946B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8">
            <xdr:nvSpPr>
              <xdr:cNvPr id="63" name="Ellipse 62">
                <a:extLst>
                  <a:ext uri="{FF2B5EF4-FFF2-40B4-BE49-F238E27FC236}">
                    <a16:creationId xmlns:a16="http://schemas.microsoft.com/office/drawing/2014/main" id="{00000000-0008-0000-1900-00003F00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78AED9A-D97F-4C6B-95FD-282F54CE1BF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6">
            <xdr:nvSpPr>
              <xdr:cNvPr id="64" name="Ellipse 63">
                <a:extLst>
                  <a:ext uri="{FF2B5EF4-FFF2-40B4-BE49-F238E27FC236}">
                    <a16:creationId xmlns:a16="http://schemas.microsoft.com/office/drawing/2014/main" id="{00000000-0008-0000-1900-00004000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77BE5B7-86B5-4C50-A24F-F9E0F98752E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7">
            <xdr:nvSpPr>
              <xdr:cNvPr id="65" name="Ellipse 64">
                <a:extLst>
                  <a:ext uri="{FF2B5EF4-FFF2-40B4-BE49-F238E27FC236}">
                    <a16:creationId xmlns:a16="http://schemas.microsoft.com/office/drawing/2014/main" id="{00000000-0008-0000-1900-00004100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5FA8D34-DCC2-4170-83E0-F95ED566B0DD}"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9">
            <xdr:nvSpPr>
              <xdr:cNvPr id="66" name="Ellipse 65">
                <a:extLst>
                  <a:ext uri="{FF2B5EF4-FFF2-40B4-BE49-F238E27FC236}">
                    <a16:creationId xmlns:a16="http://schemas.microsoft.com/office/drawing/2014/main" id="{00000000-0008-0000-1900-00004200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C25D00A-B3BD-4C62-8C0D-478D0E358AE2}"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0">
            <xdr:nvSpPr>
              <xdr:cNvPr id="67" name="Ellipse 66">
                <a:extLst>
                  <a:ext uri="{FF2B5EF4-FFF2-40B4-BE49-F238E27FC236}">
                    <a16:creationId xmlns:a16="http://schemas.microsoft.com/office/drawing/2014/main" id="{00000000-0008-0000-1900-00004300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7B449BA-42BA-424E-AD25-A5245ADF4AE6}"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1">
            <xdr:nvSpPr>
              <xdr:cNvPr id="68" name="Ellipse 67">
                <a:extLst>
                  <a:ext uri="{FF2B5EF4-FFF2-40B4-BE49-F238E27FC236}">
                    <a16:creationId xmlns:a16="http://schemas.microsoft.com/office/drawing/2014/main" id="{00000000-0008-0000-1900-00004400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1059979-C043-454A-8E0E-F19F4FB50ED6}"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2">
            <xdr:nvSpPr>
              <xdr:cNvPr id="69" name="Ellipse 68">
                <a:extLst>
                  <a:ext uri="{FF2B5EF4-FFF2-40B4-BE49-F238E27FC236}">
                    <a16:creationId xmlns:a16="http://schemas.microsoft.com/office/drawing/2014/main" id="{00000000-0008-0000-1900-00004500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860202E-36B0-47AB-9853-14AF4AF9CE9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8">
            <xdr:nvSpPr>
              <xdr:cNvPr id="70" name="Ellipse 69">
                <a:extLst>
                  <a:ext uri="{FF2B5EF4-FFF2-40B4-BE49-F238E27FC236}">
                    <a16:creationId xmlns:a16="http://schemas.microsoft.com/office/drawing/2014/main" id="{00000000-0008-0000-1900-00004600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F1EB85B-695F-4D0C-B0DA-57F6C3C156C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6">
            <xdr:nvSpPr>
              <xdr:cNvPr id="71" name="Ellipse 70">
                <a:extLst>
                  <a:ext uri="{FF2B5EF4-FFF2-40B4-BE49-F238E27FC236}">
                    <a16:creationId xmlns:a16="http://schemas.microsoft.com/office/drawing/2014/main" id="{00000000-0008-0000-1900-00004700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DAA5F18B-8852-4B69-9F47-467FB462AB9F}"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7">
            <xdr:nvSpPr>
              <xdr:cNvPr id="72" name="Ellipse 71">
                <a:extLst>
                  <a:ext uri="{FF2B5EF4-FFF2-40B4-BE49-F238E27FC236}">
                    <a16:creationId xmlns:a16="http://schemas.microsoft.com/office/drawing/2014/main" id="{00000000-0008-0000-1900-00004800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6A479EA8-0BB3-4391-BC89-51FA984BA6B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5">
            <xdr:nvSpPr>
              <xdr:cNvPr id="73" name="Ellipse 72">
                <a:extLst>
                  <a:ext uri="{FF2B5EF4-FFF2-40B4-BE49-F238E27FC236}">
                    <a16:creationId xmlns:a16="http://schemas.microsoft.com/office/drawing/2014/main" id="{00000000-0008-0000-1900-00004900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1BE3D82-FABC-4952-8FEE-EDFED885311D}" type="TxLink">
                  <a:rPr lang="en-US" sz="1100" b="0" i="0" u="none" strike="noStrike">
                    <a:solidFill>
                      <a:srgbClr val="000000"/>
                    </a:solidFill>
                    <a:latin typeface="Calibri"/>
                    <a:cs typeface="Calibri"/>
                  </a:rPr>
                  <a:pPr algn="ctr"/>
                  <a:t> </a:t>
                </a:fld>
                <a:endParaRPr lang="fr-FR" sz="1100"/>
              </a:p>
            </xdr:txBody>
          </xdr:sp>
        </xdr:grpSp>
        <xdr:sp macro="" textlink="">
          <xdr:nvSpPr>
            <xdr:cNvPr id="54" name="ZoneTexte 53">
              <a:extLst>
                <a:ext uri="{FF2B5EF4-FFF2-40B4-BE49-F238E27FC236}">
                  <a16:creationId xmlns:a16="http://schemas.microsoft.com/office/drawing/2014/main" id="{00000000-0008-0000-1900-00003600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55" name="ZoneTexte 54">
              <a:extLst>
                <a:ext uri="{FF2B5EF4-FFF2-40B4-BE49-F238E27FC236}">
                  <a16:creationId xmlns:a16="http://schemas.microsoft.com/office/drawing/2014/main" id="{00000000-0008-0000-1900-00003700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56" name="ZoneTexte 55">
              <a:extLst>
                <a:ext uri="{FF2B5EF4-FFF2-40B4-BE49-F238E27FC236}">
                  <a16:creationId xmlns:a16="http://schemas.microsoft.com/office/drawing/2014/main" id="{00000000-0008-0000-1900-00003800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Mesures_Congel!$C$35">
        <xdr:nvSpPr>
          <xdr:cNvPr id="47" name="Ellipse 46">
            <a:extLst>
              <a:ext uri="{FF2B5EF4-FFF2-40B4-BE49-F238E27FC236}">
                <a16:creationId xmlns:a16="http://schemas.microsoft.com/office/drawing/2014/main" id="{00000000-0008-0000-1900-00002F00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B84802D-66B0-4084-8DDF-35BE469A532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4">
        <xdr:nvSpPr>
          <xdr:cNvPr id="48" name="Ellipse 47">
            <a:extLst>
              <a:ext uri="{FF2B5EF4-FFF2-40B4-BE49-F238E27FC236}">
                <a16:creationId xmlns:a16="http://schemas.microsoft.com/office/drawing/2014/main" id="{00000000-0008-0000-1900-00003000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880EBED-C348-4D2F-8F07-FF777CC91A0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3">
        <xdr:nvSpPr>
          <xdr:cNvPr id="49" name="Ellipse 48">
            <a:extLst>
              <a:ext uri="{FF2B5EF4-FFF2-40B4-BE49-F238E27FC236}">
                <a16:creationId xmlns:a16="http://schemas.microsoft.com/office/drawing/2014/main" id="{00000000-0008-0000-1900-00003100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E857634-7367-4E0F-A6E4-5715C8AE43A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5">
        <xdr:nvSpPr>
          <xdr:cNvPr id="50" name="Ellipse 49">
            <a:extLst>
              <a:ext uri="{FF2B5EF4-FFF2-40B4-BE49-F238E27FC236}">
                <a16:creationId xmlns:a16="http://schemas.microsoft.com/office/drawing/2014/main" id="{00000000-0008-0000-1900-00003200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6A01D9A3-A2E5-44A4-9407-C36A3E66DA2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4">
        <xdr:nvSpPr>
          <xdr:cNvPr id="51" name="Ellipse 50">
            <a:extLst>
              <a:ext uri="{FF2B5EF4-FFF2-40B4-BE49-F238E27FC236}">
                <a16:creationId xmlns:a16="http://schemas.microsoft.com/office/drawing/2014/main" id="{00000000-0008-0000-1900-00003300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3A08FF0-062A-4DFD-9800-864C9CB86AA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3">
        <xdr:nvSpPr>
          <xdr:cNvPr id="52" name="Ellipse 51">
            <a:extLst>
              <a:ext uri="{FF2B5EF4-FFF2-40B4-BE49-F238E27FC236}">
                <a16:creationId xmlns:a16="http://schemas.microsoft.com/office/drawing/2014/main" id="{00000000-0008-0000-1900-00003400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18BB787-1818-4CFB-B927-C14C40FFB0E2}"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xdr:twoCellAnchor>
    <xdr:from>
      <xdr:col>1</xdr:col>
      <xdr:colOff>0</xdr:colOff>
      <xdr:row>259</xdr:row>
      <xdr:rowOff>0</xdr:rowOff>
    </xdr:from>
    <xdr:to>
      <xdr:col>8</xdr:col>
      <xdr:colOff>666750</xdr:colOff>
      <xdr:row>289</xdr:row>
      <xdr:rowOff>54429</xdr:rowOff>
    </xdr:to>
    <xdr:graphicFrame macro="">
      <xdr:nvGraphicFramePr>
        <xdr:cNvPr id="10" name="Graphique 9">
          <a:extLst>
            <a:ext uri="{FF2B5EF4-FFF2-40B4-BE49-F238E27FC236}">
              <a16:creationId xmlns:a16="http://schemas.microsoft.com/office/drawing/2014/main" id="{00000000-0008-0000-1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761999</xdr:colOff>
      <xdr:row>182</xdr:row>
      <xdr:rowOff>190499</xdr:rowOff>
    </xdr:from>
    <xdr:to>
      <xdr:col>8</xdr:col>
      <xdr:colOff>395966</xdr:colOff>
      <xdr:row>186</xdr:row>
      <xdr:rowOff>95249</xdr:rowOff>
    </xdr:to>
    <xdr:sp macro="" textlink="">
      <xdr:nvSpPr>
        <xdr:cNvPr id="14" name="ZoneTexte 13">
          <a:extLst>
            <a:ext uri="{FF2B5EF4-FFF2-40B4-BE49-F238E27FC236}">
              <a16:creationId xmlns:a16="http://schemas.microsoft.com/office/drawing/2014/main" id="{00000000-0008-0000-1900-00000E000000}"/>
            </a:ext>
          </a:extLst>
        </xdr:cNvPr>
        <xdr:cNvSpPr txBox="1"/>
      </xdr:nvSpPr>
      <xdr:spPr>
        <a:xfrm>
          <a:off x="13185320" y="40181892"/>
          <a:ext cx="1457325"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a:p>
          <a:r>
            <a:rPr lang="fr-FR" sz="1100"/>
            <a:t>PT</a:t>
          </a:r>
          <a:r>
            <a:rPr lang="fr-FR" sz="1100" baseline="0"/>
            <a:t> froid, PT chaud, Regulation</a:t>
          </a:r>
          <a:endParaRPr lang="fr-FR" sz="1100"/>
        </a:p>
      </xdr:txBody>
    </xdr:sp>
    <xdr:clientData/>
  </xdr:twoCellAnchor>
  <xdr:twoCellAnchor editAs="oneCell">
    <xdr:from>
      <xdr:col>7</xdr:col>
      <xdr:colOff>1129393</xdr:colOff>
      <xdr:row>182</xdr:row>
      <xdr:rowOff>176893</xdr:rowOff>
    </xdr:from>
    <xdr:to>
      <xdr:col>7</xdr:col>
      <xdr:colOff>1367488</xdr:colOff>
      <xdr:row>184</xdr:row>
      <xdr:rowOff>24464</xdr:rowOff>
    </xdr:to>
    <xdr:pic>
      <xdr:nvPicPr>
        <xdr:cNvPr id="15" name="Image 14">
          <a:extLst>
            <a:ext uri="{FF2B5EF4-FFF2-40B4-BE49-F238E27FC236}">
              <a16:creationId xmlns:a16="http://schemas.microsoft.com/office/drawing/2014/main" id="{00000000-0008-0000-1900-00000F000000}"/>
            </a:ext>
          </a:extLst>
        </xdr:cNvPr>
        <xdr:cNvPicPr>
          <a:picLocks noChangeAspect="1"/>
        </xdr:cNvPicPr>
      </xdr:nvPicPr>
      <xdr:blipFill>
        <a:blip xmlns:r="http://schemas.openxmlformats.org/officeDocument/2006/relationships" r:embed="rId6"/>
        <a:stretch>
          <a:fillRect/>
        </a:stretch>
      </xdr:blipFill>
      <xdr:spPr>
        <a:xfrm>
          <a:off x="13552714" y="40168286"/>
          <a:ext cx="238095" cy="228571"/>
        </a:xfrm>
        <a:prstGeom prst="rect">
          <a:avLst/>
        </a:prstGeom>
      </xdr:spPr>
    </xdr:pic>
    <xdr:clientData/>
  </xdr:twoCellAnchor>
  <xdr:twoCellAnchor editAs="oneCell">
    <xdr:from>
      <xdr:col>7</xdr:col>
      <xdr:colOff>1360715</xdr:colOff>
      <xdr:row>183</xdr:row>
      <xdr:rowOff>13607</xdr:rowOff>
    </xdr:from>
    <xdr:to>
      <xdr:col>7</xdr:col>
      <xdr:colOff>1627382</xdr:colOff>
      <xdr:row>184</xdr:row>
      <xdr:rowOff>51678</xdr:rowOff>
    </xdr:to>
    <xdr:pic>
      <xdr:nvPicPr>
        <xdr:cNvPr id="16" name="Image 15">
          <a:extLst>
            <a:ext uri="{FF2B5EF4-FFF2-40B4-BE49-F238E27FC236}">
              <a16:creationId xmlns:a16="http://schemas.microsoft.com/office/drawing/2014/main" id="{00000000-0008-0000-1900-000010000000}"/>
            </a:ext>
          </a:extLst>
        </xdr:cNvPr>
        <xdr:cNvPicPr>
          <a:picLocks noChangeAspect="1"/>
        </xdr:cNvPicPr>
      </xdr:nvPicPr>
      <xdr:blipFill>
        <a:blip xmlns:r="http://schemas.openxmlformats.org/officeDocument/2006/relationships" r:embed="rId7"/>
        <a:stretch>
          <a:fillRect/>
        </a:stretch>
      </xdr:blipFill>
      <xdr:spPr>
        <a:xfrm>
          <a:off x="13784036" y="40195500"/>
          <a:ext cx="266667" cy="228571"/>
        </a:xfrm>
        <a:prstGeom prst="rect">
          <a:avLst/>
        </a:prstGeom>
      </xdr:spPr>
    </xdr:pic>
    <xdr:clientData/>
  </xdr:twoCellAnchor>
  <xdr:twoCellAnchor editAs="oneCell">
    <xdr:from>
      <xdr:col>7</xdr:col>
      <xdr:colOff>791935</xdr:colOff>
      <xdr:row>183</xdr:row>
      <xdr:rowOff>2721</xdr:rowOff>
    </xdr:from>
    <xdr:to>
      <xdr:col>7</xdr:col>
      <xdr:colOff>1058602</xdr:colOff>
      <xdr:row>184</xdr:row>
      <xdr:rowOff>40792</xdr:rowOff>
    </xdr:to>
    <xdr:pic>
      <xdr:nvPicPr>
        <xdr:cNvPr id="17" name="Image 16">
          <a:extLst>
            <a:ext uri="{FF2B5EF4-FFF2-40B4-BE49-F238E27FC236}">
              <a16:creationId xmlns:a16="http://schemas.microsoft.com/office/drawing/2014/main" id="{00000000-0008-0000-1900-000011000000}"/>
            </a:ext>
          </a:extLst>
        </xdr:cNvPr>
        <xdr:cNvPicPr>
          <a:picLocks noChangeAspect="1"/>
        </xdr:cNvPicPr>
      </xdr:nvPicPr>
      <xdr:blipFill>
        <a:blip xmlns:r="http://schemas.openxmlformats.org/officeDocument/2006/relationships" r:embed="rId7"/>
        <a:stretch>
          <a:fillRect/>
        </a:stretch>
      </xdr:blipFill>
      <xdr:spPr>
        <a:xfrm>
          <a:off x="13215256" y="40184614"/>
          <a:ext cx="266667" cy="2285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419100</xdr:colOff>
          <xdr:row>7</xdr:row>
          <xdr:rowOff>123825</xdr:rowOff>
        </xdr:from>
        <xdr:to>
          <xdr:col>12</xdr:col>
          <xdr:colOff>895350</xdr:colOff>
          <xdr:row>14</xdr:row>
          <xdr:rowOff>38100</xdr:rowOff>
        </xdr:to>
        <xdr:sp macro="" textlink="">
          <xdr:nvSpPr>
            <xdr:cNvPr id="37896" name="Button 8" hidden="1">
              <a:extLst>
                <a:ext uri="{63B3BB69-23CF-44E3-9099-C40C66FF867C}">
                  <a14:compatExt spid="_x0000_s37896"/>
                </a:ext>
                <a:ext uri="{FF2B5EF4-FFF2-40B4-BE49-F238E27FC236}">
                  <a16:creationId xmlns:a16="http://schemas.microsoft.com/office/drawing/2014/main" id="{00000000-0008-0000-1B00-000008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de l'étuve du séchoir</a:t>
              </a:r>
            </a:p>
          </xdr:txBody>
        </xdr:sp>
        <xdr:clientData fPrintsWithSheet="0"/>
      </xdr:twoCellAnchor>
    </mc:Choice>
    <mc:Fallback/>
  </mc:AlternateContent>
  <xdr:twoCellAnchor>
    <xdr:from>
      <xdr:col>7</xdr:col>
      <xdr:colOff>171450</xdr:colOff>
      <xdr:row>14</xdr:row>
      <xdr:rowOff>104775</xdr:rowOff>
    </xdr:from>
    <xdr:to>
      <xdr:col>12</xdr:col>
      <xdr:colOff>914400</xdr:colOff>
      <xdr:row>37</xdr:row>
      <xdr:rowOff>114301</xdr:rowOff>
    </xdr:to>
    <xdr:grpSp>
      <xdr:nvGrpSpPr>
        <xdr:cNvPr id="37905" name="Groupe 37904">
          <a:extLst>
            <a:ext uri="{FF2B5EF4-FFF2-40B4-BE49-F238E27FC236}">
              <a16:creationId xmlns:a16="http://schemas.microsoft.com/office/drawing/2014/main" id="{00000000-0008-0000-1B00-000011940000}"/>
            </a:ext>
          </a:extLst>
        </xdr:cNvPr>
        <xdr:cNvGrpSpPr/>
      </xdr:nvGrpSpPr>
      <xdr:grpSpPr>
        <a:xfrm>
          <a:off x="7877175" y="3457575"/>
          <a:ext cx="5762625" cy="4410076"/>
          <a:chOff x="6667500" y="3114675"/>
          <a:chExt cx="5762625" cy="4410076"/>
        </a:xfrm>
      </xdr:grpSpPr>
      <xdr:grpSp>
        <xdr:nvGrpSpPr>
          <xdr:cNvPr id="3" name="Groupe 2">
            <a:extLst>
              <a:ext uri="{FF2B5EF4-FFF2-40B4-BE49-F238E27FC236}">
                <a16:creationId xmlns:a16="http://schemas.microsoft.com/office/drawing/2014/main" id="{00000000-0008-0000-1B00-000003000000}"/>
              </a:ext>
            </a:extLst>
          </xdr:cNvPr>
          <xdr:cNvGrpSpPr/>
        </xdr:nvGrpSpPr>
        <xdr:grpSpPr>
          <a:xfrm>
            <a:off x="6667500" y="3114675"/>
            <a:ext cx="5762625" cy="4410076"/>
            <a:chOff x="7058025" y="2857499"/>
            <a:chExt cx="5762625" cy="4410076"/>
          </a:xfrm>
        </xdr:grpSpPr>
        <xdr:grpSp>
          <xdr:nvGrpSpPr>
            <xdr:cNvPr id="5" name="Groupe 4">
              <a:extLst>
                <a:ext uri="{FF2B5EF4-FFF2-40B4-BE49-F238E27FC236}">
                  <a16:creationId xmlns:a16="http://schemas.microsoft.com/office/drawing/2014/main" id="{00000000-0008-0000-1B00-000005000000}"/>
                </a:ext>
              </a:extLst>
            </xdr:cNvPr>
            <xdr:cNvGrpSpPr/>
          </xdr:nvGrpSpPr>
          <xdr:grpSpPr>
            <a:xfrm>
              <a:off x="7058025" y="2857499"/>
              <a:ext cx="4391025" cy="4410076"/>
              <a:chOff x="8605630" y="3404152"/>
              <a:chExt cx="4174435" cy="4287981"/>
            </a:xfrm>
          </xdr:grpSpPr>
          <xdr:sp macro="" textlink="">
            <xdr:nvSpPr>
              <xdr:cNvPr id="8" name="Organigramme : Connecteur 7">
                <a:extLst>
                  <a:ext uri="{FF2B5EF4-FFF2-40B4-BE49-F238E27FC236}">
                    <a16:creationId xmlns:a16="http://schemas.microsoft.com/office/drawing/2014/main" id="{00000000-0008-0000-1B00-000008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9" name="Groupe 8">
                <a:extLst>
                  <a:ext uri="{FF2B5EF4-FFF2-40B4-BE49-F238E27FC236}">
                    <a16:creationId xmlns:a16="http://schemas.microsoft.com/office/drawing/2014/main" id="{00000000-0008-0000-1B00-000009000000}"/>
                  </a:ext>
                </a:extLst>
              </xdr:cNvPr>
              <xdr:cNvGrpSpPr/>
            </xdr:nvGrpSpPr>
            <xdr:grpSpPr>
              <a:xfrm>
                <a:off x="8605630" y="3404152"/>
                <a:ext cx="4174435" cy="4287981"/>
                <a:chOff x="8605630" y="3404152"/>
                <a:chExt cx="4174435" cy="4287981"/>
              </a:xfrm>
            </xdr:grpSpPr>
            <xdr:grpSp>
              <xdr:nvGrpSpPr>
                <xdr:cNvPr id="10" name="Groupe 9">
                  <a:extLst>
                    <a:ext uri="{FF2B5EF4-FFF2-40B4-BE49-F238E27FC236}">
                      <a16:creationId xmlns:a16="http://schemas.microsoft.com/office/drawing/2014/main" id="{00000000-0008-0000-1B00-00000A000000}"/>
                    </a:ext>
                  </a:extLst>
                </xdr:cNvPr>
                <xdr:cNvGrpSpPr/>
              </xdr:nvGrpSpPr>
              <xdr:grpSpPr>
                <a:xfrm>
                  <a:off x="9316277" y="3404152"/>
                  <a:ext cx="3463788" cy="3327953"/>
                  <a:chOff x="9092647" y="3420717"/>
                  <a:chExt cx="3463788" cy="3327953"/>
                </a:xfrm>
              </xdr:grpSpPr>
              <xdr:sp macro="" textlink="">
                <xdr:nvSpPr>
                  <xdr:cNvPr id="14" name="Organigramme : Connecteur 13">
                    <a:extLst>
                      <a:ext uri="{FF2B5EF4-FFF2-40B4-BE49-F238E27FC236}">
                        <a16:creationId xmlns:a16="http://schemas.microsoft.com/office/drawing/2014/main" id="{00000000-0008-0000-1B00-00000E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15" name="Organigramme : Connecteur 14">
                    <a:extLst>
                      <a:ext uri="{FF2B5EF4-FFF2-40B4-BE49-F238E27FC236}">
                        <a16:creationId xmlns:a16="http://schemas.microsoft.com/office/drawing/2014/main" id="{00000000-0008-0000-1B00-00000F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16" name="Organigramme : Connecteur 15">
                    <a:extLst>
                      <a:ext uri="{FF2B5EF4-FFF2-40B4-BE49-F238E27FC236}">
                        <a16:creationId xmlns:a16="http://schemas.microsoft.com/office/drawing/2014/main" id="{00000000-0008-0000-1B00-000010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17" name="Organigramme : Connecteur 16">
                    <a:extLst>
                      <a:ext uri="{FF2B5EF4-FFF2-40B4-BE49-F238E27FC236}">
                        <a16:creationId xmlns:a16="http://schemas.microsoft.com/office/drawing/2014/main" id="{00000000-0008-0000-1B00-000011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18" name="Organigramme : Connecteur 17">
                    <a:extLst>
                      <a:ext uri="{FF2B5EF4-FFF2-40B4-BE49-F238E27FC236}">
                        <a16:creationId xmlns:a16="http://schemas.microsoft.com/office/drawing/2014/main" id="{00000000-0008-0000-1B00-000012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19" name="Organigramme : Connecteur 18">
                    <a:extLst>
                      <a:ext uri="{FF2B5EF4-FFF2-40B4-BE49-F238E27FC236}">
                        <a16:creationId xmlns:a16="http://schemas.microsoft.com/office/drawing/2014/main" id="{00000000-0008-0000-1B00-000013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20" name="Groupe 19">
                    <a:extLst>
                      <a:ext uri="{FF2B5EF4-FFF2-40B4-BE49-F238E27FC236}">
                        <a16:creationId xmlns:a16="http://schemas.microsoft.com/office/drawing/2014/main" id="{00000000-0008-0000-1B00-000014000000}"/>
                      </a:ext>
                    </a:extLst>
                  </xdr:cNvPr>
                  <xdr:cNvGrpSpPr/>
                </xdr:nvGrpSpPr>
                <xdr:grpSpPr>
                  <a:xfrm>
                    <a:off x="9092647" y="3592995"/>
                    <a:ext cx="3463788" cy="3155675"/>
                    <a:chOff x="9092647" y="3592995"/>
                    <a:chExt cx="3463788" cy="3155675"/>
                  </a:xfrm>
                </xdr:grpSpPr>
                <xdr:sp macro="" textlink="">
                  <xdr:nvSpPr>
                    <xdr:cNvPr id="21" name="Organigramme : Connecteur 20">
                      <a:extLst>
                        <a:ext uri="{FF2B5EF4-FFF2-40B4-BE49-F238E27FC236}">
                          <a16:creationId xmlns:a16="http://schemas.microsoft.com/office/drawing/2014/main" id="{00000000-0008-0000-1B00-000015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22" name="Organigramme : Connecteur 21">
                      <a:extLst>
                        <a:ext uri="{FF2B5EF4-FFF2-40B4-BE49-F238E27FC236}">
                          <a16:creationId xmlns:a16="http://schemas.microsoft.com/office/drawing/2014/main" id="{00000000-0008-0000-1B00-000016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Sechoir!$B$26">
                  <xdr:nvSpPr>
                    <xdr:cNvPr id="23" name="Organigramme : Connecteur 22">
                      <a:extLst>
                        <a:ext uri="{FF2B5EF4-FFF2-40B4-BE49-F238E27FC236}">
                          <a16:creationId xmlns:a16="http://schemas.microsoft.com/office/drawing/2014/main" id="{00000000-0008-0000-1B00-000017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1EEEAD1-7262-4800-8D66-D8187DC528ED}" type="TxLink">
                        <a:rPr lang="en-US" sz="1100" b="0" i="0" u="none" strike="noStrike">
                          <a:solidFill>
                            <a:srgbClr val="000000"/>
                          </a:solidFill>
                          <a:latin typeface="Calibri"/>
                          <a:cs typeface="Calibri"/>
                        </a:rPr>
                        <a:pPr algn="ctr"/>
                        <a:t> </a:t>
                      </a:fld>
                      <a:endParaRPr lang="fr-FR" sz="1100"/>
                    </a:p>
                  </xdr:txBody>
                </xdr:sp>
                <xdr:sp macro="" textlink="Mesures_Sechoir!$B$27">
                  <xdr:nvSpPr>
                    <xdr:cNvPr id="24" name="Organigramme : Connecteur 23">
                      <a:extLst>
                        <a:ext uri="{FF2B5EF4-FFF2-40B4-BE49-F238E27FC236}">
                          <a16:creationId xmlns:a16="http://schemas.microsoft.com/office/drawing/2014/main" id="{00000000-0008-0000-1B00-000018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3F34E8D-0065-4228-AEA4-B807946C968E}" type="TxLink">
                        <a:rPr lang="en-US" sz="1100" b="0" i="0" u="none" strike="noStrike">
                          <a:solidFill>
                            <a:srgbClr val="000000"/>
                          </a:solidFill>
                          <a:latin typeface="Calibri"/>
                          <a:cs typeface="Calibri"/>
                        </a:rPr>
                        <a:pPr algn="ctr"/>
                        <a:t> </a:t>
                      </a:fld>
                      <a:endParaRPr lang="fr-FR" sz="1100"/>
                    </a:p>
                  </xdr:txBody>
                </xdr:sp>
                <xdr:sp macro="" textlink="Mesures_Sechoir!$B$29">
                  <xdr:nvSpPr>
                    <xdr:cNvPr id="25" name="Organigramme : Connecteur 24">
                      <a:extLst>
                        <a:ext uri="{FF2B5EF4-FFF2-40B4-BE49-F238E27FC236}">
                          <a16:creationId xmlns:a16="http://schemas.microsoft.com/office/drawing/2014/main" id="{00000000-0008-0000-1B00-000019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22908BF-32F7-4A50-8C1E-F3509F0C2157}" type="TxLink">
                        <a:rPr lang="en-US" sz="1100" b="0" i="0" u="none" strike="noStrike">
                          <a:solidFill>
                            <a:srgbClr val="000000"/>
                          </a:solidFill>
                          <a:latin typeface="Calibri"/>
                          <a:cs typeface="Calibri"/>
                        </a:rPr>
                        <a:pPr algn="ctr"/>
                        <a:t> </a:t>
                      </a:fld>
                      <a:endParaRPr lang="fr-FR" sz="1100"/>
                    </a:p>
                  </xdr:txBody>
                </xdr:sp>
                <xdr:sp macro="" textlink="Mesures_Sechoir!$B$31">
                  <xdr:nvSpPr>
                    <xdr:cNvPr id="26" name="Organigramme : Connecteur 25">
                      <a:extLst>
                        <a:ext uri="{FF2B5EF4-FFF2-40B4-BE49-F238E27FC236}">
                          <a16:creationId xmlns:a16="http://schemas.microsoft.com/office/drawing/2014/main" id="{00000000-0008-0000-1B00-00001A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B67C079-CDBD-4030-9B2F-CE33E99440ED}" type="TxLink">
                        <a:rPr lang="en-US" sz="1100" b="0" i="0" u="none" strike="noStrike">
                          <a:solidFill>
                            <a:srgbClr val="000000"/>
                          </a:solidFill>
                          <a:latin typeface="Calibri"/>
                          <a:cs typeface="Calibri"/>
                        </a:rPr>
                        <a:pPr algn="ctr"/>
                        <a:t> </a:t>
                      </a:fld>
                      <a:endParaRPr lang="fr-FR" sz="1100"/>
                    </a:p>
                  </xdr:txBody>
                </xdr:sp>
                <xdr:sp macro="" textlink="Mesures_Sechoir!$B$30">
                  <xdr:nvSpPr>
                    <xdr:cNvPr id="27" name="Organigramme : Connecteur 26">
                      <a:extLst>
                        <a:ext uri="{FF2B5EF4-FFF2-40B4-BE49-F238E27FC236}">
                          <a16:creationId xmlns:a16="http://schemas.microsoft.com/office/drawing/2014/main" id="{00000000-0008-0000-1B00-00001B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4F17C6E-3672-43E1-8F95-36BECA7D6E57}" type="TxLink">
                        <a:rPr lang="en-US" sz="1100" b="0" i="0" u="none" strike="noStrike">
                          <a:solidFill>
                            <a:srgbClr val="000000"/>
                          </a:solidFill>
                          <a:latin typeface="Calibri"/>
                          <a:cs typeface="Calibri"/>
                        </a:rPr>
                        <a:pPr algn="ctr"/>
                        <a:t> </a:t>
                      </a:fld>
                      <a:endParaRPr lang="fr-FR" sz="1100"/>
                    </a:p>
                  </xdr:txBody>
                </xdr:sp>
                <xdr:sp macro="" textlink="Mesures_Sechoir!$C$31">
                  <xdr:nvSpPr>
                    <xdr:cNvPr id="28" name="Organigramme : Connecteur 27">
                      <a:extLst>
                        <a:ext uri="{FF2B5EF4-FFF2-40B4-BE49-F238E27FC236}">
                          <a16:creationId xmlns:a16="http://schemas.microsoft.com/office/drawing/2014/main" id="{00000000-0008-0000-1B00-00001C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30CF4A-E486-46BE-8BCC-D157C85EBB5A}" type="TxLink">
                        <a:rPr lang="en-US" sz="1100" b="0" i="0" u="none" strike="noStrike">
                          <a:solidFill>
                            <a:srgbClr val="000000"/>
                          </a:solidFill>
                          <a:latin typeface="Calibri"/>
                          <a:cs typeface="Calibri"/>
                        </a:rPr>
                        <a:pPr algn="ctr"/>
                        <a:t> </a:t>
                      </a:fld>
                      <a:endParaRPr lang="fr-FR" sz="1100"/>
                    </a:p>
                  </xdr:txBody>
                </xdr:sp>
                <xdr:sp macro="" textlink="Mesures_Sechoir!$C$26">
                  <xdr:nvSpPr>
                    <xdr:cNvPr id="29" name="Organigramme : Connecteur 28">
                      <a:extLst>
                        <a:ext uri="{FF2B5EF4-FFF2-40B4-BE49-F238E27FC236}">
                          <a16:creationId xmlns:a16="http://schemas.microsoft.com/office/drawing/2014/main" id="{00000000-0008-0000-1B00-00001D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7A87CA6-FEE8-4D17-99EC-607369340620}" type="TxLink">
                        <a:rPr lang="en-US" sz="1100" b="0" i="0" u="none" strike="noStrike">
                          <a:solidFill>
                            <a:srgbClr val="000000"/>
                          </a:solidFill>
                          <a:latin typeface="Calibri"/>
                          <a:cs typeface="Calibri"/>
                        </a:rPr>
                        <a:pPr algn="ctr"/>
                        <a:t> </a:t>
                      </a:fld>
                      <a:endParaRPr lang="fr-FR" sz="1100"/>
                    </a:p>
                  </xdr:txBody>
                </xdr:sp>
                <xdr:sp macro="" textlink="Mesures_Sechoir!$C$30">
                  <xdr:nvSpPr>
                    <xdr:cNvPr id="30" name="Organigramme : Connecteur 29">
                      <a:extLst>
                        <a:ext uri="{FF2B5EF4-FFF2-40B4-BE49-F238E27FC236}">
                          <a16:creationId xmlns:a16="http://schemas.microsoft.com/office/drawing/2014/main" id="{00000000-0008-0000-1B00-00001E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619864-B411-47DF-83F1-2F73C2619DDC}" type="TxLink">
                        <a:rPr lang="en-US" sz="1100" b="0" i="0" u="none" strike="noStrike">
                          <a:solidFill>
                            <a:srgbClr val="000000"/>
                          </a:solidFill>
                          <a:latin typeface="Calibri"/>
                          <a:cs typeface="Calibri"/>
                        </a:rPr>
                        <a:pPr algn="ctr"/>
                        <a:t> </a:t>
                      </a:fld>
                      <a:endParaRPr lang="fr-FR" sz="1100"/>
                    </a:p>
                  </xdr:txBody>
                </xdr:sp>
                <xdr:sp macro="" textlink="Mesures_Sechoir!$C$29">
                  <xdr:nvSpPr>
                    <xdr:cNvPr id="31" name="Organigramme : Connecteur 30">
                      <a:extLst>
                        <a:ext uri="{FF2B5EF4-FFF2-40B4-BE49-F238E27FC236}">
                          <a16:creationId xmlns:a16="http://schemas.microsoft.com/office/drawing/2014/main" id="{00000000-0008-0000-1B00-00001F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452FB8D-F04A-4E84-8747-C9DAF53AE315}" type="TxLink">
                        <a:rPr lang="en-US" sz="1100" b="0" i="0" u="none" strike="noStrike">
                          <a:solidFill>
                            <a:srgbClr val="000000"/>
                          </a:solidFill>
                          <a:latin typeface="Calibri"/>
                          <a:cs typeface="Calibri"/>
                        </a:rPr>
                        <a:pPr algn="ctr"/>
                        <a:t> </a:t>
                      </a:fld>
                      <a:endParaRPr lang="fr-FR" sz="1100"/>
                    </a:p>
                  </xdr:txBody>
                </xdr:sp>
                <xdr:sp macro="" textlink="Mesures_Sechoir!$C$27">
                  <xdr:nvSpPr>
                    <xdr:cNvPr id="37888" name="Organigramme : Connecteur 37887">
                      <a:extLst>
                        <a:ext uri="{FF2B5EF4-FFF2-40B4-BE49-F238E27FC236}">
                          <a16:creationId xmlns:a16="http://schemas.microsoft.com/office/drawing/2014/main" id="{00000000-0008-0000-1B00-00000094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1E58B4-D3C4-4A11-A7F6-770AE081BA8E}" type="TxLink">
                        <a:rPr lang="en-US" sz="1100" b="0" i="0" u="none" strike="noStrike">
                          <a:solidFill>
                            <a:srgbClr val="000000"/>
                          </a:solidFill>
                          <a:latin typeface="Calibri"/>
                          <a:cs typeface="Calibri"/>
                        </a:rPr>
                        <a:pPr algn="ctr"/>
                        <a:t> </a:t>
                      </a:fld>
                      <a:endParaRPr lang="fr-FR" sz="1100"/>
                    </a:p>
                  </xdr:txBody>
                </xdr:sp>
                <xdr:grpSp>
                  <xdr:nvGrpSpPr>
                    <xdr:cNvPr id="37889" name="Groupe 37888">
                      <a:extLst>
                        <a:ext uri="{FF2B5EF4-FFF2-40B4-BE49-F238E27FC236}">
                          <a16:creationId xmlns:a16="http://schemas.microsoft.com/office/drawing/2014/main" id="{00000000-0008-0000-1B00-000001940000}"/>
                        </a:ext>
                      </a:extLst>
                    </xdr:cNvPr>
                    <xdr:cNvGrpSpPr/>
                  </xdr:nvGrpSpPr>
                  <xdr:grpSpPr>
                    <a:xfrm>
                      <a:off x="9230139" y="3592995"/>
                      <a:ext cx="3326296" cy="2792482"/>
                      <a:chOff x="9230139" y="3592995"/>
                      <a:chExt cx="3326296" cy="2792482"/>
                    </a:xfrm>
                  </xdr:grpSpPr>
                  <xdr:grpSp>
                    <xdr:nvGrpSpPr>
                      <xdr:cNvPr id="37890" name="Groupe 37889">
                        <a:extLst>
                          <a:ext uri="{FF2B5EF4-FFF2-40B4-BE49-F238E27FC236}">
                            <a16:creationId xmlns:a16="http://schemas.microsoft.com/office/drawing/2014/main" id="{00000000-0008-0000-1B00-000002940000}"/>
                          </a:ext>
                        </a:extLst>
                      </xdr:cNvPr>
                      <xdr:cNvGrpSpPr/>
                    </xdr:nvGrpSpPr>
                    <xdr:grpSpPr>
                      <a:xfrm>
                        <a:off x="9310480" y="3635237"/>
                        <a:ext cx="2949367" cy="2750240"/>
                        <a:chOff x="9320893" y="3638550"/>
                        <a:chExt cx="2950550" cy="2755446"/>
                      </a:xfrm>
                    </xdr:grpSpPr>
                    <xdr:sp macro="" textlink="">
                      <xdr:nvSpPr>
                        <xdr:cNvPr id="37900" name="Cube 37899">
                          <a:extLst>
                            <a:ext uri="{FF2B5EF4-FFF2-40B4-BE49-F238E27FC236}">
                              <a16:creationId xmlns:a16="http://schemas.microsoft.com/office/drawing/2014/main" id="{00000000-0008-0000-1B00-00000C94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37901" name="Connecteur droit 37900">
                          <a:extLst>
                            <a:ext uri="{FF2B5EF4-FFF2-40B4-BE49-F238E27FC236}">
                              <a16:creationId xmlns:a16="http://schemas.microsoft.com/office/drawing/2014/main" id="{00000000-0008-0000-1B00-00000D94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37902" name="Connecteur droit 37901">
                          <a:extLst>
                            <a:ext uri="{FF2B5EF4-FFF2-40B4-BE49-F238E27FC236}">
                              <a16:creationId xmlns:a16="http://schemas.microsoft.com/office/drawing/2014/main" id="{00000000-0008-0000-1B00-00000E94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37903" name="Connecteur droit 37902">
                          <a:extLst>
                            <a:ext uri="{FF2B5EF4-FFF2-40B4-BE49-F238E27FC236}">
                              <a16:creationId xmlns:a16="http://schemas.microsoft.com/office/drawing/2014/main" id="{00000000-0008-0000-1B00-00000F94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Sechoir!$B$24">
                    <xdr:nvSpPr>
                      <xdr:cNvPr id="37891" name="Organigramme : Connecteur 37890">
                        <a:extLst>
                          <a:ext uri="{FF2B5EF4-FFF2-40B4-BE49-F238E27FC236}">
                            <a16:creationId xmlns:a16="http://schemas.microsoft.com/office/drawing/2014/main" id="{00000000-0008-0000-1B00-00000394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81416CB-7DC1-4C5E-A078-1B037A484FF5}" type="TxLink">
                          <a:rPr lang="en-US" sz="1100" b="0" i="0" u="none" strike="noStrike">
                            <a:solidFill>
                              <a:srgbClr val="000000"/>
                            </a:solidFill>
                            <a:latin typeface="Calibri"/>
                            <a:cs typeface="Calibri"/>
                          </a:rPr>
                          <a:pPr algn="ctr"/>
                          <a:t> </a:t>
                        </a:fld>
                        <a:endParaRPr lang="fr-FR" sz="1100"/>
                      </a:p>
                    </xdr:txBody>
                  </xdr:sp>
                  <xdr:sp macro="" textlink="Mesures_Sechoir!$C$24">
                    <xdr:nvSpPr>
                      <xdr:cNvPr id="37892" name="Organigramme : Connecteur 37891">
                        <a:extLst>
                          <a:ext uri="{FF2B5EF4-FFF2-40B4-BE49-F238E27FC236}">
                            <a16:creationId xmlns:a16="http://schemas.microsoft.com/office/drawing/2014/main" id="{00000000-0008-0000-1B00-00000494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9B42545-999E-4961-A10B-4E8A3EED3049}" type="TxLink">
                          <a:rPr lang="en-US" sz="1100" b="0" i="0" u="none" strike="noStrike">
                            <a:solidFill>
                              <a:srgbClr val="000000"/>
                            </a:solidFill>
                            <a:latin typeface="Calibri"/>
                            <a:cs typeface="Calibri"/>
                          </a:rPr>
                          <a:pPr algn="ctr"/>
                          <a:t> </a:t>
                        </a:fld>
                        <a:endParaRPr lang="fr-FR" sz="1100"/>
                      </a:p>
                    </xdr:txBody>
                  </xdr:sp>
                  <xdr:sp macro="" textlink="Mesures_Sechoir!$B$25">
                    <xdr:nvSpPr>
                      <xdr:cNvPr id="37893" name="Organigramme : Connecteur 37892">
                        <a:extLst>
                          <a:ext uri="{FF2B5EF4-FFF2-40B4-BE49-F238E27FC236}">
                            <a16:creationId xmlns:a16="http://schemas.microsoft.com/office/drawing/2014/main" id="{00000000-0008-0000-1B00-00000594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AC32B4D-3D1D-465F-B998-C129D3793C84}" type="TxLink">
                          <a:rPr lang="en-US" sz="1100" b="0" i="0" u="none" strike="noStrike">
                            <a:solidFill>
                              <a:srgbClr val="000000"/>
                            </a:solidFill>
                            <a:latin typeface="Calibri"/>
                            <a:cs typeface="Calibri"/>
                          </a:rPr>
                          <a:pPr algn="ctr"/>
                          <a:t> </a:t>
                        </a:fld>
                        <a:endParaRPr lang="fr-FR" sz="1100"/>
                      </a:p>
                    </xdr:txBody>
                  </xdr:sp>
                  <xdr:sp macro="" textlink="Mesures_Sechoir!$B$28">
                    <xdr:nvSpPr>
                      <xdr:cNvPr id="37894" name="Organigramme : Connecteur 37893">
                        <a:extLst>
                          <a:ext uri="{FF2B5EF4-FFF2-40B4-BE49-F238E27FC236}">
                            <a16:creationId xmlns:a16="http://schemas.microsoft.com/office/drawing/2014/main" id="{00000000-0008-0000-1B00-00000694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13CB0F-A096-4C45-A2CD-88F7E57B4757}" type="TxLink">
                          <a:rPr lang="en-US" sz="1100" b="0" i="0" u="none" strike="noStrike">
                            <a:solidFill>
                              <a:srgbClr val="000000"/>
                            </a:solidFill>
                            <a:latin typeface="Calibri"/>
                            <a:cs typeface="Calibri"/>
                          </a:rPr>
                          <a:pPr algn="ctr"/>
                          <a:t> </a:t>
                        </a:fld>
                        <a:endParaRPr lang="fr-FR" sz="1100"/>
                      </a:p>
                    </xdr:txBody>
                  </xdr:sp>
                  <xdr:sp macro="" textlink="Mesures_Sechoir!$B$32">
                    <xdr:nvSpPr>
                      <xdr:cNvPr id="37895" name="Organigramme : Connecteur 37894">
                        <a:extLst>
                          <a:ext uri="{FF2B5EF4-FFF2-40B4-BE49-F238E27FC236}">
                            <a16:creationId xmlns:a16="http://schemas.microsoft.com/office/drawing/2014/main" id="{00000000-0008-0000-1B00-0000079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082B390-C274-4A4D-B97C-FC885FE98D4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Sechoir!$C$32">
                    <xdr:nvSpPr>
                      <xdr:cNvPr id="37897" name="Organigramme : Connecteur 37896">
                        <a:extLst>
                          <a:ext uri="{FF2B5EF4-FFF2-40B4-BE49-F238E27FC236}">
                            <a16:creationId xmlns:a16="http://schemas.microsoft.com/office/drawing/2014/main" id="{00000000-0008-0000-1B00-0000099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2C54B6-8CEE-4589-83A8-6701704D871C}" type="TxLink">
                          <a:rPr lang="en-US" sz="1100" b="0" i="0" u="none" strike="noStrike">
                            <a:solidFill>
                              <a:srgbClr val="000000"/>
                            </a:solidFill>
                            <a:latin typeface="Calibri"/>
                            <a:cs typeface="Calibri"/>
                          </a:rPr>
                          <a:pPr algn="ctr"/>
                          <a:t> </a:t>
                        </a:fld>
                        <a:endParaRPr lang="fr-FR" sz="1100"/>
                      </a:p>
                    </xdr:txBody>
                  </xdr:sp>
                  <xdr:sp macro="" textlink="Mesures_Sechoir!$C$28">
                    <xdr:nvSpPr>
                      <xdr:cNvPr id="37898" name="Organigramme : Connecteur 37897">
                        <a:extLst>
                          <a:ext uri="{FF2B5EF4-FFF2-40B4-BE49-F238E27FC236}">
                            <a16:creationId xmlns:a16="http://schemas.microsoft.com/office/drawing/2014/main" id="{00000000-0008-0000-1B00-00000A9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AAA7E22-9C52-4D3A-902A-BBC67F3EF756}" type="TxLink">
                          <a:rPr lang="en-US" sz="1100" b="0" i="0" u="none" strike="noStrike">
                            <a:solidFill>
                              <a:srgbClr val="000000"/>
                            </a:solidFill>
                            <a:latin typeface="Calibri"/>
                            <a:cs typeface="Calibri"/>
                          </a:rPr>
                          <a:pPr algn="ctr"/>
                          <a:t> </a:t>
                        </a:fld>
                        <a:endParaRPr lang="fr-FR" sz="1100"/>
                      </a:p>
                    </xdr:txBody>
                  </xdr:sp>
                  <xdr:sp macro="" textlink="Mesures_Sechoir!$C$25">
                    <xdr:nvSpPr>
                      <xdr:cNvPr id="37899" name="Organigramme : Connecteur 37898">
                        <a:extLst>
                          <a:ext uri="{FF2B5EF4-FFF2-40B4-BE49-F238E27FC236}">
                            <a16:creationId xmlns:a16="http://schemas.microsoft.com/office/drawing/2014/main" id="{00000000-0008-0000-1B00-00000B9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229EC6-22B8-41E2-8311-37C9A23F3A13}" type="TxLink">
                          <a:rPr lang="en-US" sz="1100" b="0" i="0" u="none" strike="noStrike">
                            <a:solidFill>
                              <a:srgbClr val="000000"/>
                            </a:solidFill>
                            <a:latin typeface="Calibri"/>
                            <a:cs typeface="Calibri"/>
                          </a:rPr>
                          <a:pPr algn="ctr"/>
                          <a:t> </a:t>
                        </a:fld>
                        <a:endParaRPr lang="fr-FR" sz="1100"/>
                      </a:p>
                    </xdr:txBody>
                  </xdr:sp>
                </xdr:grpSp>
              </xdr:grpSp>
            </xdr:grpSp>
            <xdr:sp macro="" textlink="$B$25">
              <xdr:nvSpPr>
                <xdr:cNvPr id="11" name="Organigramme : Connecteur 10">
                  <a:extLst>
                    <a:ext uri="{FF2B5EF4-FFF2-40B4-BE49-F238E27FC236}">
                      <a16:creationId xmlns:a16="http://schemas.microsoft.com/office/drawing/2014/main" id="{00000000-0008-0000-1B00-00000B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5">
              <xdr:nvSpPr>
                <xdr:cNvPr id="12" name="Organigramme : Connecteur 11">
                  <a:extLst>
                    <a:ext uri="{FF2B5EF4-FFF2-40B4-BE49-F238E27FC236}">
                      <a16:creationId xmlns:a16="http://schemas.microsoft.com/office/drawing/2014/main" id="{00000000-0008-0000-1B00-00000C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3" name="ZoneTexte 12">
                  <a:extLst>
                    <a:ext uri="{FF2B5EF4-FFF2-40B4-BE49-F238E27FC236}">
                      <a16:creationId xmlns:a16="http://schemas.microsoft.com/office/drawing/2014/main" id="{00000000-0008-0000-1B00-00000D000000}"/>
                    </a:ext>
                  </a:extLst>
                </xdr:cNvPr>
                <xdr:cNvSpPr txBox="1"/>
              </xdr:nvSpPr>
              <xdr:spPr>
                <a:xfrm>
                  <a:off x="8811923" y="7046087"/>
                  <a:ext cx="1590261" cy="6460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xnSp macro="">
          <xdr:nvCxnSpPr>
            <xdr:cNvPr id="6" name="Connecteur droit avec flèche 5">
              <a:extLst>
                <a:ext uri="{FF2B5EF4-FFF2-40B4-BE49-F238E27FC236}">
                  <a16:creationId xmlns:a16="http://schemas.microsoft.com/office/drawing/2014/main" id="{00000000-0008-0000-1B00-00000600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 name="ZoneTexte 6">
              <a:extLst>
                <a:ext uri="{FF2B5EF4-FFF2-40B4-BE49-F238E27FC236}">
                  <a16:creationId xmlns:a16="http://schemas.microsoft.com/office/drawing/2014/main" id="{00000000-0008-0000-1B00-00000700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sp macro="" textlink="">
        <xdr:nvSpPr>
          <xdr:cNvPr id="37904" name="Organigramme : Connecteur 37903">
            <a:extLst>
              <a:ext uri="{FF2B5EF4-FFF2-40B4-BE49-F238E27FC236}">
                <a16:creationId xmlns:a16="http://schemas.microsoft.com/office/drawing/2014/main" id="{00000000-0008-0000-1B00-000010940000}"/>
              </a:ext>
            </a:extLst>
          </xdr:cNvPr>
          <xdr:cNvSpPr/>
        </xdr:nvSpPr>
        <xdr:spPr>
          <a:xfrm>
            <a:off x="9725025" y="4838700"/>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24</xdr:row>
      <xdr:rowOff>190499</xdr:rowOff>
    </xdr:from>
    <xdr:to>
      <xdr:col>9</xdr:col>
      <xdr:colOff>438150</xdr:colOff>
      <xdr:row>45</xdr:row>
      <xdr:rowOff>104774</xdr:rowOff>
    </xdr:to>
    <xdr:graphicFrame macro="">
      <xdr:nvGraphicFramePr>
        <xdr:cNvPr id="3" name="Graphique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E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136176</xdr:rowOff>
    </xdr:to>
    <xdr:pic>
      <xdr:nvPicPr>
        <xdr:cNvPr id="11" name="Image 10" descr="fregat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0</xdr:col>
      <xdr:colOff>966106</xdr:colOff>
      <xdr:row>259</xdr:row>
      <xdr:rowOff>0</xdr:rowOff>
    </xdr:from>
    <xdr:to>
      <xdr:col>8</xdr:col>
      <xdr:colOff>489856</xdr:colOff>
      <xdr:row>287</xdr:row>
      <xdr:rowOff>13607</xdr:rowOff>
    </xdr:to>
    <xdr:graphicFrame macro="">
      <xdr:nvGraphicFramePr>
        <xdr:cNvPr id="13" name="Graphique 12">
          <a:extLst>
            <a:ext uri="{FF2B5EF4-FFF2-40B4-BE49-F238E27FC236}">
              <a16:creationId xmlns:a16="http://schemas.microsoft.com/office/drawing/2014/main" id="{00000000-0008-0000-1E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1143000</xdr:colOff>
      <xdr:row>165</xdr:row>
      <xdr:rowOff>122464</xdr:rowOff>
    </xdr:from>
    <xdr:to>
      <xdr:col>7</xdr:col>
      <xdr:colOff>1721304</xdr:colOff>
      <xdr:row>188</xdr:row>
      <xdr:rowOff>151040</xdr:rowOff>
    </xdr:to>
    <xdr:grpSp>
      <xdr:nvGrpSpPr>
        <xdr:cNvPr id="12" name="Groupe 11">
          <a:extLst>
            <a:ext uri="{FF2B5EF4-FFF2-40B4-BE49-F238E27FC236}">
              <a16:creationId xmlns:a16="http://schemas.microsoft.com/office/drawing/2014/main" id="{00000000-0008-0000-1E00-00000C000000}"/>
            </a:ext>
          </a:extLst>
        </xdr:cNvPr>
        <xdr:cNvGrpSpPr/>
      </xdr:nvGrpSpPr>
      <xdr:grpSpPr>
        <a:xfrm>
          <a:off x="8382000" y="36684857"/>
          <a:ext cx="5762625" cy="4410076"/>
          <a:chOff x="6667500" y="3114675"/>
          <a:chExt cx="5762625" cy="4410076"/>
        </a:xfrm>
      </xdr:grpSpPr>
      <xdr:grpSp>
        <xdr:nvGrpSpPr>
          <xdr:cNvPr id="14" name="Groupe 13">
            <a:extLst>
              <a:ext uri="{FF2B5EF4-FFF2-40B4-BE49-F238E27FC236}">
                <a16:creationId xmlns:a16="http://schemas.microsoft.com/office/drawing/2014/main" id="{00000000-0008-0000-1E00-00000E000000}"/>
              </a:ext>
            </a:extLst>
          </xdr:cNvPr>
          <xdr:cNvGrpSpPr/>
        </xdr:nvGrpSpPr>
        <xdr:grpSpPr>
          <a:xfrm>
            <a:off x="6667500" y="3114675"/>
            <a:ext cx="5762625" cy="4410076"/>
            <a:chOff x="7058025" y="2857499"/>
            <a:chExt cx="5762625" cy="4410076"/>
          </a:xfrm>
        </xdr:grpSpPr>
        <xdr:grpSp>
          <xdr:nvGrpSpPr>
            <xdr:cNvPr id="16" name="Groupe 15">
              <a:extLst>
                <a:ext uri="{FF2B5EF4-FFF2-40B4-BE49-F238E27FC236}">
                  <a16:creationId xmlns:a16="http://schemas.microsoft.com/office/drawing/2014/main" id="{00000000-0008-0000-1E00-000010000000}"/>
                </a:ext>
              </a:extLst>
            </xdr:cNvPr>
            <xdr:cNvGrpSpPr/>
          </xdr:nvGrpSpPr>
          <xdr:grpSpPr>
            <a:xfrm>
              <a:off x="7058025" y="2857499"/>
              <a:ext cx="4391025" cy="4410076"/>
              <a:chOff x="8605630" y="3404152"/>
              <a:chExt cx="4174435" cy="4287981"/>
            </a:xfrm>
          </xdr:grpSpPr>
          <xdr:sp macro="" textlink="">
            <xdr:nvSpPr>
              <xdr:cNvPr id="19" name="Organigramme : Connecteur 18">
                <a:extLst>
                  <a:ext uri="{FF2B5EF4-FFF2-40B4-BE49-F238E27FC236}">
                    <a16:creationId xmlns:a16="http://schemas.microsoft.com/office/drawing/2014/main" id="{00000000-0008-0000-1E00-000013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20" name="Groupe 19">
                <a:extLst>
                  <a:ext uri="{FF2B5EF4-FFF2-40B4-BE49-F238E27FC236}">
                    <a16:creationId xmlns:a16="http://schemas.microsoft.com/office/drawing/2014/main" id="{00000000-0008-0000-1E00-000014000000}"/>
                  </a:ext>
                </a:extLst>
              </xdr:cNvPr>
              <xdr:cNvGrpSpPr/>
            </xdr:nvGrpSpPr>
            <xdr:grpSpPr>
              <a:xfrm>
                <a:off x="8605630" y="3404152"/>
                <a:ext cx="4174435" cy="4287981"/>
                <a:chOff x="8605630" y="3404152"/>
                <a:chExt cx="4174435" cy="4287981"/>
              </a:xfrm>
            </xdr:grpSpPr>
            <xdr:grpSp>
              <xdr:nvGrpSpPr>
                <xdr:cNvPr id="21" name="Groupe 20">
                  <a:extLst>
                    <a:ext uri="{FF2B5EF4-FFF2-40B4-BE49-F238E27FC236}">
                      <a16:creationId xmlns:a16="http://schemas.microsoft.com/office/drawing/2014/main" id="{00000000-0008-0000-1E00-000015000000}"/>
                    </a:ext>
                  </a:extLst>
                </xdr:cNvPr>
                <xdr:cNvGrpSpPr/>
              </xdr:nvGrpSpPr>
              <xdr:grpSpPr>
                <a:xfrm>
                  <a:off x="9316277" y="3404152"/>
                  <a:ext cx="3463788" cy="3327953"/>
                  <a:chOff x="9092647" y="3420717"/>
                  <a:chExt cx="3463788" cy="3327953"/>
                </a:xfrm>
              </xdr:grpSpPr>
              <xdr:sp macro="" textlink="">
                <xdr:nvSpPr>
                  <xdr:cNvPr id="25" name="Organigramme : Connecteur 24">
                    <a:extLst>
                      <a:ext uri="{FF2B5EF4-FFF2-40B4-BE49-F238E27FC236}">
                        <a16:creationId xmlns:a16="http://schemas.microsoft.com/office/drawing/2014/main" id="{00000000-0008-0000-1E00-000019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6" name="Organigramme : Connecteur 25">
                    <a:extLst>
                      <a:ext uri="{FF2B5EF4-FFF2-40B4-BE49-F238E27FC236}">
                        <a16:creationId xmlns:a16="http://schemas.microsoft.com/office/drawing/2014/main" id="{00000000-0008-0000-1E00-00001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7" name="Organigramme : Connecteur 26">
                    <a:extLst>
                      <a:ext uri="{FF2B5EF4-FFF2-40B4-BE49-F238E27FC236}">
                        <a16:creationId xmlns:a16="http://schemas.microsoft.com/office/drawing/2014/main" id="{00000000-0008-0000-1E00-00001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8" name="Organigramme : Connecteur 27">
                    <a:extLst>
                      <a:ext uri="{FF2B5EF4-FFF2-40B4-BE49-F238E27FC236}">
                        <a16:creationId xmlns:a16="http://schemas.microsoft.com/office/drawing/2014/main" id="{00000000-0008-0000-1E00-00001C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9" name="Organigramme : Connecteur 28">
                    <a:extLst>
                      <a:ext uri="{FF2B5EF4-FFF2-40B4-BE49-F238E27FC236}">
                        <a16:creationId xmlns:a16="http://schemas.microsoft.com/office/drawing/2014/main" id="{00000000-0008-0000-1E00-00001D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30" name="Organigramme : Connecteur 29">
                    <a:extLst>
                      <a:ext uri="{FF2B5EF4-FFF2-40B4-BE49-F238E27FC236}">
                        <a16:creationId xmlns:a16="http://schemas.microsoft.com/office/drawing/2014/main" id="{00000000-0008-0000-1E00-00001E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31" name="Groupe 30">
                    <a:extLst>
                      <a:ext uri="{FF2B5EF4-FFF2-40B4-BE49-F238E27FC236}">
                        <a16:creationId xmlns:a16="http://schemas.microsoft.com/office/drawing/2014/main" id="{00000000-0008-0000-1E00-00001F000000}"/>
                      </a:ext>
                    </a:extLst>
                  </xdr:cNvPr>
                  <xdr:cNvGrpSpPr/>
                </xdr:nvGrpSpPr>
                <xdr:grpSpPr>
                  <a:xfrm>
                    <a:off x="9092647" y="3592995"/>
                    <a:ext cx="3463788" cy="3155675"/>
                    <a:chOff x="9092647" y="3592995"/>
                    <a:chExt cx="3463788" cy="3155675"/>
                  </a:xfrm>
                </xdr:grpSpPr>
                <xdr:sp macro="" textlink="">
                  <xdr:nvSpPr>
                    <xdr:cNvPr id="32" name="Organigramme : Connecteur 31">
                      <a:extLst>
                        <a:ext uri="{FF2B5EF4-FFF2-40B4-BE49-F238E27FC236}">
                          <a16:creationId xmlns:a16="http://schemas.microsoft.com/office/drawing/2014/main" id="{00000000-0008-0000-1E00-000020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33" name="Organigramme : Connecteur 32">
                      <a:extLst>
                        <a:ext uri="{FF2B5EF4-FFF2-40B4-BE49-F238E27FC236}">
                          <a16:creationId xmlns:a16="http://schemas.microsoft.com/office/drawing/2014/main" id="{00000000-0008-0000-1E00-000021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Sechoir!$B$26">
                  <xdr:nvSpPr>
                    <xdr:cNvPr id="34" name="Organigramme : Connecteur 33">
                      <a:extLst>
                        <a:ext uri="{FF2B5EF4-FFF2-40B4-BE49-F238E27FC236}">
                          <a16:creationId xmlns:a16="http://schemas.microsoft.com/office/drawing/2014/main" id="{00000000-0008-0000-1E00-000022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1EEEAD1-7262-4800-8D66-D8187DC528ED}" type="TxLink">
                        <a:rPr lang="en-US" sz="1100" b="0" i="0" u="none" strike="noStrike">
                          <a:solidFill>
                            <a:srgbClr val="000000"/>
                          </a:solidFill>
                          <a:latin typeface="Calibri"/>
                          <a:cs typeface="Calibri"/>
                        </a:rPr>
                        <a:pPr algn="ctr"/>
                        <a:t> </a:t>
                      </a:fld>
                      <a:endParaRPr lang="fr-FR" sz="1100"/>
                    </a:p>
                  </xdr:txBody>
                </xdr:sp>
                <xdr:sp macro="" textlink="Mesures_Sechoir!$B$27">
                  <xdr:nvSpPr>
                    <xdr:cNvPr id="35" name="Organigramme : Connecteur 34">
                      <a:extLst>
                        <a:ext uri="{FF2B5EF4-FFF2-40B4-BE49-F238E27FC236}">
                          <a16:creationId xmlns:a16="http://schemas.microsoft.com/office/drawing/2014/main" id="{00000000-0008-0000-1E00-000023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3F34E8D-0065-4228-AEA4-B807946C968E}" type="TxLink">
                        <a:rPr lang="en-US" sz="1100" b="0" i="0" u="none" strike="noStrike">
                          <a:solidFill>
                            <a:srgbClr val="000000"/>
                          </a:solidFill>
                          <a:latin typeface="Calibri"/>
                          <a:cs typeface="Calibri"/>
                        </a:rPr>
                        <a:pPr algn="ctr"/>
                        <a:t> </a:t>
                      </a:fld>
                      <a:endParaRPr lang="fr-FR" sz="1100"/>
                    </a:p>
                  </xdr:txBody>
                </xdr:sp>
                <xdr:sp macro="" textlink="Mesures_Sechoir!$B$29">
                  <xdr:nvSpPr>
                    <xdr:cNvPr id="36" name="Organigramme : Connecteur 35">
                      <a:extLst>
                        <a:ext uri="{FF2B5EF4-FFF2-40B4-BE49-F238E27FC236}">
                          <a16:creationId xmlns:a16="http://schemas.microsoft.com/office/drawing/2014/main" id="{00000000-0008-0000-1E00-000024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22908BF-32F7-4A50-8C1E-F3509F0C2157}" type="TxLink">
                        <a:rPr lang="en-US" sz="1100" b="0" i="0" u="none" strike="noStrike">
                          <a:solidFill>
                            <a:srgbClr val="000000"/>
                          </a:solidFill>
                          <a:latin typeface="Calibri"/>
                          <a:cs typeface="Calibri"/>
                        </a:rPr>
                        <a:pPr algn="ctr"/>
                        <a:t> </a:t>
                      </a:fld>
                      <a:endParaRPr lang="fr-FR" sz="1100"/>
                    </a:p>
                  </xdr:txBody>
                </xdr:sp>
                <xdr:sp macro="" textlink="Mesures_Sechoir!$B$31">
                  <xdr:nvSpPr>
                    <xdr:cNvPr id="37" name="Organigramme : Connecteur 36">
                      <a:extLst>
                        <a:ext uri="{FF2B5EF4-FFF2-40B4-BE49-F238E27FC236}">
                          <a16:creationId xmlns:a16="http://schemas.microsoft.com/office/drawing/2014/main" id="{00000000-0008-0000-1E00-000025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B67C079-CDBD-4030-9B2F-CE33E99440ED}" type="TxLink">
                        <a:rPr lang="en-US" sz="1100" b="0" i="0" u="none" strike="noStrike">
                          <a:solidFill>
                            <a:srgbClr val="000000"/>
                          </a:solidFill>
                          <a:latin typeface="Calibri"/>
                          <a:cs typeface="Calibri"/>
                        </a:rPr>
                        <a:pPr algn="ctr"/>
                        <a:t> </a:t>
                      </a:fld>
                      <a:endParaRPr lang="fr-FR" sz="1100"/>
                    </a:p>
                  </xdr:txBody>
                </xdr:sp>
                <xdr:sp macro="" textlink="Mesures_Sechoir!$B$30">
                  <xdr:nvSpPr>
                    <xdr:cNvPr id="38" name="Organigramme : Connecteur 37">
                      <a:extLst>
                        <a:ext uri="{FF2B5EF4-FFF2-40B4-BE49-F238E27FC236}">
                          <a16:creationId xmlns:a16="http://schemas.microsoft.com/office/drawing/2014/main" id="{00000000-0008-0000-1E00-000026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4F17C6E-3672-43E1-8F95-36BECA7D6E57}" type="TxLink">
                        <a:rPr lang="en-US" sz="1100" b="0" i="0" u="none" strike="noStrike">
                          <a:solidFill>
                            <a:srgbClr val="000000"/>
                          </a:solidFill>
                          <a:latin typeface="Calibri"/>
                          <a:cs typeface="Calibri"/>
                        </a:rPr>
                        <a:pPr algn="ctr"/>
                        <a:t> </a:t>
                      </a:fld>
                      <a:endParaRPr lang="fr-FR" sz="1100"/>
                    </a:p>
                  </xdr:txBody>
                </xdr:sp>
                <xdr:sp macro="" textlink="Mesures_Sechoir!$C$31">
                  <xdr:nvSpPr>
                    <xdr:cNvPr id="39" name="Organigramme : Connecteur 38">
                      <a:extLst>
                        <a:ext uri="{FF2B5EF4-FFF2-40B4-BE49-F238E27FC236}">
                          <a16:creationId xmlns:a16="http://schemas.microsoft.com/office/drawing/2014/main" id="{00000000-0008-0000-1E00-000027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30CF4A-E486-46BE-8BCC-D157C85EBB5A}" type="TxLink">
                        <a:rPr lang="en-US" sz="1100" b="0" i="0" u="none" strike="noStrike">
                          <a:solidFill>
                            <a:srgbClr val="000000"/>
                          </a:solidFill>
                          <a:latin typeface="Calibri"/>
                          <a:cs typeface="Calibri"/>
                        </a:rPr>
                        <a:pPr algn="ctr"/>
                        <a:t> </a:t>
                      </a:fld>
                      <a:endParaRPr lang="fr-FR" sz="1100"/>
                    </a:p>
                  </xdr:txBody>
                </xdr:sp>
                <xdr:sp macro="" textlink="Mesures_Sechoir!$C$26">
                  <xdr:nvSpPr>
                    <xdr:cNvPr id="40" name="Organigramme : Connecteur 39">
                      <a:extLst>
                        <a:ext uri="{FF2B5EF4-FFF2-40B4-BE49-F238E27FC236}">
                          <a16:creationId xmlns:a16="http://schemas.microsoft.com/office/drawing/2014/main" id="{00000000-0008-0000-1E00-000028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7A87CA6-FEE8-4D17-99EC-607369340620}" type="TxLink">
                        <a:rPr lang="en-US" sz="1100" b="0" i="0" u="none" strike="noStrike">
                          <a:solidFill>
                            <a:srgbClr val="000000"/>
                          </a:solidFill>
                          <a:latin typeface="Calibri"/>
                          <a:cs typeface="Calibri"/>
                        </a:rPr>
                        <a:pPr algn="ctr"/>
                        <a:t> </a:t>
                      </a:fld>
                      <a:endParaRPr lang="fr-FR" sz="1100"/>
                    </a:p>
                  </xdr:txBody>
                </xdr:sp>
                <xdr:sp macro="" textlink="Mesures_Sechoir!$C$30">
                  <xdr:nvSpPr>
                    <xdr:cNvPr id="41" name="Organigramme : Connecteur 40">
                      <a:extLst>
                        <a:ext uri="{FF2B5EF4-FFF2-40B4-BE49-F238E27FC236}">
                          <a16:creationId xmlns:a16="http://schemas.microsoft.com/office/drawing/2014/main" id="{00000000-0008-0000-1E00-000029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619864-B411-47DF-83F1-2F73C2619DDC}" type="TxLink">
                        <a:rPr lang="en-US" sz="1100" b="0" i="0" u="none" strike="noStrike">
                          <a:solidFill>
                            <a:srgbClr val="000000"/>
                          </a:solidFill>
                          <a:latin typeface="Calibri"/>
                          <a:cs typeface="Calibri"/>
                        </a:rPr>
                        <a:pPr algn="ctr"/>
                        <a:t> </a:t>
                      </a:fld>
                      <a:endParaRPr lang="fr-FR" sz="1100"/>
                    </a:p>
                  </xdr:txBody>
                </xdr:sp>
                <xdr:sp macro="" textlink="Mesures_Sechoir!$C$29">
                  <xdr:nvSpPr>
                    <xdr:cNvPr id="42" name="Organigramme : Connecteur 41">
                      <a:extLst>
                        <a:ext uri="{FF2B5EF4-FFF2-40B4-BE49-F238E27FC236}">
                          <a16:creationId xmlns:a16="http://schemas.microsoft.com/office/drawing/2014/main" id="{00000000-0008-0000-1E00-00002A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452FB8D-F04A-4E84-8747-C9DAF53AE315}" type="TxLink">
                        <a:rPr lang="en-US" sz="1100" b="0" i="0" u="none" strike="noStrike">
                          <a:solidFill>
                            <a:srgbClr val="000000"/>
                          </a:solidFill>
                          <a:latin typeface="Calibri"/>
                          <a:cs typeface="Calibri"/>
                        </a:rPr>
                        <a:pPr algn="ctr"/>
                        <a:t> </a:t>
                      </a:fld>
                      <a:endParaRPr lang="fr-FR" sz="1100"/>
                    </a:p>
                  </xdr:txBody>
                </xdr:sp>
                <xdr:sp macro="" textlink="Mesures_Sechoir!$C$27">
                  <xdr:nvSpPr>
                    <xdr:cNvPr id="43" name="Organigramme : Connecteur 42">
                      <a:extLst>
                        <a:ext uri="{FF2B5EF4-FFF2-40B4-BE49-F238E27FC236}">
                          <a16:creationId xmlns:a16="http://schemas.microsoft.com/office/drawing/2014/main" id="{00000000-0008-0000-1E00-00002B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1E58B4-D3C4-4A11-A7F6-770AE081BA8E}" type="TxLink">
                        <a:rPr lang="en-US" sz="1100" b="0" i="0" u="none" strike="noStrike">
                          <a:solidFill>
                            <a:srgbClr val="000000"/>
                          </a:solidFill>
                          <a:latin typeface="Calibri"/>
                          <a:cs typeface="Calibri"/>
                        </a:rPr>
                        <a:pPr algn="ctr"/>
                        <a:t> </a:t>
                      </a:fld>
                      <a:endParaRPr lang="fr-FR" sz="1100"/>
                    </a:p>
                  </xdr:txBody>
                </xdr:sp>
                <xdr:grpSp>
                  <xdr:nvGrpSpPr>
                    <xdr:cNvPr id="44" name="Groupe 43">
                      <a:extLst>
                        <a:ext uri="{FF2B5EF4-FFF2-40B4-BE49-F238E27FC236}">
                          <a16:creationId xmlns:a16="http://schemas.microsoft.com/office/drawing/2014/main" id="{00000000-0008-0000-1E00-00002C000000}"/>
                        </a:ext>
                      </a:extLst>
                    </xdr:cNvPr>
                    <xdr:cNvGrpSpPr/>
                  </xdr:nvGrpSpPr>
                  <xdr:grpSpPr>
                    <a:xfrm>
                      <a:off x="9230139" y="3592995"/>
                      <a:ext cx="3326296" cy="2792482"/>
                      <a:chOff x="9230139" y="3592995"/>
                      <a:chExt cx="3326296" cy="2792482"/>
                    </a:xfrm>
                  </xdr:grpSpPr>
                  <xdr:grpSp>
                    <xdr:nvGrpSpPr>
                      <xdr:cNvPr id="45" name="Groupe 44">
                        <a:extLst>
                          <a:ext uri="{FF2B5EF4-FFF2-40B4-BE49-F238E27FC236}">
                            <a16:creationId xmlns:a16="http://schemas.microsoft.com/office/drawing/2014/main" id="{00000000-0008-0000-1E00-00002D000000}"/>
                          </a:ext>
                        </a:extLst>
                      </xdr:cNvPr>
                      <xdr:cNvGrpSpPr/>
                    </xdr:nvGrpSpPr>
                    <xdr:grpSpPr>
                      <a:xfrm>
                        <a:off x="9310480" y="3635237"/>
                        <a:ext cx="2949367" cy="2750240"/>
                        <a:chOff x="9320893" y="3638550"/>
                        <a:chExt cx="2950550" cy="2755446"/>
                      </a:xfrm>
                    </xdr:grpSpPr>
                    <xdr:sp macro="" textlink="">
                      <xdr:nvSpPr>
                        <xdr:cNvPr id="54" name="Cube 53">
                          <a:extLst>
                            <a:ext uri="{FF2B5EF4-FFF2-40B4-BE49-F238E27FC236}">
                              <a16:creationId xmlns:a16="http://schemas.microsoft.com/office/drawing/2014/main" id="{00000000-0008-0000-1E00-000036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55" name="Connecteur droit 54">
                          <a:extLst>
                            <a:ext uri="{FF2B5EF4-FFF2-40B4-BE49-F238E27FC236}">
                              <a16:creationId xmlns:a16="http://schemas.microsoft.com/office/drawing/2014/main" id="{00000000-0008-0000-1E00-000037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6" name="Connecteur droit 55">
                          <a:extLst>
                            <a:ext uri="{FF2B5EF4-FFF2-40B4-BE49-F238E27FC236}">
                              <a16:creationId xmlns:a16="http://schemas.microsoft.com/office/drawing/2014/main" id="{00000000-0008-0000-1E00-000038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7" name="Connecteur droit 56">
                          <a:extLst>
                            <a:ext uri="{FF2B5EF4-FFF2-40B4-BE49-F238E27FC236}">
                              <a16:creationId xmlns:a16="http://schemas.microsoft.com/office/drawing/2014/main" id="{00000000-0008-0000-1E00-000039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Sechoir!$B$24">
                    <xdr:nvSpPr>
                      <xdr:cNvPr id="46" name="Organigramme : Connecteur 45">
                        <a:extLst>
                          <a:ext uri="{FF2B5EF4-FFF2-40B4-BE49-F238E27FC236}">
                            <a16:creationId xmlns:a16="http://schemas.microsoft.com/office/drawing/2014/main" id="{00000000-0008-0000-1E00-00002E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81416CB-7DC1-4C5E-A078-1B037A484FF5}" type="TxLink">
                          <a:rPr lang="en-US" sz="1100" b="0" i="0" u="none" strike="noStrike">
                            <a:solidFill>
                              <a:srgbClr val="000000"/>
                            </a:solidFill>
                            <a:latin typeface="Calibri"/>
                            <a:cs typeface="Calibri"/>
                          </a:rPr>
                          <a:pPr algn="ctr"/>
                          <a:t> </a:t>
                        </a:fld>
                        <a:endParaRPr lang="fr-FR" sz="1100"/>
                      </a:p>
                    </xdr:txBody>
                  </xdr:sp>
                  <xdr:sp macro="" textlink="Mesures_Sechoir!$C$24">
                    <xdr:nvSpPr>
                      <xdr:cNvPr id="47" name="Organigramme : Connecteur 46">
                        <a:extLst>
                          <a:ext uri="{FF2B5EF4-FFF2-40B4-BE49-F238E27FC236}">
                            <a16:creationId xmlns:a16="http://schemas.microsoft.com/office/drawing/2014/main" id="{00000000-0008-0000-1E00-00002F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9B42545-999E-4961-A10B-4E8A3EED3049}" type="TxLink">
                          <a:rPr lang="en-US" sz="1100" b="0" i="0" u="none" strike="noStrike">
                            <a:solidFill>
                              <a:srgbClr val="000000"/>
                            </a:solidFill>
                            <a:latin typeface="Calibri"/>
                            <a:cs typeface="Calibri"/>
                          </a:rPr>
                          <a:pPr algn="ctr"/>
                          <a:t> </a:t>
                        </a:fld>
                        <a:endParaRPr lang="fr-FR" sz="1100"/>
                      </a:p>
                    </xdr:txBody>
                  </xdr:sp>
                  <xdr:sp macro="" textlink="Mesures_Sechoir!$B$25">
                    <xdr:nvSpPr>
                      <xdr:cNvPr id="48" name="Organigramme : Connecteur 47">
                        <a:extLst>
                          <a:ext uri="{FF2B5EF4-FFF2-40B4-BE49-F238E27FC236}">
                            <a16:creationId xmlns:a16="http://schemas.microsoft.com/office/drawing/2014/main" id="{00000000-0008-0000-1E00-000030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AC32B4D-3D1D-465F-B998-C129D3793C84}" type="TxLink">
                          <a:rPr lang="en-US" sz="1100" b="0" i="0" u="none" strike="noStrike">
                            <a:solidFill>
                              <a:srgbClr val="000000"/>
                            </a:solidFill>
                            <a:latin typeface="Calibri"/>
                            <a:cs typeface="Calibri"/>
                          </a:rPr>
                          <a:pPr algn="ctr"/>
                          <a:t> </a:t>
                        </a:fld>
                        <a:endParaRPr lang="fr-FR" sz="1100"/>
                      </a:p>
                    </xdr:txBody>
                  </xdr:sp>
                  <xdr:sp macro="" textlink="Mesures_Sechoir!$B$28">
                    <xdr:nvSpPr>
                      <xdr:cNvPr id="49" name="Organigramme : Connecteur 48">
                        <a:extLst>
                          <a:ext uri="{FF2B5EF4-FFF2-40B4-BE49-F238E27FC236}">
                            <a16:creationId xmlns:a16="http://schemas.microsoft.com/office/drawing/2014/main" id="{00000000-0008-0000-1E00-000031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13CB0F-A096-4C45-A2CD-88F7E57B4757}" type="TxLink">
                          <a:rPr lang="en-US" sz="1100" b="0" i="0" u="none" strike="noStrike">
                            <a:solidFill>
                              <a:srgbClr val="000000"/>
                            </a:solidFill>
                            <a:latin typeface="Calibri"/>
                            <a:cs typeface="Calibri"/>
                          </a:rPr>
                          <a:pPr algn="ctr"/>
                          <a:t> </a:t>
                        </a:fld>
                        <a:endParaRPr lang="fr-FR" sz="1100"/>
                      </a:p>
                    </xdr:txBody>
                  </xdr:sp>
                  <xdr:sp macro="" textlink="Mesures_Sechoir!$B$32">
                    <xdr:nvSpPr>
                      <xdr:cNvPr id="50" name="Organigramme : Connecteur 49">
                        <a:extLst>
                          <a:ext uri="{FF2B5EF4-FFF2-40B4-BE49-F238E27FC236}">
                            <a16:creationId xmlns:a16="http://schemas.microsoft.com/office/drawing/2014/main" id="{00000000-0008-0000-1E00-000032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082B390-C274-4A4D-B97C-FC885FE98D4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Sechoir!$C$32">
                    <xdr:nvSpPr>
                      <xdr:cNvPr id="51" name="Organigramme : Connecteur 50">
                        <a:extLst>
                          <a:ext uri="{FF2B5EF4-FFF2-40B4-BE49-F238E27FC236}">
                            <a16:creationId xmlns:a16="http://schemas.microsoft.com/office/drawing/2014/main" id="{00000000-0008-0000-1E00-000033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2C54B6-8CEE-4589-83A8-6701704D871C}" type="TxLink">
                          <a:rPr lang="en-US" sz="1100" b="0" i="0" u="none" strike="noStrike">
                            <a:solidFill>
                              <a:srgbClr val="000000"/>
                            </a:solidFill>
                            <a:latin typeface="Calibri"/>
                            <a:cs typeface="Calibri"/>
                          </a:rPr>
                          <a:pPr algn="ctr"/>
                          <a:t> </a:t>
                        </a:fld>
                        <a:endParaRPr lang="fr-FR" sz="1100"/>
                      </a:p>
                    </xdr:txBody>
                  </xdr:sp>
                  <xdr:sp macro="" textlink="Mesures_Sechoir!$C$28">
                    <xdr:nvSpPr>
                      <xdr:cNvPr id="52" name="Organigramme : Connecteur 51">
                        <a:extLst>
                          <a:ext uri="{FF2B5EF4-FFF2-40B4-BE49-F238E27FC236}">
                            <a16:creationId xmlns:a16="http://schemas.microsoft.com/office/drawing/2014/main" id="{00000000-0008-0000-1E00-000034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AAA7E22-9C52-4D3A-902A-BBC67F3EF756}" type="TxLink">
                          <a:rPr lang="en-US" sz="1100" b="0" i="0" u="none" strike="noStrike">
                            <a:solidFill>
                              <a:srgbClr val="000000"/>
                            </a:solidFill>
                            <a:latin typeface="Calibri"/>
                            <a:cs typeface="Calibri"/>
                          </a:rPr>
                          <a:pPr algn="ctr"/>
                          <a:t> </a:t>
                        </a:fld>
                        <a:endParaRPr lang="fr-FR" sz="1100"/>
                      </a:p>
                    </xdr:txBody>
                  </xdr:sp>
                  <xdr:sp macro="" textlink="Mesures_Sechoir!$C$25">
                    <xdr:nvSpPr>
                      <xdr:cNvPr id="53" name="Organigramme : Connecteur 52">
                        <a:extLst>
                          <a:ext uri="{FF2B5EF4-FFF2-40B4-BE49-F238E27FC236}">
                            <a16:creationId xmlns:a16="http://schemas.microsoft.com/office/drawing/2014/main" id="{00000000-0008-0000-1E00-000035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229EC6-22B8-41E2-8311-37C9A23F3A13}" type="TxLink">
                          <a:rPr lang="en-US" sz="1100" b="0" i="0" u="none" strike="noStrike">
                            <a:solidFill>
                              <a:srgbClr val="000000"/>
                            </a:solidFill>
                            <a:latin typeface="Calibri"/>
                            <a:cs typeface="Calibri"/>
                          </a:rPr>
                          <a:pPr algn="ctr"/>
                          <a:t> </a:t>
                        </a:fld>
                        <a:endParaRPr lang="fr-FR" sz="1100"/>
                      </a:p>
                    </xdr:txBody>
                  </xdr:sp>
                </xdr:grpSp>
              </xdr:grpSp>
            </xdr:grpSp>
            <xdr:sp macro="" textlink="$B$25">
              <xdr:nvSpPr>
                <xdr:cNvPr id="22" name="Organigramme : Connecteur 21">
                  <a:extLst>
                    <a:ext uri="{FF2B5EF4-FFF2-40B4-BE49-F238E27FC236}">
                      <a16:creationId xmlns:a16="http://schemas.microsoft.com/office/drawing/2014/main" id="{00000000-0008-0000-1E00-000016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5">
              <xdr:nvSpPr>
                <xdr:cNvPr id="23" name="Organigramme : Connecteur 22">
                  <a:extLst>
                    <a:ext uri="{FF2B5EF4-FFF2-40B4-BE49-F238E27FC236}">
                      <a16:creationId xmlns:a16="http://schemas.microsoft.com/office/drawing/2014/main" id="{00000000-0008-0000-1E00-000017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24" name="ZoneTexte 23">
                  <a:extLst>
                    <a:ext uri="{FF2B5EF4-FFF2-40B4-BE49-F238E27FC236}">
                      <a16:creationId xmlns:a16="http://schemas.microsoft.com/office/drawing/2014/main" id="{00000000-0008-0000-1E00-000018000000}"/>
                    </a:ext>
                  </a:extLst>
                </xdr:cNvPr>
                <xdr:cNvSpPr txBox="1"/>
              </xdr:nvSpPr>
              <xdr:spPr>
                <a:xfrm>
                  <a:off x="8811923" y="7046087"/>
                  <a:ext cx="1590261" cy="6460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xnSp macro="">
          <xdr:nvCxnSpPr>
            <xdr:cNvPr id="17" name="Connecteur droit avec flèche 16">
              <a:extLst>
                <a:ext uri="{FF2B5EF4-FFF2-40B4-BE49-F238E27FC236}">
                  <a16:creationId xmlns:a16="http://schemas.microsoft.com/office/drawing/2014/main" id="{00000000-0008-0000-1E00-00001100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8" name="ZoneTexte 17">
              <a:extLst>
                <a:ext uri="{FF2B5EF4-FFF2-40B4-BE49-F238E27FC236}">
                  <a16:creationId xmlns:a16="http://schemas.microsoft.com/office/drawing/2014/main" id="{00000000-0008-0000-1E00-00001200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sp macro="" textlink="">
        <xdr:nvSpPr>
          <xdr:cNvPr id="15" name="Organigramme : Connecteur 14">
            <a:extLst>
              <a:ext uri="{FF2B5EF4-FFF2-40B4-BE49-F238E27FC236}">
                <a16:creationId xmlns:a16="http://schemas.microsoft.com/office/drawing/2014/main" id="{00000000-0008-0000-1E00-00000F000000}"/>
              </a:ext>
            </a:extLst>
          </xdr:cNvPr>
          <xdr:cNvSpPr/>
        </xdr:nvSpPr>
        <xdr:spPr>
          <a:xfrm>
            <a:off x="9725025" y="4838700"/>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9</xdr:col>
      <xdr:colOff>638175</xdr:colOff>
      <xdr:row>9</xdr:row>
      <xdr:rowOff>104775</xdr:rowOff>
    </xdr:from>
    <xdr:to>
      <xdr:col>17</xdr:col>
      <xdr:colOff>380975</xdr:colOff>
      <xdr:row>36</xdr:row>
      <xdr:rowOff>54212</xdr:rowOff>
    </xdr:to>
    <xdr:grpSp>
      <xdr:nvGrpSpPr>
        <xdr:cNvPr id="2" name="Groupe 1">
          <a:extLst>
            <a:ext uri="{FF2B5EF4-FFF2-40B4-BE49-F238E27FC236}">
              <a16:creationId xmlns:a16="http://schemas.microsoft.com/office/drawing/2014/main" id="{00000000-0008-0000-1F00-000002000000}"/>
            </a:ext>
          </a:extLst>
        </xdr:cNvPr>
        <xdr:cNvGrpSpPr/>
      </xdr:nvGrpSpPr>
      <xdr:grpSpPr>
        <a:xfrm>
          <a:off x="10048875" y="2343150"/>
          <a:ext cx="8562950" cy="5302487"/>
          <a:chOff x="11934267" y="3104028"/>
          <a:chExt cx="8562950" cy="5492987"/>
        </a:xfrm>
      </xdr:grpSpPr>
      <xdr:grpSp>
        <xdr:nvGrpSpPr>
          <xdr:cNvPr id="3" name="Groupe 2">
            <a:extLst>
              <a:ext uri="{FF2B5EF4-FFF2-40B4-BE49-F238E27FC236}">
                <a16:creationId xmlns:a16="http://schemas.microsoft.com/office/drawing/2014/main" id="{00000000-0008-0000-1F00-000003000000}"/>
              </a:ext>
            </a:extLst>
          </xdr:cNvPr>
          <xdr:cNvGrpSpPr/>
        </xdr:nvGrpSpPr>
        <xdr:grpSpPr>
          <a:xfrm>
            <a:off x="11934267" y="3104028"/>
            <a:ext cx="8562950" cy="5492987"/>
            <a:chOff x="11889443" y="3126440"/>
            <a:chExt cx="8562950" cy="5492987"/>
          </a:xfrm>
        </xdr:grpSpPr>
        <xdr:grpSp>
          <xdr:nvGrpSpPr>
            <xdr:cNvPr id="17" name="Groupe 16">
              <a:extLst>
                <a:ext uri="{FF2B5EF4-FFF2-40B4-BE49-F238E27FC236}">
                  <a16:creationId xmlns:a16="http://schemas.microsoft.com/office/drawing/2014/main" id="{00000000-0008-0000-1F00-000011000000}"/>
                </a:ext>
              </a:extLst>
            </xdr:cNvPr>
            <xdr:cNvGrpSpPr/>
          </xdr:nvGrpSpPr>
          <xdr:grpSpPr>
            <a:xfrm>
              <a:off x="11889443" y="3126440"/>
              <a:ext cx="8562950" cy="5492987"/>
              <a:chOff x="11889443" y="3126440"/>
              <a:chExt cx="8562950" cy="5492987"/>
            </a:xfrm>
          </xdr:grpSpPr>
          <xdr:grpSp>
            <xdr:nvGrpSpPr>
              <xdr:cNvPr id="31" name="Groupe 30">
                <a:extLst>
                  <a:ext uri="{FF2B5EF4-FFF2-40B4-BE49-F238E27FC236}">
                    <a16:creationId xmlns:a16="http://schemas.microsoft.com/office/drawing/2014/main" id="{00000000-0008-0000-1F00-00001F000000}"/>
                  </a:ext>
                </a:extLst>
              </xdr:cNvPr>
              <xdr:cNvGrpSpPr/>
            </xdr:nvGrpSpPr>
            <xdr:grpSpPr>
              <a:xfrm>
                <a:off x="11889443" y="3126440"/>
                <a:ext cx="8562950" cy="5492987"/>
                <a:chOff x="11889443" y="3126440"/>
                <a:chExt cx="8562950" cy="5492987"/>
              </a:xfrm>
            </xdr:grpSpPr>
            <xdr:sp macro="" textlink="$A$24">
              <xdr:nvSpPr>
                <xdr:cNvPr id="34" name="Organigramme : Connecteur 33">
                  <a:extLst>
                    <a:ext uri="{FF2B5EF4-FFF2-40B4-BE49-F238E27FC236}">
                      <a16:creationId xmlns:a16="http://schemas.microsoft.com/office/drawing/2014/main" id="{00000000-0008-0000-1F00-000022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1E0097F-C78A-4F15-8876-4430671F7BA2}" type="TxLink">
                    <a:rPr lang="en-US" sz="1100" b="0" i="0" u="none" strike="noStrike">
                      <a:solidFill>
                        <a:srgbClr val="000000"/>
                      </a:solidFill>
                      <a:latin typeface="Calibri"/>
                      <a:cs typeface="Calibri"/>
                    </a:rPr>
                    <a:pPr algn="ctr"/>
                    <a:t>1</a:t>
                  </a:fld>
                  <a:endParaRPr lang="fr-FR" sz="1100"/>
                </a:p>
              </xdr:txBody>
            </xdr:sp>
            <xdr:grpSp>
              <xdr:nvGrpSpPr>
                <xdr:cNvPr id="35" name="Groupe 34">
                  <a:extLst>
                    <a:ext uri="{FF2B5EF4-FFF2-40B4-BE49-F238E27FC236}">
                      <a16:creationId xmlns:a16="http://schemas.microsoft.com/office/drawing/2014/main" id="{00000000-0008-0000-1F00-000023000000}"/>
                    </a:ext>
                  </a:extLst>
                </xdr:cNvPr>
                <xdr:cNvGrpSpPr/>
              </xdr:nvGrpSpPr>
              <xdr:grpSpPr>
                <a:xfrm>
                  <a:off x="11889443" y="3126440"/>
                  <a:ext cx="8562950" cy="5492987"/>
                  <a:chOff x="11889443" y="3126440"/>
                  <a:chExt cx="8562950" cy="5492987"/>
                </a:xfrm>
              </xdr:grpSpPr>
              <xdr:grpSp>
                <xdr:nvGrpSpPr>
                  <xdr:cNvPr id="36" name="Groupe 35">
                    <a:extLst>
                      <a:ext uri="{FF2B5EF4-FFF2-40B4-BE49-F238E27FC236}">
                        <a16:creationId xmlns:a16="http://schemas.microsoft.com/office/drawing/2014/main" id="{00000000-0008-0000-1F00-000024000000}"/>
                      </a:ext>
                    </a:extLst>
                  </xdr:cNvPr>
                  <xdr:cNvGrpSpPr/>
                </xdr:nvGrpSpPr>
                <xdr:grpSpPr>
                  <a:xfrm>
                    <a:off x="11889443" y="3126440"/>
                    <a:ext cx="8562950" cy="5492987"/>
                    <a:chOff x="3803125" y="991161"/>
                    <a:chExt cx="8562950" cy="5492987"/>
                  </a:xfrm>
                </xdr:grpSpPr>
                <xdr:grpSp>
                  <xdr:nvGrpSpPr>
                    <xdr:cNvPr id="48" name="Groupe 47">
                      <a:extLst>
                        <a:ext uri="{FF2B5EF4-FFF2-40B4-BE49-F238E27FC236}">
                          <a16:creationId xmlns:a16="http://schemas.microsoft.com/office/drawing/2014/main" id="{00000000-0008-0000-1F00-000030000000}"/>
                        </a:ext>
                      </a:extLst>
                    </xdr:cNvPr>
                    <xdr:cNvGrpSpPr/>
                  </xdr:nvGrpSpPr>
                  <xdr:grpSpPr>
                    <a:xfrm>
                      <a:off x="3803125" y="991161"/>
                      <a:ext cx="8562950" cy="5492987"/>
                      <a:chOff x="3803125" y="991161"/>
                      <a:chExt cx="8562950" cy="5492987"/>
                    </a:xfrm>
                  </xdr:grpSpPr>
                  <xdr:grpSp>
                    <xdr:nvGrpSpPr>
                      <xdr:cNvPr id="50" name="Groupe 49">
                        <a:extLst>
                          <a:ext uri="{FF2B5EF4-FFF2-40B4-BE49-F238E27FC236}">
                            <a16:creationId xmlns:a16="http://schemas.microsoft.com/office/drawing/2014/main" id="{00000000-0008-0000-1F00-000032000000}"/>
                          </a:ext>
                        </a:extLst>
                      </xdr:cNvPr>
                      <xdr:cNvGrpSpPr/>
                    </xdr:nvGrpSpPr>
                    <xdr:grpSpPr>
                      <a:xfrm>
                        <a:off x="3803125" y="991161"/>
                        <a:ext cx="8562950" cy="5492987"/>
                        <a:chOff x="3803125" y="991161"/>
                        <a:chExt cx="8562950" cy="5492987"/>
                      </a:xfrm>
                    </xdr:grpSpPr>
                    <xdr:grpSp>
                      <xdr:nvGrpSpPr>
                        <xdr:cNvPr id="52" name="Groupe 51">
                          <a:extLst>
                            <a:ext uri="{FF2B5EF4-FFF2-40B4-BE49-F238E27FC236}">
                              <a16:creationId xmlns:a16="http://schemas.microsoft.com/office/drawing/2014/main" id="{00000000-0008-0000-1F00-000034000000}"/>
                            </a:ext>
                          </a:extLst>
                        </xdr:cNvPr>
                        <xdr:cNvGrpSpPr/>
                      </xdr:nvGrpSpPr>
                      <xdr:grpSpPr>
                        <a:xfrm>
                          <a:off x="3803125" y="991161"/>
                          <a:ext cx="8562950" cy="5427822"/>
                          <a:chOff x="3808707" y="1009604"/>
                          <a:chExt cx="8515205" cy="5409743"/>
                        </a:xfrm>
                      </xdr:grpSpPr>
                      <xdr:sp macro="" textlink="">
                        <xdr:nvSpPr>
                          <xdr:cNvPr id="56" name="ZoneTexte 100">
                            <a:extLst>
                              <a:ext uri="{FF2B5EF4-FFF2-40B4-BE49-F238E27FC236}">
                                <a16:creationId xmlns:a16="http://schemas.microsoft.com/office/drawing/2014/main" id="{00000000-0008-0000-1F00-000038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57" name="Groupe 56">
                            <a:extLst>
                              <a:ext uri="{FF2B5EF4-FFF2-40B4-BE49-F238E27FC236}">
                                <a16:creationId xmlns:a16="http://schemas.microsoft.com/office/drawing/2014/main" id="{00000000-0008-0000-1F00-000039000000}"/>
                              </a:ext>
                            </a:extLst>
                          </xdr:cNvPr>
                          <xdr:cNvGrpSpPr/>
                        </xdr:nvGrpSpPr>
                        <xdr:grpSpPr>
                          <a:xfrm>
                            <a:off x="3808707" y="1009604"/>
                            <a:ext cx="8147475" cy="5409743"/>
                            <a:chOff x="3725512" y="966495"/>
                            <a:chExt cx="8147475" cy="5409743"/>
                          </a:xfrm>
                        </xdr:grpSpPr>
                        <xdr:grpSp>
                          <xdr:nvGrpSpPr>
                            <xdr:cNvPr id="58" name="Groupe 57">
                              <a:extLst>
                                <a:ext uri="{FF2B5EF4-FFF2-40B4-BE49-F238E27FC236}">
                                  <a16:creationId xmlns:a16="http://schemas.microsoft.com/office/drawing/2014/main" id="{00000000-0008-0000-1F00-00003A000000}"/>
                                </a:ext>
                              </a:extLst>
                            </xdr:cNvPr>
                            <xdr:cNvGrpSpPr/>
                          </xdr:nvGrpSpPr>
                          <xdr:grpSpPr>
                            <a:xfrm>
                              <a:off x="4933713" y="1131498"/>
                              <a:ext cx="6410485" cy="4278824"/>
                              <a:chOff x="1814285" y="989862"/>
                              <a:chExt cx="6410485" cy="4278824"/>
                            </a:xfrm>
                          </xdr:grpSpPr>
                          <xdr:sp macro="" textlink="">
                            <xdr:nvSpPr>
                              <xdr:cNvPr id="86" name="Rectangle 85">
                                <a:extLst>
                                  <a:ext uri="{FF2B5EF4-FFF2-40B4-BE49-F238E27FC236}">
                                    <a16:creationId xmlns:a16="http://schemas.microsoft.com/office/drawing/2014/main" id="{00000000-0008-0000-1F00-00005600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7" name="Rectangle 86">
                                <a:extLst>
                                  <a:ext uri="{FF2B5EF4-FFF2-40B4-BE49-F238E27FC236}">
                                    <a16:creationId xmlns:a16="http://schemas.microsoft.com/office/drawing/2014/main" id="{00000000-0008-0000-1F00-00005700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8" name="Rectangle 87">
                                <a:extLst>
                                  <a:ext uri="{FF2B5EF4-FFF2-40B4-BE49-F238E27FC236}">
                                    <a16:creationId xmlns:a16="http://schemas.microsoft.com/office/drawing/2014/main" id="{00000000-0008-0000-1F00-00005800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89" name="Connecteur droit 88">
                                <a:extLst>
                                  <a:ext uri="{FF2B5EF4-FFF2-40B4-BE49-F238E27FC236}">
                                    <a16:creationId xmlns:a16="http://schemas.microsoft.com/office/drawing/2014/main" id="{00000000-0008-0000-1F00-00005900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0" name="Connecteur droit 89">
                                <a:extLst>
                                  <a:ext uri="{FF2B5EF4-FFF2-40B4-BE49-F238E27FC236}">
                                    <a16:creationId xmlns:a16="http://schemas.microsoft.com/office/drawing/2014/main" id="{00000000-0008-0000-1F00-00005A00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1" name="Connecteur droit 90">
                                <a:extLst>
                                  <a:ext uri="{FF2B5EF4-FFF2-40B4-BE49-F238E27FC236}">
                                    <a16:creationId xmlns:a16="http://schemas.microsoft.com/office/drawing/2014/main" id="{00000000-0008-0000-1F00-00005B00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2" name="Connecteur droit 91">
                                <a:extLst>
                                  <a:ext uri="{FF2B5EF4-FFF2-40B4-BE49-F238E27FC236}">
                                    <a16:creationId xmlns:a16="http://schemas.microsoft.com/office/drawing/2014/main" id="{00000000-0008-0000-1F00-00005C00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59" name="Ellipse 58">
                              <a:extLst>
                                <a:ext uri="{FF2B5EF4-FFF2-40B4-BE49-F238E27FC236}">
                                  <a16:creationId xmlns:a16="http://schemas.microsoft.com/office/drawing/2014/main" id="{00000000-0008-0000-1F00-00003B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0" name="Ellipse 59">
                              <a:extLst>
                                <a:ext uri="{FF2B5EF4-FFF2-40B4-BE49-F238E27FC236}">
                                  <a16:creationId xmlns:a16="http://schemas.microsoft.com/office/drawing/2014/main" id="{00000000-0008-0000-1F00-00003C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1" name="Ellipse 60">
                              <a:extLst>
                                <a:ext uri="{FF2B5EF4-FFF2-40B4-BE49-F238E27FC236}">
                                  <a16:creationId xmlns:a16="http://schemas.microsoft.com/office/drawing/2014/main" id="{00000000-0008-0000-1F00-00003D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2" name="Ellipse 61">
                              <a:extLst>
                                <a:ext uri="{FF2B5EF4-FFF2-40B4-BE49-F238E27FC236}">
                                  <a16:creationId xmlns:a16="http://schemas.microsoft.com/office/drawing/2014/main" id="{00000000-0008-0000-1F00-00003E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3" name="Ellipse 62">
                              <a:extLst>
                                <a:ext uri="{FF2B5EF4-FFF2-40B4-BE49-F238E27FC236}">
                                  <a16:creationId xmlns:a16="http://schemas.microsoft.com/office/drawing/2014/main" id="{00000000-0008-0000-1F00-00003F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4" name="Ellipse 63">
                              <a:extLst>
                                <a:ext uri="{FF2B5EF4-FFF2-40B4-BE49-F238E27FC236}">
                                  <a16:creationId xmlns:a16="http://schemas.microsoft.com/office/drawing/2014/main" id="{00000000-0008-0000-1F00-000040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5" name="Ellipse 64">
                              <a:extLst>
                                <a:ext uri="{FF2B5EF4-FFF2-40B4-BE49-F238E27FC236}">
                                  <a16:creationId xmlns:a16="http://schemas.microsoft.com/office/drawing/2014/main" id="{00000000-0008-0000-1F00-000041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6" name="Ellipse 65">
                              <a:extLst>
                                <a:ext uri="{FF2B5EF4-FFF2-40B4-BE49-F238E27FC236}">
                                  <a16:creationId xmlns:a16="http://schemas.microsoft.com/office/drawing/2014/main" id="{00000000-0008-0000-1F00-000042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7" name="ZoneTexte 122">
                              <a:extLst>
                                <a:ext uri="{FF2B5EF4-FFF2-40B4-BE49-F238E27FC236}">
                                  <a16:creationId xmlns:a16="http://schemas.microsoft.com/office/drawing/2014/main" id="{00000000-0008-0000-1F00-000043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68" name="ZoneTexte 123">
                              <a:extLst>
                                <a:ext uri="{FF2B5EF4-FFF2-40B4-BE49-F238E27FC236}">
                                  <a16:creationId xmlns:a16="http://schemas.microsoft.com/office/drawing/2014/main" id="{00000000-0008-0000-1F00-000044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69" name="ZoneTexte 124">
                              <a:extLst>
                                <a:ext uri="{FF2B5EF4-FFF2-40B4-BE49-F238E27FC236}">
                                  <a16:creationId xmlns:a16="http://schemas.microsoft.com/office/drawing/2014/main" id="{00000000-0008-0000-1F00-000045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0" name="ZoneTexte 125">
                              <a:extLst>
                                <a:ext uri="{FF2B5EF4-FFF2-40B4-BE49-F238E27FC236}">
                                  <a16:creationId xmlns:a16="http://schemas.microsoft.com/office/drawing/2014/main" id="{00000000-0008-0000-1F00-000046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1" name="ZoneTexte 126">
                              <a:extLst>
                                <a:ext uri="{FF2B5EF4-FFF2-40B4-BE49-F238E27FC236}">
                                  <a16:creationId xmlns:a16="http://schemas.microsoft.com/office/drawing/2014/main" id="{00000000-0008-0000-1F00-000047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2" name="Connecteur droit 71">
                              <a:extLst>
                                <a:ext uri="{FF2B5EF4-FFF2-40B4-BE49-F238E27FC236}">
                                  <a16:creationId xmlns:a16="http://schemas.microsoft.com/office/drawing/2014/main" id="{00000000-0008-0000-1F00-000048000000}"/>
                                </a:ext>
                              </a:extLst>
                            </xdr:cNvPr>
                            <xdr:cNvCxnSpPr>
                              <a:cxnSpLocks/>
                              <a:stCxn id="86"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73" name="ZoneTexte 128">
                              <a:extLst>
                                <a:ext uri="{FF2B5EF4-FFF2-40B4-BE49-F238E27FC236}">
                                  <a16:creationId xmlns:a16="http://schemas.microsoft.com/office/drawing/2014/main" id="{00000000-0008-0000-1F00-000049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74" name="ZoneTexte 129">
                              <a:extLst>
                                <a:ext uri="{FF2B5EF4-FFF2-40B4-BE49-F238E27FC236}">
                                  <a16:creationId xmlns:a16="http://schemas.microsoft.com/office/drawing/2014/main" id="{00000000-0008-0000-1F00-00004A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5" name="Connecteur droit 74">
                              <a:extLst>
                                <a:ext uri="{FF2B5EF4-FFF2-40B4-BE49-F238E27FC236}">
                                  <a16:creationId xmlns:a16="http://schemas.microsoft.com/office/drawing/2014/main" id="{00000000-0008-0000-1F00-00004B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76" name="Ellipse 75">
                              <a:extLst>
                                <a:ext uri="{FF2B5EF4-FFF2-40B4-BE49-F238E27FC236}">
                                  <a16:creationId xmlns:a16="http://schemas.microsoft.com/office/drawing/2014/main" id="{00000000-0008-0000-1F00-00004C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77" name="Groupe 76">
                              <a:extLst>
                                <a:ext uri="{FF2B5EF4-FFF2-40B4-BE49-F238E27FC236}">
                                  <a16:creationId xmlns:a16="http://schemas.microsoft.com/office/drawing/2014/main" id="{00000000-0008-0000-1F00-00004D000000}"/>
                                </a:ext>
                              </a:extLst>
                            </xdr:cNvPr>
                            <xdr:cNvGrpSpPr/>
                          </xdr:nvGrpSpPr>
                          <xdr:grpSpPr>
                            <a:xfrm>
                              <a:off x="9023280" y="1584899"/>
                              <a:ext cx="165827" cy="126059"/>
                              <a:chOff x="3146989" y="1579602"/>
                              <a:chExt cx="165827" cy="126059"/>
                            </a:xfrm>
                          </xdr:grpSpPr>
                          <xdr:sp macro="" textlink="">
                            <xdr:nvSpPr>
                              <xdr:cNvPr id="84" name="Ellipse 83">
                                <a:extLst>
                                  <a:ext uri="{FF2B5EF4-FFF2-40B4-BE49-F238E27FC236}">
                                    <a16:creationId xmlns:a16="http://schemas.microsoft.com/office/drawing/2014/main" id="{00000000-0008-0000-1F00-00005400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5" name="Ellipse 84">
                                <a:extLst>
                                  <a:ext uri="{FF2B5EF4-FFF2-40B4-BE49-F238E27FC236}">
                                    <a16:creationId xmlns:a16="http://schemas.microsoft.com/office/drawing/2014/main" id="{00000000-0008-0000-1F00-00005500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78" name="Ellipse 77">
                              <a:extLst>
                                <a:ext uri="{FF2B5EF4-FFF2-40B4-BE49-F238E27FC236}">
                                  <a16:creationId xmlns:a16="http://schemas.microsoft.com/office/drawing/2014/main" id="{00000000-0008-0000-1F00-00004E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79" name="Ellipse 78">
                              <a:extLst>
                                <a:ext uri="{FF2B5EF4-FFF2-40B4-BE49-F238E27FC236}">
                                  <a16:creationId xmlns:a16="http://schemas.microsoft.com/office/drawing/2014/main" id="{00000000-0008-0000-1F00-00004F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0" name="Ellipse 79">
                              <a:extLst>
                                <a:ext uri="{FF2B5EF4-FFF2-40B4-BE49-F238E27FC236}">
                                  <a16:creationId xmlns:a16="http://schemas.microsoft.com/office/drawing/2014/main" id="{00000000-0008-0000-1F00-000050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1" name="Ellipse 80">
                              <a:extLst>
                                <a:ext uri="{FF2B5EF4-FFF2-40B4-BE49-F238E27FC236}">
                                  <a16:creationId xmlns:a16="http://schemas.microsoft.com/office/drawing/2014/main" id="{00000000-0008-0000-1F00-000051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2" name="ZoneTexte 138">
                              <a:extLst>
                                <a:ext uri="{FF2B5EF4-FFF2-40B4-BE49-F238E27FC236}">
                                  <a16:creationId xmlns:a16="http://schemas.microsoft.com/office/drawing/2014/main" id="{00000000-0008-0000-1F00-00005200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83" name="Connecteur droit 82">
                              <a:extLst>
                                <a:ext uri="{FF2B5EF4-FFF2-40B4-BE49-F238E27FC236}">
                                  <a16:creationId xmlns:a16="http://schemas.microsoft.com/office/drawing/2014/main" id="{00000000-0008-0000-1F00-00005300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53" name="ZoneTexte 149">
                          <a:extLst>
                            <a:ext uri="{FF2B5EF4-FFF2-40B4-BE49-F238E27FC236}">
                              <a16:creationId xmlns:a16="http://schemas.microsoft.com/office/drawing/2014/main" id="{00000000-0008-0000-1F00-000035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54" name="ZoneTexte 150">
                          <a:extLst>
                            <a:ext uri="{FF2B5EF4-FFF2-40B4-BE49-F238E27FC236}">
                              <a16:creationId xmlns:a16="http://schemas.microsoft.com/office/drawing/2014/main" id="{00000000-0008-0000-1F00-000036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55" name="ZoneTexte 151">
                          <a:extLst>
                            <a:ext uri="{FF2B5EF4-FFF2-40B4-BE49-F238E27FC236}">
                              <a16:creationId xmlns:a16="http://schemas.microsoft.com/office/drawing/2014/main" id="{00000000-0008-0000-1F00-000037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51" name="ZoneTexte 152">
                        <a:extLst>
                          <a:ext uri="{FF2B5EF4-FFF2-40B4-BE49-F238E27FC236}">
                            <a16:creationId xmlns:a16="http://schemas.microsoft.com/office/drawing/2014/main" id="{00000000-0008-0000-1F00-000033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49" name="Étoile à 5 branches 158">
                      <a:extLst>
                        <a:ext uri="{FF2B5EF4-FFF2-40B4-BE49-F238E27FC236}">
                          <a16:creationId xmlns:a16="http://schemas.microsoft.com/office/drawing/2014/main" id="{00000000-0008-0000-1F00-000031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A$25">
                <xdr:nvSpPr>
                  <xdr:cNvPr id="37" name="Organigramme : Connecteur 36">
                    <a:extLst>
                      <a:ext uri="{FF2B5EF4-FFF2-40B4-BE49-F238E27FC236}">
                        <a16:creationId xmlns:a16="http://schemas.microsoft.com/office/drawing/2014/main" id="{00000000-0008-0000-1F00-000025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288A1A5-1039-4B71-889E-B822C70982DB}" type="TxLink">
                      <a:rPr lang="en-US" sz="1100" b="0" i="0" u="none" strike="noStrike">
                        <a:solidFill>
                          <a:srgbClr val="000000"/>
                        </a:solidFill>
                        <a:latin typeface="Calibri"/>
                        <a:cs typeface="Calibri"/>
                      </a:rPr>
                      <a:pPr algn="ctr"/>
                      <a:t>2</a:t>
                    </a:fld>
                    <a:endParaRPr lang="fr-FR" sz="1100"/>
                  </a:p>
                </xdr:txBody>
              </xdr:sp>
              <xdr:sp macro="" textlink="$A$36">
                <xdr:nvSpPr>
                  <xdr:cNvPr id="38" name="Organigramme : Connecteur 37">
                    <a:extLst>
                      <a:ext uri="{FF2B5EF4-FFF2-40B4-BE49-F238E27FC236}">
                        <a16:creationId xmlns:a16="http://schemas.microsoft.com/office/drawing/2014/main" id="{00000000-0008-0000-1F00-000026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AB0FA5-5CF7-4536-B81F-DB8FE3AC4FF3}" type="TxLink">
                      <a:rPr lang="en-US" sz="1100" b="0" i="0" u="none" strike="noStrike">
                        <a:solidFill>
                          <a:srgbClr val="000000"/>
                        </a:solidFill>
                        <a:latin typeface="Calibri"/>
                        <a:cs typeface="Calibri"/>
                      </a:rPr>
                      <a:pPr algn="ctr"/>
                      <a:t>13</a:t>
                    </a:fld>
                    <a:endParaRPr lang="fr-FR" sz="1100"/>
                  </a:p>
                </xdr:txBody>
              </xdr:sp>
              <xdr:sp macro="" textlink="$A$34">
                <xdr:nvSpPr>
                  <xdr:cNvPr id="39" name="Organigramme : Connecteur 38">
                    <a:extLst>
                      <a:ext uri="{FF2B5EF4-FFF2-40B4-BE49-F238E27FC236}">
                        <a16:creationId xmlns:a16="http://schemas.microsoft.com/office/drawing/2014/main" id="{00000000-0008-0000-1F00-000027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2EA777-4CD9-4CC8-B620-DFBD9632012D}" type="TxLink">
                      <a:rPr lang="en-US" sz="1100" b="0" i="0" u="none" strike="noStrike">
                        <a:solidFill>
                          <a:srgbClr val="000000"/>
                        </a:solidFill>
                        <a:latin typeface="Calibri"/>
                        <a:cs typeface="Calibri"/>
                      </a:rPr>
                      <a:pPr algn="ctr"/>
                      <a:t>11</a:t>
                    </a:fld>
                    <a:endParaRPr lang="fr-FR" sz="1100"/>
                  </a:p>
                </xdr:txBody>
              </xdr:sp>
              <xdr:sp macro="" textlink="$A$33">
                <xdr:nvSpPr>
                  <xdr:cNvPr id="40" name="Organigramme : Connecteur 39">
                    <a:extLst>
                      <a:ext uri="{FF2B5EF4-FFF2-40B4-BE49-F238E27FC236}">
                        <a16:creationId xmlns:a16="http://schemas.microsoft.com/office/drawing/2014/main" id="{00000000-0008-0000-1F00-000028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B0F734D-01A6-4431-BE62-5EB3BB58EA8C}" type="TxLink">
                      <a:rPr lang="en-US" sz="1100" b="0" i="0" u="none" strike="noStrike">
                        <a:solidFill>
                          <a:srgbClr val="000000"/>
                        </a:solidFill>
                        <a:latin typeface="Calibri"/>
                        <a:cs typeface="Calibri"/>
                      </a:rPr>
                      <a:pPr algn="ctr"/>
                      <a:t>10</a:t>
                    </a:fld>
                    <a:endParaRPr lang="fr-FR" sz="1100"/>
                  </a:p>
                </xdr:txBody>
              </xdr:sp>
              <xdr:sp macro="" textlink="$A$31">
                <xdr:nvSpPr>
                  <xdr:cNvPr id="41" name="Organigramme : Connecteur 40">
                    <a:extLst>
                      <a:ext uri="{FF2B5EF4-FFF2-40B4-BE49-F238E27FC236}">
                        <a16:creationId xmlns:a16="http://schemas.microsoft.com/office/drawing/2014/main" id="{00000000-0008-0000-1F00-000029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964360F-AED2-4E5C-B8C4-236CCAB99F13}" type="TxLink">
                      <a:rPr lang="en-US" sz="1100" b="0" i="0" u="none" strike="noStrike">
                        <a:solidFill>
                          <a:srgbClr val="000000"/>
                        </a:solidFill>
                        <a:latin typeface="Calibri"/>
                        <a:cs typeface="Calibri"/>
                      </a:rPr>
                      <a:pPr algn="ctr"/>
                      <a:t>8</a:t>
                    </a:fld>
                    <a:endParaRPr lang="fr-FR" sz="1100"/>
                  </a:p>
                </xdr:txBody>
              </xdr:sp>
              <xdr:sp macro="" textlink="$A$32">
                <xdr:nvSpPr>
                  <xdr:cNvPr id="42" name="Organigramme : Connecteur 41">
                    <a:extLst>
                      <a:ext uri="{FF2B5EF4-FFF2-40B4-BE49-F238E27FC236}">
                        <a16:creationId xmlns:a16="http://schemas.microsoft.com/office/drawing/2014/main" id="{00000000-0008-0000-1F00-00002A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ABB3A99-1F19-44BD-84C5-BB26CBF11D94}" type="TxLink">
                      <a:rPr lang="en-US" sz="1100" b="0" i="0" u="none" strike="noStrike">
                        <a:solidFill>
                          <a:srgbClr val="000000"/>
                        </a:solidFill>
                        <a:latin typeface="Calibri"/>
                        <a:cs typeface="Calibri"/>
                      </a:rPr>
                      <a:pPr algn="ctr"/>
                      <a:t>9</a:t>
                    </a:fld>
                    <a:endParaRPr lang="fr-FR" sz="1100"/>
                  </a:p>
                </xdr:txBody>
              </xdr:sp>
              <xdr:sp macro="" textlink="$A$30">
                <xdr:nvSpPr>
                  <xdr:cNvPr id="43" name="Organigramme : Connecteur 42">
                    <a:extLst>
                      <a:ext uri="{FF2B5EF4-FFF2-40B4-BE49-F238E27FC236}">
                        <a16:creationId xmlns:a16="http://schemas.microsoft.com/office/drawing/2014/main" id="{00000000-0008-0000-1F00-00002B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C11EBBB-0921-4B82-A8BF-AB6D96BE3DF5}" type="TxLink">
                      <a:rPr lang="en-US" sz="1100" b="0" i="0" u="none" strike="noStrike">
                        <a:solidFill>
                          <a:srgbClr val="000000"/>
                        </a:solidFill>
                        <a:latin typeface="Calibri"/>
                        <a:cs typeface="Calibri"/>
                      </a:rPr>
                      <a:pPr algn="ctr"/>
                      <a:t>7</a:t>
                    </a:fld>
                    <a:endParaRPr lang="fr-FR" sz="1100"/>
                  </a:p>
                </xdr:txBody>
              </xdr:sp>
              <xdr:sp macro="" textlink="$A$29">
                <xdr:nvSpPr>
                  <xdr:cNvPr id="44" name="Organigramme : Connecteur 43">
                    <a:extLst>
                      <a:ext uri="{FF2B5EF4-FFF2-40B4-BE49-F238E27FC236}">
                        <a16:creationId xmlns:a16="http://schemas.microsoft.com/office/drawing/2014/main" id="{00000000-0008-0000-1F00-00002C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E9B59B6-CE81-43E1-A619-95FDC6992E0A}" type="TxLink">
                      <a:rPr lang="en-US" sz="1100" b="0" i="0" u="none" strike="noStrike">
                        <a:solidFill>
                          <a:srgbClr val="000000"/>
                        </a:solidFill>
                        <a:latin typeface="Calibri"/>
                        <a:cs typeface="Calibri"/>
                      </a:rPr>
                      <a:pPr algn="ctr"/>
                      <a:t>6</a:t>
                    </a:fld>
                    <a:endParaRPr lang="fr-FR" sz="1100"/>
                  </a:p>
                </xdr:txBody>
              </xdr:sp>
              <xdr:sp macro="" textlink="$A$26">
                <xdr:nvSpPr>
                  <xdr:cNvPr id="45" name="Organigramme : Connecteur 44">
                    <a:extLst>
                      <a:ext uri="{FF2B5EF4-FFF2-40B4-BE49-F238E27FC236}">
                        <a16:creationId xmlns:a16="http://schemas.microsoft.com/office/drawing/2014/main" id="{00000000-0008-0000-1F00-00002D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BBB066-6B56-431A-A8D0-580774F2365F}" type="TxLink">
                      <a:rPr lang="en-US" sz="1100" b="0" i="0" u="none" strike="noStrike">
                        <a:solidFill>
                          <a:srgbClr val="000000"/>
                        </a:solidFill>
                        <a:latin typeface="Calibri"/>
                        <a:cs typeface="Calibri"/>
                      </a:rPr>
                      <a:pPr algn="ctr"/>
                      <a:t>3</a:t>
                    </a:fld>
                    <a:endParaRPr lang="fr-FR" sz="1100"/>
                  </a:p>
                </xdr:txBody>
              </xdr:sp>
              <xdr:sp macro="" textlink="$A$27">
                <xdr:nvSpPr>
                  <xdr:cNvPr id="46" name="Organigramme : Connecteur 45">
                    <a:extLst>
                      <a:ext uri="{FF2B5EF4-FFF2-40B4-BE49-F238E27FC236}">
                        <a16:creationId xmlns:a16="http://schemas.microsoft.com/office/drawing/2014/main" id="{00000000-0008-0000-1F00-00002E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4F93EAA-4F76-408A-8944-9C7A9DCC48D8}" type="TxLink">
                      <a:rPr lang="en-US" sz="1100" b="0" i="0" u="none" strike="noStrike">
                        <a:solidFill>
                          <a:srgbClr val="000000"/>
                        </a:solidFill>
                        <a:latin typeface="Calibri"/>
                        <a:cs typeface="Calibri"/>
                      </a:rPr>
                      <a:pPr algn="ctr"/>
                      <a:t>4</a:t>
                    </a:fld>
                    <a:endParaRPr lang="fr-FR" sz="1100"/>
                  </a:p>
                </xdr:txBody>
              </xdr:sp>
              <xdr:sp macro="" textlink="$A$28">
                <xdr:nvSpPr>
                  <xdr:cNvPr id="47" name="Organigramme : Connecteur 46">
                    <a:extLst>
                      <a:ext uri="{FF2B5EF4-FFF2-40B4-BE49-F238E27FC236}">
                        <a16:creationId xmlns:a16="http://schemas.microsoft.com/office/drawing/2014/main" id="{00000000-0008-0000-1F00-00002F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99F2DFE-7CF2-445C-BC7D-B36452A8C263}"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32" name="Étoile à 5 branches 158">
                <a:extLst>
                  <a:ext uri="{FF2B5EF4-FFF2-40B4-BE49-F238E27FC236}">
                    <a16:creationId xmlns:a16="http://schemas.microsoft.com/office/drawing/2014/main" id="{00000000-0008-0000-1F00-000020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A$35">
            <xdr:nvSpPr>
              <xdr:cNvPr id="33" name="Organigramme : Connecteur 32">
                <a:extLst>
                  <a:ext uri="{FF2B5EF4-FFF2-40B4-BE49-F238E27FC236}">
                    <a16:creationId xmlns:a16="http://schemas.microsoft.com/office/drawing/2014/main" id="{00000000-0008-0000-1F00-000021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361A2EE-2B99-49FA-BE04-5E1DC10F641A}" type="TxLink">
                  <a:rPr lang="en-US" sz="1100" b="0" i="0" u="none" strike="noStrike">
                    <a:solidFill>
                      <a:srgbClr val="000000"/>
                    </a:solidFill>
                    <a:latin typeface="Calibri"/>
                    <a:cs typeface="Calibri"/>
                  </a:rPr>
                  <a:pPr algn="ctr"/>
                  <a:t>12</a:t>
                </a:fld>
                <a:endParaRPr lang="fr-FR" sz="1100"/>
              </a:p>
            </xdr:txBody>
          </xdr:sp>
        </xdr:grpSp>
        <xdr:sp macro="" textlink="B24">
          <xdr:nvSpPr>
            <xdr:cNvPr id="18" name="Organigramme : Connecteur 17">
              <a:extLst>
                <a:ext uri="{FF2B5EF4-FFF2-40B4-BE49-F238E27FC236}">
                  <a16:creationId xmlns:a16="http://schemas.microsoft.com/office/drawing/2014/main" id="{00000000-0008-0000-1F00-000012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37C332-BA2E-48C4-8A5B-E7FF8282060F}" type="TxLink">
                <a:rPr lang="en-US" sz="1100" b="0" i="0" u="none" strike="noStrike">
                  <a:solidFill>
                    <a:srgbClr val="000000"/>
                  </a:solidFill>
                  <a:latin typeface="Calibri"/>
                  <a:cs typeface="Calibri"/>
                </a:rPr>
                <a:pPr algn="ctr"/>
                <a:t> </a:t>
              </a:fld>
              <a:endParaRPr lang="fr-FR" sz="1100"/>
            </a:p>
          </xdr:txBody>
        </xdr:sp>
        <xdr:sp macro="" textlink="B25">
          <xdr:nvSpPr>
            <xdr:cNvPr id="19" name="Organigramme : Connecteur 18">
              <a:extLst>
                <a:ext uri="{FF2B5EF4-FFF2-40B4-BE49-F238E27FC236}">
                  <a16:creationId xmlns:a16="http://schemas.microsoft.com/office/drawing/2014/main" id="{00000000-0008-0000-1F00-000013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844A3AA-65BB-42B8-9798-C07704265705}" type="TxLink">
                <a:rPr lang="en-US" sz="1100" b="0" i="0" u="none" strike="noStrike">
                  <a:solidFill>
                    <a:srgbClr val="000000"/>
                  </a:solidFill>
                  <a:latin typeface="Calibri"/>
                  <a:cs typeface="Calibri"/>
                </a:rPr>
                <a:pPr algn="ctr"/>
                <a:t> </a:t>
              </a:fld>
              <a:endParaRPr lang="fr-FR" sz="1100"/>
            </a:p>
          </xdr:txBody>
        </xdr:sp>
        <xdr:sp macro="" textlink="B26">
          <xdr:nvSpPr>
            <xdr:cNvPr id="20" name="Organigramme : Connecteur 19">
              <a:extLst>
                <a:ext uri="{FF2B5EF4-FFF2-40B4-BE49-F238E27FC236}">
                  <a16:creationId xmlns:a16="http://schemas.microsoft.com/office/drawing/2014/main" id="{00000000-0008-0000-1F00-000014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E3314A-40D6-48DF-BAFA-549DB73EBBB3}" type="TxLink">
                <a:rPr lang="en-US" sz="1100" b="0" i="0" u="none" strike="noStrike">
                  <a:solidFill>
                    <a:srgbClr val="000000"/>
                  </a:solidFill>
                  <a:latin typeface="Calibri"/>
                  <a:cs typeface="Calibri"/>
                </a:rPr>
                <a:pPr algn="ctr"/>
                <a:t> </a:t>
              </a:fld>
              <a:endParaRPr lang="fr-FR" sz="1100"/>
            </a:p>
          </xdr:txBody>
        </xdr:sp>
        <xdr:sp macro="" textlink="B27">
          <xdr:nvSpPr>
            <xdr:cNvPr id="21" name="Organigramme : Connecteur 20">
              <a:extLst>
                <a:ext uri="{FF2B5EF4-FFF2-40B4-BE49-F238E27FC236}">
                  <a16:creationId xmlns:a16="http://schemas.microsoft.com/office/drawing/2014/main" id="{00000000-0008-0000-1F00-000015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6BE2CE7-E1D7-4BDD-9E5E-E6DDE1ED8474}" type="TxLink">
                <a:rPr lang="en-US" sz="1100" b="0" i="0" u="none" strike="noStrike">
                  <a:solidFill>
                    <a:srgbClr val="000000"/>
                  </a:solidFill>
                  <a:latin typeface="Calibri"/>
                  <a:cs typeface="Calibri"/>
                </a:rPr>
                <a:pPr algn="ctr"/>
                <a:t> </a:t>
              </a:fld>
              <a:endParaRPr lang="fr-FR" sz="1100"/>
            </a:p>
          </xdr:txBody>
        </xdr:sp>
        <xdr:sp macro="" textlink="B28">
          <xdr:nvSpPr>
            <xdr:cNvPr id="22" name="Organigramme : Connecteur 21">
              <a:extLst>
                <a:ext uri="{FF2B5EF4-FFF2-40B4-BE49-F238E27FC236}">
                  <a16:creationId xmlns:a16="http://schemas.microsoft.com/office/drawing/2014/main" id="{00000000-0008-0000-1F00-000016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0B6BC1-9A8D-4EE1-ABB3-7E21FAAA3741}" type="TxLink">
                <a:rPr lang="en-US" sz="1100" b="0" i="0" u="none" strike="noStrike">
                  <a:solidFill>
                    <a:srgbClr val="000000"/>
                  </a:solidFill>
                  <a:latin typeface="Calibri"/>
                  <a:cs typeface="Calibri"/>
                </a:rPr>
                <a:pPr algn="ctr"/>
                <a:t> </a:t>
              </a:fld>
              <a:endParaRPr lang="fr-FR" sz="1100"/>
            </a:p>
          </xdr:txBody>
        </xdr:sp>
        <xdr:sp macro="" textlink="B29">
          <xdr:nvSpPr>
            <xdr:cNvPr id="23" name="Organigramme : Connecteur 22">
              <a:extLst>
                <a:ext uri="{FF2B5EF4-FFF2-40B4-BE49-F238E27FC236}">
                  <a16:creationId xmlns:a16="http://schemas.microsoft.com/office/drawing/2014/main" id="{00000000-0008-0000-1F00-000017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980FFCD-9748-426C-B9F5-1A9DFE3336D6}" type="TxLink">
                <a:rPr lang="en-US" sz="1100" b="0" i="0" u="none" strike="noStrike">
                  <a:solidFill>
                    <a:srgbClr val="000000"/>
                  </a:solidFill>
                  <a:latin typeface="Calibri"/>
                  <a:cs typeface="Calibri"/>
                </a:rPr>
                <a:pPr algn="ctr"/>
                <a:t> </a:t>
              </a:fld>
              <a:endParaRPr lang="fr-FR" sz="1100"/>
            </a:p>
          </xdr:txBody>
        </xdr:sp>
        <xdr:sp macro="" textlink="B30">
          <xdr:nvSpPr>
            <xdr:cNvPr id="24" name="Organigramme : Connecteur 23">
              <a:extLst>
                <a:ext uri="{FF2B5EF4-FFF2-40B4-BE49-F238E27FC236}">
                  <a16:creationId xmlns:a16="http://schemas.microsoft.com/office/drawing/2014/main" id="{00000000-0008-0000-1F00-000018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9E95C48-31F1-4060-AEF8-7A27D17FE4F5}" type="TxLink">
                <a:rPr lang="en-US" sz="1100" b="0" i="0" u="none" strike="noStrike">
                  <a:solidFill>
                    <a:srgbClr val="000000"/>
                  </a:solidFill>
                  <a:latin typeface="Calibri"/>
                  <a:cs typeface="Calibri"/>
                </a:rPr>
                <a:pPr algn="ctr"/>
                <a:t> </a:t>
              </a:fld>
              <a:endParaRPr lang="fr-FR" sz="1100"/>
            </a:p>
          </xdr:txBody>
        </xdr:sp>
        <xdr:sp macro="" textlink="B31">
          <xdr:nvSpPr>
            <xdr:cNvPr id="25" name="Organigramme : Connecteur 24">
              <a:extLst>
                <a:ext uri="{FF2B5EF4-FFF2-40B4-BE49-F238E27FC236}">
                  <a16:creationId xmlns:a16="http://schemas.microsoft.com/office/drawing/2014/main" id="{00000000-0008-0000-1F00-000019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21BFDE8-90FA-4246-9375-6874F37F3ABE}" type="TxLink">
                <a:rPr lang="en-US" sz="1100" b="0" i="0" u="none" strike="noStrike">
                  <a:solidFill>
                    <a:srgbClr val="000000"/>
                  </a:solidFill>
                  <a:latin typeface="Calibri"/>
                  <a:cs typeface="Calibri"/>
                </a:rPr>
                <a:pPr algn="ctr"/>
                <a:t> </a:t>
              </a:fld>
              <a:endParaRPr lang="fr-FR" sz="1100"/>
            </a:p>
          </xdr:txBody>
        </xdr:sp>
        <xdr:sp macro="" textlink="B32">
          <xdr:nvSpPr>
            <xdr:cNvPr id="26" name="Organigramme : Connecteur 25">
              <a:extLst>
                <a:ext uri="{FF2B5EF4-FFF2-40B4-BE49-F238E27FC236}">
                  <a16:creationId xmlns:a16="http://schemas.microsoft.com/office/drawing/2014/main" id="{00000000-0008-0000-1F00-00001A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771A49-85D3-41F3-BA61-166F3358E9AB}" type="TxLink">
                <a:rPr lang="en-US" sz="1100" b="0" i="0" u="none" strike="noStrike">
                  <a:solidFill>
                    <a:srgbClr val="000000"/>
                  </a:solidFill>
                  <a:latin typeface="Calibri"/>
                  <a:cs typeface="Calibri"/>
                </a:rPr>
                <a:pPr algn="ctr"/>
                <a:t> </a:t>
              </a:fld>
              <a:endParaRPr lang="fr-FR" sz="1100"/>
            </a:p>
          </xdr:txBody>
        </xdr:sp>
        <xdr:sp macro="" textlink="B33">
          <xdr:nvSpPr>
            <xdr:cNvPr id="27" name="Organigramme : Connecteur 26">
              <a:extLst>
                <a:ext uri="{FF2B5EF4-FFF2-40B4-BE49-F238E27FC236}">
                  <a16:creationId xmlns:a16="http://schemas.microsoft.com/office/drawing/2014/main" id="{00000000-0008-0000-1F00-00001B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40F35F-CD4B-47B5-938D-9F90A7F44ADA}" type="TxLink">
                <a:rPr lang="en-US" sz="1100" b="0" i="0" u="none" strike="noStrike">
                  <a:solidFill>
                    <a:srgbClr val="000000"/>
                  </a:solidFill>
                  <a:latin typeface="Calibri"/>
                  <a:cs typeface="Calibri"/>
                </a:rPr>
                <a:pPr algn="ctr"/>
                <a:t> </a:t>
              </a:fld>
              <a:endParaRPr lang="fr-FR" sz="1100"/>
            </a:p>
          </xdr:txBody>
        </xdr:sp>
        <xdr:sp macro="" textlink="B34">
          <xdr:nvSpPr>
            <xdr:cNvPr id="28" name="Organigramme : Connecteur 27">
              <a:extLst>
                <a:ext uri="{FF2B5EF4-FFF2-40B4-BE49-F238E27FC236}">
                  <a16:creationId xmlns:a16="http://schemas.microsoft.com/office/drawing/2014/main" id="{00000000-0008-0000-1F00-00001C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194EA0A-7DF4-4C26-B96C-3167F8CF7252}" type="TxLink">
                <a:rPr lang="en-US" sz="1100" b="0" i="0" u="none" strike="noStrike">
                  <a:solidFill>
                    <a:srgbClr val="000000"/>
                  </a:solidFill>
                  <a:latin typeface="Calibri"/>
                  <a:cs typeface="Calibri"/>
                </a:rPr>
                <a:pPr algn="ctr"/>
                <a:t> </a:t>
              </a:fld>
              <a:endParaRPr lang="fr-FR" sz="1100"/>
            </a:p>
          </xdr:txBody>
        </xdr:sp>
        <xdr:sp macro="" textlink="B35">
          <xdr:nvSpPr>
            <xdr:cNvPr id="29" name="Organigramme : Connecteur 28">
              <a:extLst>
                <a:ext uri="{FF2B5EF4-FFF2-40B4-BE49-F238E27FC236}">
                  <a16:creationId xmlns:a16="http://schemas.microsoft.com/office/drawing/2014/main" id="{00000000-0008-0000-1F00-00001D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66B87E-0F12-4377-8624-254081015152}" type="TxLink">
                <a:rPr lang="en-US" sz="1100" b="0" i="0" u="none" strike="noStrike">
                  <a:solidFill>
                    <a:srgbClr val="000000"/>
                  </a:solidFill>
                  <a:latin typeface="Calibri"/>
                  <a:cs typeface="Calibri"/>
                </a:rPr>
                <a:pPr algn="ctr"/>
                <a:t> </a:t>
              </a:fld>
              <a:endParaRPr lang="fr-FR" sz="1100"/>
            </a:p>
          </xdr:txBody>
        </xdr:sp>
        <xdr:sp macro="" textlink="B36">
          <xdr:nvSpPr>
            <xdr:cNvPr id="30" name="Organigramme : Connecteur 29">
              <a:extLst>
                <a:ext uri="{FF2B5EF4-FFF2-40B4-BE49-F238E27FC236}">
                  <a16:creationId xmlns:a16="http://schemas.microsoft.com/office/drawing/2014/main" id="{00000000-0008-0000-1F00-00001E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D020D7-142B-4817-8707-BA2E6423B523}" type="TxLink">
                <a:rPr lang="en-US" sz="1100" b="0" i="0" u="none" strike="noStrike">
                  <a:solidFill>
                    <a:srgbClr val="000000"/>
                  </a:solidFill>
                  <a:latin typeface="Calibri"/>
                  <a:cs typeface="Calibri"/>
                </a:rPr>
                <a:pPr algn="ctr"/>
                <a:t> </a:t>
              </a:fld>
              <a:endParaRPr lang="fr-FR" sz="1100"/>
            </a:p>
          </xdr:txBody>
        </xdr:sp>
      </xdr:grpSp>
      <xdr:sp macro="" textlink="C24">
        <xdr:nvSpPr>
          <xdr:cNvPr id="4" name="Organigramme : Connecteur 3">
            <a:extLst>
              <a:ext uri="{FF2B5EF4-FFF2-40B4-BE49-F238E27FC236}">
                <a16:creationId xmlns:a16="http://schemas.microsoft.com/office/drawing/2014/main" id="{00000000-0008-0000-1F00-000004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D926A18-7F95-4346-93C9-CC648065F837}" type="TxLink">
              <a:rPr lang="en-US" sz="1100" b="0" i="0" u="none" strike="noStrike">
                <a:solidFill>
                  <a:srgbClr val="000000"/>
                </a:solidFill>
                <a:latin typeface="Calibri"/>
                <a:cs typeface="Calibri"/>
              </a:rPr>
              <a:pPr algn="ctr"/>
              <a:t> </a:t>
            </a:fld>
            <a:endParaRPr lang="fr-FR" sz="1100"/>
          </a:p>
        </xdr:txBody>
      </xdr:sp>
      <xdr:sp macro="" textlink="C25">
        <xdr:nvSpPr>
          <xdr:cNvPr id="5" name="Organigramme : Connecteur 4">
            <a:extLst>
              <a:ext uri="{FF2B5EF4-FFF2-40B4-BE49-F238E27FC236}">
                <a16:creationId xmlns:a16="http://schemas.microsoft.com/office/drawing/2014/main" id="{00000000-0008-0000-1F00-000005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79D8392-F4F7-4BB4-8402-58A6615ADA95}" type="TxLink">
              <a:rPr lang="en-US" sz="1100" b="0" i="0" u="none" strike="noStrike">
                <a:solidFill>
                  <a:srgbClr val="000000"/>
                </a:solidFill>
                <a:latin typeface="Calibri"/>
                <a:cs typeface="Calibri"/>
              </a:rPr>
              <a:pPr algn="ctr"/>
              <a:t> </a:t>
            </a:fld>
            <a:endParaRPr lang="fr-FR" sz="1100"/>
          </a:p>
        </xdr:txBody>
      </xdr:sp>
      <xdr:sp macro="" textlink="C26">
        <xdr:nvSpPr>
          <xdr:cNvPr id="6" name="Organigramme : Connecteur 5">
            <a:extLst>
              <a:ext uri="{FF2B5EF4-FFF2-40B4-BE49-F238E27FC236}">
                <a16:creationId xmlns:a16="http://schemas.microsoft.com/office/drawing/2014/main" id="{00000000-0008-0000-1F00-000006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777A48-E617-46D6-A6F1-D40A2FCE1694}" type="TxLink">
              <a:rPr lang="en-US" sz="1100" b="0" i="0" u="none" strike="noStrike">
                <a:solidFill>
                  <a:srgbClr val="000000"/>
                </a:solidFill>
                <a:latin typeface="Calibri"/>
                <a:cs typeface="Calibri"/>
              </a:rPr>
              <a:pPr algn="ctr"/>
              <a:t> </a:t>
            </a:fld>
            <a:endParaRPr lang="fr-FR" sz="1100"/>
          </a:p>
        </xdr:txBody>
      </xdr:sp>
      <xdr:sp macro="" textlink="C27">
        <xdr:nvSpPr>
          <xdr:cNvPr id="7" name="Organigramme : Connecteur 6">
            <a:extLst>
              <a:ext uri="{FF2B5EF4-FFF2-40B4-BE49-F238E27FC236}">
                <a16:creationId xmlns:a16="http://schemas.microsoft.com/office/drawing/2014/main" id="{00000000-0008-0000-1F00-000007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9D0BE07-F53E-466D-85B1-3700D641F1A5}" type="TxLink">
              <a:rPr lang="en-US" sz="1100" b="0" i="0" u="none" strike="noStrike">
                <a:solidFill>
                  <a:srgbClr val="000000"/>
                </a:solidFill>
                <a:latin typeface="Calibri"/>
                <a:cs typeface="Calibri"/>
              </a:rPr>
              <a:pPr algn="ctr"/>
              <a:t> </a:t>
            </a:fld>
            <a:endParaRPr lang="fr-FR" sz="1100"/>
          </a:p>
        </xdr:txBody>
      </xdr:sp>
      <xdr:sp macro="" textlink="C28">
        <xdr:nvSpPr>
          <xdr:cNvPr id="8" name="Organigramme : Connecteur 7">
            <a:extLst>
              <a:ext uri="{FF2B5EF4-FFF2-40B4-BE49-F238E27FC236}">
                <a16:creationId xmlns:a16="http://schemas.microsoft.com/office/drawing/2014/main" id="{00000000-0008-0000-1F00-000008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B235E82-23E6-4BFB-9957-67689BC78F59}" type="TxLink">
              <a:rPr lang="en-US" sz="1100" b="0" i="0" u="none" strike="noStrike">
                <a:solidFill>
                  <a:srgbClr val="000000"/>
                </a:solidFill>
                <a:latin typeface="Calibri"/>
                <a:cs typeface="Calibri"/>
              </a:rPr>
              <a:pPr algn="ctr"/>
              <a:t> </a:t>
            </a:fld>
            <a:endParaRPr lang="fr-FR" sz="1100"/>
          </a:p>
        </xdr:txBody>
      </xdr:sp>
      <xdr:sp macro="" textlink="C30">
        <xdr:nvSpPr>
          <xdr:cNvPr id="9" name="Organigramme : Connecteur 8">
            <a:extLst>
              <a:ext uri="{FF2B5EF4-FFF2-40B4-BE49-F238E27FC236}">
                <a16:creationId xmlns:a16="http://schemas.microsoft.com/office/drawing/2014/main" id="{00000000-0008-0000-1F00-000009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7DD9C3A-1E9B-4897-ACB5-5C8CF84A4D45}" type="TxLink">
              <a:rPr lang="en-US" sz="1100" b="0" i="0" u="none" strike="noStrike">
                <a:solidFill>
                  <a:srgbClr val="000000"/>
                </a:solidFill>
                <a:latin typeface="Calibri"/>
                <a:cs typeface="Calibri"/>
              </a:rPr>
              <a:pPr algn="ctr"/>
              <a:t> </a:t>
            </a:fld>
            <a:endParaRPr lang="fr-FR" sz="1100"/>
          </a:p>
        </xdr:txBody>
      </xdr:sp>
      <xdr:sp macro="" textlink="C29">
        <xdr:nvSpPr>
          <xdr:cNvPr id="10" name="Organigramme : Connecteur 9">
            <a:extLst>
              <a:ext uri="{FF2B5EF4-FFF2-40B4-BE49-F238E27FC236}">
                <a16:creationId xmlns:a16="http://schemas.microsoft.com/office/drawing/2014/main" id="{00000000-0008-0000-1F00-00000A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11974CD-E0C2-4ADB-AE9C-EFE859B733BA}" type="TxLink">
              <a:rPr lang="en-US" sz="1100" b="0" i="0" u="none" strike="noStrike">
                <a:solidFill>
                  <a:srgbClr val="000000"/>
                </a:solidFill>
                <a:latin typeface="Calibri"/>
                <a:cs typeface="Calibri"/>
              </a:rPr>
              <a:pPr algn="ctr"/>
              <a:t> </a:t>
            </a:fld>
            <a:endParaRPr lang="fr-FR" sz="1100"/>
          </a:p>
        </xdr:txBody>
      </xdr:sp>
      <xdr:sp macro="" textlink="C32">
        <xdr:nvSpPr>
          <xdr:cNvPr id="11" name="Organigramme : Connecteur 10">
            <a:extLst>
              <a:ext uri="{FF2B5EF4-FFF2-40B4-BE49-F238E27FC236}">
                <a16:creationId xmlns:a16="http://schemas.microsoft.com/office/drawing/2014/main" id="{00000000-0008-0000-1F00-00000B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276F56E-4A18-4B84-9A44-8F77124894DD}" type="TxLink">
              <a:rPr lang="en-US" sz="1100" b="0" i="0" u="none" strike="noStrike">
                <a:solidFill>
                  <a:srgbClr val="000000"/>
                </a:solidFill>
                <a:latin typeface="Calibri"/>
                <a:cs typeface="Calibri"/>
              </a:rPr>
              <a:pPr algn="ctr"/>
              <a:t> </a:t>
            </a:fld>
            <a:endParaRPr lang="fr-FR" sz="1100"/>
          </a:p>
        </xdr:txBody>
      </xdr:sp>
      <xdr:sp macro="" textlink="C31">
        <xdr:nvSpPr>
          <xdr:cNvPr id="12" name="Organigramme : Connecteur 11">
            <a:extLst>
              <a:ext uri="{FF2B5EF4-FFF2-40B4-BE49-F238E27FC236}">
                <a16:creationId xmlns:a16="http://schemas.microsoft.com/office/drawing/2014/main" id="{00000000-0008-0000-1F00-00000C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E2B51D9-2B49-40CB-AB7C-CE3065868CFA}" type="TxLink">
              <a:rPr lang="en-US" sz="1100" b="0" i="0" u="none" strike="noStrike">
                <a:solidFill>
                  <a:srgbClr val="000000"/>
                </a:solidFill>
                <a:latin typeface="Calibri"/>
                <a:cs typeface="Calibri"/>
              </a:rPr>
              <a:pPr algn="ctr"/>
              <a:t> </a:t>
            </a:fld>
            <a:endParaRPr lang="fr-FR" sz="1100"/>
          </a:p>
        </xdr:txBody>
      </xdr:sp>
      <xdr:sp macro="" textlink="C33">
        <xdr:nvSpPr>
          <xdr:cNvPr id="13" name="Organigramme : Connecteur 12">
            <a:extLst>
              <a:ext uri="{FF2B5EF4-FFF2-40B4-BE49-F238E27FC236}">
                <a16:creationId xmlns:a16="http://schemas.microsoft.com/office/drawing/2014/main" id="{00000000-0008-0000-1F00-00000D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6358EA8-7311-4EB5-B828-3D3E8B9BFA0D}" type="TxLink">
              <a:rPr lang="en-US" sz="1100" b="0" i="0" u="none" strike="noStrike">
                <a:solidFill>
                  <a:srgbClr val="000000"/>
                </a:solidFill>
                <a:latin typeface="Calibri"/>
                <a:cs typeface="Calibri"/>
              </a:rPr>
              <a:pPr algn="ctr"/>
              <a:t> </a:t>
            </a:fld>
            <a:endParaRPr lang="fr-FR" sz="1100"/>
          </a:p>
        </xdr:txBody>
      </xdr:sp>
      <xdr:sp macro="" textlink="C34">
        <xdr:nvSpPr>
          <xdr:cNvPr id="14" name="Organigramme : Connecteur 13">
            <a:extLst>
              <a:ext uri="{FF2B5EF4-FFF2-40B4-BE49-F238E27FC236}">
                <a16:creationId xmlns:a16="http://schemas.microsoft.com/office/drawing/2014/main" id="{00000000-0008-0000-1F00-00000E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4E86367-D28D-43ED-864B-F75815B4D238}" type="TxLink">
              <a:rPr lang="en-US" sz="1100" b="0" i="0" u="none" strike="noStrike">
                <a:solidFill>
                  <a:srgbClr val="000000"/>
                </a:solidFill>
                <a:latin typeface="Calibri"/>
                <a:cs typeface="Calibri"/>
              </a:rPr>
              <a:pPr algn="ctr"/>
              <a:t> </a:t>
            </a:fld>
            <a:endParaRPr lang="fr-FR" sz="1100"/>
          </a:p>
        </xdr:txBody>
      </xdr:sp>
      <xdr:sp macro="" textlink="C35">
        <xdr:nvSpPr>
          <xdr:cNvPr id="15" name="Organigramme : Connecteur 14">
            <a:extLst>
              <a:ext uri="{FF2B5EF4-FFF2-40B4-BE49-F238E27FC236}">
                <a16:creationId xmlns:a16="http://schemas.microsoft.com/office/drawing/2014/main" id="{00000000-0008-0000-1F00-00000F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7D4129-4FD4-4DF0-8DA4-012220560E9B}" type="TxLink">
              <a:rPr lang="en-US" sz="1100" b="0" i="0" u="none" strike="noStrike">
                <a:solidFill>
                  <a:srgbClr val="000000"/>
                </a:solidFill>
                <a:latin typeface="Calibri"/>
                <a:cs typeface="Calibri"/>
              </a:rPr>
              <a:pPr algn="ctr"/>
              <a:t> </a:t>
            </a:fld>
            <a:endParaRPr lang="fr-FR" sz="1100"/>
          </a:p>
        </xdr:txBody>
      </xdr:sp>
      <xdr:sp macro="" textlink="C36">
        <xdr:nvSpPr>
          <xdr:cNvPr id="16" name="Organigramme : Connecteur 15">
            <a:extLst>
              <a:ext uri="{FF2B5EF4-FFF2-40B4-BE49-F238E27FC236}">
                <a16:creationId xmlns:a16="http://schemas.microsoft.com/office/drawing/2014/main" id="{00000000-0008-0000-1F00-000010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E6BFA42-C5DB-4314-A660-DD97D35A01A9}" type="TxLink">
              <a:rPr lang="en-US" sz="1100" b="0" i="0" u="none" strike="noStrike">
                <a:solidFill>
                  <a:srgbClr val="000000"/>
                </a:solidFill>
                <a:latin typeface="Calibri"/>
                <a:cs typeface="Calibri"/>
              </a:rPr>
              <a:pPr algn="ctr"/>
              <a:t> </a:t>
            </a:fld>
            <a:endParaRPr lang="fr-FR" sz="1100"/>
          </a:p>
        </xdr:txBody>
      </xdr:sp>
    </xdr:grpSp>
    <xdr:clientData/>
  </xdr:twoCellAnchor>
  <mc:AlternateContent xmlns:mc="http://schemas.openxmlformats.org/markup-compatibility/2006">
    <mc:Choice xmlns:a14="http://schemas.microsoft.com/office/drawing/2010/main" Requires="a14">
      <xdr:twoCellAnchor>
        <xdr:from>
          <xdr:col>7</xdr:col>
          <xdr:colOff>666750</xdr:colOff>
          <xdr:row>6</xdr:row>
          <xdr:rowOff>38100</xdr:rowOff>
        </xdr:from>
        <xdr:to>
          <xdr:col>10</xdr:col>
          <xdr:colOff>781050</xdr:colOff>
          <xdr:row>13</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1F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OMIA</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xdr:col>
      <xdr:colOff>1000124</xdr:colOff>
      <xdr:row>27</xdr:row>
      <xdr:rowOff>0</xdr:rowOff>
    </xdr:from>
    <xdr:to>
      <xdr:col>16</xdr:col>
      <xdr:colOff>285749</xdr:colOff>
      <xdr:row>47</xdr:row>
      <xdr:rowOff>152400</xdr:rowOff>
    </xdr:to>
    <xdr:graphicFrame macro="">
      <xdr:nvGraphicFramePr>
        <xdr:cNvPr id="2" name="Graphique 1">
          <a:extLst>
            <a:ext uri="{FF2B5EF4-FFF2-40B4-BE49-F238E27FC236}">
              <a16:creationId xmlns:a16="http://schemas.microsoft.com/office/drawing/2014/main" id="{00000000-0008-0000-2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1000124</xdr:colOff>
      <xdr:row>25</xdr:row>
      <xdr:rowOff>190499</xdr:rowOff>
    </xdr:from>
    <xdr:to>
      <xdr:col>14</xdr:col>
      <xdr:colOff>647699</xdr:colOff>
      <xdr:row>47</xdr:row>
      <xdr:rowOff>66674</xdr:rowOff>
    </xdr:to>
    <xdr:graphicFrame macro="">
      <xdr:nvGraphicFramePr>
        <xdr:cNvPr id="2" name="Graphique 1">
          <a:extLst>
            <a:ext uri="{FF2B5EF4-FFF2-40B4-BE49-F238E27FC236}">
              <a16:creationId xmlns:a16="http://schemas.microsoft.com/office/drawing/2014/main" id="{00000000-0008-0000-2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1000124</xdr:colOff>
      <xdr:row>25</xdr:row>
      <xdr:rowOff>190499</xdr:rowOff>
    </xdr:from>
    <xdr:to>
      <xdr:col>14</xdr:col>
      <xdr:colOff>190500</xdr:colOff>
      <xdr:row>46</xdr:row>
      <xdr:rowOff>114300</xdr:rowOff>
    </xdr:to>
    <xdr:graphicFrame macro="">
      <xdr:nvGraphicFramePr>
        <xdr:cNvPr id="2" name="Graphique 1">
          <a:extLst>
            <a:ext uri="{FF2B5EF4-FFF2-40B4-BE49-F238E27FC236}">
              <a16:creationId xmlns:a16="http://schemas.microsoft.com/office/drawing/2014/main" id="{00000000-0008-0000-2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15875</xdr:rowOff>
    </xdr:to>
    <xdr:pic>
      <xdr:nvPicPr>
        <xdr:cNvPr id="4" name="Image 3" descr="fregat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26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rtl="0" eaLnBrk="1" latinLnBrk="0" hangingPunct="1"/>
          <a:r>
            <a:rPr lang="fr-FR" sz="1800" kern="1200">
              <a:solidFill>
                <a:schemeClr val="tx1"/>
              </a:solidFill>
              <a:effectLst/>
              <a:latin typeface="+mn-lt"/>
              <a:ea typeface="+mn-ea"/>
              <a:cs typeface="+mn-cs"/>
            </a:rPr>
            <a:t>Le contrôle se fait avec 12 thermocouples fixés au moyen de scotch de masquage résistant aux températures de travail. </a:t>
          </a:r>
          <a:endParaRPr lang="fr-FR" sz="2000">
            <a:effectLst/>
          </a:endParaRPr>
        </a:p>
        <a:p>
          <a:pPr rtl="0" eaLnBrk="1" latinLnBrk="0" hangingPunct="1"/>
          <a:r>
            <a:rPr lang="fr-FR" sz="1800" kern="1200">
              <a:solidFill>
                <a:schemeClr val="tx1"/>
              </a:solidFill>
              <a:effectLst/>
              <a:latin typeface="+mn-lt"/>
              <a:ea typeface="+mn-ea"/>
              <a:cs typeface="+mn-cs"/>
            </a:rPr>
            <a:t>Un treizième est installé au plus proche de la sonde de régulation pour réaliser la SAT.</a:t>
          </a:r>
          <a:endParaRPr lang="fr-FR" sz="2000">
            <a:effectLst/>
          </a:endParaRP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757911</xdr:colOff>
      <xdr:row>128</xdr:row>
      <xdr:rowOff>38396</xdr:rowOff>
    </xdr:to>
    <xdr:pic>
      <xdr:nvPicPr>
        <xdr:cNvPr id="6" name="Image 5" descr="fregat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160</xdr:row>
      <xdr:rowOff>0</xdr:rowOff>
    </xdr:from>
    <xdr:to>
      <xdr:col>0</xdr:col>
      <xdr:colOff>3270251</xdr:colOff>
      <xdr:row>163</xdr:row>
      <xdr:rowOff>174625</xdr:rowOff>
    </xdr:to>
    <xdr:pic>
      <xdr:nvPicPr>
        <xdr:cNvPr id="7" name="Image 6" descr="fregat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192</xdr:row>
      <xdr:rowOff>0</xdr:rowOff>
    </xdr:from>
    <xdr:to>
      <xdr:col>0</xdr:col>
      <xdr:colOff>3238501</xdr:colOff>
      <xdr:row>196</xdr:row>
      <xdr:rowOff>31750</xdr:rowOff>
    </xdr:to>
    <xdr:pic>
      <xdr:nvPicPr>
        <xdr:cNvPr id="8" name="Image 7" descr="fregat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219</xdr:row>
      <xdr:rowOff>190499</xdr:rowOff>
    </xdr:from>
    <xdr:to>
      <xdr:col>0</xdr:col>
      <xdr:colOff>3302001</xdr:colOff>
      <xdr:row>225</xdr:row>
      <xdr:rowOff>79374</xdr:rowOff>
    </xdr:to>
    <xdr:pic>
      <xdr:nvPicPr>
        <xdr:cNvPr id="9" name="Image 8" descr="fregat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252</xdr:row>
      <xdr:rowOff>113187</xdr:rowOff>
    </xdr:from>
    <xdr:to>
      <xdr:col>0</xdr:col>
      <xdr:colOff>3286125</xdr:colOff>
      <xdr:row>256</xdr:row>
      <xdr:rowOff>174625</xdr:rowOff>
    </xdr:to>
    <xdr:pic>
      <xdr:nvPicPr>
        <xdr:cNvPr id="10" name="Image 9" descr="fregat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492</xdr:row>
      <xdr:rowOff>190499</xdr:rowOff>
    </xdr:from>
    <xdr:to>
      <xdr:col>0</xdr:col>
      <xdr:colOff>3222625</xdr:colOff>
      <xdr:row>498</xdr:row>
      <xdr:rowOff>142874</xdr:rowOff>
    </xdr:to>
    <xdr:pic>
      <xdr:nvPicPr>
        <xdr:cNvPr id="11" name="Image 10" descr="fregat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288</xdr:row>
      <xdr:rowOff>0</xdr:rowOff>
    </xdr:from>
    <xdr:to>
      <xdr:col>0</xdr:col>
      <xdr:colOff>3222625</xdr:colOff>
      <xdr:row>292</xdr:row>
      <xdr:rowOff>63500</xdr:rowOff>
    </xdr:to>
    <xdr:pic>
      <xdr:nvPicPr>
        <xdr:cNvPr id="104" name="Image 103" descr="fregate">
          <a:extLst>
            <a:ext uri="{FF2B5EF4-FFF2-40B4-BE49-F238E27FC236}">
              <a16:creationId xmlns:a16="http://schemas.microsoft.com/office/drawing/2014/main" id="{00000000-0008-0000-2600-00006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317</xdr:row>
      <xdr:rowOff>190499</xdr:rowOff>
    </xdr:from>
    <xdr:ext cx="3302000" cy="1031875"/>
    <xdr:pic>
      <xdr:nvPicPr>
        <xdr:cNvPr id="105" name="Image 104" descr="fregate">
          <a:extLst>
            <a:ext uri="{FF2B5EF4-FFF2-40B4-BE49-F238E27FC236}">
              <a16:creationId xmlns:a16="http://schemas.microsoft.com/office/drawing/2014/main" id="{00000000-0008-0000-2600-00006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347</xdr:row>
      <xdr:rowOff>17937</xdr:rowOff>
    </xdr:from>
    <xdr:ext cx="3254375" cy="1093313"/>
    <xdr:pic>
      <xdr:nvPicPr>
        <xdr:cNvPr id="106" name="Image 105" descr="fregate">
          <a:extLst>
            <a:ext uri="{FF2B5EF4-FFF2-40B4-BE49-F238E27FC236}">
              <a16:creationId xmlns:a16="http://schemas.microsoft.com/office/drawing/2014/main" id="{00000000-0008-0000-2600-00006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452</xdr:row>
      <xdr:rowOff>17937</xdr:rowOff>
    </xdr:from>
    <xdr:ext cx="3254375" cy="1093313"/>
    <xdr:pic>
      <xdr:nvPicPr>
        <xdr:cNvPr id="108" name="Image 107" descr="fregate">
          <a:extLst>
            <a:ext uri="{FF2B5EF4-FFF2-40B4-BE49-F238E27FC236}">
              <a16:creationId xmlns:a16="http://schemas.microsoft.com/office/drawing/2014/main" id="{00000000-0008-0000-2600-00006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398</xdr:row>
      <xdr:rowOff>0</xdr:rowOff>
    </xdr:from>
    <xdr:ext cx="3222625" cy="1095375"/>
    <xdr:pic>
      <xdr:nvPicPr>
        <xdr:cNvPr id="110" name="Image 109" descr="fregate">
          <a:extLst>
            <a:ext uri="{FF2B5EF4-FFF2-40B4-BE49-F238E27FC236}">
              <a16:creationId xmlns:a16="http://schemas.microsoft.com/office/drawing/2014/main" id="{00000000-0008-0000-2600-00006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426</xdr:row>
      <xdr:rowOff>190499</xdr:rowOff>
    </xdr:from>
    <xdr:ext cx="3302000" cy="1031875"/>
    <xdr:pic>
      <xdr:nvPicPr>
        <xdr:cNvPr id="111" name="Image 110" descr="fregate">
          <a:extLst>
            <a:ext uri="{FF2B5EF4-FFF2-40B4-BE49-F238E27FC236}">
              <a16:creationId xmlns:a16="http://schemas.microsoft.com/office/drawing/2014/main" id="{00000000-0008-0000-2600-00006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6</xdr:col>
      <xdr:colOff>898525</xdr:colOff>
      <xdr:row>162</xdr:row>
      <xdr:rowOff>200026</xdr:rowOff>
    </xdr:from>
    <xdr:to>
      <xdr:col>14</xdr:col>
      <xdr:colOff>349225</xdr:colOff>
      <xdr:row>190</xdr:row>
      <xdr:rowOff>57388</xdr:rowOff>
    </xdr:to>
    <xdr:grpSp>
      <xdr:nvGrpSpPr>
        <xdr:cNvPr id="12" name="Groupe 11">
          <a:extLst>
            <a:ext uri="{FF2B5EF4-FFF2-40B4-BE49-F238E27FC236}">
              <a16:creationId xmlns:a16="http://schemas.microsoft.com/office/drawing/2014/main" id="{00000000-0008-0000-2600-00000C000000}"/>
            </a:ext>
          </a:extLst>
        </xdr:cNvPr>
        <xdr:cNvGrpSpPr/>
      </xdr:nvGrpSpPr>
      <xdr:grpSpPr>
        <a:xfrm>
          <a:off x="15789275" y="36315651"/>
          <a:ext cx="8562950" cy="5492987"/>
          <a:chOff x="11934267" y="3104028"/>
          <a:chExt cx="8562950" cy="5492987"/>
        </a:xfrm>
      </xdr:grpSpPr>
      <xdr:grpSp>
        <xdr:nvGrpSpPr>
          <xdr:cNvPr id="13" name="Groupe 12">
            <a:extLst>
              <a:ext uri="{FF2B5EF4-FFF2-40B4-BE49-F238E27FC236}">
                <a16:creationId xmlns:a16="http://schemas.microsoft.com/office/drawing/2014/main" id="{00000000-0008-0000-2600-00000D000000}"/>
              </a:ext>
            </a:extLst>
          </xdr:cNvPr>
          <xdr:cNvGrpSpPr/>
        </xdr:nvGrpSpPr>
        <xdr:grpSpPr>
          <a:xfrm>
            <a:off x="11934267" y="3104028"/>
            <a:ext cx="8562950" cy="5492987"/>
            <a:chOff x="11889443" y="3126440"/>
            <a:chExt cx="8562950" cy="5492987"/>
          </a:xfrm>
        </xdr:grpSpPr>
        <xdr:grpSp>
          <xdr:nvGrpSpPr>
            <xdr:cNvPr id="27" name="Groupe 26">
              <a:extLst>
                <a:ext uri="{FF2B5EF4-FFF2-40B4-BE49-F238E27FC236}">
                  <a16:creationId xmlns:a16="http://schemas.microsoft.com/office/drawing/2014/main" id="{00000000-0008-0000-2600-00001B000000}"/>
                </a:ext>
              </a:extLst>
            </xdr:cNvPr>
            <xdr:cNvGrpSpPr/>
          </xdr:nvGrpSpPr>
          <xdr:grpSpPr>
            <a:xfrm>
              <a:off x="11889443" y="3126440"/>
              <a:ext cx="8562950" cy="5492987"/>
              <a:chOff x="11889443" y="3126440"/>
              <a:chExt cx="8562950" cy="5492987"/>
            </a:xfrm>
          </xdr:grpSpPr>
          <xdr:grpSp>
            <xdr:nvGrpSpPr>
              <xdr:cNvPr id="205" name="Groupe 204">
                <a:extLst>
                  <a:ext uri="{FF2B5EF4-FFF2-40B4-BE49-F238E27FC236}">
                    <a16:creationId xmlns:a16="http://schemas.microsoft.com/office/drawing/2014/main" id="{00000000-0008-0000-2600-0000CD000000}"/>
                  </a:ext>
                </a:extLst>
              </xdr:cNvPr>
              <xdr:cNvGrpSpPr/>
            </xdr:nvGrpSpPr>
            <xdr:grpSpPr>
              <a:xfrm>
                <a:off x="11889443" y="3126440"/>
                <a:ext cx="8562950" cy="5492987"/>
                <a:chOff x="11889443" y="3126440"/>
                <a:chExt cx="8562950" cy="5492987"/>
              </a:xfrm>
            </xdr:grpSpPr>
            <xdr:sp macro="" textlink="Mesures_Omia!$A$24">
              <xdr:nvSpPr>
                <xdr:cNvPr id="208" name="Organigramme : Connecteur 207">
                  <a:extLst>
                    <a:ext uri="{FF2B5EF4-FFF2-40B4-BE49-F238E27FC236}">
                      <a16:creationId xmlns:a16="http://schemas.microsoft.com/office/drawing/2014/main" id="{00000000-0008-0000-2600-0000D0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AF5B3E1-8F46-485F-A292-0D0BE1AF2E71}" type="TxLink">
                    <a:rPr lang="en-US" sz="1100" b="0" i="0" u="none" strike="noStrike">
                      <a:solidFill>
                        <a:srgbClr val="000000"/>
                      </a:solidFill>
                      <a:latin typeface="Calibri"/>
                      <a:cs typeface="Calibri"/>
                    </a:rPr>
                    <a:pPr algn="ctr"/>
                    <a:t>1</a:t>
                  </a:fld>
                  <a:endParaRPr lang="fr-FR" sz="1100"/>
                </a:p>
              </xdr:txBody>
            </xdr:sp>
            <xdr:grpSp>
              <xdr:nvGrpSpPr>
                <xdr:cNvPr id="209" name="Groupe 208">
                  <a:extLst>
                    <a:ext uri="{FF2B5EF4-FFF2-40B4-BE49-F238E27FC236}">
                      <a16:creationId xmlns:a16="http://schemas.microsoft.com/office/drawing/2014/main" id="{00000000-0008-0000-2600-0000D1000000}"/>
                    </a:ext>
                  </a:extLst>
                </xdr:cNvPr>
                <xdr:cNvGrpSpPr/>
              </xdr:nvGrpSpPr>
              <xdr:grpSpPr>
                <a:xfrm>
                  <a:off x="11889443" y="3126440"/>
                  <a:ext cx="8562950" cy="5492987"/>
                  <a:chOff x="11889443" y="3126440"/>
                  <a:chExt cx="8562950" cy="5492987"/>
                </a:xfrm>
              </xdr:grpSpPr>
              <xdr:grpSp>
                <xdr:nvGrpSpPr>
                  <xdr:cNvPr id="210" name="Groupe 209">
                    <a:extLst>
                      <a:ext uri="{FF2B5EF4-FFF2-40B4-BE49-F238E27FC236}">
                        <a16:creationId xmlns:a16="http://schemas.microsoft.com/office/drawing/2014/main" id="{00000000-0008-0000-2600-0000D2000000}"/>
                      </a:ext>
                    </a:extLst>
                  </xdr:cNvPr>
                  <xdr:cNvGrpSpPr/>
                </xdr:nvGrpSpPr>
                <xdr:grpSpPr>
                  <a:xfrm>
                    <a:off x="11889443" y="3126440"/>
                    <a:ext cx="8562950" cy="5492987"/>
                    <a:chOff x="3803125" y="991161"/>
                    <a:chExt cx="8562950" cy="5492987"/>
                  </a:xfrm>
                </xdr:grpSpPr>
                <xdr:grpSp>
                  <xdr:nvGrpSpPr>
                    <xdr:cNvPr id="222" name="Groupe 221">
                      <a:extLst>
                        <a:ext uri="{FF2B5EF4-FFF2-40B4-BE49-F238E27FC236}">
                          <a16:creationId xmlns:a16="http://schemas.microsoft.com/office/drawing/2014/main" id="{00000000-0008-0000-2600-0000DE000000}"/>
                        </a:ext>
                      </a:extLst>
                    </xdr:cNvPr>
                    <xdr:cNvGrpSpPr/>
                  </xdr:nvGrpSpPr>
                  <xdr:grpSpPr>
                    <a:xfrm>
                      <a:off x="3803125" y="991161"/>
                      <a:ext cx="8562950" cy="5492987"/>
                      <a:chOff x="3803125" y="991161"/>
                      <a:chExt cx="8562950" cy="5492987"/>
                    </a:xfrm>
                  </xdr:grpSpPr>
                  <xdr:grpSp>
                    <xdr:nvGrpSpPr>
                      <xdr:cNvPr id="224" name="Groupe 223">
                        <a:extLst>
                          <a:ext uri="{FF2B5EF4-FFF2-40B4-BE49-F238E27FC236}">
                            <a16:creationId xmlns:a16="http://schemas.microsoft.com/office/drawing/2014/main" id="{00000000-0008-0000-2600-0000E0000000}"/>
                          </a:ext>
                        </a:extLst>
                      </xdr:cNvPr>
                      <xdr:cNvGrpSpPr/>
                    </xdr:nvGrpSpPr>
                    <xdr:grpSpPr>
                      <a:xfrm>
                        <a:off x="3803125" y="991161"/>
                        <a:ext cx="8562950" cy="5492987"/>
                        <a:chOff x="3803125" y="991161"/>
                        <a:chExt cx="8562950" cy="5492987"/>
                      </a:xfrm>
                    </xdr:grpSpPr>
                    <xdr:grpSp>
                      <xdr:nvGrpSpPr>
                        <xdr:cNvPr id="226" name="Groupe 225">
                          <a:extLst>
                            <a:ext uri="{FF2B5EF4-FFF2-40B4-BE49-F238E27FC236}">
                              <a16:creationId xmlns:a16="http://schemas.microsoft.com/office/drawing/2014/main" id="{00000000-0008-0000-2600-0000E2000000}"/>
                            </a:ext>
                          </a:extLst>
                        </xdr:cNvPr>
                        <xdr:cNvGrpSpPr/>
                      </xdr:nvGrpSpPr>
                      <xdr:grpSpPr>
                        <a:xfrm>
                          <a:off x="3803125" y="991161"/>
                          <a:ext cx="8562950" cy="5427822"/>
                          <a:chOff x="3808707" y="1009604"/>
                          <a:chExt cx="8515205" cy="5409743"/>
                        </a:xfrm>
                      </xdr:grpSpPr>
                      <xdr:sp macro="" textlink="">
                        <xdr:nvSpPr>
                          <xdr:cNvPr id="230" name="ZoneTexte 100">
                            <a:extLst>
                              <a:ext uri="{FF2B5EF4-FFF2-40B4-BE49-F238E27FC236}">
                                <a16:creationId xmlns:a16="http://schemas.microsoft.com/office/drawing/2014/main" id="{00000000-0008-0000-2600-0000E6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231" name="Groupe 230">
                            <a:extLst>
                              <a:ext uri="{FF2B5EF4-FFF2-40B4-BE49-F238E27FC236}">
                                <a16:creationId xmlns:a16="http://schemas.microsoft.com/office/drawing/2014/main" id="{00000000-0008-0000-2600-0000E7000000}"/>
                              </a:ext>
                            </a:extLst>
                          </xdr:cNvPr>
                          <xdr:cNvGrpSpPr/>
                        </xdr:nvGrpSpPr>
                        <xdr:grpSpPr>
                          <a:xfrm>
                            <a:off x="3808707" y="1009604"/>
                            <a:ext cx="8147475" cy="5409743"/>
                            <a:chOff x="3725512" y="966495"/>
                            <a:chExt cx="8147475" cy="5409743"/>
                          </a:xfrm>
                        </xdr:grpSpPr>
                        <xdr:grpSp>
                          <xdr:nvGrpSpPr>
                            <xdr:cNvPr id="232" name="Groupe 231">
                              <a:extLst>
                                <a:ext uri="{FF2B5EF4-FFF2-40B4-BE49-F238E27FC236}">
                                  <a16:creationId xmlns:a16="http://schemas.microsoft.com/office/drawing/2014/main" id="{00000000-0008-0000-2600-0000E8000000}"/>
                                </a:ext>
                              </a:extLst>
                            </xdr:cNvPr>
                            <xdr:cNvGrpSpPr/>
                          </xdr:nvGrpSpPr>
                          <xdr:grpSpPr>
                            <a:xfrm>
                              <a:off x="4933713" y="1131498"/>
                              <a:ext cx="6410485" cy="4278824"/>
                              <a:chOff x="1814285" y="989862"/>
                              <a:chExt cx="6410485" cy="4278824"/>
                            </a:xfrm>
                          </xdr:grpSpPr>
                          <xdr:sp macro="" textlink="">
                            <xdr:nvSpPr>
                              <xdr:cNvPr id="260" name="Rectangle 259">
                                <a:extLst>
                                  <a:ext uri="{FF2B5EF4-FFF2-40B4-BE49-F238E27FC236}">
                                    <a16:creationId xmlns:a16="http://schemas.microsoft.com/office/drawing/2014/main" id="{00000000-0008-0000-2600-00000401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1" name="Rectangle 260">
                                <a:extLst>
                                  <a:ext uri="{FF2B5EF4-FFF2-40B4-BE49-F238E27FC236}">
                                    <a16:creationId xmlns:a16="http://schemas.microsoft.com/office/drawing/2014/main" id="{00000000-0008-0000-2600-00000501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2" name="Rectangle 261">
                                <a:extLst>
                                  <a:ext uri="{FF2B5EF4-FFF2-40B4-BE49-F238E27FC236}">
                                    <a16:creationId xmlns:a16="http://schemas.microsoft.com/office/drawing/2014/main" id="{00000000-0008-0000-2600-00000601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263" name="Connecteur droit 262">
                                <a:extLst>
                                  <a:ext uri="{FF2B5EF4-FFF2-40B4-BE49-F238E27FC236}">
                                    <a16:creationId xmlns:a16="http://schemas.microsoft.com/office/drawing/2014/main" id="{00000000-0008-0000-2600-00000701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4" name="Connecteur droit 263">
                                <a:extLst>
                                  <a:ext uri="{FF2B5EF4-FFF2-40B4-BE49-F238E27FC236}">
                                    <a16:creationId xmlns:a16="http://schemas.microsoft.com/office/drawing/2014/main" id="{00000000-0008-0000-2600-00000801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5" name="Connecteur droit 264">
                                <a:extLst>
                                  <a:ext uri="{FF2B5EF4-FFF2-40B4-BE49-F238E27FC236}">
                                    <a16:creationId xmlns:a16="http://schemas.microsoft.com/office/drawing/2014/main" id="{00000000-0008-0000-2600-00000901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6" name="Connecteur droit 265">
                                <a:extLst>
                                  <a:ext uri="{FF2B5EF4-FFF2-40B4-BE49-F238E27FC236}">
                                    <a16:creationId xmlns:a16="http://schemas.microsoft.com/office/drawing/2014/main" id="{00000000-0008-0000-2600-00000A01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233" name="Ellipse 232">
                              <a:extLst>
                                <a:ext uri="{FF2B5EF4-FFF2-40B4-BE49-F238E27FC236}">
                                  <a16:creationId xmlns:a16="http://schemas.microsoft.com/office/drawing/2014/main" id="{00000000-0008-0000-2600-0000E9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4" name="Ellipse 233">
                              <a:extLst>
                                <a:ext uri="{FF2B5EF4-FFF2-40B4-BE49-F238E27FC236}">
                                  <a16:creationId xmlns:a16="http://schemas.microsoft.com/office/drawing/2014/main" id="{00000000-0008-0000-2600-0000EA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5" name="Ellipse 234">
                              <a:extLst>
                                <a:ext uri="{FF2B5EF4-FFF2-40B4-BE49-F238E27FC236}">
                                  <a16:creationId xmlns:a16="http://schemas.microsoft.com/office/drawing/2014/main" id="{00000000-0008-0000-2600-0000EB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6" name="Ellipse 235">
                              <a:extLst>
                                <a:ext uri="{FF2B5EF4-FFF2-40B4-BE49-F238E27FC236}">
                                  <a16:creationId xmlns:a16="http://schemas.microsoft.com/office/drawing/2014/main" id="{00000000-0008-0000-2600-0000EC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7" name="Ellipse 236">
                              <a:extLst>
                                <a:ext uri="{FF2B5EF4-FFF2-40B4-BE49-F238E27FC236}">
                                  <a16:creationId xmlns:a16="http://schemas.microsoft.com/office/drawing/2014/main" id="{00000000-0008-0000-2600-0000ED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8" name="Ellipse 237">
                              <a:extLst>
                                <a:ext uri="{FF2B5EF4-FFF2-40B4-BE49-F238E27FC236}">
                                  <a16:creationId xmlns:a16="http://schemas.microsoft.com/office/drawing/2014/main" id="{00000000-0008-0000-2600-0000EE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9" name="Ellipse 238">
                              <a:extLst>
                                <a:ext uri="{FF2B5EF4-FFF2-40B4-BE49-F238E27FC236}">
                                  <a16:creationId xmlns:a16="http://schemas.microsoft.com/office/drawing/2014/main" id="{00000000-0008-0000-2600-0000EF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0" name="Ellipse 239">
                              <a:extLst>
                                <a:ext uri="{FF2B5EF4-FFF2-40B4-BE49-F238E27FC236}">
                                  <a16:creationId xmlns:a16="http://schemas.microsoft.com/office/drawing/2014/main" id="{00000000-0008-0000-2600-0000F0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1" name="ZoneTexte 122">
                              <a:extLst>
                                <a:ext uri="{FF2B5EF4-FFF2-40B4-BE49-F238E27FC236}">
                                  <a16:creationId xmlns:a16="http://schemas.microsoft.com/office/drawing/2014/main" id="{00000000-0008-0000-2600-0000F1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242" name="ZoneTexte 123">
                              <a:extLst>
                                <a:ext uri="{FF2B5EF4-FFF2-40B4-BE49-F238E27FC236}">
                                  <a16:creationId xmlns:a16="http://schemas.microsoft.com/office/drawing/2014/main" id="{00000000-0008-0000-2600-0000F2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3" name="ZoneTexte 124">
                              <a:extLst>
                                <a:ext uri="{FF2B5EF4-FFF2-40B4-BE49-F238E27FC236}">
                                  <a16:creationId xmlns:a16="http://schemas.microsoft.com/office/drawing/2014/main" id="{00000000-0008-0000-2600-0000F3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4" name="ZoneTexte 125">
                              <a:extLst>
                                <a:ext uri="{FF2B5EF4-FFF2-40B4-BE49-F238E27FC236}">
                                  <a16:creationId xmlns:a16="http://schemas.microsoft.com/office/drawing/2014/main" id="{00000000-0008-0000-2600-0000F4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5" name="ZoneTexte 126">
                              <a:extLst>
                                <a:ext uri="{FF2B5EF4-FFF2-40B4-BE49-F238E27FC236}">
                                  <a16:creationId xmlns:a16="http://schemas.microsoft.com/office/drawing/2014/main" id="{00000000-0008-0000-2600-0000F5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6" name="Connecteur droit 245">
                              <a:extLst>
                                <a:ext uri="{FF2B5EF4-FFF2-40B4-BE49-F238E27FC236}">
                                  <a16:creationId xmlns:a16="http://schemas.microsoft.com/office/drawing/2014/main" id="{00000000-0008-0000-2600-0000F6000000}"/>
                                </a:ext>
                              </a:extLst>
                            </xdr:cNvPr>
                            <xdr:cNvCxnSpPr>
                              <a:cxnSpLocks/>
                              <a:stCxn id="260"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247" name="ZoneTexte 128">
                              <a:extLst>
                                <a:ext uri="{FF2B5EF4-FFF2-40B4-BE49-F238E27FC236}">
                                  <a16:creationId xmlns:a16="http://schemas.microsoft.com/office/drawing/2014/main" id="{00000000-0008-0000-2600-0000F7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248" name="ZoneTexte 129">
                              <a:extLst>
                                <a:ext uri="{FF2B5EF4-FFF2-40B4-BE49-F238E27FC236}">
                                  <a16:creationId xmlns:a16="http://schemas.microsoft.com/office/drawing/2014/main" id="{00000000-0008-0000-2600-0000F8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9" name="Connecteur droit 248">
                              <a:extLst>
                                <a:ext uri="{FF2B5EF4-FFF2-40B4-BE49-F238E27FC236}">
                                  <a16:creationId xmlns:a16="http://schemas.microsoft.com/office/drawing/2014/main" id="{00000000-0008-0000-2600-0000F9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250" name="Ellipse 249">
                              <a:extLst>
                                <a:ext uri="{FF2B5EF4-FFF2-40B4-BE49-F238E27FC236}">
                                  <a16:creationId xmlns:a16="http://schemas.microsoft.com/office/drawing/2014/main" id="{00000000-0008-0000-2600-0000FA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251" name="Groupe 250">
                              <a:extLst>
                                <a:ext uri="{FF2B5EF4-FFF2-40B4-BE49-F238E27FC236}">
                                  <a16:creationId xmlns:a16="http://schemas.microsoft.com/office/drawing/2014/main" id="{00000000-0008-0000-2600-0000FB000000}"/>
                                </a:ext>
                              </a:extLst>
                            </xdr:cNvPr>
                            <xdr:cNvGrpSpPr/>
                          </xdr:nvGrpSpPr>
                          <xdr:grpSpPr>
                            <a:xfrm>
                              <a:off x="9023280" y="1584899"/>
                              <a:ext cx="165827" cy="126059"/>
                              <a:chOff x="3146989" y="1579602"/>
                              <a:chExt cx="165827" cy="126059"/>
                            </a:xfrm>
                          </xdr:grpSpPr>
                          <xdr:sp macro="" textlink="">
                            <xdr:nvSpPr>
                              <xdr:cNvPr id="258" name="Ellipse 257">
                                <a:extLst>
                                  <a:ext uri="{FF2B5EF4-FFF2-40B4-BE49-F238E27FC236}">
                                    <a16:creationId xmlns:a16="http://schemas.microsoft.com/office/drawing/2014/main" id="{00000000-0008-0000-2600-00000201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9" name="Ellipse 258">
                                <a:extLst>
                                  <a:ext uri="{FF2B5EF4-FFF2-40B4-BE49-F238E27FC236}">
                                    <a16:creationId xmlns:a16="http://schemas.microsoft.com/office/drawing/2014/main" id="{00000000-0008-0000-2600-00000301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252" name="Ellipse 251">
                              <a:extLst>
                                <a:ext uri="{FF2B5EF4-FFF2-40B4-BE49-F238E27FC236}">
                                  <a16:creationId xmlns:a16="http://schemas.microsoft.com/office/drawing/2014/main" id="{00000000-0008-0000-2600-0000FC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3" name="Ellipse 252">
                              <a:extLst>
                                <a:ext uri="{FF2B5EF4-FFF2-40B4-BE49-F238E27FC236}">
                                  <a16:creationId xmlns:a16="http://schemas.microsoft.com/office/drawing/2014/main" id="{00000000-0008-0000-2600-0000FD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4" name="Ellipse 253">
                              <a:extLst>
                                <a:ext uri="{FF2B5EF4-FFF2-40B4-BE49-F238E27FC236}">
                                  <a16:creationId xmlns:a16="http://schemas.microsoft.com/office/drawing/2014/main" id="{00000000-0008-0000-2600-0000FE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5" name="Ellipse 254">
                              <a:extLst>
                                <a:ext uri="{FF2B5EF4-FFF2-40B4-BE49-F238E27FC236}">
                                  <a16:creationId xmlns:a16="http://schemas.microsoft.com/office/drawing/2014/main" id="{00000000-0008-0000-2600-0000FF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6" name="ZoneTexte 138">
                              <a:extLst>
                                <a:ext uri="{FF2B5EF4-FFF2-40B4-BE49-F238E27FC236}">
                                  <a16:creationId xmlns:a16="http://schemas.microsoft.com/office/drawing/2014/main" id="{00000000-0008-0000-2600-00000001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57" name="Connecteur droit 256">
                              <a:extLst>
                                <a:ext uri="{FF2B5EF4-FFF2-40B4-BE49-F238E27FC236}">
                                  <a16:creationId xmlns:a16="http://schemas.microsoft.com/office/drawing/2014/main" id="{00000000-0008-0000-2600-00000101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227" name="ZoneTexte 149">
                          <a:extLst>
                            <a:ext uri="{FF2B5EF4-FFF2-40B4-BE49-F238E27FC236}">
                              <a16:creationId xmlns:a16="http://schemas.microsoft.com/office/drawing/2014/main" id="{00000000-0008-0000-2600-0000E3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228" name="ZoneTexte 150">
                          <a:extLst>
                            <a:ext uri="{FF2B5EF4-FFF2-40B4-BE49-F238E27FC236}">
                              <a16:creationId xmlns:a16="http://schemas.microsoft.com/office/drawing/2014/main" id="{00000000-0008-0000-2600-0000E4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229" name="ZoneTexte 151">
                          <a:extLst>
                            <a:ext uri="{FF2B5EF4-FFF2-40B4-BE49-F238E27FC236}">
                              <a16:creationId xmlns:a16="http://schemas.microsoft.com/office/drawing/2014/main" id="{00000000-0008-0000-2600-0000E5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225" name="ZoneTexte 152">
                        <a:extLst>
                          <a:ext uri="{FF2B5EF4-FFF2-40B4-BE49-F238E27FC236}">
                            <a16:creationId xmlns:a16="http://schemas.microsoft.com/office/drawing/2014/main" id="{00000000-0008-0000-2600-0000E1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223" name="Étoile à 5 branches 158">
                      <a:extLst>
                        <a:ext uri="{FF2B5EF4-FFF2-40B4-BE49-F238E27FC236}">
                          <a16:creationId xmlns:a16="http://schemas.microsoft.com/office/drawing/2014/main" id="{00000000-0008-0000-2600-0000DF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Mesures_Omia!$A$25">
                <xdr:nvSpPr>
                  <xdr:cNvPr id="211" name="Organigramme : Connecteur 210">
                    <a:extLst>
                      <a:ext uri="{FF2B5EF4-FFF2-40B4-BE49-F238E27FC236}">
                        <a16:creationId xmlns:a16="http://schemas.microsoft.com/office/drawing/2014/main" id="{00000000-0008-0000-2600-0000D3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A1F198A-F479-46F6-9911-C8C558C808AD}" type="TxLink">
                      <a:rPr lang="en-US" sz="1100" b="0" i="0" u="none" strike="noStrike">
                        <a:solidFill>
                          <a:srgbClr val="000000"/>
                        </a:solidFill>
                        <a:latin typeface="Calibri"/>
                        <a:cs typeface="Calibri"/>
                      </a:rPr>
                      <a:pPr algn="ctr"/>
                      <a:t>2</a:t>
                    </a:fld>
                    <a:endParaRPr lang="fr-FR" sz="1100"/>
                  </a:p>
                </xdr:txBody>
              </xdr:sp>
              <xdr:sp macro="" textlink="Mesures_Omia!$A$36">
                <xdr:nvSpPr>
                  <xdr:cNvPr id="212" name="Organigramme : Connecteur 211">
                    <a:extLst>
                      <a:ext uri="{FF2B5EF4-FFF2-40B4-BE49-F238E27FC236}">
                        <a16:creationId xmlns:a16="http://schemas.microsoft.com/office/drawing/2014/main" id="{00000000-0008-0000-2600-0000D4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F67F713-8260-4C28-A76D-932C44A252A0}" type="TxLink">
                      <a:rPr lang="en-US" sz="1100" b="0" i="0" u="none" strike="noStrike">
                        <a:solidFill>
                          <a:srgbClr val="000000"/>
                        </a:solidFill>
                        <a:latin typeface="Calibri"/>
                        <a:cs typeface="Calibri"/>
                      </a:rPr>
                      <a:pPr algn="ctr"/>
                      <a:t>13</a:t>
                    </a:fld>
                    <a:endParaRPr lang="fr-FR" sz="1100"/>
                  </a:p>
                </xdr:txBody>
              </xdr:sp>
              <xdr:sp macro="" textlink="Mesures_Omia!$A$34">
                <xdr:nvSpPr>
                  <xdr:cNvPr id="213" name="Organigramme : Connecteur 212">
                    <a:extLst>
                      <a:ext uri="{FF2B5EF4-FFF2-40B4-BE49-F238E27FC236}">
                        <a16:creationId xmlns:a16="http://schemas.microsoft.com/office/drawing/2014/main" id="{00000000-0008-0000-2600-0000D5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047BF0F-9138-4499-9049-83860D7BC86F}" type="TxLink">
                      <a:rPr lang="en-US" sz="1100" b="0" i="0" u="none" strike="noStrike">
                        <a:solidFill>
                          <a:srgbClr val="000000"/>
                        </a:solidFill>
                        <a:latin typeface="Calibri"/>
                        <a:cs typeface="Calibri"/>
                      </a:rPr>
                      <a:pPr algn="ctr"/>
                      <a:t>11</a:t>
                    </a:fld>
                    <a:endParaRPr lang="fr-FR" sz="1100"/>
                  </a:p>
                </xdr:txBody>
              </xdr:sp>
              <xdr:sp macro="" textlink="Mesures_Omia!$A$33">
                <xdr:nvSpPr>
                  <xdr:cNvPr id="214" name="Organigramme : Connecteur 213">
                    <a:extLst>
                      <a:ext uri="{FF2B5EF4-FFF2-40B4-BE49-F238E27FC236}">
                        <a16:creationId xmlns:a16="http://schemas.microsoft.com/office/drawing/2014/main" id="{00000000-0008-0000-2600-0000D6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0328E08-C492-46CB-9637-FDFF5F4C0EDE}" type="TxLink">
                      <a:rPr lang="en-US" sz="1100" b="0" i="0" u="none" strike="noStrike">
                        <a:solidFill>
                          <a:srgbClr val="000000"/>
                        </a:solidFill>
                        <a:latin typeface="Calibri"/>
                        <a:cs typeface="Calibri"/>
                      </a:rPr>
                      <a:pPr algn="ctr"/>
                      <a:t>10</a:t>
                    </a:fld>
                    <a:endParaRPr lang="fr-FR" sz="1100"/>
                  </a:p>
                </xdr:txBody>
              </xdr:sp>
              <xdr:sp macro="" textlink="Mesures_Omia!$A$31">
                <xdr:nvSpPr>
                  <xdr:cNvPr id="215" name="Organigramme : Connecteur 214">
                    <a:extLst>
                      <a:ext uri="{FF2B5EF4-FFF2-40B4-BE49-F238E27FC236}">
                        <a16:creationId xmlns:a16="http://schemas.microsoft.com/office/drawing/2014/main" id="{00000000-0008-0000-2600-0000D7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FC061F6-C736-4BCF-B5D0-46A3FAAF4831}" type="TxLink">
                      <a:rPr lang="en-US" sz="1100" b="0" i="0" u="none" strike="noStrike">
                        <a:solidFill>
                          <a:srgbClr val="000000"/>
                        </a:solidFill>
                        <a:latin typeface="Calibri"/>
                        <a:cs typeface="Calibri"/>
                      </a:rPr>
                      <a:pPr algn="ctr"/>
                      <a:t>8</a:t>
                    </a:fld>
                    <a:endParaRPr lang="fr-FR" sz="1100"/>
                  </a:p>
                </xdr:txBody>
              </xdr:sp>
              <xdr:sp macro="" textlink="Mesures_Omia!$A$32">
                <xdr:nvSpPr>
                  <xdr:cNvPr id="216" name="Organigramme : Connecteur 215">
                    <a:extLst>
                      <a:ext uri="{FF2B5EF4-FFF2-40B4-BE49-F238E27FC236}">
                        <a16:creationId xmlns:a16="http://schemas.microsoft.com/office/drawing/2014/main" id="{00000000-0008-0000-2600-0000D8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FDAE42E-42B8-4674-9117-E4A4641ECA7C}" type="TxLink">
                      <a:rPr lang="en-US" sz="1100" b="0" i="0" u="none" strike="noStrike">
                        <a:solidFill>
                          <a:srgbClr val="000000"/>
                        </a:solidFill>
                        <a:latin typeface="Calibri"/>
                        <a:cs typeface="Calibri"/>
                      </a:rPr>
                      <a:pPr algn="ctr"/>
                      <a:t>9</a:t>
                    </a:fld>
                    <a:endParaRPr lang="fr-FR" sz="1100"/>
                  </a:p>
                </xdr:txBody>
              </xdr:sp>
              <xdr:sp macro="" textlink="Mesures_Omia!$A$30">
                <xdr:nvSpPr>
                  <xdr:cNvPr id="217" name="Organigramme : Connecteur 216">
                    <a:extLst>
                      <a:ext uri="{FF2B5EF4-FFF2-40B4-BE49-F238E27FC236}">
                        <a16:creationId xmlns:a16="http://schemas.microsoft.com/office/drawing/2014/main" id="{00000000-0008-0000-2600-0000D9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F8CE48-CE42-4710-9991-F53C5DFF4392}" type="TxLink">
                      <a:rPr lang="en-US" sz="1100" b="0" i="0" u="none" strike="noStrike">
                        <a:solidFill>
                          <a:srgbClr val="000000"/>
                        </a:solidFill>
                        <a:latin typeface="Calibri"/>
                        <a:cs typeface="Calibri"/>
                      </a:rPr>
                      <a:pPr algn="ctr"/>
                      <a:t>7</a:t>
                    </a:fld>
                    <a:endParaRPr lang="fr-FR" sz="1100"/>
                  </a:p>
                </xdr:txBody>
              </xdr:sp>
              <xdr:sp macro="" textlink="Mesures_Omia!$A$29">
                <xdr:nvSpPr>
                  <xdr:cNvPr id="218" name="Organigramme : Connecteur 217">
                    <a:extLst>
                      <a:ext uri="{FF2B5EF4-FFF2-40B4-BE49-F238E27FC236}">
                        <a16:creationId xmlns:a16="http://schemas.microsoft.com/office/drawing/2014/main" id="{00000000-0008-0000-2600-0000DA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F60371D-52E7-4FA0-B28B-3BB071FFDDD0}" type="TxLink">
                      <a:rPr lang="en-US" sz="1100" b="0" i="0" u="none" strike="noStrike">
                        <a:solidFill>
                          <a:srgbClr val="000000"/>
                        </a:solidFill>
                        <a:latin typeface="Calibri"/>
                        <a:cs typeface="Calibri"/>
                      </a:rPr>
                      <a:pPr algn="ctr"/>
                      <a:t>6</a:t>
                    </a:fld>
                    <a:endParaRPr lang="fr-FR" sz="1100"/>
                  </a:p>
                </xdr:txBody>
              </xdr:sp>
              <xdr:sp macro="" textlink="Mesures_Omia!$A$26">
                <xdr:nvSpPr>
                  <xdr:cNvPr id="219" name="Organigramme : Connecteur 218">
                    <a:extLst>
                      <a:ext uri="{FF2B5EF4-FFF2-40B4-BE49-F238E27FC236}">
                        <a16:creationId xmlns:a16="http://schemas.microsoft.com/office/drawing/2014/main" id="{00000000-0008-0000-2600-0000DB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33C214E-7655-4B29-BF10-68C523763D10}" type="TxLink">
                      <a:rPr lang="en-US" sz="1100" b="0" i="0" u="none" strike="noStrike">
                        <a:solidFill>
                          <a:srgbClr val="000000"/>
                        </a:solidFill>
                        <a:latin typeface="Calibri"/>
                        <a:cs typeface="Calibri"/>
                      </a:rPr>
                      <a:pPr algn="ctr"/>
                      <a:t>3</a:t>
                    </a:fld>
                    <a:endParaRPr lang="fr-FR" sz="1100"/>
                  </a:p>
                </xdr:txBody>
              </xdr:sp>
              <xdr:sp macro="" textlink="Mesures_Omia!$A$27">
                <xdr:nvSpPr>
                  <xdr:cNvPr id="220" name="Organigramme : Connecteur 219">
                    <a:extLst>
                      <a:ext uri="{FF2B5EF4-FFF2-40B4-BE49-F238E27FC236}">
                        <a16:creationId xmlns:a16="http://schemas.microsoft.com/office/drawing/2014/main" id="{00000000-0008-0000-2600-0000DC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5F0B4AB-B217-40D1-8F36-32F3763185D5}" type="TxLink">
                      <a:rPr lang="en-US" sz="1100" b="0" i="0" u="none" strike="noStrike">
                        <a:solidFill>
                          <a:srgbClr val="000000"/>
                        </a:solidFill>
                        <a:latin typeface="Calibri"/>
                        <a:cs typeface="Calibri"/>
                      </a:rPr>
                      <a:pPr algn="ctr"/>
                      <a:t>4</a:t>
                    </a:fld>
                    <a:endParaRPr lang="fr-FR" sz="1100"/>
                  </a:p>
                </xdr:txBody>
              </xdr:sp>
              <xdr:sp macro="" textlink="Mesures_Omia!$A$28">
                <xdr:nvSpPr>
                  <xdr:cNvPr id="221" name="Organigramme : Connecteur 220">
                    <a:extLst>
                      <a:ext uri="{FF2B5EF4-FFF2-40B4-BE49-F238E27FC236}">
                        <a16:creationId xmlns:a16="http://schemas.microsoft.com/office/drawing/2014/main" id="{00000000-0008-0000-2600-0000DD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3DAF5AC-0D6D-4E7C-997D-A7D823C03942}"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206" name="Étoile à 5 branches 158">
                <a:extLst>
                  <a:ext uri="{FF2B5EF4-FFF2-40B4-BE49-F238E27FC236}">
                    <a16:creationId xmlns:a16="http://schemas.microsoft.com/office/drawing/2014/main" id="{00000000-0008-0000-2600-0000CE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Mesures_Omia!$A$35">
            <xdr:nvSpPr>
              <xdr:cNvPr id="207" name="Organigramme : Connecteur 206">
                <a:extLst>
                  <a:ext uri="{FF2B5EF4-FFF2-40B4-BE49-F238E27FC236}">
                    <a16:creationId xmlns:a16="http://schemas.microsoft.com/office/drawing/2014/main" id="{00000000-0008-0000-2600-0000CF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B8C0B86-8C4C-4103-A546-E79AE04E8EC1}" type="TxLink">
                  <a:rPr lang="en-US" sz="1100" b="0" i="0" u="none" strike="noStrike">
                    <a:solidFill>
                      <a:srgbClr val="000000"/>
                    </a:solidFill>
                    <a:latin typeface="Calibri"/>
                    <a:cs typeface="Calibri"/>
                  </a:rPr>
                  <a:pPr algn="ctr"/>
                  <a:t>12</a:t>
                </a:fld>
                <a:endParaRPr lang="fr-FR" sz="1100"/>
              </a:p>
            </xdr:txBody>
          </xdr:sp>
        </xdr:grpSp>
        <xdr:sp macro="" textlink="Mesures_Omia!B24">
          <xdr:nvSpPr>
            <xdr:cNvPr id="28" name="Organigramme : Connecteur 27">
              <a:extLst>
                <a:ext uri="{FF2B5EF4-FFF2-40B4-BE49-F238E27FC236}">
                  <a16:creationId xmlns:a16="http://schemas.microsoft.com/office/drawing/2014/main" id="{00000000-0008-0000-2600-00001C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11A216-C463-462E-AF5A-060F6FF03C06}" type="TxLink">
                <a:rPr lang="en-US" sz="1100" b="0" i="0" u="none" strike="noStrike">
                  <a:solidFill>
                    <a:srgbClr val="000000"/>
                  </a:solidFill>
                  <a:latin typeface="Calibri"/>
                  <a:cs typeface="Calibri"/>
                </a:rPr>
                <a:pPr algn="ctr"/>
                <a:t> </a:t>
              </a:fld>
              <a:endParaRPr lang="fr-FR" sz="1100"/>
            </a:p>
          </xdr:txBody>
        </xdr:sp>
        <xdr:sp macro="" textlink="Mesures_Omia!B25">
          <xdr:nvSpPr>
            <xdr:cNvPr id="29" name="Organigramme : Connecteur 28">
              <a:extLst>
                <a:ext uri="{FF2B5EF4-FFF2-40B4-BE49-F238E27FC236}">
                  <a16:creationId xmlns:a16="http://schemas.microsoft.com/office/drawing/2014/main" id="{00000000-0008-0000-2600-00001D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36E6B4-323B-42D9-A72D-F4005B7C283E}" type="TxLink">
                <a:rPr lang="en-US" sz="1100" b="0" i="0" u="none" strike="noStrike">
                  <a:solidFill>
                    <a:srgbClr val="000000"/>
                  </a:solidFill>
                  <a:latin typeface="Calibri"/>
                  <a:cs typeface="Calibri"/>
                </a:rPr>
                <a:pPr algn="ctr"/>
                <a:t> </a:t>
              </a:fld>
              <a:endParaRPr lang="fr-FR" sz="1100"/>
            </a:p>
          </xdr:txBody>
        </xdr:sp>
        <xdr:sp macro="" textlink="Mesures_Omia!B26">
          <xdr:nvSpPr>
            <xdr:cNvPr id="30" name="Organigramme : Connecteur 29">
              <a:extLst>
                <a:ext uri="{FF2B5EF4-FFF2-40B4-BE49-F238E27FC236}">
                  <a16:creationId xmlns:a16="http://schemas.microsoft.com/office/drawing/2014/main" id="{00000000-0008-0000-2600-00001E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06A2643-BE0B-42BC-BB8D-4EBA3897EB86}" type="TxLink">
                <a:rPr lang="en-US" sz="1100" b="0" i="0" u="none" strike="noStrike">
                  <a:solidFill>
                    <a:srgbClr val="000000"/>
                  </a:solidFill>
                  <a:latin typeface="Calibri"/>
                  <a:cs typeface="Calibri"/>
                </a:rPr>
                <a:pPr algn="ctr"/>
                <a:t> </a:t>
              </a:fld>
              <a:endParaRPr lang="fr-FR" sz="1100"/>
            </a:p>
          </xdr:txBody>
        </xdr:sp>
        <xdr:sp macro="" textlink="Mesures_Omia!B27">
          <xdr:nvSpPr>
            <xdr:cNvPr id="31" name="Organigramme : Connecteur 30">
              <a:extLst>
                <a:ext uri="{FF2B5EF4-FFF2-40B4-BE49-F238E27FC236}">
                  <a16:creationId xmlns:a16="http://schemas.microsoft.com/office/drawing/2014/main" id="{00000000-0008-0000-2600-00001F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809D41A-FEDE-44F3-A222-703B7EC91E4B}" type="TxLink">
                <a:rPr lang="en-US" sz="1100" b="0" i="0" u="none" strike="noStrike">
                  <a:solidFill>
                    <a:srgbClr val="000000"/>
                  </a:solidFill>
                  <a:latin typeface="Calibri"/>
                  <a:cs typeface="Calibri"/>
                </a:rPr>
                <a:pPr algn="ctr"/>
                <a:t> </a:t>
              </a:fld>
              <a:endParaRPr lang="fr-FR" sz="1100"/>
            </a:p>
          </xdr:txBody>
        </xdr:sp>
        <xdr:sp macro="" textlink="Mesures_Omia!B28">
          <xdr:nvSpPr>
            <xdr:cNvPr id="96" name="Organigramme : Connecteur 95">
              <a:extLst>
                <a:ext uri="{FF2B5EF4-FFF2-40B4-BE49-F238E27FC236}">
                  <a16:creationId xmlns:a16="http://schemas.microsoft.com/office/drawing/2014/main" id="{00000000-0008-0000-2600-000060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3167909-69CD-4770-AFAF-1730A3509E8F}" type="TxLink">
                <a:rPr lang="en-US" sz="1100" b="0" i="0" u="none" strike="noStrike">
                  <a:solidFill>
                    <a:srgbClr val="000000"/>
                  </a:solidFill>
                  <a:latin typeface="Calibri"/>
                  <a:cs typeface="Calibri"/>
                </a:rPr>
                <a:pPr algn="ctr"/>
                <a:t> </a:t>
              </a:fld>
              <a:endParaRPr lang="fr-FR" sz="1100"/>
            </a:p>
          </xdr:txBody>
        </xdr:sp>
        <xdr:sp macro="" textlink="Mesures_Omia!B29">
          <xdr:nvSpPr>
            <xdr:cNvPr id="97" name="Organigramme : Connecteur 96">
              <a:extLst>
                <a:ext uri="{FF2B5EF4-FFF2-40B4-BE49-F238E27FC236}">
                  <a16:creationId xmlns:a16="http://schemas.microsoft.com/office/drawing/2014/main" id="{00000000-0008-0000-2600-000061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BD0AD99-0BFD-43E3-9C8C-7F2F5AE6B8DD}" type="TxLink">
                <a:rPr lang="en-US" sz="1100" b="0" i="0" u="none" strike="noStrike">
                  <a:solidFill>
                    <a:srgbClr val="000000"/>
                  </a:solidFill>
                  <a:latin typeface="Calibri"/>
                  <a:cs typeface="Calibri"/>
                </a:rPr>
                <a:pPr algn="ctr"/>
                <a:t> </a:t>
              </a:fld>
              <a:endParaRPr lang="fr-FR" sz="1100"/>
            </a:p>
          </xdr:txBody>
        </xdr:sp>
        <xdr:sp macro="" textlink="Mesures_Omia!B30">
          <xdr:nvSpPr>
            <xdr:cNvPr id="98" name="Organigramme : Connecteur 97">
              <a:extLst>
                <a:ext uri="{FF2B5EF4-FFF2-40B4-BE49-F238E27FC236}">
                  <a16:creationId xmlns:a16="http://schemas.microsoft.com/office/drawing/2014/main" id="{00000000-0008-0000-2600-000062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DA454ED-5DF3-491D-8B56-D079794F159C}" type="TxLink">
                <a:rPr lang="en-US" sz="1100" b="0" i="0" u="none" strike="noStrike">
                  <a:solidFill>
                    <a:srgbClr val="000000"/>
                  </a:solidFill>
                  <a:latin typeface="Calibri"/>
                  <a:cs typeface="Calibri"/>
                </a:rPr>
                <a:pPr algn="ctr"/>
                <a:t> </a:t>
              </a:fld>
              <a:endParaRPr lang="fr-FR" sz="1100"/>
            </a:p>
          </xdr:txBody>
        </xdr:sp>
        <xdr:sp macro="" textlink="Mesures_Omia!B31">
          <xdr:nvSpPr>
            <xdr:cNvPr id="99" name="Organigramme : Connecteur 98">
              <a:extLst>
                <a:ext uri="{FF2B5EF4-FFF2-40B4-BE49-F238E27FC236}">
                  <a16:creationId xmlns:a16="http://schemas.microsoft.com/office/drawing/2014/main" id="{00000000-0008-0000-2600-000063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7EEDB8E-4B3C-4387-A4F0-1478A2097212}" type="TxLink">
                <a:rPr lang="en-US" sz="1100" b="0" i="0" u="none" strike="noStrike">
                  <a:solidFill>
                    <a:srgbClr val="000000"/>
                  </a:solidFill>
                  <a:latin typeface="Calibri"/>
                  <a:cs typeface="Calibri"/>
                </a:rPr>
                <a:pPr algn="ctr"/>
                <a:t> </a:t>
              </a:fld>
              <a:endParaRPr lang="fr-FR" sz="1100"/>
            </a:p>
          </xdr:txBody>
        </xdr:sp>
        <xdr:sp macro="" textlink="Mesures_Omia!B32">
          <xdr:nvSpPr>
            <xdr:cNvPr id="100" name="Organigramme : Connecteur 99">
              <a:extLst>
                <a:ext uri="{FF2B5EF4-FFF2-40B4-BE49-F238E27FC236}">
                  <a16:creationId xmlns:a16="http://schemas.microsoft.com/office/drawing/2014/main" id="{00000000-0008-0000-2600-000064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C4A5CD-AA3F-4AD5-BA4B-B91C4E0F17B0}" type="TxLink">
                <a:rPr lang="en-US" sz="1100" b="0" i="0" u="none" strike="noStrike">
                  <a:solidFill>
                    <a:srgbClr val="000000"/>
                  </a:solidFill>
                  <a:latin typeface="Calibri"/>
                  <a:cs typeface="Calibri"/>
                </a:rPr>
                <a:pPr algn="ctr"/>
                <a:t> </a:t>
              </a:fld>
              <a:endParaRPr lang="fr-FR" sz="1100"/>
            </a:p>
          </xdr:txBody>
        </xdr:sp>
        <xdr:sp macro="" textlink="Mesures_Omia!B33">
          <xdr:nvSpPr>
            <xdr:cNvPr id="101" name="Organigramme : Connecteur 100">
              <a:extLst>
                <a:ext uri="{FF2B5EF4-FFF2-40B4-BE49-F238E27FC236}">
                  <a16:creationId xmlns:a16="http://schemas.microsoft.com/office/drawing/2014/main" id="{00000000-0008-0000-2600-000065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4549C9C-479C-419F-B9C8-8342EE7C565C}" type="TxLink">
                <a:rPr lang="en-US" sz="1100" b="0" i="0" u="none" strike="noStrike">
                  <a:solidFill>
                    <a:srgbClr val="000000"/>
                  </a:solidFill>
                  <a:latin typeface="Calibri"/>
                  <a:cs typeface="Calibri"/>
                </a:rPr>
                <a:pPr algn="ctr"/>
                <a:t> </a:t>
              </a:fld>
              <a:endParaRPr lang="fr-FR" sz="1100"/>
            </a:p>
          </xdr:txBody>
        </xdr:sp>
        <xdr:sp macro="" textlink="Mesures_Omia!B34">
          <xdr:nvSpPr>
            <xdr:cNvPr id="102" name="Organigramme : Connecteur 101">
              <a:extLst>
                <a:ext uri="{FF2B5EF4-FFF2-40B4-BE49-F238E27FC236}">
                  <a16:creationId xmlns:a16="http://schemas.microsoft.com/office/drawing/2014/main" id="{00000000-0008-0000-2600-000066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81F5D42-6069-4B60-82B7-349A919DFD0E}" type="TxLink">
                <a:rPr lang="en-US" sz="1100" b="0" i="0" u="none" strike="noStrike">
                  <a:solidFill>
                    <a:srgbClr val="000000"/>
                  </a:solidFill>
                  <a:latin typeface="Calibri"/>
                  <a:cs typeface="Calibri"/>
                </a:rPr>
                <a:pPr algn="ctr"/>
                <a:t> </a:t>
              </a:fld>
              <a:endParaRPr lang="fr-FR" sz="1100"/>
            </a:p>
          </xdr:txBody>
        </xdr:sp>
        <xdr:sp macro="" textlink="Mesures_Omia!B35">
          <xdr:nvSpPr>
            <xdr:cNvPr id="203" name="Organigramme : Connecteur 202">
              <a:extLst>
                <a:ext uri="{FF2B5EF4-FFF2-40B4-BE49-F238E27FC236}">
                  <a16:creationId xmlns:a16="http://schemas.microsoft.com/office/drawing/2014/main" id="{00000000-0008-0000-2600-0000CB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66DDC16-8BFE-495F-94FB-DE302734B891}" type="TxLink">
                <a:rPr lang="en-US" sz="1100" b="0" i="0" u="none" strike="noStrike">
                  <a:solidFill>
                    <a:srgbClr val="000000"/>
                  </a:solidFill>
                  <a:latin typeface="Calibri"/>
                  <a:cs typeface="Calibri"/>
                </a:rPr>
                <a:pPr algn="ctr"/>
                <a:t> </a:t>
              </a:fld>
              <a:endParaRPr lang="fr-FR" sz="1100"/>
            </a:p>
          </xdr:txBody>
        </xdr:sp>
        <xdr:sp macro="" textlink="Mesures_Omia!B36">
          <xdr:nvSpPr>
            <xdr:cNvPr id="204" name="Organigramme : Connecteur 203">
              <a:extLst>
                <a:ext uri="{FF2B5EF4-FFF2-40B4-BE49-F238E27FC236}">
                  <a16:creationId xmlns:a16="http://schemas.microsoft.com/office/drawing/2014/main" id="{00000000-0008-0000-2600-0000CC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C903F2-683D-4A57-A6C4-71F576153427}" type="TxLink">
                <a:rPr lang="en-US" sz="1100" b="0" i="0" u="none" strike="noStrike">
                  <a:solidFill>
                    <a:srgbClr val="000000"/>
                  </a:solidFill>
                  <a:latin typeface="Calibri"/>
                  <a:cs typeface="Calibri"/>
                </a:rPr>
                <a:pPr algn="ctr"/>
                <a:t> </a:t>
              </a:fld>
              <a:endParaRPr lang="fr-FR" sz="1100"/>
            </a:p>
          </xdr:txBody>
        </xdr:sp>
      </xdr:grpSp>
      <xdr:sp macro="" textlink="Mesures_Omia!C24">
        <xdr:nvSpPr>
          <xdr:cNvPr id="14" name="Organigramme : Connecteur 13">
            <a:extLst>
              <a:ext uri="{FF2B5EF4-FFF2-40B4-BE49-F238E27FC236}">
                <a16:creationId xmlns:a16="http://schemas.microsoft.com/office/drawing/2014/main" id="{00000000-0008-0000-2600-00000E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CD721EA-1A55-4925-A7EC-5615E66B8E86}" type="TxLink">
              <a:rPr lang="en-US" sz="1100" b="0" i="0" u="none" strike="noStrike">
                <a:solidFill>
                  <a:srgbClr val="000000"/>
                </a:solidFill>
                <a:latin typeface="Calibri"/>
                <a:cs typeface="Calibri"/>
              </a:rPr>
              <a:pPr algn="ctr"/>
              <a:t> </a:t>
            </a:fld>
            <a:endParaRPr lang="fr-FR" sz="1100"/>
          </a:p>
        </xdr:txBody>
      </xdr:sp>
      <xdr:sp macro="" textlink="Mesures_Omia!C25">
        <xdr:nvSpPr>
          <xdr:cNvPr id="15" name="Organigramme : Connecteur 14">
            <a:extLst>
              <a:ext uri="{FF2B5EF4-FFF2-40B4-BE49-F238E27FC236}">
                <a16:creationId xmlns:a16="http://schemas.microsoft.com/office/drawing/2014/main" id="{00000000-0008-0000-2600-00000F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C689C7D-8603-4F92-955F-8F6B669E05C2}" type="TxLink">
              <a:rPr lang="en-US" sz="1100" b="0" i="0" u="none" strike="noStrike">
                <a:solidFill>
                  <a:srgbClr val="000000"/>
                </a:solidFill>
                <a:latin typeface="Calibri"/>
                <a:cs typeface="Calibri"/>
              </a:rPr>
              <a:pPr algn="ctr"/>
              <a:t> </a:t>
            </a:fld>
            <a:endParaRPr lang="fr-FR" sz="1100"/>
          </a:p>
        </xdr:txBody>
      </xdr:sp>
      <xdr:sp macro="" textlink="Mesures_Omia!C26">
        <xdr:nvSpPr>
          <xdr:cNvPr id="16" name="Organigramme : Connecteur 15">
            <a:extLst>
              <a:ext uri="{FF2B5EF4-FFF2-40B4-BE49-F238E27FC236}">
                <a16:creationId xmlns:a16="http://schemas.microsoft.com/office/drawing/2014/main" id="{00000000-0008-0000-2600-000010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515FD01-84A4-41B5-9032-63261827D083}" type="TxLink">
              <a:rPr lang="en-US" sz="1100" b="0" i="0" u="none" strike="noStrike">
                <a:solidFill>
                  <a:srgbClr val="000000"/>
                </a:solidFill>
                <a:latin typeface="Calibri"/>
                <a:cs typeface="Calibri"/>
              </a:rPr>
              <a:pPr algn="ctr"/>
              <a:t> </a:t>
            </a:fld>
            <a:endParaRPr lang="fr-FR" sz="1100"/>
          </a:p>
        </xdr:txBody>
      </xdr:sp>
      <xdr:sp macro="" textlink="Mesures_Omia!C27">
        <xdr:nvSpPr>
          <xdr:cNvPr id="17" name="Organigramme : Connecteur 16">
            <a:extLst>
              <a:ext uri="{FF2B5EF4-FFF2-40B4-BE49-F238E27FC236}">
                <a16:creationId xmlns:a16="http://schemas.microsoft.com/office/drawing/2014/main" id="{00000000-0008-0000-2600-000011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AD39EDB-C17E-4E0D-A275-E5AD1795071D}" type="TxLink">
              <a:rPr lang="en-US" sz="1100" b="0" i="0" u="none" strike="noStrike">
                <a:solidFill>
                  <a:srgbClr val="000000"/>
                </a:solidFill>
                <a:latin typeface="Calibri"/>
                <a:cs typeface="Calibri"/>
              </a:rPr>
              <a:pPr algn="ctr"/>
              <a:t> </a:t>
            </a:fld>
            <a:endParaRPr lang="fr-FR" sz="1100"/>
          </a:p>
        </xdr:txBody>
      </xdr:sp>
      <xdr:sp macro="" textlink="Mesures_Omia!C28">
        <xdr:nvSpPr>
          <xdr:cNvPr id="18" name="Organigramme : Connecteur 17">
            <a:extLst>
              <a:ext uri="{FF2B5EF4-FFF2-40B4-BE49-F238E27FC236}">
                <a16:creationId xmlns:a16="http://schemas.microsoft.com/office/drawing/2014/main" id="{00000000-0008-0000-2600-000012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25B4184-0A3A-4E05-9254-D70E95AFCB29}" type="TxLink">
              <a:rPr lang="en-US" sz="1100" b="0" i="0" u="none" strike="noStrike">
                <a:solidFill>
                  <a:srgbClr val="000000"/>
                </a:solidFill>
                <a:latin typeface="Calibri"/>
                <a:cs typeface="Calibri"/>
              </a:rPr>
              <a:pPr algn="ctr"/>
              <a:t> </a:t>
            </a:fld>
            <a:endParaRPr lang="fr-FR" sz="1100"/>
          </a:p>
        </xdr:txBody>
      </xdr:sp>
      <xdr:sp macro="" textlink="Mesures_Omia!C30">
        <xdr:nvSpPr>
          <xdr:cNvPr id="19" name="Organigramme : Connecteur 18">
            <a:extLst>
              <a:ext uri="{FF2B5EF4-FFF2-40B4-BE49-F238E27FC236}">
                <a16:creationId xmlns:a16="http://schemas.microsoft.com/office/drawing/2014/main" id="{00000000-0008-0000-2600-000013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0FBF7E4-F8F9-427E-8BD6-63858FD6D258}" type="TxLink">
              <a:rPr lang="en-US" sz="1100" b="0" i="0" u="none" strike="noStrike">
                <a:solidFill>
                  <a:srgbClr val="000000"/>
                </a:solidFill>
                <a:latin typeface="Calibri"/>
                <a:cs typeface="Calibri"/>
              </a:rPr>
              <a:pPr algn="ctr"/>
              <a:t> </a:t>
            </a:fld>
            <a:endParaRPr lang="fr-FR" sz="1100"/>
          </a:p>
        </xdr:txBody>
      </xdr:sp>
      <xdr:sp macro="" textlink="Mesures_Omia!C29">
        <xdr:nvSpPr>
          <xdr:cNvPr id="20" name="Organigramme : Connecteur 19">
            <a:extLst>
              <a:ext uri="{FF2B5EF4-FFF2-40B4-BE49-F238E27FC236}">
                <a16:creationId xmlns:a16="http://schemas.microsoft.com/office/drawing/2014/main" id="{00000000-0008-0000-2600-000014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64B4A34-677C-41D9-8960-140C685BEBFD}" type="TxLink">
              <a:rPr lang="en-US" sz="1100" b="0" i="0" u="none" strike="noStrike">
                <a:solidFill>
                  <a:srgbClr val="000000"/>
                </a:solidFill>
                <a:latin typeface="Calibri"/>
                <a:cs typeface="Calibri"/>
              </a:rPr>
              <a:pPr algn="ctr"/>
              <a:t> </a:t>
            </a:fld>
            <a:endParaRPr lang="fr-FR" sz="1100"/>
          </a:p>
        </xdr:txBody>
      </xdr:sp>
      <xdr:sp macro="" textlink="Mesures_Omia!C32">
        <xdr:nvSpPr>
          <xdr:cNvPr id="21" name="Organigramme : Connecteur 20">
            <a:extLst>
              <a:ext uri="{FF2B5EF4-FFF2-40B4-BE49-F238E27FC236}">
                <a16:creationId xmlns:a16="http://schemas.microsoft.com/office/drawing/2014/main" id="{00000000-0008-0000-2600-000015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210EDC-43C3-4DAB-97AA-3C6DB5557A46}" type="TxLink">
              <a:rPr lang="en-US" sz="1100" b="0" i="0" u="none" strike="noStrike">
                <a:solidFill>
                  <a:srgbClr val="000000"/>
                </a:solidFill>
                <a:latin typeface="Calibri"/>
                <a:cs typeface="Calibri"/>
              </a:rPr>
              <a:pPr algn="ctr"/>
              <a:t> </a:t>
            </a:fld>
            <a:endParaRPr lang="fr-FR" sz="1100"/>
          </a:p>
        </xdr:txBody>
      </xdr:sp>
      <xdr:sp macro="" textlink="Mesures_Omia!C31">
        <xdr:nvSpPr>
          <xdr:cNvPr id="22" name="Organigramme : Connecteur 21">
            <a:extLst>
              <a:ext uri="{FF2B5EF4-FFF2-40B4-BE49-F238E27FC236}">
                <a16:creationId xmlns:a16="http://schemas.microsoft.com/office/drawing/2014/main" id="{00000000-0008-0000-2600-000016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5E0983-F12D-47D7-9168-94034C43358E}" type="TxLink">
              <a:rPr lang="en-US" sz="1100" b="0" i="0" u="none" strike="noStrike">
                <a:solidFill>
                  <a:srgbClr val="000000"/>
                </a:solidFill>
                <a:latin typeface="Calibri"/>
                <a:cs typeface="Calibri"/>
              </a:rPr>
              <a:pPr algn="ctr"/>
              <a:t> </a:t>
            </a:fld>
            <a:endParaRPr lang="fr-FR" sz="1100"/>
          </a:p>
        </xdr:txBody>
      </xdr:sp>
      <xdr:sp macro="" textlink="Mesures_Omia!C33">
        <xdr:nvSpPr>
          <xdr:cNvPr id="23" name="Organigramme : Connecteur 22">
            <a:extLst>
              <a:ext uri="{FF2B5EF4-FFF2-40B4-BE49-F238E27FC236}">
                <a16:creationId xmlns:a16="http://schemas.microsoft.com/office/drawing/2014/main" id="{00000000-0008-0000-2600-000017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16CE54D-A725-4169-84AD-A548EC911732}" type="TxLink">
              <a:rPr lang="en-US" sz="1100" b="0" i="0" u="none" strike="noStrike">
                <a:solidFill>
                  <a:srgbClr val="000000"/>
                </a:solidFill>
                <a:latin typeface="Calibri"/>
                <a:cs typeface="Calibri"/>
              </a:rPr>
              <a:pPr algn="ctr"/>
              <a:t> </a:t>
            </a:fld>
            <a:endParaRPr lang="fr-FR" sz="1100"/>
          </a:p>
        </xdr:txBody>
      </xdr:sp>
      <xdr:sp macro="" textlink="Mesures_Omia!C34">
        <xdr:nvSpPr>
          <xdr:cNvPr id="24" name="Organigramme : Connecteur 23">
            <a:extLst>
              <a:ext uri="{FF2B5EF4-FFF2-40B4-BE49-F238E27FC236}">
                <a16:creationId xmlns:a16="http://schemas.microsoft.com/office/drawing/2014/main" id="{00000000-0008-0000-2600-000018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DB991AB-8609-416F-9A18-8F0380C99304}" type="TxLink">
              <a:rPr lang="en-US" sz="1100" b="0" i="0" u="none" strike="noStrike">
                <a:solidFill>
                  <a:srgbClr val="000000"/>
                </a:solidFill>
                <a:latin typeface="Calibri"/>
                <a:cs typeface="Calibri"/>
              </a:rPr>
              <a:pPr algn="ctr"/>
              <a:t> </a:t>
            </a:fld>
            <a:endParaRPr lang="fr-FR" sz="1100"/>
          </a:p>
        </xdr:txBody>
      </xdr:sp>
      <xdr:sp macro="" textlink="Mesures_Omia!C35">
        <xdr:nvSpPr>
          <xdr:cNvPr id="25" name="Organigramme : Connecteur 24">
            <a:extLst>
              <a:ext uri="{FF2B5EF4-FFF2-40B4-BE49-F238E27FC236}">
                <a16:creationId xmlns:a16="http://schemas.microsoft.com/office/drawing/2014/main" id="{00000000-0008-0000-2600-000019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D9E8580-9060-4043-92F6-08FE2EFC806F}" type="TxLink">
              <a:rPr lang="en-US" sz="1100" b="0" i="0" u="none" strike="noStrike">
                <a:solidFill>
                  <a:srgbClr val="000000"/>
                </a:solidFill>
                <a:latin typeface="Calibri"/>
                <a:cs typeface="Calibri"/>
              </a:rPr>
              <a:pPr algn="ctr"/>
              <a:t> </a:t>
            </a:fld>
            <a:endParaRPr lang="fr-FR" sz="1100"/>
          </a:p>
        </xdr:txBody>
      </xdr:sp>
      <xdr:sp macro="" textlink="Mesures_Omia!C36">
        <xdr:nvSpPr>
          <xdr:cNvPr id="26" name="Organigramme : Connecteur 25">
            <a:extLst>
              <a:ext uri="{FF2B5EF4-FFF2-40B4-BE49-F238E27FC236}">
                <a16:creationId xmlns:a16="http://schemas.microsoft.com/office/drawing/2014/main" id="{00000000-0008-0000-2600-00001A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A9774CD-2868-49D1-B272-2A91A078E38C}" type="TxLink">
              <a:rPr lang="en-US" sz="1100" b="0" i="0" u="none" strike="noStrike">
                <a:solidFill>
                  <a:srgbClr val="000000"/>
                </a:solidFill>
                <a:latin typeface="Calibri"/>
                <a:cs typeface="Calibri"/>
              </a:rPr>
              <a:pPr algn="ctr"/>
              <a:t> </a:t>
            </a:fld>
            <a:endParaRPr lang="fr-FR" sz="1100"/>
          </a:p>
        </xdr:txBody>
      </xdr:sp>
    </xdr:grpSp>
    <xdr:clientData/>
  </xdr:twoCellAnchor>
  <xdr:twoCellAnchor>
    <xdr:from>
      <xdr:col>1</xdr:col>
      <xdr:colOff>0</xdr:colOff>
      <xdr:row>258</xdr:row>
      <xdr:rowOff>0</xdr:rowOff>
    </xdr:from>
    <xdr:to>
      <xdr:col>10</xdr:col>
      <xdr:colOff>650875</xdr:colOff>
      <xdr:row>282</xdr:row>
      <xdr:rowOff>127000</xdr:rowOff>
    </xdr:to>
    <xdr:graphicFrame macro="">
      <xdr:nvGraphicFramePr>
        <xdr:cNvPr id="270" name="Graphique 269">
          <a:extLst>
            <a:ext uri="{FF2B5EF4-FFF2-40B4-BE49-F238E27FC236}">
              <a16:creationId xmlns:a16="http://schemas.microsoft.com/office/drawing/2014/main" id="{00000000-0008-0000-2600-00000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354</xdr:row>
      <xdr:rowOff>0</xdr:rowOff>
    </xdr:from>
    <xdr:to>
      <xdr:col>10</xdr:col>
      <xdr:colOff>984250</xdr:colOff>
      <xdr:row>391</xdr:row>
      <xdr:rowOff>174625</xdr:rowOff>
    </xdr:to>
    <xdr:graphicFrame macro="">
      <xdr:nvGraphicFramePr>
        <xdr:cNvPr id="271" name="Graphique 270">
          <a:extLst>
            <a:ext uri="{FF2B5EF4-FFF2-40B4-BE49-F238E27FC236}">
              <a16:creationId xmlns:a16="http://schemas.microsoft.com/office/drawing/2014/main" id="{00000000-0008-0000-2600-00000F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460</xdr:row>
      <xdr:rowOff>0</xdr:rowOff>
    </xdr:from>
    <xdr:to>
      <xdr:col>11</xdr:col>
      <xdr:colOff>936625</xdr:colOff>
      <xdr:row>490</xdr:row>
      <xdr:rowOff>95250</xdr:rowOff>
    </xdr:to>
    <xdr:graphicFrame macro="">
      <xdr:nvGraphicFramePr>
        <xdr:cNvPr id="273" name="Graphique 272">
          <a:extLst>
            <a:ext uri="{FF2B5EF4-FFF2-40B4-BE49-F238E27FC236}">
              <a16:creationId xmlns:a16="http://schemas.microsoft.com/office/drawing/2014/main" id="{00000000-0008-0000-2600-00001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295275</xdr:colOff>
          <xdr:row>7</xdr:row>
          <xdr:rowOff>47625</xdr:rowOff>
        </xdr:from>
        <xdr:to>
          <xdr:col>13</xdr:col>
          <xdr:colOff>400050</xdr:colOff>
          <xdr:row>13</xdr:row>
          <xdr:rowOff>28575</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2700-000006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DOVER</a:t>
              </a:r>
            </a:p>
          </xdr:txBody>
        </xdr:sp>
        <xdr:clientData fPrintsWithSheet="0"/>
      </xdr:twoCellAnchor>
    </mc:Choice>
    <mc:Fallback/>
  </mc:AlternateContent>
  <xdr:twoCellAnchor>
    <xdr:from>
      <xdr:col>10</xdr:col>
      <xdr:colOff>57979</xdr:colOff>
      <xdr:row>14</xdr:row>
      <xdr:rowOff>173935</xdr:rowOff>
    </xdr:from>
    <xdr:to>
      <xdr:col>13</xdr:col>
      <xdr:colOff>563218</xdr:colOff>
      <xdr:row>34</xdr:row>
      <xdr:rowOff>16565</xdr:rowOff>
    </xdr:to>
    <xdr:grpSp>
      <xdr:nvGrpSpPr>
        <xdr:cNvPr id="3" name="Groupe 2">
          <a:extLst>
            <a:ext uri="{FF2B5EF4-FFF2-40B4-BE49-F238E27FC236}">
              <a16:creationId xmlns:a16="http://schemas.microsoft.com/office/drawing/2014/main" id="{00000000-0008-0000-2700-000003000000}"/>
            </a:ext>
          </a:extLst>
        </xdr:cNvPr>
        <xdr:cNvGrpSpPr/>
      </xdr:nvGrpSpPr>
      <xdr:grpSpPr>
        <a:xfrm>
          <a:off x="11140109" y="4025348"/>
          <a:ext cx="4812196" cy="3859695"/>
          <a:chOff x="8605630" y="3404152"/>
          <a:chExt cx="4174435" cy="4278316"/>
        </a:xfrm>
      </xdr:grpSpPr>
      <xdr:sp macro="" textlink="">
        <xdr:nvSpPr>
          <xdr:cNvPr id="5" name="Organigramme : Connecteur 4">
            <a:extLst>
              <a:ext uri="{FF2B5EF4-FFF2-40B4-BE49-F238E27FC236}">
                <a16:creationId xmlns:a16="http://schemas.microsoft.com/office/drawing/2014/main" id="{00000000-0008-0000-2700-000005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7" name="Groupe 6">
            <a:extLst>
              <a:ext uri="{FF2B5EF4-FFF2-40B4-BE49-F238E27FC236}">
                <a16:creationId xmlns:a16="http://schemas.microsoft.com/office/drawing/2014/main" id="{00000000-0008-0000-2700-000007000000}"/>
              </a:ext>
            </a:extLst>
          </xdr:cNvPr>
          <xdr:cNvGrpSpPr/>
        </xdr:nvGrpSpPr>
        <xdr:grpSpPr>
          <a:xfrm>
            <a:off x="8605630" y="3404152"/>
            <a:ext cx="4174435" cy="4278316"/>
            <a:chOff x="8605630" y="3404152"/>
            <a:chExt cx="4174435" cy="4278316"/>
          </a:xfrm>
        </xdr:grpSpPr>
        <xdr:grpSp>
          <xdr:nvGrpSpPr>
            <xdr:cNvPr id="8" name="Groupe 7">
              <a:extLst>
                <a:ext uri="{FF2B5EF4-FFF2-40B4-BE49-F238E27FC236}">
                  <a16:creationId xmlns:a16="http://schemas.microsoft.com/office/drawing/2014/main" id="{00000000-0008-0000-2700-000008000000}"/>
                </a:ext>
              </a:extLst>
            </xdr:cNvPr>
            <xdr:cNvGrpSpPr/>
          </xdr:nvGrpSpPr>
          <xdr:grpSpPr>
            <a:xfrm>
              <a:off x="9316277" y="3404152"/>
              <a:ext cx="3463788" cy="3327953"/>
              <a:chOff x="9092647" y="3420717"/>
              <a:chExt cx="3463788" cy="3327953"/>
            </a:xfrm>
          </xdr:grpSpPr>
          <xdr:sp macro="" textlink="">
            <xdr:nvSpPr>
              <xdr:cNvPr id="16" name="Organigramme : Connecteur 15">
                <a:extLst>
                  <a:ext uri="{FF2B5EF4-FFF2-40B4-BE49-F238E27FC236}">
                    <a16:creationId xmlns:a16="http://schemas.microsoft.com/office/drawing/2014/main" id="{00000000-0008-0000-2700-000010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6" name="Organigramme : Connecteur 25">
                <a:extLst>
                  <a:ext uri="{FF2B5EF4-FFF2-40B4-BE49-F238E27FC236}">
                    <a16:creationId xmlns:a16="http://schemas.microsoft.com/office/drawing/2014/main" id="{00000000-0008-0000-2700-00001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7" name="Organigramme : Connecteur 26">
                <a:extLst>
                  <a:ext uri="{FF2B5EF4-FFF2-40B4-BE49-F238E27FC236}">
                    <a16:creationId xmlns:a16="http://schemas.microsoft.com/office/drawing/2014/main" id="{00000000-0008-0000-2700-00001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17409" name="Organigramme : Connecteur 17408">
                <a:extLst>
                  <a:ext uri="{FF2B5EF4-FFF2-40B4-BE49-F238E27FC236}">
                    <a16:creationId xmlns:a16="http://schemas.microsoft.com/office/drawing/2014/main" id="{00000000-0008-0000-2700-00000144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17432" name="Organigramme : Connecteur 17431">
                <a:extLst>
                  <a:ext uri="{FF2B5EF4-FFF2-40B4-BE49-F238E27FC236}">
                    <a16:creationId xmlns:a16="http://schemas.microsoft.com/office/drawing/2014/main" id="{00000000-0008-0000-2700-00001844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17433" name="Organigramme : Connecteur 17432">
                <a:extLst>
                  <a:ext uri="{FF2B5EF4-FFF2-40B4-BE49-F238E27FC236}">
                    <a16:creationId xmlns:a16="http://schemas.microsoft.com/office/drawing/2014/main" id="{00000000-0008-0000-2700-00001944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17434" name="Groupe 17433">
                <a:extLst>
                  <a:ext uri="{FF2B5EF4-FFF2-40B4-BE49-F238E27FC236}">
                    <a16:creationId xmlns:a16="http://schemas.microsoft.com/office/drawing/2014/main" id="{00000000-0008-0000-2700-00001A440000}"/>
                  </a:ext>
                </a:extLst>
              </xdr:cNvPr>
              <xdr:cNvGrpSpPr/>
            </xdr:nvGrpSpPr>
            <xdr:grpSpPr>
              <a:xfrm>
                <a:off x="9092647" y="3592995"/>
                <a:ext cx="3463788" cy="3155675"/>
                <a:chOff x="9092647" y="3592995"/>
                <a:chExt cx="3463788" cy="3155675"/>
              </a:xfrm>
            </xdr:grpSpPr>
            <xdr:sp macro="" textlink="">
              <xdr:nvSpPr>
                <xdr:cNvPr id="17435" name="Organigramme : Connecteur 17434">
                  <a:extLst>
                    <a:ext uri="{FF2B5EF4-FFF2-40B4-BE49-F238E27FC236}">
                      <a16:creationId xmlns:a16="http://schemas.microsoft.com/office/drawing/2014/main" id="{00000000-0008-0000-2700-00001B44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17436" name="Organigramme : Connecteur 17435">
                  <a:extLst>
                    <a:ext uri="{FF2B5EF4-FFF2-40B4-BE49-F238E27FC236}">
                      <a16:creationId xmlns:a16="http://schemas.microsoft.com/office/drawing/2014/main" id="{00000000-0008-0000-2700-00001C44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Dover!$B$26">
              <xdr:nvSpPr>
                <xdr:cNvPr id="17437" name="Organigramme : Connecteur 17436">
                  <a:extLst>
                    <a:ext uri="{FF2B5EF4-FFF2-40B4-BE49-F238E27FC236}">
                      <a16:creationId xmlns:a16="http://schemas.microsoft.com/office/drawing/2014/main" id="{00000000-0008-0000-2700-00001D44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DD93E14-63DF-4241-BBB3-AACD627994D3}" type="TxLink">
                    <a:rPr lang="en-US" sz="1100" b="0" i="0" u="none" strike="noStrike">
                      <a:solidFill>
                        <a:srgbClr val="000000"/>
                      </a:solidFill>
                      <a:latin typeface="Calibri"/>
                      <a:cs typeface="Calibri"/>
                    </a:rPr>
                    <a:pPr algn="ctr"/>
                    <a:t> </a:t>
                  </a:fld>
                  <a:endParaRPr lang="fr-FR" sz="1100"/>
                </a:p>
              </xdr:txBody>
            </xdr:sp>
            <xdr:sp macro="" textlink="Mesures_Dover!$B$29">
              <xdr:nvSpPr>
                <xdr:cNvPr id="17438" name="Organigramme : Connecteur 17437">
                  <a:extLst>
                    <a:ext uri="{FF2B5EF4-FFF2-40B4-BE49-F238E27FC236}">
                      <a16:creationId xmlns:a16="http://schemas.microsoft.com/office/drawing/2014/main" id="{00000000-0008-0000-2700-00001E44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308EAFAD-29B0-419D-BFAA-FC9D68FC884C}" type="TxLink">
                    <a:rPr lang="en-US" sz="1100" b="0" i="0" u="none" strike="noStrike">
                      <a:solidFill>
                        <a:srgbClr val="000000"/>
                      </a:solidFill>
                      <a:latin typeface="Calibri"/>
                      <a:cs typeface="Calibri"/>
                    </a:rPr>
                    <a:pPr algn="ctr"/>
                    <a:t> </a:t>
                  </a:fld>
                  <a:endParaRPr lang="fr-FR" sz="1100"/>
                </a:p>
              </xdr:txBody>
            </xdr:sp>
            <xdr:sp macro="" textlink="Mesures_Dover!$B$31">
              <xdr:nvSpPr>
                <xdr:cNvPr id="17439" name="Organigramme : Connecteur 17438">
                  <a:extLst>
                    <a:ext uri="{FF2B5EF4-FFF2-40B4-BE49-F238E27FC236}">
                      <a16:creationId xmlns:a16="http://schemas.microsoft.com/office/drawing/2014/main" id="{00000000-0008-0000-2700-00001F44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C292017-121A-44C9-A83F-16BA446853BB}" type="TxLink">
                    <a:rPr lang="en-US" sz="1100" b="0" i="0" u="none" strike="noStrike">
                      <a:solidFill>
                        <a:srgbClr val="000000"/>
                      </a:solidFill>
                      <a:latin typeface="Calibri"/>
                      <a:cs typeface="Calibri"/>
                    </a:rPr>
                    <a:pPr algn="ctr"/>
                    <a:t> </a:t>
                  </a:fld>
                  <a:endParaRPr lang="fr-FR" sz="1100"/>
                </a:p>
              </xdr:txBody>
            </xdr:sp>
            <xdr:sp macro="" textlink="Mesures_Dover!$B$30">
              <xdr:nvSpPr>
                <xdr:cNvPr id="17440" name="Organigramme : Connecteur 17439">
                  <a:extLst>
                    <a:ext uri="{FF2B5EF4-FFF2-40B4-BE49-F238E27FC236}">
                      <a16:creationId xmlns:a16="http://schemas.microsoft.com/office/drawing/2014/main" id="{00000000-0008-0000-2700-00002044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59F68AC-F44E-4A77-89D3-2785618C6252}" type="TxLink">
                    <a:rPr lang="en-US" sz="1100" b="0" i="0" u="none" strike="noStrike">
                      <a:solidFill>
                        <a:srgbClr val="000000"/>
                      </a:solidFill>
                      <a:latin typeface="Calibri"/>
                      <a:cs typeface="Calibri"/>
                    </a:rPr>
                    <a:pPr algn="ctr"/>
                    <a:t> </a:t>
                  </a:fld>
                  <a:endParaRPr lang="fr-FR" sz="1100"/>
                </a:p>
              </xdr:txBody>
            </xdr:sp>
            <xdr:sp macro="" textlink="Mesures_Dover!$C$31">
              <xdr:nvSpPr>
                <xdr:cNvPr id="17441" name="Organigramme : Connecteur 17440">
                  <a:extLst>
                    <a:ext uri="{FF2B5EF4-FFF2-40B4-BE49-F238E27FC236}">
                      <a16:creationId xmlns:a16="http://schemas.microsoft.com/office/drawing/2014/main" id="{00000000-0008-0000-2700-00002144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BC0F6F6-0ADB-4497-A81F-1D5F8F2EA799}" type="TxLink">
                    <a:rPr lang="en-US" sz="1100" b="0" i="0" u="none" strike="noStrike">
                      <a:solidFill>
                        <a:srgbClr val="000000"/>
                      </a:solidFill>
                      <a:latin typeface="Calibri"/>
                      <a:cs typeface="Calibri"/>
                    </a:rPr>
                    <a:pPr algn="ctr"/>
                    <a:t> </a:t>
                  </a:fld>
                  <a:endParaRPr lang="fr-FR" sz="1100"/>
                </a:p>
              </xdr:txBody>
            </xdr:sp>
            <xdr:sp macro="" textlink="Mesures_Dover!$C$26">
              <xdr:nvSpPr>
                <xdr:cNvPr id="17442" name="Organigramme : Connecteur 17441">
                  <a:extLst>
                    <a:ext uri="{FF2B5EF4-FFF2-40B4-BE49-F238E27FC236}">
                      <a16:creationId xmlns:a16="http://schemas.microsoft.com/office/drawing/2014/main" id="{00000000-0008-0000-2700-00002244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0119BF3-9914-48E1-8CEC-B275B15C1A45}" type="TxLink">
                    <a:rPr lang="en-US" sz="1100" b="0" i="0" u="none" strike="noStrike">
                      <a:solidFill>
                        <a:srgbClr val="000000"/>
                      </a:solidFill>
                      <a:latin typeface="Calibri"/>
                      <a:cs typeface="Calibri"/>
                    </a:rPr>
                    <a:pPr algn="ctr"/>
                    <a:t> </a:t>
                  </a:fld>
                  <a:endParaRPr lang="fr-FR" sz="1100"/>
                </a:p>
              </xdr:txBody>
            </xdr:sp>
            <xdr:sp macro="" textlink="Mesures_Dover!$C$30">
              <xdr:nvSpPr>
                <xdr:cNvPr id="17443" name="Organigramme : Connecteur 17442">
                  <a:extLst>
                    <a:ext uri="{FF2B5EF4-FFF2-40B4-BE49-F238E27FC236}">
                      <a16:creationId xmlns:a16="http://schemas.microsoft.com/office/drawing/2014/main" id="{00000000-0008-0000-2700-00002344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C0D18D-B8DC-4B56-A126-EB1D88366C36}" type="TxLink">
                    <a:rPr lang="en-US" sz="1100" b="0" i="0" u="none" strike="noStrike">
                      <a:solidFill>
                        <a:srgbClr val="000000"/>
                      </a:solidFill>
                      <a:latin typeface="Calibri"/>
                      <a:cs typeface="Calibri"/>
                    </a:rPr>
                    <a:pPr algn="ctr"/>
                    <a:t> </a:t>
                  </a:fld>
                  <a:endParaRPr lang="fr-FR" sz="1100"/>
                </a:p>
              </xdr:txBody>
            </xdr:sp>
            <xdr:sp macro="" textlink="Mesures_Dover!$C$29">
              <xdr:nvSpPr>
                <xdr:cNvPr id="17444" name="Organigramme : Connecteur 17443">
                  <a:extLst>
                    <a:ext uri="{FF2B5EF4-FFF2-40B4-BE49-F238E27FC236}">
                      <a16:creationId xmlns:a16="http://schemas.microsoft.com/office/drawing/2014/main" id="{00000000-0008-0000-2700-00002444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D4186E7-66C5-44C8-BE85-BE32FAE084C1}" type="TxLink">
                    <a:rPr lang="en-US" sz="1100" b="0" i="0" u="none" strike="noStrike">
                      <a:solidFill>
                        <a:srgbClr val="000000"/>
                      </a:solidFill>
                      <a:latin typeface="Calibri"/>
                      <a:cs typeface="Calibri"/>
                    </a:rPr>
                    <a:pPr algn="ctr"/>
                    <a:t> </a:t>
                  </a:fld>
                  <a:endParaRPr lang="fr-FR" sz="1100"/>
                </a:p>
              </xdr:txBody>
            </xdr:sp>
            <xdr:grpSp>
              <xdr:nvGrpSpPr>
                <xdr:cNvPr id="17445" name="Groupe 17444">
                  <a:extLst>
                    <a:ext uri="{FF2B5EF4-FFF2-40B4-BE49-F238E27FC236}">
                      <a16:creationId xmlns:a16="http://schemas.microsoft.com/office/drawing/2014/main" id="{00000000-0008-0000-2700-000025440000}"/>
                    </a:ext>
                  </a:extLst>
                </xdr:cNvPr>
                <xdr:cNvGrpSpPr/>
              </xdr:nvGrpSpPr>
              <xdr:grpSpPr>
                <a:xfrm>
                  <a:off x="9230139" y="3592995"/>
                  <a:ext cx="3326296" cy="2792482"/>
                  <a:chOff x="9230139" y="3592995"/>
                  <a:chExt cx="3326296" cy="2792482"/>
                </a:xfrm>
              </xdr:grpSpPr>
              <xdr:grpSp>
                <xdr:nvGrpSpPr>
                  <xdr:cNvPr id="17446" name="Groupe 17445">
                    <a:extLst>
                      <a:ext uri="{FF2B5EF4-FFF2-40B4-BE49-F238E27FC236}">
                        <a16:creationId xmlns:a16="http://schemas.microsoft.com/office/drawing/2014/main" id="{00000000-0008-0000-2700-000026440000}"/>
                      </a:ext>
                    </a:extLst>
                  </xdr:cNvPr>
                  <xdr:cNvGrpSpPr/>
                </xdr:nvGrpSpPr>
                <xdr:grpSpPr>
                  <a:xfrm>
                    <a:off x="9310480" y="3635237"/>
                    <a:ext cx="2949367" cy="2750240"/>
                    <a:chOff x="9320893" y="3638550"/>
                    <a:chExt cx="2950550" cy="2755446"/>
                  </a:xfrm>
                </xdr:grpSpPr>
                <xdr:sp macro="" textlink="">
                  <xdr:nvSpPr>
                    <xdr:cNvPr id="17455" name="Cube 17454">
                      <a:extLst>
                        <a:ext uri="{FF2B5EF4-FFF2-40B4-BE49-F238E27FC236}">
                          <a16:creationId xmlns:a16="http://schemas.microsoft.com/office/drawing/2014/main" id="{00000000-0008-0000-2700-00002F44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17456" name="Connecteur droit 17455">
                      <a:extLst>
                        <a:ext uri="{FF2B5EF4-FFF2-40B4-BE49-F238E27FC236}">
                          <a16:creationId xmlns:a16="http://schemas.microsoft.com/office/drawing/2014/main" id="{00000000-0008-0000-2700-00003044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7457" name="Connecteur droit 17456">
                      <a:extLst>
                        <a:ext uri="{FF2B5EF4-FFF2-40B4-BE49-F238E27FC236}">
                          <a16:creationId xmlns:a16="http://schemas.microsoft.com/office/drawing/2014/main" id="{00000000-0008-0000-2700-00003144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7458" name="Connecteur droit 17457">
                      <a:extLst>
                        <a:ext uri="{FF2B5EF4-FFF2-40B4-BE49-F238E27FC236}">
                          <a16:creationId xmlns:a16="http://schemas.microsoft.com/office/drawing/2014/main" id="{00000000-0008-0000-2700-00003244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Dover!$B$24">
                <xdr:nvSpPr>
                  <xdr:cNvPr id="17447" name="Organigramme : Connecteur 17446">
                    <a:extLst>
                      <a:ext uri="{FF2B5EF4-FFF2-40B4-BE49-F238E27FC236}">
                        <a16:creationId xmlns:a16="http://schemas.microsoft.com/office/drawing/2014/main" id="{00000000-0008-0000-2700-00002744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9C97EF-C8F4-4357-9020-54BC77B991DB}" type="TxLink">
                      <a:rPr lang="en-US" sz="1100" b="0" i="0" u="none" strike="noStrike">
                        <a:solidFill>
                          <a:srgbClr val="000000"/>
                        </a:solidFill>
                        <a:latin typeface="Calibri"/>
                        <a:cs typeface="Calibri"/>
                      </a:rPr>
                      <a:pPr algn="ctr"/>
                      <a:t> </a:t>
                    </a:fld>
                    <a:endParaRPr lang="fr-FR" sz="1100"/>
                  </a:p>
                </xdr:txBody>
              </xdr:sp>
              <xdr:sp macro="" textlink="Mesures_Dover!$C$24">
                <xdr:nvSpPr>
                  <xdr:cNvPr id="17448" name="Organigramme : Connecteur 17447">
                    <a:extLst>
                      <a:ext uri="{FF2B5EF4-FFF2-40B4-BE49-F238E27FC236}">
                        <a16:creationId xmlns:a16="http://schemas.microsoft.com/office/drawing/2014/main" id="{00000000-0008-0000-2700-00002844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4E65201-D6CD-4330-ADEF-6C46F4DF669A}" type="TxLink">
                      <a:rPr lang="en-US" sz="1100" b="0" i="0" u="none" strike="noStrike">
                        <a:solidFill>
                          <a:srgbClr val="000000"/>
                        </a:solidFill>
                        <a:latin typeface="Calibri"/>
                        <a:cs typeface="Calibri"/>
                      </a:rPr>
                      <a:pPr algn="ctr"/>
                      <a:t> </a:t>
                    </a:fld>
                    <a:endParaRPr lang="fr-FR" sz="1100"/>
                  </a:p>
                </xdr:txBody>
              </xdr:sp>
              <xdr:sp macro="" textlink="Mesures_Dover!$B$25">
                <xdr:nvSpPr>
                  <xdr:cNvPr id="17449" name="Organigramme : Connecteur 17448">
                    <a:extLst>
                      <a:ext uri="{FF2B5EF4-FFF2-40B4-BE49-F238E27FC236}">
                        <a16:creationId xmlns:a16="http://schemas.microsoft.com/office/drawing/2014/main" id="{00000000-0008-0000-2700-00002944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0342CB-B341-47F7-A869-A38697F38B19}" type="TxLink">
                      <a:rPr lang="en-US" sz="1100" b="0" i="0" u="none" strike="noStrike">
                        <a:solidFill>
                          <a:srgbClr val="000000"/>
                        </a:solidFill>
                        <a:latin typeface="Calibri"/>
                        <a:cs typeface="Calibri"/>
                      </a:rPr>
                      <a:pPr algn="ctr"/>
                      <a:t> </a:t>
                    </a:fld>
                    <a:endParaRPr lang="fr-FR" sz="1100"/>
                  </a:p>
                </xdr:txBody>
              </xdr:sp>
              <xdr:sp macro="" textlink="Mesures_Dover!$B$28">
                <xdr:nvSpPr>
                  <xdr:cNvPr id="17450" name="Organigramme : Connecteur 17449">
                    <a:extLst>
                      <a:ext uri="{FF2B5EF4-FFF2-40B4-BE49-F238E27FC236}">
                        <a16:creationId xmlns:a16="http://schemas.microsoft.com/office/drawing/2014/main" id="{00000000-0008-0000-2700-00002A44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CD477E7-5122-4353-BF5C-FB3DBABF1B76}" type="TxLink">
                      <a:rPr lang="en-US" sz="1100" b="0" i="0" u="none" strike="noStrike">
                        <a:solidFill>
                          <a:srgbClr val="000000"/>
                        </a:solidFill>
                        <a:latin typeface="Calibri"/>
                        <a:cs typeface="Calibri"/>
                      </a:rPr>
                      <a:pPr algn="ctr"/>
                      <a:t> </a:t>
                    </a:fld>
                    <a:endParaRPr lang="fr-FR" sz="1100"/>
                  </a:p>
                </xdr:txBody>
              </xdr:sp>
              <xdr:sp macro="" textlink="Mesures_Dover!$B$32">
                <xdr:nvSpPr>
                  <xdr:cNvPr id="17451" name="Organigramme : Connecteur 17450">
                    <a:extLst>
                      <a:ext uri="{FF2B5EF4-FFF2-40B4-BE49-F238E27FC236}">
                        <a16:creationId xmlns:a16="http://schemas.microsoft.com/office/drawing/2014/main" id="{00000000-0008-0000-2700-00002B4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D0E448E-47CD-4EFE-93D2-A272CA4AD50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Dover!$C$32">
                <xdr:nvSpPr>
                  <xdr:cNvPr id="17452" name="Organigramme : Connecteur 17451">
                    <a:extLst>
                      <a:ext uri="{FF2B5EF4-FFF2-40B4-BE49-F238E27FC236}">
                        <a16:creationId xmlns:a16="http://schemas.microsoft.com/office/drawing/2014/main" id="{00000000-0008-0000-2700-00002C4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BDF0DC-DCD8-4689-8AE1-E0320EA187BE}" type="TxLink">
                      <a:rPr lang="en-US" sz="1100" b="0" i="0" u="none" strike="noStrike">
                        <a:solidFill>
                          <a:srgbClr val="000000"/>
                        </a:solidFill>
                        <a:latin typeface="Calibri"/>
                        <a:cs typeface="Calibri"/>
                      </a:rPr>
                      <a:pPr algn="ctr"/>
                      <a:t> </a:t>
                    </a:fld>
                    <a:endParaRPr lang="fr-FR" sz="1100"/>
                  </a:p>
                </xdr:txBody>
              </xdr:sp>
              <xdr:sp macro="" textlink="Mesures_Dover!$C$28">
                <xdr:nvSpPr>
                  <xdr:cNvPr id="17453" name="Organigramme : Connecteur 17452">
                    <a:extLst>
                      <a:ext uri="{FF2B5EF4-FFF2-40B4-BE49-F238E27FC236}">
                        <a16:creationId xmlns:a16="http://schemas.microsoft.com/office/drawing/2014/main" id="{00000000-0008-0000-2700-00002D4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FFE3BD-B234-43F2-B012-BDBF0AF40547}" type="TxLink">
                      <a:rPr lang="en-US" sz="1100" b="0" i="0" u="none" strike="noStrike">
                        <a:solidFill>
                          <a:srgbClr val="000000"/>
                        </a:solidFill>
                        <a:latin typeface="Calibri"/>
                        <a:cs typeface="Calibri"/>
                      </a:rPr>
                      <a:pPr algn="ctr"/>
                      <a:t> </a:t>
                    </a:fld>
                    <a:endParaRPr lang="fr-FR" sz="1100"/>
                  </a:p>
                </xdr:txBody>
              </xdr:sp>
              <xdr:sp macro="" textlink="Mesures_Dover!$C$25">
                <xdr:nvSpPr>
                  <xdr:cNvPr id="17454" name="Organigramme : Connecteur 17453">
                    <a:extLst>
                      <a:ext uri="{FF2B5EF4-FFF2-40B4-BE49-F238E27FC236}">
                        <a16:creationId xmlns:a16="http://schemas.microsoft.com/office/drawing/2014/main" id="{00000000-0008-0000-2700-00002E4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B5A95D-B9BF-4D8A-8FD1-12435FEEAE77}" type="TxLink">
                      <a:rPr lang="en-US" sz="1100" b="0" i="0" u="none" strike="noStrike">
                        <a:solidFill>
                          <a:srgbClr val="000000"/>
                        </a:solidFill>
                        <a:latin typeface="Calibri"/>
                        <a:cs typeface="Calibri"/>
                      </a:rPr>
                      <a:pPr algn="ctr"/>
                      <a:t> </a:t>
                    </a:fld>
                    <a:endParaRPr lang="fr-FR" sz="1100"/>
                  </a:p>
                </xdr:txBody>
              </xdr:sp>
            </xdr:grpSp>
          </xdr:grpSp>
        </xdr:grpSp>
        <xdr:sp macro="" textlink="$B$24">
          <xdr:nvSpPr>
            <xdr:cNvPr id="9" name="Organigramme : Connecteur 8">
              <a:extLst>
                <a:ext uri="{FF2B5EF4-FFF2-40B4-BE49-F238E27FC236}">
                  <a16:creationId xmlns:a16="http://schemas.microsoft.com/office/drawing/2014/main" id="{00000000-0008-0000-2700-000009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4">
          <xdr:nvSpPr>
            <xdr:cNvPr id="11" name="Organigramme : Connecteur 10">
              <a:extLst>
                <a:ext uri="{FF2B5EF4-FFF2-40B4-BE49-F238E27FC236}">
                  <a16:creationId xmlns:a16="http://schemas.microsoft.com/office/drawing/2014/main" id="{00000000-0008-0000-2700-00000B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2" name="ZoneTexte 11">
              <a:extLst>
                <a:ext uri="{FF2B5EF4-FFF2-40B4-BE49-F238E27FC236}">
                  <a16:creationId xmlns:a16="http://schemas.microsoft.com/office/drawing/2014/main" id="{00000000-0008-0000-2700-00000C000000}"/>
                </a:ext>
              </a:extLst>
            </xdr:cNvPr>
            <xdr:cNvSpPr txBox="1"/>
          </xdr:nvSpPr>
          <xdr:spPr>
            <a:xfrm>
              <a:off x="8820978" y="6990521"/>
              <a:ext cx="1590261" cy="6919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wsDr>
</file>

<file path=xl/drawings/drawing25.xml><?xml version="1.0" encoding="utf-8"?>
<xdr:wsDr xmlns:xdr="http://schemas.openxmlformats.org/drawingml/2006/spreadsheetDrawing" xmlns:a="http://schemas.openxmlformats.org/drawingml/2006/main">
  <xdr:twoCellAnchor>
    <xdr:from>
      <xdr:col>1</xdr:col>
      <xdr:colOff>1000124</xdr:colOff>
      <xdr:row>25</xdr:row>
      <xdr:rowOff>0</xdr:rowOff>
    </xdr:from>
    <xdr:to>
      <xdr:col>11</xdr:col>
      <xdr:colOff>57149</xdr:colOff>
      <xdr:row>44</xdr:row>
      <xdr:rowOff>57150</xdr:rowOff>
    </xdr:to>
    <xdr:graphicFrame macro="">
      <xdr:nvGraphicFramePr>
        <xdr:cNvPr id="4" name="Graphique 3">
          <a:extLst>
            <a:ext uri="{FF2B5EF4-FFF2-40B4-BE49-F238E27FC236}">
              <a16:creationId xmlns:a16="http://schemas.microsoft.com/office/drawing/2014/main" id="{00000000-0008-0000-2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2</xdr:col>
      <xdr:colOff>0</xdr:colOff>
      <xdr:row>24</xdr:row>
      <xdr:rowOff>0</xdr:rowOff>
    </xdr:from>
    <xdr:to>
      <xdr:col>11</xdr:col>
      <xdr:colOff>714375</xdr:colOff>
      <xdr:row>46</xdr:row>
      <xdr:rowOff>19050</xdr:rowOff>
    </xdr:to>
    <xdr:graphicFrame macro="">
      <xdr:nvGraphicFramePr>
        <xdr:cNvPr id="3" name="Graphique 2">
          <a:extLst>
            <a:ext uri="{FF2B5EF4-FFF2-40B4-BE49-F238E27FC236}">
              <a16:creationId xmlns:a16="http://schemas.microsoft.com/office/drawing/2014/main" id="{00000000-0008-0000-2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1000124</xdr:colOff>
      <xdr:row>22</xdr:row>
      <xdr:rowOff>190499</xdr:rowOff>
    </xdr:from>
    <xdr:to>
      <xdr:col>12</xdr:col>
      <xdr:colOff>190499</xdr:colOff>
      <xdr:row>44</xdr:row>
      <xdr:rowOff>85724</xdr:rowOff>
    </xdr:to>
    <xdr:graphicFrame macro="">
      <xdr:nvGraphicFramePr>
        <xdr:cNvPr id="3" name="Graphique 2">
          <a:extLst>
            <a:ext uri="{FF2B5EF4-FFF2-40B4-BE49-F238E27FC236}">
              <a16:creationId xmlns:a16="http://schemas.microsoft.com/office/drawing/2014/main" id="{00000000-0008-0000-2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2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15874</xdr:rowOff>
    </xdr:to>
    <xdr:pic>
      <xdr:nvPicPr>
        <xdr:cNvPr id="4" name="Image 3" descr="fregate">
          <a:extLst>
            <a:ext uri="{FF2B5EF4-FFF2-40B4-BE49-F238E27FC236}">
              <a16:creationId xmlns:a16="http://schemas.microsoft.com/office/drawing/2014/main" id="{00000000-0008-0000-2E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125</xdr:row>
      <xdr:rowOff>142875</xdr:rowOff>
    </xdr:from>
    <xdr:to>
      <xdr:col>8</xdr:col>
      <xdr:colOff>273050</xdr:colOff>
      <xdr:row>151</xdr:row>
      <xdr:rowOff>188026</xdr:rowOff>
    </xdr:to>
    <xdr:sp macro="" textlink="">
      <xdr:nvSpPr>
        <xdr:cNvPr id="5" name="Sous-titre 2">
          <a:extLst>
            <a:ext uri="{FF2B5EF4-FFF2-40B4-BE49-F238E27FC236}">
              <a16:creationId xmlns:a16="http://schemas.microsoft.com/office/drawing/2014/main" id="{00000000-0008-0000-2E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10 secondes des 9 thermocouples de TUS. Les données de l’enregistreur portable ne sont pas corrigées. Les corrections (voie de l’enregistreur + thermocouple) sont appliquées à postériori. </a:t>
          </a:r>
        </a:p>
        <a:p>
          <a:pPr marL="0" indent="0" algn="just">
            <a:buNone/>
          </a:pPr>
          <a:endParaRPr lang="fr-FR" sz="2000"/>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a:t>
          </a:r>
        </a:p>
        <a:p>
          <a:pPr marL="0" indent="0" algn="just">
            <a:buNone/>
          </a:pPr>
          <a:endParaRPr lang="fr-FR" sz="2000"/>
        </a:p>
        <a:p>
          <a:pPr marL="0" indent="0" algn="just">
            <a:buNone/>
          </a:pPr>
          <a:r>
            <a:rPr lang="fr-FR" sz="2000"/>
            <a:t>Les valeurs de l’enregistreur du four sont également transférées sur le réseau sous format .uhh puis jointes au même fichier Excel.</a:t>
          </a:r>
        </a:p>
        <a:p>
          <a:pPr marL="0" indent="0" algn="just">
            <a:buNone/>
          </a:pPr>
          <a:endParaRPr lang="fr-FR" sz="2000"/>
        </a:p>
        <a:p>
          <a:pPr marL="0" indent="0" algn="just">
            <a:buNone/>
          </a:pPr>
          <a:r>
            <a:rPr lang="fr-FR" sz="2000"/>
            <a:t>Les 9 capteurs de contrôle sont positionnés sur une structure sans charge représentant le volume utile du four à contrôler conformément au schéma de la page suivante.  </a:t>
          </a:r>
        </a:p>
        <a:p>
          <a:pPr marL="0" indent="0" algn="just">
            <a:buNone/>
          </a:pPr>
          <a:endParaRPr lang="fr-FR" sz="2000"/>
        </a:p>
        <a:p>
          <a:pPr marL="0" indent="0" algn="just">
            <a:buNone/>
          </a:pPr>
          <a:r>
            <a:rPr lang="fr-FR" sz="2000"/>
            <a:t>Démarrage de la cartographie à température ambiante, enfournage à chaud par le bas du four pour chaque palier de température.</a:t>
          </a:r>
        </a:p>
        <a:p>
          <a:pPr marL="0" indent="0" algn="just">
            <a:buNone/>
          </a:pPr>
          <a:endParaRPr lang="fr-FR" sz="2000"/>
        </a:p>
        <a:p>
          <a:pPr marL="0" indent="0" algn="just">
            <a:buNone/>
          </a:pPr>
          <a:r>
            <a:rPr lang="fr-FR" sz="2000"/>
            <a:t>Les fichiers informatiques des données créés par les enregistreurs sous format .uhh ne sont pas modifiables.</a:t>
          </a:r>
        </a:p>
        <a:p>
          <a:pPr marL="0" indent="0" algn="just">
            <a:buNone/>
          </a:pPr>
          <a:endParaRPr lang="fr-FR" sz="2000"/>
        </a:p>
        <a:p>
          <a:pPr marL="0" indent="0" algn="just">
            <a:buNone/>
          </a:pPr>
          <a:endParaRPr lang="fr-FR" sz="2000"/>
        </a:p>
        <a:p>
          <a:pPr marL="0" indent="0" algn="just">
            <a:buNone/>
          </a:pPr>
          <a:endParaRPr lang="fr-FR" sz="2000"/>
        </a:p>
      </xdr:txBody>
    </xdr:sp>
    <xdr:clientData/>
  </xdr:twoCellAnchor>
  <xdr:twoCellAnchor editAs="oneCell">
    <xdr:from>
      <xdr:col>0</xdr:col>
      <xdr:colOff>33227</xdr:colOff>
      <xdr:row>120</xdr:row>
      <xdr:rowOff>11076</xdr:rowOff>
    </xdr:from>
    <xdr:to>
      <xdr:col>1</xdr:col>
      <xdr:colOff>757911</xdr:colOff>
      <xdr:row>124</xdr:row>
      <xdr:rowOff>38397</xdr:rowOff>
    </xdr:to>
    <xdr:pic>
      <xdr:nvPicPr>
        <xdr:cNvPr id="6" name="Image 5" descr="fregate">
          <a:extLst>
            <a:ext uri="{FF2B5EF4-FFF2-40B4-BE49-F238E27FC236}">
              <a16:creationId xmlns:a16="http://schemas.microsoft.com/office/drawing/2014/main" id="{00000000-0008-0000-2E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156</xdr:row>
      <xdr:rowOff>0</xdr:rowOff>
    </xdr:from>
    <xdr:to>
      <xdr:col>0</xdr:col>
      <xdr:colOff>3270251</xdr:colOff>
      <xdr:row>159</xdr:row>
      <xdr:rowOff>174624</xdr:rowOff>
    </xdr:to>
    <xdr:pic>
      <xdr:nvPicPr>
        <xdr:cNvPr id="7" name="Image 6" descr="fregate">
          <a:extLst>
            <a:ext uri="{FF2B5EF4-FFF2-40B4-BE49-F238E27FC236}">
              <a16:creationId xmlns:a16="http://schemas.microsoft.com/office/drawing/2014/main" id="{00000000-0008-0000-2E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184</xdr:row>
      <xdr:rowOff>0</xdr:rowOff>
    </xdr:from>
    <xdr:to>
      <xdr:col>0</xdr:col>
      <xdr:colOff>3238501</xdr:colOff>
      <xdr:row>188</xdr:row>
      <xdr:rowOff>31749</xdr:rowOff>
    </xdr:to>
    <xdr:pic>
      <xdr:nvPicPr>
        <xdr:cNvPr id="8" name="Image 7" descr="fregate">
          <a:extLst>
            <a:ext uri="{FF2B5EF4-FFF2-40B4-BE49-F238E27FC236}">
              <a16:creationId xmlns:a16="http://schemas.microsoft.com/office/drawing/2014/main" id="{00000000-0008-0000-2E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211</xdr:row>
      <xdr:rowOff>190499</xdr:rowOff>
    </xdr:from>
    <xdr:to>
      <xdr:col>0</xdr:col>
      <xdr:colOff>3302001</xdr:colOff>
      <xdr:row>217</xdr:row>
      <xdr:rowOff>79374</xdr:rowOff>
    </xdr:to>
    <xdr:pic>
      <xdr:nvPicPr>
        <xdr:cNvPr id="9" name="Image 8" descr="fregate">
          <a:extLst>
            <a:ext uri="{FF2B5EF4-FFF2-40B4-BE49-F238E27FC236}">
              <a16:creationId xmlns:a16="http://schemas.microsoft.com/office/drawing/2014/main" id="{00000000-0008-0000-2E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244</xdr:row>
      <xdr:rowOff>113187</xdr:rowOff>
    </xdr:from>
    <xdr:to>
      <xdr:col>0</xdr:col>
      <xdr:colOff>3286125</xdr:colOff>
      <xdr:row>248</xdr:row>
      <xdr:rowOff>174625</xdr:rowOff>
    </xdr:to>
    <xdr:pic>
      <xdr:nvPicPr>
        <xdr:cNvPr id="10" name="Image 9" descr="fregate">
          <a:extLst>
            <a:ext uri="{FF2B5EF4-FFF2-40B4-BE49-F238E27FC236}">
              <a16:creationId xmlns:a16="http://schemas.microsoft.com/office/drawing/2014/main" id="{00000000-0008-0000-2E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484</xdr:row>
      <xdr:rowOff>190499</xdr:rowOff>
    </xdr:from>
    <xdr:to>
      <xdr:col>0</xdr:col>
      <xdr:colOff>3222625</xdr:colOff>
      <xdr:row>490</xdr:row>
      <xdr:rowOff>142874</xdr:rowOff>
    </xdr:to>
    <xdr:pic>
      <xdr:nvPicPr>
        <xdr:cNvPr id="11" name="Image 10" descr="fregate">
          <a:extLst>
            <a:ext uri="{FF2B5EF4-FFF2-40B4-BE49-F238E27FC236}">
              <a16:creationId xmlns:a16="http://schemas.microsoft.com/office/drawing/2014/main" id="{00000000-0008-0000-2E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280</xdr:row>
      <xdr:rowOff>0</xdr:rowOff>
    </xdr:from>
    <xdr:to>
      <xdr:col>0</xdr:col>
      <xdr:colOff>3222625</xdr:colOff>
      <xdr:row>284</xdr:row>
      <xdr:rowOff>61232</xdr:rowOff>
    </xdr:to>
    <xdr:pic>
      <xdr:nvPicPr>
        <xdr:cNvPr id="12" name="Image 11" descr="fregate">
          <a:extLst>
            <a:ext uri="{FF2B5EF4-FFF2-40B4-BE49-F238E27FC236}">
              <a16:creationId xmlns:a16="http://schemas.microsoft.com/office/drawing/2014/main" id="{00000000-0008-0000-2E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309</xdr:row>
      <xdr:rowOff>190499</xdr:rowOff>
    </xdr:from>
    <xdr:ext cx="3302000" cy="1031875"/>
    <xdr:pic>
      <xdr:nvPicPr>
        <xdr:cNvPr id="13" name="Image 12" descr="fregate">
          <a:extLst>
            <a:ext uri="{FF2B5EF4-FFF2-40B4-BE49-F238E27FC236}">
              <a16:creationId xmlns:a16="http://schemas.microsoft.com/office/drawing/2014/main" id="{00000000-0008-0000-2E00-00000D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339</xdr:row>
      <xdr:rowOff>17937</xdr:rowOff>
    </xdr:from>
    <xdr:ext cx="3254375" cy="1093313"/>
    <xdr:pic>
      <xdr:nvPicPr>
        <xdr:cNvPr id="14" name="Image 13" descr="fregate">
          <a:extLst>
            <a:ext uri="{FF2B5EF4-FFF2-40B4-BE49-F238E27FC236}">
              <a16:creationId xmlns:a16="http://schemas.microsoft.com/office/drawing/2014/main" id="{00000000-0008-0000-2E00-00000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444</xdr:row>
      <xdr:rowOff>17937</xdr:rowOff>
    </xdr:from>
    <xdr:ext cx="3254375" cy="1093313"/>
    <xdr:pic>
      <xdr:nvPicPr>
        <xdr:cNvPr id="15" name="Image 14" descr="fregate">
          <a:extLst>
            <a:ext uri="{FF2B5EF4-FFF2-40B4-BE49-F238E27FC236}">
              <a16:creationId xmlns:a16="http://schemas.microsoft.com/office/drawing/2014/main" id="{00000000-0008-0000-2E00-00000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390</xdr:row>
      <xdr:rowOff>0</xdr:rowOff>
    </xdr:from>
    <xdr:ext cx="3222625" cy="1095375"/>
    <xdr:pic>
      <xdr:nvPicPr>
        <xdr:cNvPr id="16" name="Image 15" descr="fregate">
          <a:extLst>
            <a:ext uri="{FF2B5EF4-FFF2-40B4-BE49-F238E27FC236}">
              <a16:creationId xmlns:a16="http://schemas.microsoft.com/office/drawing/2014/main" id="{00000000-0008-0000-2E00-000010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418</xdr:row>
      <xdr:rowOff>190499</xdr:rowOff>
    </xdr:from>
    <xdr:ext cx="3302000" cy="1031875"/>
    <xdr:pic>
      <xdr:nvPicPr>
        <xdr:cNvPr id="17" name="Image 16" descr="fregate">
          <a:extLst>
            <a:ext uri="{FF2B5EF4-FFF2-40B4-BE49-F238E27FC236}">
              <a16:creationId xmlns:a16="http://schemas.microsoft.com/office/drawing/2014/main" id="{00000000-0008-0000-2E00-000011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1</xdr:col>
      <xdr:colOff>0</xdr:colOff>
      <xdr:row>250</xdr:row>
      <xdr:rowOff>190499</xdr:rowOff>
    </xdr:from>
    <xdr:to>
      <xdr:col>9</xdr:col>
      <xdr:colOff>285750</xdr:colOff>
      <xdr:row>275</xdr:row>
      <xdr:rowOff>40820</xdr:rowOff>
    </xdr:to>
    <xdr:graphicFrame macro="">
      <xdr:nvGraphicFramePr>
        <xdr:cNvPr id="112" name="Graphique 111">
          <a:extLst>
            <a:ext uri="{FF2B5EF4-FFF2-40B4-BE49-F238E27FC236}">
              <a16:creationId xmlns:a16="http://schemas.microsoft.com/office/drawing/2014/main" id="{00000000-0008-0000-2E00-00007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3320142</xdr:colOff>
      <xdr:row>347</xdr:row>
      <xdr:rowOff>0</xdr:rowOff>
    </xdr:from>
    <xdr:to>
      <xdr:col>10</xdr:col>
      <xdr:colOff>449035</xdr:colOff>
      <xdr:row>386</xdr:row>
      <xdr:rowOff>0</xdr:rowOff>
    </xdr:to>
    <xdr:graphicFrame macro="">
      <xdr:nvGraphicFramePr>
        <xdr:cNvPr id="113" name="Graphique 112">
          <a:extLst>
            <a:ext uri="{FF2B5EF4-FFF2-40B4-BE49-F238E27FC236}">
              <a16:creationId xmlns:a16="http://schemas.microsoft.com/office/drawing/2014/main" id="{00000000-0008-0000-2E00-00007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452</xdr:row>
      <xdr:rowOff>0</xdr:rowOff>
    </xdr:from>
    <xdr:to>
      <xdr:col>12</xdr:col>
      <xdr:colOff>0</xdr:colOff>
      <xdr:row>483</xdr:row>
      <xdr:rowOff>40822</xdr:rowOff>
    </xdr:to>
    <xdr:graphicFrame macro="">
      <xdr:nvGraphicFramePr>
        <xdr:cNvPr id="114" name="Graphique 113">
          <a:extLst>
            <a:ext uri="{FF2B5EF4-FFF2-40B4-BE49-F238E27FC236}">
              <a16:creationId xmlns:a16="http://schemas.microsoft.com/office/drawing/2014/main" id="{00000000-0008-0000-2E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326571</xdr:colOff>
      <xdr:row>159</xdr:row>
      <xdr:rowOff>27214</xdr:rowOff>
    </xdr:from>
    <xdr:to>
      <xdr:col>10</xdr:col>
      <xdr:colOff>557893</xdr:colOff>
      <xdr:row>183</xdr:row>
      <xdr:rowOff>14198</xdr:rowOff>
    </xdr:to>
    <xdr:grpSp>
      <xdr:nvGrpSpPr>
        <xdr:cNvPr id="115" name="Groupe 114">
          <a:extLst>
            <a:ext uri="{FF2B5EF4-FFF2-40B4-BE49-F238E27FC236}">
              <a16:creationId xmlns:a16="http://schemas.microsoft.com/office/drawing/2014/main" id="{00000000-0008-0000-2E00-000073000000}"/>
            </a:ext>
          </a:extLst>
        </xdr:cNvPr>
        <xdr:cNvGrpSpPr/>
      </xdr:nvGrpSpPr>
      <xdr:grpSpPr>
        <a:xfrm>
          <a:off x="15212785" y="34983964"/>
          <a:ext cx="5252358" cy="4586198"/>
          <a:chOff x="8605630" y="3404152"/>
          <a:chExt cx="4174435" cy="4232412"/>
        </a:xfrm>
      </xdr:grpSpPr>
      <xdr:sp macro="" textlink="">
        <xdr:nvSpPr>
          <xdr:cNvPr id="126" name="Organigramme : Connecteur 125">
            <a:extLst>
              <a:ext uri="{FF2B5EF4-FFF2-40B4-BE49-F238E27FC236}">
                <a16:creationId xmlns:a16="http://schemas.microsoft.com/office/drawing/2014/main" id="{00000000-0008-0000-2E00-00007E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27" name="Groupe 126">
            <a:extLst>
              <a:ext uri="{FF2B5EF4-FFF2-40B4-BE49-F238E27FC236}">
                <a16:creationId xmlns:a16="http://schemas.microsoft.com/office/drawing/2014/main" id="{00000000-0008-0000-2E00-00007F000000}"/>
              </a:ext>
            </a:extLst>
          </xdr:cNvPr>
          <xdr:cNvGrpSpPr/>
        </xdr:nvGrpSpPr>
        <xdr:grpSpPr>
          <a:xfrm>
            <a:off x="8605630" y="3404152"/>
            <a:ext cx="4174435" cy="4232412"/>
            <a:chOff x="8605630" y="3404152"/>
            <a:chExt cx="4174435" cy="4232412"/>
          </a:xfrm>
        </xdr:grpSpPr>
        <xdr:grpSp>
          <xdr:nvGrpSpPr>
            <xdr:cNvPr id="128" name="Groupe 127">
              <a:extLst>
                <a:ext uri="{FF2B5EF4-FFF2-40B4-BE49-F238E27FC236}">
                  <a16:creationId xmlns:a16="http://schemas.microsoft.com/office/drawing/2014/main" id="{00000000-0008-0000-2E00-000080000000}"/>
                </a:ext>
              </a:extLst>
            </xdr:cNvPr>
            <xdr:cNvGrpSpPr/>
          </xdr:nvGrpSpPr>
          <xdr:grpSpPr>
            <a:xfrm>
              <a:off x="9316277" y="3404152"/>
              <a:ext cx="3463788" cy="3327953"/>
              <a:chOff x="9092647" y="3420717"/>
              <a:chExt cx="3463788" cy="3327953"/>
            </a:xfrm>
          </xdr:grpSpPr>
          <xdr:sp macro="" textlink="">
            <xdr:nvSpPr>
              <xdr:cNvPr id="132" name="Organigramme : Connecteur 131">
                <a:extLst>
                  <a:ext uri="{FF2B5EF4-FFF2-40B4-BE49-F238E27FC236}">
                    <a16:creationId xmlns:a16="http://schemas.microsoft.com/office/drawing/2014/main" id="{00000000-0008-0000-2E00-000084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133" name="Organigramme : Connecteur 132">
                <a:extLst>
                  <a:ext uri="{FF2B5EF4-FFF2-40B4-BE49-F238E27FC236}">
                    <a16:creationId xmlns:a16="http://schemas.microsoft.com/office/drawing/2014/main" id="{00000000-0008-0000-2E00-000085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134" name="Organigramme : Connecteur 133">
                <a:extLst>
                  <a:ext uri="{FF2B5EF4-FFF2-40B4-BE49-F238E27FC236}">
                    <a16:creationId xmlns:a16="http://schemas.microsoft.com/office/drawing/2014/main" id="{00000000-0008-0000-2E00-000086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135" name="Organigramme : Connecteur 134">
                <a:extLst>
                  <a:ext uri="{FF2B5EF4-FFF2-40B4-BE49-F238E27FC236}">
                    <a16:creationId xmlns:a16="http://schemas.microsoft.com/office/drawing/2014/main" id="{00000000-0008-0000-2E00-000087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136" name="Organigramme : Connecteur 135">
                <a:extLst>
                  <a:ext uri="{FF2B5EF4-FFF2-40B4-BE49-F238E27FC236}">
                    <a16:creationId xmlns:a16="http://schemas.microsoft.com/office/drawing/2014/main" id="{00000000-0008-0000-2E00-000088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137" name="Organigramme : Connecteur 136">
                <a:extLst>
                  <a:ext uri="{FF2B5EF4-FFF2-40B4-BE49-F238E27FC236}">
                    <a16:creationId xmlns:a16="http://schemas.microsoft.com/office/drawing/2014/main" id="{00000000-0008-0000-2E00-000089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138" name="Groupe 137">
                <a:extLst>
                  <a:ext uri="{FF2B5EF4-FFF2-40B4-BE49-F238E27FC236}">
                    <a16:creationId xmlns:a16="http://schemas.microsoft.com/office/drawing/2014/main" id="{00000000-0008-0000-2E00-00008A000000}"/>
                  </a:ext>
                </a:extLst>
              </xdr:cNvPr>
              <xdr:cNvGrpSpPr/>
            </xdr:nvGrpSpPr>
            <xdr:grpSpPr>
              <a:xfrm>
                <a:off x="9092647" y="3592995"/>
                <a:ext cx="3463788" cy="3155675"/>
                <a:chOff x="9092647" y="3592995"/>
                <a:chExt cx="3463788" cy="3155675"/>
              </a:xfrm>
            </xdr:grpSpPr>
            <xdr:sp macro="" textlink="">
              <xdr:nvSpPr>
                <xdr:cNvPr id="139" name="Organigramme : Connecteur 138">
                  <a:extLst>
                    <a:ext uri="{FF2B5EF4-FFF2-40B4-BE49-F238E27FC236}">
                      <a16:creationId xmlns:a16="http://schemas.microsoft.com/office/drawing/2014/main" id="{00000000-0008-0000-2E00-00008B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140" name="Organigramme : Connecteur 139">
                  <a:extLst>
                    <a:ext uri="{FF2B5EF4-FFF2-40B4-BE49-F238E27FC236}">
                      <a16:creationId xmlns:a16="http://schemas.microsoft.com/office/drawing/2014/main" id="{00000000-0008-0000-2E00-00008C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Dover!$B$26">
              <xdr:nvSpPr>
                <xdr:cNvPr id="141" name="Organigramme : Connecteur 140">
                  <a:extLst>
                    <a:ext uri="{FF2B5EF4-FFF2-40B4-BE49-F238E27FC236}">
                      <a16:creationId xmlns:a16="http://schemas.microsoft.com/office/drawing/2014/main" id="{00000000-0008-0000-2E00-00008D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DD93E14-63DF-4241-BBB3-AACD627994D3}" type="TxLink">
                    <a:rPr lang="en-US" sz="1100" b="0" i="0" u="none" strike="noStrike">
                      <a:solidFill>
                        <a:srgbClr val="000000"/>
                      </a:solidFill>
                      <a:latin typeface="Calibri"/>
                      <a:cs typeface="Calibri"/>
                    </a:rPr>
                    <a:pPr algn="ctr"/>
                    <a:t> </a:t>
                  </a:fld>
                  <a:endParaRPr lang="fr-FR" sz="1100"/>
                </a:p>
              </xdr:txBody>
            </xdr:sp>
            <xdr:sp macro="" textlink="Mesures_Dover!$B$29">
              <xdr:nvSpPr>
                <xdr:cNvPr id="142" name="Organigramme : Connecteur 141">
                  <a:extLst>
                    <a:ext uri="{FF2B5EF4-FFF2-40B4-BE49-F238E27FC236}">
                      <a16:creationId xmlns:a16="http://schemas.microsoft.com/office/drawing/2014/main" id="{00000000-0008-0000-2E00-00008E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308EAFAD-29B0-419D-BFAA-FC9D68FC884C}" type="TxLink">
                    <a:rPr lang="en-US" sz="1100" b="0" i="0" u="none" strike="noStrike">
                      <a:solidFill>
                        <a:srgbClr val="000000"/>
                      </a:solidFill>
                      <a:latin typeface="Calibri"/>
                      <a:cs typeface="Calibri"/>
                    </a:rPr>
                    <a:pPr algn="ctr"/>
                    <a:t> </a:t>
                  </a:fld>
                  <a:endParaRPr lang="fr-FR" sz="1100"/>
                </a:p>
              </xdr:txBody>
            </xdr:sp>
            <xdr:sp macro="" textlink="Mesures_Dover!$B$31">
              <xdr:nvSpPr>
                <xdr:cNvPr id="143" name="Organigramme : Connecteur 142">
                  <a:extLst>
                    <a:ext uri="{FF2B5EF4-FFF2-40B4-BE49-F238E27FC236}">
                      <a16:creationId xmlns:a16="http://schemas.microsoft.com/office/drawing/2014/main" id="{00000000-0008-0000-2E00-00008F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C292017-121A-44C9-A83F-16BA446853BB}" type="TxLink">
                    <a:rPr lang="en-US" sz="1100" b="0" i="0" u="none" strike="noStrike">
                      <a:solidFill>
                        <a:srgbClr val="000000"/>
                      </a:solidFill>
                      <a:latin typeface="Calibri"/>
                      <a:cs typeface="Calibri"/>
                    </a:rPr>
                    <a:pPr algn="ctr"/>
                    <a:t> </a:t>
                  </a:fld>
                  <a:endParaRPr lang="fr-FR" sz="1100"/>
                </a:p>
              </xdr:txBody>
            </xdr:sp>
            <xdr:sp macro="" textlink="Mesures_Dover!$B$30">
              <xdr:nvSpPr>
                <xdr:cNvPr id="144" name="Organigramme : Connecteur 143">
                  <a:extLst>
                    <a:ext uri="{FF2B5EF4-FFF2-40B4-BE49-F238E27FC236}">
                      <a16:creationId xmlns:a16="http://schemas.microsoft.com/office/drawing/2014/main" id="{00000000-0008-0000-2E00-000090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59F68AC-F44E-4A77-89D3-2785618C6252}" type="TxLink">
                    <a:rPr lang="en-US" sz="1100" b="0" i="0" u="none" strike="noStrike">
                      <a:solidFill>
                        <a:srgbClr val="000000"/>
                      </a:solidFill>
                      <a:latin typeface="Calibri"/>
                      <a:cs typeface="Calibri"/>
                    </a:rPr>
                    <a:pPr algn="ctr"/>
                    <a:t> </a:t>
                  </a:fld>
                  <a:endParaRPr lang="fr-FR" sz="1100"/>
                </a:p>
              </xdr:txBody>
            </xdr:sp>
            <xdr:sp macro="" textlink="Mesures_Dover!$C$31">
              <xdr:nvSpPr>
                <xdr:cNvPr id="145" name="Organigramme : Connecteur 144">
                  <a:extLst>
                    <a:ext uri="{FF2B5EF4-FFF2-40B4-BE49-F238E27FC236}">
                      <a16:creationId xmlns:a16="http://schemas.microsoft.com/office/drawing/2014/main" id="{00000000-0008-0000-2E00-000091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BC0F6F6-0ADB-4497-A81F-1D5F8F2EA799}" type="TxLink">
                    <a:rPr lang="en-US" sz="1100" b="0" i="0" u="none" strike="noStrike">
                      <a:solidFill>
                        <a:srgbClr val="000000"/>
                      </a:solidFill>
                      <a:latin typeface="Calibri"/>
                      <a:cs typeface="Calibri"/>
                    </a:rPr>
                    <a:pPr algn="ctr"/>
                    <a:t> </a:t>
                  </a:fld>
                  <a:endParaRPr lang="fr-FR" sz="1100"/>
                </a:p>
              </xdr:txBody>
            </xdr:sp>
            <xdr:sp macro="" textlink="Mesures_Dover!$C$26">
              <xdr:nvSpPr>
                <xdr:cNvPr id="146" name="Organigramme : Connecteur 145">
                  <a:extLst>
                    <a:ext uri="{FF2B5EF4-FFF2-40B4-BE49-F238E27FC236}">
                      <a16:creationId xmlns:a16="http://schemas.microsoft.com/office/drawing/2014/main" id="{00000000-0008-0000-2E00-000092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0119BF3-9914-48E1-8CEC-B275B15C1A45}" type="TxLink">
                    <a:rPr lang="en-US" sz="1100" b="0" i="0" u="none" strike="noStrike">
                      <a:solidFill>
                        <a:srgbClr val="000000"/>
                      </a:solidFill>
                      <a:latin typeface="Calibri"/>
                      <a:cs typeface="Calibri"/>
                    </a:rPr>
                    <a:pPr algn="ctr"/>
                    <a:t> </a:t>
                  </a:fld>
                  <a:endParaRPr lang="fr-FR" sz="1100"/>
                </a:p>
              </xdr:txBody>
            </xdr:sp>
            <xdr:sp macro="" textlink="Mesures_Dover!$C$30">
              <xdr:nvSpPr>
                <xdr:cNvPr id="147" name="Organigramme : Connecteur 146">
                  <a:extLst>
                    <a:ext uri="{FF2B5EF4-FFF2-40B4-BE49-F238E27FC236}">
                      <a16:creationId xmlns:a16="http://schemas.microsoft.com/office/drawing/2014/main" id="{00000000-0008-0000-2E00-000093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C0D18D-B8DC-4B56-A126-EB1D88366C36}" type="TxLink">
                    <a:rPr lang="en-US" sz="1100" b="0" i="0" u="none" strike="noStrike">
                      <a:solidFill>
                        <a:srgbClr val="000000"/>
                      </a:solidFill>
                      <a:latin typeface="Calibri"/>
                      <a:cs typeface="Calibri"/>
                    </a:rPr>
                    <a:pPr algn="ctr"/>
                    <a:t> </a:t>
                  </a:fld>
                  <a:endParaRPr lang="fr-FR" sz="1100"/>
                </a:p>
              </xdr:txBody>
            </xdr:sp>
            <xdr:sp macro="" textlink="Mesures_Dover!$C$29">
              <xdr:nvSpPr>
                <xdr:cNvPr id="148" name="Organigramme : Connecteur 147">
                  <a:extLst>
                    <a:ext uri="{FF2B5EF4-FFF2-40B4-BE49-F238E27FC236}">
                      <a16:creationId xmlns:a16="http://schemas.microsoft.com/office/drawing/2014/main" id="{00000000-0008-0000-2E00-000094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D4186E7-66C5-44C8-BE85-BE32FAE084C1}" type="TxLink">
                    <a:rPr lang="en-US" sz="1100" b="0" i="0" u="none" strike="noStrike">
                      <a:solidFill>
                        <a:srgbClr val="000000"/>
                      </a:solidFill>
                      <a:latin typeface="Calibri"/>
                      <a:cs typeface="Calibri"/>
                    </a:rPr>
                    <a:pPr algn="ctr"/>
                    <a:t> </a:t>
                  </a:fld>
                  <a:endParaRPr lang="fr-FR" sz="1100"/>
                </a:p>
              </xdr:txBody>
            </xdr:sp>
            <xdr:grpSp>
              <xdr:nvGrpSpPr>
                <xdr:cNvPr id="149" name="Groupe 148">
                  <a:extLst>
                    <a:ext uri="{FF2B5EF4-FFF2-40B4-BE49-F238E27FC236}">
                      <a16:creationId xmlns:a16="http://schemas.microsoft.com/office/drawing/2014/main" id="{00000000-0008-0000-2E00-000095000000}"/>
                    </a:ext>
                  </a:extLst>
                </xdr:cNvPr>
                <xdr:cNvGrpSpPr/>
              </xdr:nvGrpSpPr>
              <xdr:grpSpPr>
                <a:xfrm>
                  <a:off x="9230139" y="3592995"/>
                  <a:ext cx="3326296" cy="2792482"/>
                  <a:chOff x="9230139" y="3592995"/>
                  <a:chExt cx="3326296" cy="2792482"/>
                </a:xfrm>
              </xdr:grpSpPr>
              <xdr:grpSp>
                <xdr:nvGrpSpPr>
                  <xdr:cNvPr id="150" name="Groupe 149">
                    <a:extLst>
                      <a:ext uri="{FF2B5EF4-FFF2-40B4-BE49-F238E27FC236}">
                        <a16:creationId xmlns:a16="http://schemas.microsoft.com/office/drawing/2014/main" id="{00000000-0008-0000-2E00-000096000000}"/>
                      </a:ext>
                    </a:extLst>
                  </xdr:cNvPr>
                  <xdr:cNvGrpSpPr/>
                </xdr:nvGrpSpPr>
                <xdr:grpSpPr>
                  <a:xfrm>
                    <a:off x="9310480" y="3635237"/>
                    <a:ext cx="2949367" cy="2750240"/>
                    <a:chOff x="9320893" y="3638550"/>
                    <a:chExt cx="2950550" cy="2755446"/>
                  </a:xfrm>
                </xdr:grpSpPr>
                <xdr:sp macro="" textlink="">
                  <xdr:nvSpPr>
                    <xdr:cNvPr id="159" name="Cube 158">
                      <a:extLst>
                        <a:ext uri="{FF2B5EF4-FFF2-40B4-BE49-F238E27FC236}">
                          <a16:creationId xmlns:a16="http://schemas.microsoft.com/office/drawing/2014/main" id="{00000000-0008-0000-2E00-00009F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160" name="Connecteur droit 159">
                      <a:extLst>
                        <a:ext uri="{FF2B5EF4-FFF2-40B4-BE49-F238E27FC236}">
                          <a16:creationId xmlns:a16="http://schemas.microsoft.com/office/drawing/2014/main" id="{00000000-0008-0000-2E00-0000A0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61" name="Connecteur droit 160">
                      <a:extLst>
                        <a:ext uri="{FF2B5EF4-FFF2-40B4-BE49-F238E27FC236}">
                          <a16:creationId xmlns:a16="http://schemas.microsoft.com/office/drawing/2014/main" id="{00000000-0008-0000-2E00-0000A1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62" name="Connecteur droit 161">
                      <a:extLst>
                        <a:ext uri="{FF2B5EF4-FFF2-40B4-BE49-F238E27FC236}">
                          <a16:creationId xmlns:a16="http://schemas.microsoft.com/office/drawing/2014/main" id="{00000000-0008-0000-2E00-0000A2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Dover!$B$24">
                <xdr:nvSpPr>
                  <xdr:cNvPr id="151" name="Organigramme : Connecteur 150">
                    <a:extLst>
                      <a:ext uri="{FF2B5EF4-FFF2-40B4-BE49-F238E27FC236}">
                        <a16:creationId xmlns:a16="http://schemas.microsoft.com/office/drawing/2014/main" id="{00000000-0008-0000-2E00-000097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9C97EF-C8F4-4357-9020-54BC77B991DB}" type="TxLink">
                      <a:rPr lang="en-US" sz="1100" b="0" i="0" u="none" strike="noStrike">
                        <a:solidFill>
                          <a:srgbClr val="000000"/>
                        </a:solidFill>
                        <a:latin typeface="Calibri"/>
                        <a:cs typeface="Calibri"/>
                      </a:rPr>
                      <a:pPr algn="ctr"/>
                      <a:t> </a:t>
                    </a:fld>
                    <a:endParaRPr lang="fr-FR" sz="1100"/>
                  </a:p>
                </xdr:txBody>
              </xdr:sp>
              <xdr:sp macro="" textlink="Mesures_Dover!$C$24">
                <xdr:nvSpPr>
                  <xdr:cNvPr id="152" name="Organigramme : Connecteur 151">
                    <a:extLst>
                      <a:ext uri="{FF2B5EF4-FFF2-40B4-BE49-F238E27FC236}">
                        <a16:creationId xmlns:a16="http://schemas.microsoft.com/office/drawing/2014/main" id="{00000000-0008-0000-2E00-000098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4E65201-D6CD-4330-ADEF-6C46F4DF669A}" type="TxLink">
                      <a:rPr lang="en-US" sz="1100" b="0" i="0" u="none" strike="noStrike">
                        <a:solidFill>
                          <a:srgbClr val="000000"/>
                        </a:solidFill>
                        <a:latin typeface="Calibri"/>
                        <a:cs typeface="Calibri"/>
                      </a:rPr>
                      <a:pPr algn="ctr"/>
                      <a:t> </a:t>
                    </a:fld>
                    <a:endParaRPr lang="fr-FR" sz="1100"/>
                  </a:p>
                </xdr:txBody>
              </xdr:sp>
              <xdr:sp macro="" textlink="Mesures_Dover!$B$25">
                <xdr:nvSpPr>
                  <xdr:cNvPr id="153" name="Organigramme : Connecteur 152">
                    <a:extLst>
                      <a:ext uri="{FF2B5EF4-FFF2-40B4-BE49-F238E27FC236}">
                        <a16:creationId xmlns:a16="http://schemas.microsoft.com/office/drawing/2014/main" id="{00000000-0008-0000-2E00-000099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0342CB-B341-47F7-A869-A38697F38B19}" type="TxLink">
                      <a:rPr lang="en-US" sz="1100" b="0" i="0" u="none" strike="noStrike">
                        <a:solidFill>
                          <a:srgbClr val="000000"/>
                        </a:solidFill>
                        <a:latin typeface="Calibri"/>
                        <a:cs typeface="Calibri"/>
                      </a:rPr>
                      <a:pPr algn="ctr"/>
                      <a:t> </a:t>
                    </a:fld>
                    <a:endParaRPr lang="fr-FR" sz="1100"/>
                  </a:p>
                </xdr:txBody>
              </xdr:sp>
              <xdr:sp macro="" textlink="Mesures_Dover!$B$28">
                <xdr:nvSpPr>
                  <xdr:cNvPr id="154" name="Organigramme : Connecteur 153">
                    <a:extLst>
                      <a:ext uri="{FF2B5EF4-FFF2-40B4-BE49-F238E27FC236}">
                        <a16:creationId xmlns:a16="http://schemas.microsoft.com/office/drawing/2014/main" id="{00000000-0008-0000-2E00-00009A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CD477E7-5122-4353-BF5C-FB3DBABF1B76}" type="TxLink">
                      <a:rPr lang="en-US" sz="1100" b="0" i="0" u="none" strike="noStrike">
                        <a:solidFill>
                          <a:srgbClr val="000000"/>
                        </a:solidFill>
                        <a:latin typeface="Calibri"/>
                        <a:cs typeface="Calibri"/>
                      </a:rPr>
                      <a:pPr algn="ctr"/>
                      <a:t> </a:t>
                    </a:fld>
                    <a:endParaRPr lang="fr-FR" sz="1100"/>
                  </a:p>
                </xdr:txBody>
              </xdr:sp>
              <xdr:sp macro="" textlink="Mesures_Dover!$B$32">
                <xdr:nvSpPr>
                  <xdr:cNvPr id="155" name="Organigramme : Connecteur 154">
                    <a:extLst>
                      <a:ext uri="{FF2B5EF4-FFF2-40B4-BE49-F238E27FC236}">
                        <a16:creationId xmlns:a16="http://schemas.microsoft.com/office/drawing/2014/main" id="{00000000-0008-0000-2E00-00009B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D0E448E-47CD-4EFE-93D2-A272CA4AD50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Dover!$C$32">
                <xdr:nvSpPr>
                  <xdr:cNvPr id="156" name="Organigramme : Connecteur 155">
                    <a:extLst>
                      <a:ext uri="{FF2B5EF4-FFF2-40B4-BE49-F238E27FC236}">
                        <a16:creationId xmlns:a16="http://schemas.microsoft.com/office/drawing/2014/main" id="{00000000-0008-0000-2E00-00009C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BDF0DC-DCD8-4689-8AE1-E0320EA187BE}" type="TxLink">
                      <a:rPr lang="en-US" sz="1100" b="0" i="0" u="none" strike="noStrike">
                        <a:solidFill>
                          <a:srgbClr val="000000"/>
                        </a:solidFill>
                        <a:latin typeface="Calibri"/>
                        <a:cs typeface="Calibri"/>
                      </a:rPr>
                      <a:pPr algn="ctr"/>
                      <a:t> </a:t>
                    </a:fld>
                    <a:endParaRPr lang="fr-FR" sz="1100"/>
                  </a:p>
                </xdr:txBody>
              </xdr:sp>
              <xdr:sp macro="" textlink="Mesures_Dover!$C$28">
                <xdr:nvSpPr>
                  <xdr:cNvPr id="157" name="Organigramme : Connecteur 156">
                    <a:extLst>
                      <a:ext uri="{FF2B5EF4-FFF2-40B4-BE49-F238E27FC236}">
                        <a16:creationId xmlns:a16="http://schemas.microsoft.com/office/drawing/2014/main" id="{00000000-0008-0000-2E00-00009D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FFE3BD-B234-43F2-B012-BDBF0AF40547}" type="TxLink">
                      <a:rPr lang="en-US" sz="1100" b="0" i="0" u="none" strike="noStrike">
                        <a:solidFill>
                          <a:srgbClr val="000000"/>
                        </a:solidFill>
                        <a:latin typeface="Calibri"/>
                        <a:cs typeface="Calibri"/>
                      </a:rPr>
                      <a:pPr algn="ctr"/>
                      <a:t> </a:t>
                    </a:fld>
                    <a:endParaRPr lang="fr-FR" sz="1100"/>
                  </a:p>
                </xdr:txBody>
              </xdr:sp>
              <xdr:sp macro="" textlink="Mesures_Dover!$C$25">
                <xdr:nvSpPr>
                  <xdr:cNvPr id="158" name="Organigramme : Connecteur 157">
                    <a:extLst>
                      <a:ext uri="{FF2B5EF4-FFF2-40B4-BE49-F238E27FC236}">
                        <a16:creationId xmlns:a16="http://schemas.microsoft.com/office/drawing/2014/main" id="{00000000-0008-0000-2E00-00009E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B5A95D-B9BF-4D8A-8FD1-12435FEEAE77}" type="TxLink">
                      <a:rPr lang="en-US" sz="1100" b="0" i="0" u="none" strike="noStrike">
                        <a:solidFill>
                          <a:srgbClr val="000000"/>
                        </a:solidFill>
                        <a:latin typeface="Calibri"/>
                        <a:cs typeface="Calibri"/>
                      </a:rPr>
                      <a:pPr algn="ctr"/>
                      <a:t> </a:t>
                    </a:fld>
                    <a:endParaRPr lang="fr-FR" sz="1100"/>
                  </a:p>
                </xdr:txBody>
              </xdr:sp>
            </xdr:grpSp>
          </xdr:grpSp>
        </xdr:grpSp>
        <xdr:sp macro="" textlink="$B$24">
          <xdr:nvSpPr>
            <xdr:cNvPr id="129" name="Organigramme : Connecteur 128">
              <a:extLst>
                <a:ext uri="{FF2B5EF4-FFF2-40B4-BE49-F238E27FC236}">
                  <a16:creationId xmlns:a16="http://schemas.microsoft.com/office/drawing/2014/main" id="{00000000-0008-0000-2E00-000081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4">
          <xdr:nvSpPr>
            <xdr:cNvPr id="130" name="Organigramme : Connecteur 129">
              <a:extLst>
                <a:ext uri="{FF2B5EF4-FFF2-40B4-BE49-F238E27FC236}">
                  <a16:creationId xmlns:a16="http://schemas.microsoft.com/office/drawing/2014/main" id="{00000000-0008-0000-2E00-000082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31" name="ZoneTexte 130">
              <a:extLst>
                <a:ext uri="{FF2B5EF4-FFF2-40B4-BE49-F238E27FC236}">
                  <a16:creationId xmlns:a16="http://schemas.microsoft.com/office/drawing/2014/main" id="{00000000-0008-0000-2E00-00008300000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3220407-6199-4411-81EC-9706C9B63A31}" name="tab_transfert80" displayName="tab_transfert80" ref="A1:J2" totalsRowShown="0" headerRowDxfId="185" dataDxfId="184">
  <autoFilter ref="A1:J2" xr:uid="{A3220407-6199-4411-81EC-9706C9B63A31}"/>
  <tableColumns count="10">
    <tableColumn id="1" xr3:uid="{DBE75950-3ABD-4A1D-9011-6F9015F232BF}" name="Date/Heure" dataDxfId="183"/>
    <tableColumn id="2" xr3:uid="{C55189E6-EB7A-4F02-834F-ADD328F5A311}" name="Connecteur 1" dataDxfId="182"/>
    <tableColumn id="3" xr3:uid="{AADD39E2-C5B5-4662-BA30-1FC01B365A33}" name="Connecteur 2" dataDxfId="181"/>
    <tableColumn id="4" xr3:uid="{55D2ECF7-256E-43D6-ABE2-A34C1D38FD8B}" name="Connecteur 3" dataDxfId="180"/>
    <tableColumn id="5" xr3:uid="{4259CE7A-1E59-45E7-9429-5D38325EBE80}" name="Connecteur 4" dataDxfId="179"/>
    <tableColumn id="6" xr3:uid="{E1729946-1428-4D1E-8AFB-F56E6D9C3E06}" name="Connecteur 5" dataDxfId="178"/>
    <tableColumn id="7" xr3:uid="{22EB137D-2F68-4FE1-AE9D-17F3F12E0750}" name="Connecteur 6" dataDxfId="177"/>
    <tableColumn id="8" xr3:uid="{8B9A5FC0-4195-4BD8-8CC1-07D15523E90F}" name="Connecteur 7" dataDxfId="176"/>
    <tableColumn id="9" xr3:uid="{C2A42E8C-7D2F-421B-A94A-A0A14ACDD531}" name="Connecteur 8" dataDxfId="175"/>
    <tableColumn id="10" xr3:uid="{C4B56253-201C-4589-8B0B-C10719F1B09A}" name="Connecteur 9" dataDxfId="174"/>
  </tableColumns>
  <tableStyleInfo name="Style de tableau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B58C036-BE9F-45DD-89F6-7FFAE7261A52}" name="tab_transfert200" displayName="tab_transfert200" ref="A1:J2" totalsRowShown="0" headerRowDxfId="173" dataDxfId="172">
  <autoFilter ref="A1:J2" xr:uid="{7B58C036-BE9F-45DD-89F6-7FFAE7261A52}"/>
  <tableColumns count="10">
    <tableColumn id="1" xr3:uid="{15795ED4-7E87-4510-AEFE-F0B3FE88273C}" name="Date/Heure" dataDxfId="171"/>
    <tableColumn id="2" xr3:uid="{199D0401-3516-4DD3-A5BC-2448523826D1}" name="Connecteur 1" dataDxfId="170"/>
    <tableColumn id="3" xr3:uid="{FBBA962A-B1D9-48E4-A6C7-37DE165CB72D}" name="Connecteur 2" dataDxfId="169"/>
    <tableColumn id="4" xr3:uid="{36698CE3-1797-42AE-8637-1027FCE68C1A}" name="Connecteur 3" dataDxfId="168"/>
    <tableColumn id="5" xr3:uid="{C49670DB-2F39-4C20-92DB-8BA217F08381}" name="Connecteur 4" dataDxfId="167"/>
    <tableColumn id="6" xr3:uid="{07A77742-2E5F-475E-98E2-7261FBEC422F}" name="Connecteur 5" dataDxfId="166"/>
    <tableColumn id="7" xr3:uid="{53D69599-6677-4031-B112-D8B734960159}" name="Connecteur 6" dataDxfId="165"/>
    <tableColumn id="8" xr3:uid="{E7484F1D-635C-4532-B1E1-898BAFAC3FE6}" name="Connecteur 7" dataDxfId="164"/>
    <tableColumn id="9" xr3:uid="{5C273835-2721-4F07-A784-6B0F3DFDE661}" name="Connecteur 8" dataDxfId="163"/>
    <tableColumn id="10" xr3:uid="{90D15708-A48E-4326-BCC7-C6DA63B4B763}" name="Connecteur 9" dataDxfId="162"/>
  </tableColumns>
  <tableStyleInfo name="Style de tableau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C535B93-49D5-4C0E-9722-3F012900CB12}" name="tab_transfert385" displayName="tab_transfert385" ref="A1:J2" totalsRowShown="0" headerRowDxfId="161" dataDxfId="160">
  <autoFilter ref="A1:J2" xr:uid="{AC535B93-49D5-4C0E-9722-3F012900CB12}"/>
  <tableColumns count="10">
    <tableColumn id="1" xr3:uid="{5BC26925-2B38-491F-AF44-61CA735710C4}" name="Date/Heure" dataDxfId="159"/>
    <tableColumn id="2" xr3:uid="{FC46513C-6376-44A5-890E-FB5B23A18B84}" name="Connecteur 1" dataDxfId="158"/>
    <tableColumn id="3" xr3:uid="{E9882541-6C92-48CF-BBC7-BB8247ED41B0}" name="Connecteur 2" dataDxfId="157"/>
    <tableColumn id="4" xr3:uid="{99ED9C46-0716-4B4B-BF48-44448B66E193}" name="Connecteur 3" dataDxfId="156"/>
    <tableColumn id="5" xr3:uid="{3785B769-5701-4A9A-A865-341BE198505D}" name="Connecteur 4" dataDxfId="155"/>
    <tableColumn id="6" xr3:uid="{DA59D146-9DB1-467E-B9D1-9E6D55D49F40}" name="Connecteur 5" dataDxfId="154"/>
    <tableColumn id="7" xr3:uid="{556C6545-1358-49CB-8B0F-45F46983EEEB}" name="Connecteur 6" dataDxfId="153"/>
    <tableColumn id="8" xr3:uid="{8C0AC3D9-ECE6-47EF-B270-1F97BBA3EBD9}" name="Connecteur 7" dataDxfId="152"/>
    <tableColumn id="9" xr3:uid="{C03CDE2E-7C8A-456B-AFBE-9A37784F1B3F}" name="Connecteur 8" dataDxfId="151"/>
    <tableColumn id="10" xr3:uid="{967ED64B-66B6-48F2-AA0A-7283094AA8E5}" name="Connecteur 9" dataDxfId="150"/>
  </tableColumns>
  <tableStyleInfo name="Style de tableau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B03FD33-37C9-440C-98B6-D9930D8E7785}" name="tab_transfert535" displayName="tab_transfert535" ref="A1:J2" totalsRowShown="0" headerRowDxfId="149" dataDxfId="148">
  <autoFilter ref="A1:J2" xr:uid="{0B03FD33-37C9-440C-98B6-D9930D8E7785}"/>
  <tableColumns count="10">
    <tableColumn id="1" xr3:uid="{02610730-F102-491A-8AA5-C83364B22E3F}" name="Date/Heure" dataDxfId="147"/>
    <tableColumn id="2" xr3:uid="{CADE2850-EDD1-4629-BFF9-DF3081FF980B}" name="Connecteur 1" dataDxfId="146"/>
    <tableColumn id="3" xr3:uid="{16CBF88E-ABF6-41AB-837C-AFDA5791D07D}" name="Connecteur 2" dataDxfId="145"/>
    <tableColumn id="4" xr3:uid="{9BF1A0F2-E85E-4539-ADB1-1D67D401844E}" name="Connecteur 3" dataDxfId="144"/>
    <tableColumn id="5" xr3:uid="{F7DF1D28-E04A-41CB-88F7-B2422BFAA719}" name="Connecteur 4" dataDxfId="143"/>
    <tableColumn id="6" xr3:uid="{78099FA6-73EA-4E8C-B270-77E5EF5CC531}" name="Connecteur 5" dataDxfId="142"/>
    <tableColumn id="7" xr3:uid="{3AED2108-0C09-4852-87C7-EC58FA856091}" name="Connecteur 6" dataDxfId="141"/>
    <tableColumn id="8" xr3:uid="{1610CFFF-D4E0-4DC6-B113-CC8D6B199E32}" name="Connecteur 7" dataDxfId="140"/>
    <tableColumn id="9" xr3:uid="{10030F88-C7B1-4A86-9248-380310E8ED75}" name="Connecteur 8" dataDxfId="139"/>
    <tableColumn id="10" xr3:uid="{9F3CD16B-A5BD-4789-8B18-A4B913D17EE2}" name="Connecteur 9" dataDxfId="138"/>
  </tableColumns>
  <tableStyleInfo name="Style de tableau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79CD2E1-AF7A-4C46-8E3C-ADBE233AE740}" name="tab_four80" displayName="tab_four80" ref="A1:E2" totalsRowShown="0" headerRowDxfId="137" dataDxfId="136">
  <autoFilter ref="A1:E2" xr:uid="{379CD2E1-AF7A-4C46-8E3C-ADBE233AE740}"/>
  <tableColumns count="5">
    <tableColumn id="1" xr3:uid="{9B884FF2-B992-49DC-9A46-4F8C53769A62}" name="Date/Heure" dataDxfId="135"/>
    <tableColumn id="2" xr3:uid="{1D504192-08F7-43DA-8A11-60D47A8A4CC9}" name="Pt Froid" dataDxfId="134"/>
    <tableColumn id="3" xr3:uid="{A410DC0A-6051-434D-9F5B-C203DF60BE17}" name="Regulation" dataDxfId="133"/>
    <tableColumn id="4" xr3:uid="{791EBD68-8612-4890-9FAD-4AE2064BF1C9}" name="Pt Chaud" dataDxfId="132"/>
    <tableColumn id="5" xr3:uid="{3DEE775C-E739-4CE1-A101-6A1312402D91}" name="Consigne T°" dataDxfId="131"/>
  </tableColumns>
  <tableStyleInfo name="Style de tableau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9EA353C-4D51-4794-8413-02ADDF49E149}" name="tab_four200" displayName="tab_four200" ref="A1:E2" totalsRowShown="0" dataDxfId="130">
  <autoFilter ref="A1:E2" xr:uid="{A9EA353C-4D51-4794-8413-02ADDF49E149}"/>
  <tableColumns count="5">
    <tableColumn id="1" xr3:uid="{7379CADE-2609-47E7-A72F-E373C2BC43A0}" name="Date/Heure" dataDxfId="129"/>
    <tableColumn id="2" xr3:uid="{EA0BDD49-5C4C-4E3D-9D1A-E9EEF7880B5C}" name="Pt Froid" dataDxfId="128"/>
    <tableColumn id="3" xr3:uid="{367A1310-12FF-4590-B743-B04BB328514B}" name="Regulation" dataDxfId="127"/>
    <tableColumn id="4" xr3:uid="{8BDBEF48-B23A-48FE-9A71-B50F7728C4D5}" name="Pt Chaud" dataDxfId="126"/>
    <tableColumn id="5" xr3:uid="{55BC97C4-9E8C-4EDB-BD89-69FF260BF102}" name="Consigne T°" dataDxfId="125"/>
  </tableColumns>
  <tableStyleInfo name="Style de tableau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8D3FEF1-285E-4CEE-BFA9-1B473E0DA3BF}" name="tab_four385" displayName="tab_four385" ref="A1:E2" totalsRowShown="0" dataDxfId="124">
  <autoFilter ref="A1:E2" xr:uid="{D8D3FEF1-285E-4CEE-BFA9-1B473E0DA3BF}"/>
  <tableColumns count="5">
    <tableColumn id="1" xr3:uid="{E74DC693-A4DF-4531-A8AD-64477626BA48}" name="Date/Heure" dataDxfId="123"/>
    <tableColumn id="2" xr3:uid="{40E02439-7B43-4BDE-B79C-986D2B5E73EA}" name="Pt Froid" dataDxfId="122"/>
    <tableColumn id="3" xr3:uid="{1EEF40A1-882D-4642-89B0-A6CFDBBC02C3}" name="Regulation" dataDxfId="121"/>
    <tableColumn id="4" xr3:uid="{E825D205-23AD-42A0-9F41-2939BD7D4F9B}" name="Pt Chaud" dataDxfId="120"/>
    <tableColumn id="5" xr3:uid="{74DF8E94-3A8F-4556-A1EB-1D1F23F58804}" name="Consigne T°" dataDxfId="119"/>
  </tableColumns>
  <tableStyleInfo name="Style de tableau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0FBF2F2-4DCC-4307-AF98-C9FE32FE96DB}" name="tab_four535" displayName="tab_four535" ref="A1:E2" totalsRowShown="0" dataDxfId="118">
  <autoFilter ref="A1:E2" xr:uid="{A0FBF2F2-4DCC-4307-AF98-C9FE32FE96DB}"/>
  <tableColumns count="5">
    <tableColumn id="1" xr3:uid="{D6F16877-04D9-4ABB-B134-2DE51D9B78FE}" name="Date/Heure" dataDxfId="117"/>
    <tableColumn id="2" xr3:uid="{D2566580-8B2F-4A0D-82CF-0C969AB1CBFB}" name="Pt Froid" dataDxfId="116"/>
    <tableColumn id="3" xr3:uid="{8CC81B64-B87F-4904-B484-27EE57536636}" name="Regulation" dataDxfId="115"/>
    <tableColumn id="4" xr3:uid="{A1C20226-B6E7-4C33-A8D1-4C78DC057BA4}" name="Pt Chaud" dataDxfId="114"/>
    <tableColumn id="5" xr3:uid="{044D41DC-25B1-4089-9A83-A965718F2C35}" name="Consigne T°" dataDxfId="113"/>
  </tableColumns>
  <tableStyleInfo name="Style de tableau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EBCBAA3-802A-4FF5-B84A-5D68E9F20235}" name="Valeurs_Brutes_Ressuage_BCH" displayName="Valeurs_Brutes_Ressuage_BCH" ref="A1:K2" totalsRowShown="0">
  <autoFilter ref="A1:K2" xr:uid="{498CA035-7182-4959-95BD-969D4A12EFC9}"/>
  <tableColumns count="11">
    <tableColumn id="1" xr3:uid="{8ED4DD6E-1382-4B8A-88A5-3AC79DB516FD}" name="Date/Heure" dataDxfId="112"/>
    <tableColumn id="2" xr3:uid="{CA447312-E802-4682-A86B-C621C3C33999}" name="Connecteur 1"/>
    <tableColumn id="3" xr3:uid="{4E42D113-CCED-4AB5-8642-E73C51B694F6}" name="Connecteur 2"/>
    <tableColumn id="4" xr3:uid="{44A5C675-1C4F-413B-A01E-5092DD5608A3}" name="Connecteur 3"/>
    <tableColumn id="5" xr3:uid="{E3CCEFC6-7001-4B58-AB04-4D793E1D0D57}" name="Connecteur 4"/>
    <tableColumn id="6" xr3:uid="{69D6A8C8-F9C6-4AFA-A96F-5A06DA91CB19}" name="Connecteur 5"/>
    <tableColumn id="7" xr3:uid="{C9AE996B-62B6-459A-8CBA-0B10E944A048}" name="Connecteur 6"/>
    <tableColumn id="8" xr3:uid="{75B067C2-06C1-4BAF-94B1-4CB8DC5B4CCD}" name="Connecteur 7"/>
    <tableColumn id="9" xr3:uid="{D0A041EB-0001-4AD8-94C0-F944068E9D48}" name="Connecteur 8"/>
    <tableColumn id="10" xr3:uid="{EA3933FD-BAC9-43B4-8E9F-C83FE7670F1A}" name="Connecteur 9"/>
    <tableColumn id="11" xr3:uid="{2DE43887-5704-47BB-B4DC-CA3CF2C3AD14}" name="Connecteur 10"/>
  </tableColumns>
  <tableStyleInfo name="TableStyleLight2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8CA035-7182-4959-95BD-969D4A12EFC9}" name="Valeurs_Brutes_Congel" displayName="Valeurs_Brutes_Congel" ref="A1:M2" totalsRowShown="0">
  <autoFilter ref="A1:M2" xr:uid="{498CA035-7182-4959-95BD-969D4A12EFC9}"/>
  <tableColumns count="13">
    <tableColumn id="1" xr3:uid="{BEDCB300-CA5E-4C62-94EB-0D242B95DD11}" name="Date/Heure" dataDxfId="100"/>
    <tableColumn id="2" xr3:uid="{932CB7E8-B6B3-4936-BC23-921F591A2EAD}" name="Connecteur 1"/>
    <tableColumn id="3" xr3:uid="{D6FED4C3-E5C3-4E98-BF5A-71A59D0D9BDB}" name="Connecteur 2"/>
    <tableColumn id="4" xr3:uid="{C00A07C4-90F9-4864-B8EB-B40DF1C25F75}" name="Connecteur 3"/>
    <tableColumn id="5" xr3:uid="{C2005F94-CC6D-4834-AD52-1155FC1F3D9F}" name="Connecteur 4"/>
    <tableColumn id="6" xr3:uid="{7E85A7AF-0596-44E0-AFAD-99FF356283D9}" name="Connecteur 5"/>
    <tableColumn id="7" xr3:uid="{3B029D36-3D79-42B9-8388-56C2BC468961}" name="Connecteur 6"/>
    <tableColumn id="8" xr3:uid="{01097E44-84A3-483A-80FC-2B1A6BD7A8B9}" name="Connecteur 7"/>
    <tableColumn id="9" xr3:uid="{2FC0ED36-8E1E-4F18-A6F4-7DAA8D5C822C}" name="Connecteur 8"/>
    <tableColumn id="10" xr3:uid="{7BCFC3A5-52F3-4259-A3D8-3D5576683B22}" name="Connecteur 9"/>
    <tableColumn id="11" xr3:uid="{5C1CA195-BBD1-40C0-A11F-A7E513BD7225}" name="Connecteur 10"/>
    <tableColumn id="12" xr3:uid="{964C97DA-7F8B-4CDB-8440-F40C5A2CB0FD}" name="Connecteur 11"/>
    <tableColumn id="13" xr3:uid="{069B02A3-7B26-4A49-99AD-B0D3E6B4E2EA}" name="Connecteur 12"/>
  </tableColumns>
  <tableStyleInfo name="TableStyleLight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2EB5F18-FC61-4025-9A0A-6CF5E42B725D}" name="Valeurs_Brutes_Sechoir" displayName="Valeurs_Brutes_Sechoir" ref="A1:J2" totalsRowShown="0">
  <autoFilter ref="A1:J2" xr:uid="{498CA035-7182-4959-95BD-969D4A12EFC9}"/>
  <tableColumns count="10">
    <tableColumn id="1" xr3:uid="{E6BF5BD2-7528-4E1D-A6CD-439C0C43C0C9}" name="Date/Heure" dataDxfId="111"/>
    <tableColumn id="2" xr3:uid="{68579C5D-0250-4B60-A903-E91A87848FAE}" name="Connecteur 1"/>
    <tableColumn id="3" xr3:uid="{9A112675-E9BF-4CCC-9BFC-D8D5F4884A8E}" name="Connecteur 2"/>
    <tableColumn id="4" xr3:uid="{D5247585-3722-4759-B4C9-B6730E68CC7A}" name="Connecteur 3"/>
    <tableColumn id="5" xr3:uid="{92396A06-F3C2-4C84-8314-AE4EFB5D4875}" name="Connecteur 4"/>
    <tableColumn id="6" xr3:uid="{CA40BDC1-1D99-40A5-88F7-02BD2F542283}" name="Connecteur 5"/>
    <tableColumn id="7" xr3:uid="{EB6FE920-051D-4410-BDCC-AED638C1F2C5}" name="Connecteur 6" dataDxfId="110"/>
    <tableColumn id="8" xr3:uid="{D0E28A32-95DA-4050-AC7F-DF56082C1062}" name="Connecteur 7" dataDxfId="109"/>
    <tableColumn id="9" xr3:uid="{A5310FC2-C94B-4610-B3D3-B72F7C40F80F}" name="Connecteur 8" dataDxfId="108"/>
    <tableColumn id="10" xr3:uid="{5493D449-287B-46FD-90AB-57C33BC1800D}" name="Connecteur 9" dataDxfId="107"/>
  </tableColumns>
  <tableStyleInfo name="TableStyleLight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7D7AB2A-377A-4694-B640-5BFB20628674}" name="Donnees_Brutes_Omia_1" displayName="Donnees_Brutes_Omia_1" ref="A1:N2" totalsRowShown="0">
  <autoFilter ref="A1:N2" xr:uid="{27D7AB2A-377A-4694-B640-5BFB20628674}"/>
  <tableColumns count="14">
    <tableColumn id="1" xr3:uid="{1B71FC6E-3980-4564-8EC5-8A2177918CDB}" name="Date/Heure" dataDxfId="106"/>
    <tableColumn id="2" xr3:uid="{CCCD27D2-23D3-4D9A-8DCD-CDB12DD5B104}" name="Connecteur 1"/>
    <tableColumn id="3" xr3:uid="{E2C0B053-DA29-4802-A750-0BCC86173552}" name="Connecteur 2"/>
    <tableColumn id="4" xr3:uid="{1BB74E65-86F5-4204-B1BE-D38EC06D7D6B}" name="Connecteur 3"/>
    <tableColumn id="5" xr3:uid="{B9F2DC35-5C5F-463D-956B-D481EBFC9946}" name="Connecteur 4"/>
    <tableColumn id="6" xr3:uid="{E0D55A5F-4EC7-48BC-BDED-EC8589E9B634}" name="Connecteur 5"/>
    <tableColumn id="7" xr3:uid="{F1AE4A64-3385-42BD-9CC9-C7CEB759B0A7}" name="Connecteur 6"/>
    <tableColumn id="8" xr3:uid="{2E190E5E-DC2A-46D1-803A-603F439D241B}" name="Connecteur 7"/>
    <tableColumn id="9" xr3:uid="{9A3D66AC-7456-495E-89BA-4A0FF320E213}" name="Connecteur 8"/>
    <tableColumn id="10" xr3:uid="{61FF683F-4321-4012-BD78-C60DA5C1B5BA}" name="Connecteur 9"/>
    <tableColumn id="11" xr3:uid="{571FC811-48F2-4DD1-82D1-66E945AF77BE}" name="Connecteur 10"/>
    <tableColumn id="12" xr3:uid="{FB4FDA8E-0269-4A4F-85DE-3BB7B2596602}" name="Connecteur 11"/>
    <tableColumn id="13" xr3:uid="{DA29663D-355A-4B0B-872C-3A2826B7527D}" name="Connecteur 12"/>
    <tableColumn id="14" xr3:uid="{1BFE9627-C0DA-4AC0-87AE-D0E9EA6B6CA6}" name="Connecteur 1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008C00C-4BB2-42FF-B52A-E4A96847A064}" name="Donnees_Brutes_Omia_2" displayName="Donnees_Brutes_Omia_2" ref="A1:N2" totalsRowShown="0">
  <autoFilter ref="A1:N2" xr:uid="{4008C00C-4BB2-42FF-B52A-E4A96847A064}"/>
  <tableColumns count="14">
    <tableColumn id="1" xr3:uid="{3C41F4AA-2A10-45EA-B374-E900ABC319CF}" name="Date/Heure" dataDxfId="105"/>
    <tableColumn id="2" xr3:uid="{68C3DF37-395D-45A4-BB02-DA796FAB3B92}" name="Connecteur 1"/>
    <tableColumn id="3" xr3:uid="{8C89C1FF-D634-46E5-ABBA-07B5D69DE725}" name="Connecteur 2"/>
    <tableColumn id="4" xr3:uid="{FB0A8E8B-16F5-4C97-AAE0-A38939CDD296}" name="Connecteur 3"/>
    <tableColumn id="5" xr3:uid="{0820EF79-CF9E-4CD6-9F36-343704DB1872}" name="Connecteur 4"/>
    <tableColumn id="6" xr3:uid="{934FF66B-71D9-46CD-982F-A3DFC5FB60DD}" name="Connecteur 5"/>
    <tableColumn id="7" xr3:uid="{3901C25D-45E5-4B83-BB7A-B1D15DA2AF47}" name="Connecteur 6"/>
    <tableColumn id="8" xr3:uid="{DC55878A-ED88-4130-9674-1629021891EE}" name="Connecteur 7"/>
    <tableColumn id="9" xr3:uid="{46F47E87-F999-49ED-99F7-D61B173E055F}" name="Connecteur 8"/>
    <tableColumn id="10" xr3:uid="{EF745AE2-0E4C-41C4-BA94-7FE1B2EBA6A6}" name="Connecteur 9"/>
    <tableColumn id="11" xr3:uid="{DDB29472-10CF-4F0D-BDFC-3B767D2CB5B7}" name="Connecteur 10"/>
    <tableColumn id="12" xr3:uid="{17C08443-73FA-4E16-B0B5-172652D42E00}" name="Connecteur 11"/>
    <tableColumn id="13" xr3:uid="{37EECC92-D876-444A-AFEA-9602C3D5E64C}" name="Connecteur 12"/>
    <tableColumn id="14" xr3:uid="{83D784A4-BA13-4741-A7FE-B091CC54233C}" name="Connecteur 1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F136C64-1725-4A4F-AFA9-3862DE1296FE}" name="Donnees_Brutes_Omia_3" displayName="Donnees_Brutes_Omia_3" ref="A1:N2" totalsRowShown="0">
  <autoFilter ref="A1:N2" xr:uid="{EF136C64-1725-4A4F-AFA9-3862DE1296FE}"/>
  <tableColumns count="14">
    <tableColumn id="1" xr3:uid="{F5A4BCD4-5801-4020-BA7C-F41EF56A0A3C}" name="Date/Heure" dataDxfId="104"/>
    <tableColumn id="2" xr3:uid="{0CCCDA81-9D60-425B-8451-DD1B5CEE45CF}" name="Connecteur 1"/>
    <tableColumn id="3" xr3:uid="{348C8676-5E6F-495F-8E31-0BA03B3B8629}" name="Connecteur 2"/>
    <tableColumn id="4" xr3:uid="{B04331B8-D205-4FC9-BC1B-989BE687629D}" name="Connecteur 3"/>
    <tableColumn id="5" xr3:uid="{A1818B0B-7EBE-4AB4-993F-4F155008441D}" name="Connecteur 4"/>
    <tableColumn id="6" xr3:uid="{36A60899-4AB3-439D-8032-F35CF8F26D8D}" name="Connecteur 5"/>
    <tableColumn id="7" xr3:uid="{C2EAAA4A-8116-473A-A2D6-1E01AA0A5D7E}" name="Connecteur 6"/>
    <tableColumn id="8" xr3:uid="{444E0C02-4451-4430-BD14-6ADD2820C288}" name="Connecteur 7"/>
    <tableColumn id="9" xr3:uid="{758DCB51-8403-43CD-9296-65347E4A631D}" name="Connecteur 8"/>
    <tableColumn id="10" xr3:uid="{2E59D2F3-B65B-49D7-8C8D-3AA2B161A55F}" name="Connecteur 9"/>
    <tableColumn id="11" xr3:uid="{200D09C0-954D-4CC0-8C03-1B3DD5F5B127}" name="Connecteur 10"/>
    <tableColumn id="12" xr3:uid="{D8BC1D57-7DB1-46EB-8BA5-4F23897C8463}" name="Connecteur 11"/>
    <tableColumn id="13" xr3:uid="{23168C59-431A-4BEC-95ED-22C5AD04435C}" name="Connecteur 12"/>
    <tableColumn id="14" xr3:uid="{D801395D-46D1-44D7-A490-72824FFD170A}" name="Connecteur 1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265C0E1-B151-4A6E-9E58-EE84DFBE1CB8}" name="Valeurs_Brutes_Dover_1" displayName="Valeurs_Brutes_Dover_1" ref="A1:J2" totalsRowShown="0">
  <autoFilter ref="A1:J2" xr:uid="{2265C0E1-B151-4A6E-9E58-EE84DFBE1CB8}"/>
  <tableColumns count="10">
    <tableColumn id="1" xr3:uid="{B65FC96D-E245-40BE-8AE7-8CCD46AB8848}" name="Date/Heure" dataDxfId="103"/>
    <tableColumn id="2" xr3:uid="{8E14D182-2115-4145-840F-965E9ABE41FC}" name="Connecteur 1"/>
    <tableColumn id="3" xr3:uid="{793E8C04-5673-44E8-89AD-06F8B4973325}" name="Connecteur 2"/>
    <tableColumn id="4" xr3:uid="{56D63800-A53A-4321-94EA-1AB9C4C96A84}" name="Connecteur 3"/>
    <tableColumn id="5" xr3:uid="{D43BB4D4-52DE-4E3E-9E31-8E1F4822AC38}" name="Connecteur 4"/>
    <tableColumn id="6" xr3:uid="{C0AD75ED-2624-4DDA-A6A1-7DF95F4FFB74}" name="Connecteur 5"/>
    <tableColumn id="7" xr3:uid="{84594AE7-4FD0-4EBC-A1AD-C9735DA8B03B}" name="Connecteur 6"/>
    <tableColumn id="8" xr3:uid="{3EB92B0D-CBB1-4DCD-977D-378380C050D9}" name="Connecteur 7"/>
    <tableColumn id="9" xr3:uid="{CD1FE9C4-86A0-489D-AB93-8B5915C59D2E}" name="Connecteur 8"/>
    <tableColumn id="10" xr3:uid="{7C16AB14-0F5A-428E-A2C9-370FC031420D}" name="Connecteur 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F113EDF-5B5E-42D7-81D4-64038EF6DED3}" name="Valeurs_Brutes_Dover_2" displayName="Valeurs_Brutes_Dover_2" ref="A1:J2" totalsRowShown="0">
  <autoFilter ref="A1:J2" xr:uid="{FF113EDF-5B5E-42D7-81D4-64038EF6DED3}"/>
  <tableColumns count="10">
    <tableColumn id="1" xr3:uid="{653A7D54-EDA0-433A-A013-1E88A1B2E5BB}" name="Date/Heure" dataDxfId="102"/>
    <tableColumn id="2" xr3:uid="{5FE46812-0F5D-48D1-9CDF-1FAC4CA9C76C}" name="Connecteur 1"/>
    <tableColumn id="3" xr3:uid="{AB09FDFA-CEF5-4ED1-BA88-C32687B9C636}" name="Connecteur 2"/>
    <tableColumn id="4" xr3:uid="{025C2417-94D6-46B9-BE87-0434F486B558}" name="Connecteur 3"/>
    <tableColumn id="5" xr3:uid="{731B3707-6CBE-4E16-BCD2-4A53933F43A4}" name="Connecteur 4"/>
    <tableColumn id="6" xr3:uid="{DC6ACBEB-E6C9-43CD-ABB1-2DBBC1DACC10}" name="Connecteur 5"/>
    <tableColumn id="7" xr3:uid="{F8B5190F-0941-41CA-AC75-AEBD4423C336}" name="Connecteur 6"/>
    <tableColumn id="8" xr3:uid="{B99C4B89-D89A-42BE-A2E5-E8A438E0FBAD}" name="Connecteur 7"/>
    <tableColumn id="9" xr3:uid="{869AD9C2-00D3-4175-AEDA-631AEE7C1F86}" name="Connecteur 8"/>
    <tableColumn id="10" xr3:uid="{BEE0B7E2-FE42-4737-8FD2-15C43665BE12}" name="Connecteur 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E9C16EE-7F2E-41C6-B287-550CC4E38FB8}" name="Valeurs_Brutes_Dover_3" displayName="Valeurs_Brutes_Dover_3" ref="A1:J2" totalsRowShown="0">
  <autoFilter ref="A1:J2" xr:uid="{DE9C16EE-7F2E-41C6-B287-550CC4E38FB8}"/>
  <tableColumns count="10">
    <tableColumn id="1" xr3:uid="{8405F853-CC0E-42AC-B2A1-E0FF833DDCC1}" name="Date/Heure" dataDxfId="101"/>
    <tableColumn id="2" xr3:uid="{3ED46B3F-AB47-4AD7-BCB9-E88FA647D195}" name="Connecteur 1"/>
    <tableColumn id="3" xr3:uid="{1FED9E86-14F3-49BE-AAAB-DCCAA0C41737}" name="Connecteur 2"/>
    <tableColumn id="4" xr3:uid="{9473E872-4C43-4925-8389-07DC118EC592}" name="Connecteur 3"/>
    <tableColumn id="5" xr3:uid="{CB26B7E4-42BB-485F-9317-21F67D9DD1C4}" name="Connecteur 4"/>
    <tableColumn id="6" xr3:uid="{51BEFC7E-D3F7-4718-BC3C-7446D447C7B9}" name="Connecteur 5"/>
    <tableColumn id="7" xr3:uid="{3F55D6E0-6B4F-4539-B0DD-AFDFD7EE9D3E}" name="Connecteur 6"/>
    <tableColumn id="8" xr3:uid="{7D6D3EF7-8A44-48BE-A762-8F226C4E23D0}" name="Connecteur 7"/>
    <tableColumn id="9" xr3:uid="{4F5D5A38-091A-465C-811A-DFE17765F8FE}" name="Connecteur 8"/>
    <tableColumn id="10" xr3:uid="{0704171A-D041-4ABB-9E2A-10D28124AEA7}" name="Connecteur 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5.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9.xml"/><Relationship Id="rId1" Type="http://schemas.openxmlformats.org/officeDocument/2006/relationships/printerSettings" Target="../printerSettings/printerSettings27.bin"/><Relationship Id="rId4" Type="http://schemas.openxmlformats.org/officeDocument/2006/relationships/ctrlProp" Target="../ctrlProps/ctrlProp6.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8.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9.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0.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1.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24.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3.bin"/></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72FD8-BFAC-4134-95F6-9E05554D8AC8}">
  <sheetPr codeName="Feuil17">
    <tabColor theme="0" tint="-0.34998626667073579"/>
  </sheetPr>
  <dimension ref="A1:O195"/>
  <sheetViews>
    <sheetView workbookViewId="0">
      <selection activeCell="L22" sqref="L22"/>
    </sheetView>
  </sheetViews>
  <sheetFormatPr baseColWidth="10" defaultRowHeight="15" x14ac:dyDescent="0.25"/>
  <sheetData>
    <row r="1" spans="1:15" x14ac:dyDescent="0.25">
      <c r="A1" s="23">
        <v>45181.410416666666</v>
      </c>
      <c r="C1">
        <v>-30.52</v>
      </c>
      <c r="D1">
        <v>-29.84</v>
      </c>
      <c r="E1">
        <v>-29.49</v>
      </c>
      <c r="F1">
        <v>-29.98</v>
      </c>
      <c r="G1">
        <v>-29.75</v>
      </c>
      <c r="H1">
        <v>-30</v>
      </c>
      <c r="I1">
        <v>-28.48</v>
      </c>
      <c r="J1">
        <v>-29.64</v>
      </c>
      <c r="K1">
        <v>-29.39</v>
      </c>
      <c r="L1">
        <v>-28.86</v>
      </c>
      <c r="M1">
        <v>-29.16</v>
      </c>
      <c r="N1">
        <v>-29.07</v>
      </c>
      <c r="O1">
        <v>31.28</v>
      </c>
    </row>
    <row r="2" spans="1:15" x14ac:dyDescent="0.25">
      <c r="A2" s="23">
        <v>45181.411111111112</v>
      </c>
      <c r="C2">
        <v>-31.15</v>
      </c>
      <c r="D2">
        <v>-30.51</v>
      </c>
      <c r="E2">
        <v>-30.2</v>
      </c>
      <c r="F2">
        <v>-30.65</v>
      </c>
      <c r="G2">
        <v>-30.5</v>
      </c>
      <c r="H2">
        <v>-30.71</v>
      </c>
      <c r="I2">
        <v>-29.04</v>
      </c>
      <c r="J2">
        <v>-30.35</v>
      </c>
      <c r="K2">
        <v>-29.94</v>
      </c>
      <c r="L2">
        <v>-29.63</v>
      </c>
      <c r="M2">
        <v>-29.85</v>
      </c>
      <c r="N2">
        <v>-29.86</v>
      </c>
      <c r="O2">
        <v>31.38</v>
      </c>
    </row>
    <row r="3" spans="1:15" x14ac:dyDescent="0.25">
      <c r="A3" s="23">
        <v>45181.411805555559</v>
      </c>
      <c r="C3">
        <v>-31.61</v>
      </c>
      <c r="D3">
        <v>-30.2</v>
      </c>
      <c r="E3">
        <v>-30.67</v>
      </c>
      <c r="F3">
        <v>-30.49</v>
      </c>
      <c r="G3">
        <v>-29.42</v>
      </c>
      <c r="H3">
        <v>-30.88</v>
      </c>
      <c r="I3">
        <v>-30.07</v>
      </c>
      <c r="J3">
        <v>-30.03</v>
      </c>
      <c r="K3">
        <v>-30.65</v>
      </c>
      <c r="L3">
        <v>-30.14</v>
      </c>
      <c r="M3">
        <v>-30.3</v>
      </c>
      <c r="N3">
        <v>-29.63</v>
      </c>
      <c r="O3">
        <v>33.090000000000003</v>
      </c>
    </row>
    <row r="4" spans="1:15" x14ac:dyDescent="0.25">
      <c r="A4" s="23">
        <v>45181.412499999999</v>
      </c>
      <c r="C4">
        <v>-30.52</v>
      </c>
      <c r="D4">
        <v>-29.84</v>
      </c>
      <c r="E4">
        <v>-29.81</v>
      </c>
      <c r="F4">
        <v>-30.33</v>
      </c>
      <c r="G4">
        <v>-28.32</v>
      </c>
      <c r="H4">
        <v>-30.56</v>
      </c>
      <c r="I4">
        <v>-30.22</v>
      </c>
      <c r="J4">
        <v>-29.33</v>
      </c>
      <c r="K4">
        <v>-30.23</v>
      </c>
      <c r="L4">
        <v>-29.89</v>
      </c>
      <c r="M4">
        <v>-29.93</v>
      </c>
      <c r="N4">
        <v>-29.29</v>
      </c>
      <c r="O4">
        <v>33.42</v>
      </c>
    </row>
    <row r="5" spans="1:15" x14ac:dyDescent="0.25">
      <c r="A5" s="23">
        <v>45181.413194444445</v>
      </c>
      <c r="C5">
        <v>-29.32</v>
      </c>
      <c r="D5">
        <v>-29.39</v>
      </c>
      <c r="E5">
        <v>-29.03</v>
      </c>
      <c r="F5">
        <v>-30.03</v>
      </c>
      <c r="G5">
        <v>-27.63</v>
      </c>
      <c r="H5">
        <v>-29.96</v>
      </c>
      <c r="I5">
        <v>-29.72</v>
      </c>
      <c r="J5">
        <v>-28.92</v>
      </c>
      <c r="K5">
        <v>-29.81</v>
      </c>
      <c r="L5">
        <v>-29.5</v>
      </c>
      <c r="M5">
        <v>-29.74</v>
      </c>
      <c r="N5">
        <v>-29.01</v>
      </c>
      <c r="O5">
        <v>47.65</v>
      </c>
    </row>
    <row r="6" spans="1:15" x14ac:dyDescent="0.25">
      <c r="A6" s="23">
        <v>45181.413888888892</v>
      </c>
      <c r="C6">
        <v>-28.6</v>
      </c>
      <c r="D6">
        <v>-29.11</v>
      </c>
      <c r="E6">
        <v>-28.48</v>
      </c>
      <c r="F6">
        <v>-29.73</v>
      </c>
      <c r="G6">
        <v>-26.79</v>
      </c>
      <c r="H6">
        <v>-29.39</v>
      </c>
      <c r="I6">
        <v>-29.39</v>
      </c>
      <c r="J6">
        <v>-28.33</v>
      </c>
      <c r="K6">
        <v>-29.35</v>
      </c>
      <c r="L6">
        <v>-29.07</v>
      </c>
      <c r="M6">
        <v>-29.43</v>
      </c>
      <c r="N6">
        <v>-28.62</v>
      </c>
      <c r="O6">
        <v>59.71</v>
      </c>
    </row>
    <row r="7" spans="1:15" x14ac:dyDescent="0.25">
      <c r="A7" s="23">
        <v>45181.414583333331</v>
      </c>
      <c r="C7">
        <v>-28.22</v>
      </c>
      <c r="D7">
        <v>-28.79</v>
      </c>
      <c r="E7">
        <v>-28.04</v>
      </c>
      <c r="F7">
        <v>-29.33</v>
      </c>
      <c r="G7">
        <v>-26.42</v>
      </c>
      <c r="H7">
        <v>-28.99</v>
      </c>
      <c r="I7">
        <v>-29.02</v>
      </c>
      <c r="J7">
        <v>-28.03</v>
      </c>
      <c r="K7">
        <v>-28.87</v>
      </c>
      <c r="L7">
        <v>-28.59</v>
      </c>
      <c r="M7">
        <v>-29.02</v>
      </c>
      <c r="N7">
        <v>-28.28</v>
      </c>
      <c r="O7">
        <v>59.84</v>
      </c>
    </row>
    <row r="8" spans="1:15" x14ac:dyDescent="0.25">
      <c r="A8" s="23">
        <v>45181.415277777778</v>
      </c>
      <c r="C8">
        <v>-27.97</v>
      </c>
      <c r="D8">
        <v>-28.27</v>
      </c>
      <c r="E8">
        <v>-27.81</v>
      </c>
      <c r="F8">
        <v>-29.8</v>
      </c>
      <c r="G8">
        <v>-29.63</v>
      </c>
      <c r="H8">
        <v>-28.63</v>
      </c>
      <c r="I8">
        <v>-28.71</v>
      </c>
      <c r="J8">
        <v>-29.37</v>
      </c>
      <c r="K8">
        <v>-28.55</v>
      </c>
      <c r="L8">
        <v>-28.47</v>
      </c>
      <c r="M8">
        <v>-29.49</v>
      </c>
      <c r="N8">
        <v>-28.99</v>
      </c>
      <c r="O8">
        <v>60.07</v>
      </c>
    </row>
    <row r="9" spans="1:15" x14ac:dyDescent="0.25">
      <c r="A9" s="23">
        <v>45181.415972222225</v>
      </c>
      <c r="C9">
        <v>-27.76</v>
      </c>
      <c r="D9">
        <v>-28.19</v>
      </c>
      <c r="E9">
        <v>-28.7</v>
      </c>
      <c r="F9">
        <v>-30.2</v>
      </c>
      <c r="G9">
        <v>-30.17</v>
      </c>
      <c r="H9">
        <v>-28.92</v>
      </c>
      <c r="I9">
        <v>-29.19</v>
      </c>
      <c r="J9">
        <v>-30.01</v>
      </c>
      <c r="K9">
        <v>-28.97</v>
      </c>
      <c r="L9">
        <v>-28.7</v>
      </c>
      <c r="M9">
        <v>-29.93</v>
      </c>
      <c r="N9">
        <v>-29.39</v>
      </c>
      <c r="O9">
        <v>59.35</v>
      </c>
    </row>
    <row r="10" spans="1:15" x14ac:dyDescent="0.25">
      <c r="A10" s="23">
        <v>45181.416666666664</v>
      </c>
      <c r="C10">
        <v>-27.99</v>
      </c>
      <c r="D10">
        <v>-28.29</v>
      </c>
      <c r="E10">
        <v>-29.08</v>
      </c>
      <c r="F10">
        <v>-30.59</v>
      </c>
      <c r="G10">
        <v>-30.53</v>
      </c>
      <c r="H10">
        <v>-29.07</v>
      </c>
      <c r="I10">
        <v>-29.61</v>
      </c>
      <c r="J10">
        <v>-30.48</v>
      </c>
      <c r="K10">
        <v>-29.38</v>
      </c>
      <c r="L10">
        <v>-29.12</v>
      </c>
      <c r="M10">
        <v>-30.4</v>
      </c>
      <c r="N10">
        <v>-29.89</v>
      </c>
      <c r="O10">
        <v>59.33</v>
      </c>
    </row>
    <row r="11" spans="1:15" x14ac:dyDescent="0.25">
      <c r="A11" s="23">
        <v>45181.417361111111</v>
      </c>
      <c r="C11">
        <v>-28.2</v>
      </c>
      <c r="D11">
        <v>-28.38</v>
      </c>
      <c r="E11">
        <v>-27.96</v>
      </c>
      <c r="F11">
        <v>-30.25</v>
      </c>
      <c r="G11">
        <v>-28.38</v>
      </c>
      <c r="H11">
        <v>-28.86</v>
      </c>
      <c r="I11">
        <v>-29.18</v>
      </c>
      <c r="J11">
        <v>-29.14</v>
      </c>
      <c r="K11">
        <v>-28.79</v>
      </c>
      <c r="L11">
        <v>-28.69</v>
      </c>
      <c r="M11">
        <v>-29.94</v>
      </c>
      <c r="N11">
        <v>-29.37</v>
      </c>
      <c r="O11">
        <v>59.14</v>
      </c>
    </row>
    <row r="12" spans="1:15" x14ac:dyDescent="0.25">
      <c r="A12" s="23">
        <v>45181.418055555558</v>
      </c>
      <c r="C12">
        <v>-27.8</v>
      </c>
      <c r="D12">
        <v>-28</v>
      </c>
      <c r="E12">
        <v>-27.15</v>
      </c>
      <c r="F12">
        <v>-29.64</v>
      </c>
      <c r="G12">
        <v>-26.07</v>
      </c>
      <c r="H12">
        <v>-28.56</v>
      </c>
      <c r="I12">
        <v>-29.05</v>
      </c>
      <c r="J12">
        <v>-28.55</v>
      </c>
      <c r="K12">
        <v>-28.37</v>
      </c>
      <c r="L12">
        <v>-28.41</v>
      </c>
      <c r="M12">
        <v>-29.43</v>
      </c>
      <c r="N12">
        <v>-28.71</v>
      </c>
      <c r="O12">
        <v>59.25</v>
      </c>
    </row>
    <row r="13" spans="1:15" x14ac:dyDescent="0.25">
      <c r="A13" s="23">
        <v>45181.418749999997</v>
      </c>
      <c r="C13">
        <v>-29.85</v>
      </c>
      <c r="D13">
        <v>-28.72</v>
      </c>
      <c r="E13">
        <v>-28.73</v>
      </c>
      <c r="F13">
        <v>-29.06</v>
      </c>
      <c r="G13">
        <v>-27.27</v>
      </c>
      <c r="H13">
        <v>-29.35</v>
      </c>
      <c r="I13">
        <v>-28.48</v>
      </c>
      <c r="J13">
        <v>-28.61</v>
      </c>
      <c r="K13">
        <v>-28.86</v>
      </c>
      <c r="L13">
        <v>-28.54</v>
      </c>
      <c r="M13">
        <v>-28.96</v>
      </c>
      <c r="N13">
        <v>-28.35</v>
      </c>
      <c r="O13">
        <v>59.11</v>
      </c>
    </row>
    <row r="14" spans="1:15" x14ac:dyDescent="0.25">
      <c r="A14" s="23">
        <v>45181.419444444444</v>
      </c>
      <c r="C14">
        <v>-30.44</v>
      </c>
      <c r="D14">
        <v>-29.07</v>
      </c>
      <c r="E14">
        <v>-29.43</v>
      </c>
      <c r="F14">
        <v>-29.35</v>
      </c>
      <c r="G14">
        <v>-27.48</v>
      </c>
      <c r="H14">
        <v>-29.69</v>
      </c>
      <c r="I14">
        <v>-29.13</v>
      </c>
      <c r="J14">
        <v>-28.85</v>
      </c>
      <c r="K14">
        <v>-29.47</v>
      </c>
      <c r="L14">
        <v>-29.16</v>
      </c>
      <c r="M14">
        <v>-29.28</v>
      </c>
      <c r="N14">
        <v>-28.58</v>
      </c>
      <c r="O14">
        <v>59.03</v>
      </c>
    </row>
    <row r="15" spans="1:15" x14ac:dyDescent="0.25">
      <c r="A15" s="23">
        <v>45181.420138888891</v>
      </c>
      <c r="C15">
        <v>-30.94</v>
      </c>
      <c r="D15">
        <v>-29.47</v>
      </c>
      <c r="E15">
        <v>-30.02</v>
      </c>
      <c r="F15">
        <v>-29.67</v>
      </c>
      <c r="G15">
        <v>-27.84</v>
      </c>
      <c r="H15">
        <v>-30.01</v>
      </c>
      <c r="I15">
        <v>-29.6</v>
      </c>
      <c r="J15">
        <v>-29.03</v>
      </c>
      <c r="K15">
        <v>-29.94</v>
      </c>
      <c r="L15">
        <v>-29.57</v>
      </c>
      <c r="M15">
        <v>-29.51</v>
      </c>
      <c r="N15">
        <v>-28.77</v>
      </c>
      <c r="O15">
        <v>59.31</v>
      </c>
    </row>
    <row r="16" spans="1:15" x14ac:dyDescent="0.25">
      <c r="A16" s="23">
        <v>45181.42083333333</v>
      </c>
      <c r="C16">
        <v>-31.33</v>
      </c>
      <c r="D16">
        <v>-29.75</v>
      </c>
      <c r="E16">
        <v>-30.51</v>
      </c>
      <c r="F16">
        <v>-29.97</v>
      </c>
      <c r="G16">
        <v>-27.91</v>
      </c>
      <c r="H16">
        <v>-30.32</v>
      </c>
      <c r="I16">
        <v>-30.05</v>
      </c>
      <c r="J16">
        <v>-29.42</v>
      </c>
      <c r="K16">
        <v>-30.36</v>
      </c>
      <c r="L16">
        <v>-29.96</v>
      </c>
      <c r="M16">
        <v>-29.85</v>
      </c>
      <c r="N16">
        <v>-29.07</v>
      </c>
      <c r="O16">
        <v>59.33</v>
      </c>
    </row>
    <row r="17" spans="1:15" x14ac:dyDescent="0.25">
      <c r="A17" s="23">
        <v>45181.421527777777</v>
      </c>
      <c r="C17">
        <v>-30.9</v>
      </c>
      <c r="D17">
        <v>-29.35</v>
      </c>
      <c r="E17">
        <v>-30</v>
      </c>
      <c r="F17">
        <v>-29.97</v>
      </c>
      <c r="G17">
        <v>-27.83</v>
      </c>
      <c r="H17">
        <v>-30.05</v>
      </c>
      <c r="I17">
        <v>-30.6</v>
      </c>
      <c r="J17">
        <v>-28.92</v>
      </c>
      <c r="K17">
        <v>-30.28</v>
      </c>
      <c r="L17">
        <v>-30.03</v>
      </c>
      <c r="M17">
        <v>-29.89</v>
      </c>
      <c r="N17">
        <v>-29.05</v>
      </c>
      <c r="O17">
        <v>59.21</v>
      </c>
    </row>
    <row r="18" spans="1:15" x14ac:dyDescent="0.25">
      <c r="A18" s="23">
        <v>45181.422222222223</v>
      </c>
      <c r="C18">
        <v>-29.68</v>
      </c>
      <c r="D18">
        <v>-29.15</v>
      </c>
      <c r="E18">
        <v>-29.27</v>
      </c>
      <c r="F18">
        <v>-30.02</v>
      </c>
      <c r="G18">
        <v>-25.27</v>
      </c>
      <c r="H18">
        <v>-29.57</v>
      </c>
      <c r="I18">
        <v>-29.97</v>
      </c>
      <c r="J18">
        <v>-28.19</v>
      </c>
      <c r="K18">
        <v>-29.87</v>
      </c>
      <c r="L18">
        <v>-29.36</v>
      </c>
      <c r="M18">
        <v>-29.8</v>
      </c>
      <c r="N18">
        <v>-28.86</v>
      </c>
      <c r="O18">
        <v>59.13</v>
      </c>
    </row>
    <row r="19" spans="1:15" x14ac:dyDescent="0.25">
      <c r="A19" s="23">
        <v>45181.42291666667</v>
      </c>
      <c r="C19">
        <v>-29.08</v>
      </c>
      <c r="D19">
        <v>-28.75</v>
      </c>
      <c r="E19">
        <v>-28.56</v>
      </c>
      <c r="F19">
        <v>-29.65</v>
      </c>
      <c r="G19">
        <v>-24.04</v>
      </c>
      <c r="H19">
        <v>-29.12</v>
      </c>
      <c r="I19">
        <v>-29.62</v>
      </c>
      <c r="J19">
        <v>-27.44</v>
      </c>
      <c r="K19">
        <v>-29.92</v>
      </c>
      <c r="L19">
        <v>-29.09</v>
      </c>
      <c r="M19">
        <v>-29.49</v>
      </c>
      <c r="N19">
        <v>-28.51</v>
      </c>
      <c r="O19">
        <v>59.39</v>
      </c>
    </row>
    <row r="20" spans="1:15" x14ac:dyDescent="0.25">
      <c r="A20" s="23">
        <v>45181.423611111109</v>
      </c>
      <c r="C20">
        <v>-28.7</v>
      </c>
      <c r="D20">
        <v>-28.41</v>
      </c>
      <c r="E20">
        <v>-28.02</v>
      </c>
      <c r="F20">
        <v>-29.41</v>
      </c>
      <c r="G20">
        <v>-23.29</v>
      </c>
      <c r="H20">
        <v>-28.89</v>
      </c>
      <c r="I20">
        <v>-29.27</v>
      </c>
      <c r="J20">
        <v>-26.99</v>
      </c>
      <c r="K20">
        <v>-29.59</v>
      </c>
      <c r="L20">
        <v>-28.78</v>
      </c>
      <c r="M20">
        <v>-29.15</v>
      </c>
      <c r="N20">
        <v>-28.16</v>
      </c>
      <c r="O20">
        <v>59.43</v>
      </c>
    </row>
    <row r="21" spans="1:15" x14ac:dyDescent="0.25">
      <c r="A21" s="23">
        <v>45181.424305555556</v>
      </c>
      <c r="C21">
        <v>-14.96</v>
      </c>
      <c r="D21">
        <v>-21.49</v>
      </c>
      <c r="E21">
        <v>7.63</v>
      </c>
      <c r="F21">
        <v>-26.84</v>
      </c>
      <c r="G21">
        <v>-24.81</v>
      </c>
      <c r="H21">
        <v>-20.010000000000002</v>
      </c>
      <c r="I21">
        <v>-21.5</v>
      </c>
      <c r="J21">
        <v>-26.99</v>
      </c>
      <c r="K21">
        <v>-11.59</v>
      </c>
      <c r="L21">
        <v>-21.33</v>
      </c>
      <c r="M21">
        <v>-27.1</v>
      </c>
      <c r="N21">
        <v>-26.63</v>
      </c>
      <c r="O21">
        <v>59.59</v>
      </c>
    </row>
    <row r="22" spans="1:15" x14ac:dyDescent="0.25">
      <c r="A22" s="23">
        <v>45181.425000000003</v>
      </c>
      <c r="C22">
        <v>-24.42</v>
      </c>
      <c r="D22">
        <v>-25.69</v>
      </c>
      <c r="E22">
        <v>-22.86</v>
      </c>
      <c r="F22">
        <v>-27.8</v>
      </c>
      <c r="G22">
        <v>-27.72</v>
      </c>
      <c r="H22">
        <v>-25.06</v>
      </c>
      <c r="I22">
        <v>-22.73</v>
      </c>
      <c r="J22">
        <v>-27.72</v>
      </c>
      <c r="K22">
        <v>-23.07</v>
      </c>
      <c r="L22">
        <v>-23.25</v>
      </c>
      <c r="M22">
        <v>-27.36</v>
      </c>
      <c r="N22">
        <v>-27.05</v>
      </c>
      <c r="O22">
        <v>59.82</v>
      </c>
    </row>
    <row r="23" spans="1:15" x14ac:dyDescent="0.25">
      <c r="A23" s="23">
        <v>45181.425694444442</v>
      </c>
      <c r="C23">
        <v>-27.28</v>
      </c>
      <c r="D23">
        <v>-27.75</v>
      </c>
      <c r="E23">
        <v>-25.98</v>
      </c>
      <c r="F23">
        <v>-28.86</v>
      </c>
      <c r="G23">
        <v>-28.75</v>
      </c>
      <c r="H23">
        <v>-27.61</v>
      </c>
      <c r="I23">
        <v>-25.73</v>
      </c>
      <c r="J23">
        <v>-28.74</v>
      </c>
      <c r="K23">
        <v>-26.05</v>
      </c>
      <c r="L23">
        <v>-26.02</v>
      </c>
      <c r="M23">
        <v>-28.34</v>
      </c>
      <c r="N23">
        <v>-28.25</v>
      </c>
      <c r="O23">
        <v>60.04</v>
      </c>
    </row>
    <row r="24" spans="1:15" x14ac:dyDescent="0.25">
      <c r="A24" s="23">
        <v>45181.426388888889</v>
      </c>
      <c r="C24">
        <v>-28.91</v>
      </c>
      <c r="D24">
        <v>-28.88</v>
      </c>
      <c r="E24">
        <v>-27.61</v>
      </c>
      <c r="F24">
        <v>-29.71</v>
      </c>
      <c r="G24">
        <v>-29.51</v>
      </c>
      <c r="H24">
        <v>-28.99</v>
      </c>
      <c r="I24">
        <v>-27.39</v>
      </c>
      <c r="J24">
        <v>-29.54</v>
      </c>
      <c r="K24">
        <v>-27.57</v>
      </c>
      <c r="L24">
        <v>-27.59</v>
      </c>
      <c r="M24">
        <v>-29.1</v>
      </c>
      <c r="N24">
        <v>-28.94</v>
      </c>
      <c r="O24">
        <v>60.33</v>
      </c>
    </row>
    <row r="25" spans="1:15" x14ac:dyDescent="0.25">
      <c r="A25" s="23">
        <v>45181.427083333336</v>
      </c>
      <c r="C25">
        <v>-30.06</v>
      </c>
      <c r="D25">
        <v>-29.85</v>
      </c>
      <c r="E25">
        <v>-28.94</v>
      </c>
      <c r="F25">
        <v>-30.43</v>
      </c>
      <c r="G25">
        <v>-30.21</v>
      </c>
      <c r="H25">
        <v>-30.02</v>
      </c>
      <c r="I25">
        <v>-28.71</v>
      </c>
      <c r="J25">
        <v>-30.28</v>
      </c>
      <c r="K25">
        <v>-28.85</v>
      </c>
      <c r="L25">
        <v>-28.71</v>
      </c>
      <c r="M25">
        <v>-29.82</v>
      </c>
      <c r="N25">
        <v>-29.76</v>
      </c>
      <c r="O25">
        <v>60.43</v>
      </c>
    </row>
    <row r="26" spans="1:15" x14ac:dyDescent="0.25">
      <c r="A26" s="23">
        <v>45181.427777777775</v>
      </c>
      <c r="C26">
        <v>-30.94</v>
      </c>
      <c r="D26">
        <v>-29.88</v>
      </c>
      <c r="E26">
        <v>-29.97</v>
      </c>
      <c r="F26">
        <v>-30.21</v>
      </c>
      <c r="G26">
        <v>-29.43</v>
      </c>
      <c r="H26">
        <v>-30.45</v>
      </c>
      <c r="I26">
        <v>-30.09</v>
      </c>
      <c r="J26">
        <v>-29.91</v>
      </c>
      <c r="K26">
        <v>-29.88</v>
      </c>
      <c r="L26">
        <v>-29.66</v>
      </c>
      <c r="M26">
        <v>-30.19</v>
      </c>
      <c r="N26">
        <v>-29.63</v>
      </c>
      <c r="O26">
        <v>60.66</v>
      </c>
    </row>
    <row r="27" spans="1:15" x14ac:dyDescent="0.25">
      <c r="A27" s="23">
        <v>45181.428472222222</v>
      </c>
      <c r="C27">
        <v>-31.52</v>
      </c>
      <c r="D27">
        <v>-30.19</v>
      </c>
      <c r="E27">
        <v>-30.57</v>
      </c>
      <c r="F27">
        <v>-30.21</v>
      </c>
      <c r="G27">
        <v>-28.86</v>
      </c>
      <c r="H27">
        <v>-30.73</v>
      </c>
      <c r="I27">
        <v>-30.62</v>
      </c>
      <c r="J27">
        <v>-29.77</v>
      </c>
      <c r="K27">
        <v>-30.34</v>
      </c>
      <c r="L27">
        <v>-30.17</v>
      </c>
      <c r="M27">
        <v>-30.2</v>
      </c>
      <c r="N27">
        <v>-29.57</v>
      </c>
      <c r="O27">
        <v>61.07</v>
      </c>
    </row>
    <row r="28" spans="1:15" x14ac:dyDescent="0.25">
      <c r="A28" s="23">
        <v>45181.429166666669</v>
      </c>
      <c r="C28">
        <v>-30.61</v>
      </c>
      <c r="D28">
        <v>-30.2</v>
      </c>
      <c r="E28">
        <v>-30.06</v>
      </c>
      <c r="F28">
        <v>-30.29</v>
      </c>
      <c r="G28">
        <v>-28.96</v>
      </c>
      <c r="H28">
        <v>-30.55</v>
      </c>
      <c r="I28">
        <v>-30.92</v>
      </c>
      <c r="J28">
        <v>-29.72</v>
      </c>
      <c r="K28">
        <v>-30.53</v>
      </c>
      <c r="L28">
        <v>-30.42</v>
      </c>
      <c r="M28">
        <v>-30.1</v>
      </c>
      <c r="N28">
        <v>-29.62</v>
      </c>
      <c r="O28">
        <v>61.21</v>
      </c>
    </row>
    <row r="29" spans="1:15" x14ac:dyDescent="0.25">
      <c r="A29" s="23">
        <v>45181.429861111108</v>
      </c>
      <c r="C29">
        <v>-29.61</v>
      </c>
      <c r="D29">
        <v>-29.71</v>
      </c>
      <c r="E29">
        <v>-29.15</v>
      </c>
      <c r="F29">
        <v>-30.22</v>
      </c>
      <c r="G29">
        <v>-29.06</v>
      </c>
      <c r="H29">
        <v>-30.11</v>
      </c>
      <c r="I29">
        <v>-30.36</v>
      </c>
      <c r="J29">
        <v>-29.13</v>
      </c>
      <c r="K29">
        <v>-30.06</v>
      </c>
      <c r="L29">
        <v>-29.92</v>
      </c>
      <c r="M29">
        <v>-30.02</v>
      </c>
      <c r="N29">
        <v>-29.35</v>
      </c>
      <c r="O29">
        <v>61.48</v>
      </c>
    </row>
    <row r="30" spans="1:15" x14ac:dyDescent="0.25">
      <c r="A30" s="23">
        <v>45181.430555555555</v>
      </c>
      <c r="C30">
        <v>-29.25</v>
      </c>
      <c r="D30">
        <v>-29.34</v>
      </c>
      <c r="E30">
        <v>-28.61</v>
      </c>
      <c r="F30">
        <v>-29.96</v>
      </c>
      <c r="G30">
        <v>-28.54</v>
      </c>
      <c r="H30">
        <v>-29.85</v>
      </c>
      <c r="I30">
        <v>-29.87</v>
      </c>
      <c r="J30">
        <v>-28.67</v>
      </c>
      <c r="K30">
        <v>-29.79</v>
      </c>
      <c r="L30">
        <v>-29.46</v>
      </c>
      <c r="M30">
        <v>-29.76</v>
      </c>
      <c r="N30">
        <v>-29.09</v>
      </c>
      <c r="O30">
        <v>61.76</v>
      </c>
    </row>
    <row r="31" spans="1:15" x14ac:dyDescent="0.25">
      <c r="A31" s="23">
        <v>45181.431250000001</v>
      </c>
      <c r="C31">
        <v>-28.83</v>
      </c>
      <c r="D31">
        <v>-29.1</v>
      </c>
      <c r="E31">
        <v>-28.32</v>
      </c>
      <c r="F31">
        <v>-29.75</v>
      </c>
      <c r="G31">
        <v>-28.37</v>
      </c>
      <c r="H31">
        <v>-29.43</v>
      </c>
      <c r="I31">
        <v>-29.47</v>
      </c>
      <c r="J31">
        <v>-28.39</v>
      </c>
      <c r="K31">
        <v>-29.32</v>
      </c>
      <c r="L31">
        <v>-29.2</v>
      </c>
      <c r="M31">
        <v>-29.56</v>
      </c>
      <c r="N31">
        <v>-28.88</v>
      </c>
      <c r="O31">
        <v>62.05</v>
      </c>
    </row>
    <row r="32" spans="1:15" x14ac:dyDescent="0.25">
      <c r="A32" s="23">
        <v>45181.431944444441</v>
      </c>
      <c r="C32">
        <v>-28.65</v>
      </c>
      <c r="D32">
        <v>-28.76</v>
      </c>
      <c r="E32">
        <v>-27.98</v>
      </c>
      <c r="F32">
        <v>-29.49</v>
      </c>
      <c r="G32">
        <v>-28.12</v>
      </c>
      <c r="H32">
        <v>-29.13</v>
      </c>
      <c r="I32">
        <v>-29.25</v>
      </c>
      <c r="J32">
        <v>-28.13</v>
      </c>
      <c r="K32">
        <v>-28.91</v>
      </c>
      <c r="L32">
        <v>-28.73</v>
      </c>
      <c r="M32">
        <v>-29.32</v>
      </c>
      <c r="N32">
        <v>-28.58</v>
      </c>
      <c r="O32">
        <v>62.13</v>
      </c>
    </row>
    <row r="33" spans="1:15" x14ac:dyDescent="0.25">
      <c r="A33" s="23">
        <v>45181.432638888888</v>
      </c>
      <c r="C33">
        <v>-28.28</v>
      </c>
      <c r="D33">
        <v>-28.5</v>
      </c>
      <c r="E33">
        <v>-27.51</v>
      </c>
      <c r="F33">
        <v>-29.19</v>
      </c>
      <c r="G33">
        <v>-27.82</v>
      </c>
      <c r="H33">
        <v>-28.85</v>
      </c>
      <c r="I33">
        <v>-28.94</v>
      </c>
      <c r="J33">
        <v>-27.9</v>
      </c>
      <c r="K33">
        <v>-28.59</v>
      </c>
      <c r="L33">
        <v>-28.54</v>
      </c>
      <c r="M33">
        <v>-29.06</v>
      </c>
      <c r="N33">
        <v>-28.32</v>
      </c>
      <c r="O33">
        <v>62.38</v>
      </c>
    </row>
    <row r="34" spans="1:15" x14ac:dyDescent="0.25">
      <c r="A34" s="23">
        <v>45181.433333333334</v>
      </c>
      <c r="C34">
        <v>-28.05</v>
      </c>
      <c r="D34">
        <v>-28.29</v>
      </c>
      <c r="E34">
        <v>-27.25</v>
      </c>
      <c r="F34">
        <v>-28.92</v>
      </c>
      <c r="G34">
        <v>-27.54</v>
      </c>
      <c r="H34">
        <v>-28.55</v>
      </c>
      <c r="I34">
        <v>-28.72</v>
      </c>
      <c r="J34">
        <v>-27.68</v>
      </c>
      <c r="K34">
        <v>-28.39</v>
      </c>
      <c r="L34">
        <v>-28.21</v>
      </c>
      <c r="M34">
        <v>-28.78</v>
      </c>
      <c r="N34">
        <v>-28.1</v>
      </c>
      <c r="O34">
        <v>62.49</v>
      </c>
    </row>
    <row r="35" spans="1:15" x14ac:dyDescent="0.25">
      <c r="A35" s="23">
        <v>45181.434027777781</v>
      </c>
      <c r="C35">
        <v>-27.68</v>
      </c>
      <c r="D35">
        <v>-28.07</v>
      </c>
      <c r="E35">
        <v>-28.33</v>
      </c>
      <c r="F35">
        <v>-29.69</v>
      </c>
      <c r="G35">
        <v>-29.63</v>
      </c>
      <c r="H35">
        <v>-28.34</v>
      </c>
      <c r="I35">
        <v>-28.97</v>
      </c>
      <c r="J35">
        <v>-29.61</v>
      </c>
      <c r="K35">
        <v>-28.63</v>
      </c>
      <c r="L35">
        <v>-28.61</v>
      </c>
      <c r="M35">
        <v>-29.54</v>
      </c>
      <c r="N35">
        <v>-29</v>
      </c>
      <c r="O35">
        <v>62.84</v>
      </c>
    </row>
    <row r="36" spans="1:15" x14ac:dyDescent="0.25">
      <c r="A36" s="23">
        <v>45181.43472222222</v>
      </c>
      <c r="C36">
        <v>-28.12</v>
      </c>
      <c r="D36">
        <v>-28.36</v>
      </c>
      <c r="E36">
        <v>-29.05</v>
      </c>
      <c r="F36">
        <v>-30.4</v>
      </c>
      <c r="G36">
        <v>-30.34</v>
      </c>
      <c r="H36">
        <v>-28.94</v>
      </c>
      <c r="I36">
        <v>-29.6</v>
      </c>
      <c r="J36">
        <v>-30.36</v>
      </c>
      <c r="K36">
        <v>-29.24</v>
      </c>
      <c r="L36">
        <v>-29.08</v>
      </c>
      <c r="M36">
        <v>-30.2</v>
      </c>
      <c r="N36">
        <v>-29.68</v>
      </c>
      <c r="O36">
        <v>70.75</v>
      </c>
    </row>
    <row r="37" spans="1:15" x14ac:dyDescent="0.25">
      <c r="A37" s="23">
        <v>45181.435416666667</v>
      </c>
      <c r="C37">
        <v>-28.29</v>
      </c>
      <c r="D37">
        <v>-28.33</v>
      </c>
      <c r="E37">
        <v>-28.27</v>
      </c>
      <c r="F37">
        <v>-30.51</v>
      </c>
      <c r="G37">
        <v>-29.71</v>
      </c>
      <c r="H37">
        <v>-28.92</v>
      </c>
      <c r="I37">
        <v>-29.75</v>
      </c>
      <c r="J37">
        <v>-29.57</v>
      </c>
      <c r="K37">
        <v>-29.09</v>
      </c>
      <c r="L37">
        <v>-29.07</v>
      </c>
      <c r="M37">
        <v>-30.11</v>
      </c>
      <c r="N37">
        <v>-29.64</v>
      </c>
      <c r="O37">
        <v>87.5</v>
      </c>
    </row>
    <row r="38" spans="1:15" x14ac:dyDescent="0.25">
      <c r="A38" s="23">
        <v>45181.436111111114</v>
      </c>
      <c r="C38">
        <v>-28.03</v>
      </c>
      <c r="D38">
        <v>-28.14</v>
      </c>
      <c r="E38">
        <v>-27.07</v>
      </c>
      <c r="F38">
        <v>-29.99</v>
      </c>
      <c r="G38">
        <v>-28.75</v>
      </c>
      <c r="H38">
        <v>-28.7</v>
      </c>
      <c r="I38">
        <v>-29.43</v>
      </c>
      <c r="J38">
        <v>-28.89</v>
      </c>
      <c r="K38">
        <v>-28.5</v>
      </c>
      <c r="L38">
        <v>-28.94</v>
      </c>
      <c r="M38">
        <v>-29.7</v>
      </c>
      <c r="N38">
        <v>-28.96</v>
      </c>
      <c r="O38">
        <v>98.37</v>
      </c>
    </row>
    <row r="39" spans="1:15" x14ac:dyDescent="0.25">
      <c r="A39" s="23">
        <v>45181.436805555553</v>
      </c>
      <c r="C39">
        <v>-27.59</v>
      </c>
      <c r="D39">
        <v>-27.79</v>
      </c>
      <c r="E39">
        <v>-26.5</v>
      </c>
      <c r="F39">
        <v>-29.44</v>
      </c>
      <c r="G39">
        <v>-28.36</v>
      </c>
      <c r="H39">
        <v>-28.46</v>
      </c>
      <c r="I39">
        <v>-29.09</v>
      </c>
      <c r="J39">
        <v>-28.47</v>
      </c>
      <c r="K39">
        <v>-28.14</v>
      </c>
      <c r="L39">
        <v>-28.61</v>
      </c>
      <c r="M39">
        <v>-29.18</v>
      </c>
      <c r="N39">
        <v>-28.61</v>
      </c>
      <c r="O39">
        <v>107.3</v>
      </c>
    </row>
    <row r="40" spans="1:15" x14ac:dyDescent="0.25">
      <c r="A40" s="23">
        <v>45181.4375</v>
      </c>
      <c r="C40">
        <v>-29.67</v>
      </c>
      <c r="D40">
        <v>-28.7</v>
      </c>
      <c r="E40">
        <v>-28.46</v>
      </c>
      <c r="F40">
        <v>-28.87</v>
      </c>
      <c r="G40">
        <v>-27.69</v>
      </c>
      <c r="H40">
        <v>-29.24</v>
      </c>
      <c r="I40">
        <v>-29.18</v>
      </c>
      <c r="J40">
        <v>-28.51</v>
      </c>
      <c r="K40">
        <v>-28.7</v>
      </c>
      <c r="L40">
        <v>-28.66</v>
      </c>
      <c r="M40">
        <v>-28.86</v>
      </c>
      <c r="N40">
        <v>-28.36</v>
      </c>
      <c r="O40">
        <v>115.29</v>
      </c>
    </row>
    <row r="41" spans="1:15" x14ac:dyDescent="0.25">
      <c r="A41" s="23">
        <v>45181.438194444447</v>
      </c>
      <c r="C41">
        <v>-30.57</v>
      </c>
      <c r="D41">
        <v>-29.3</v>
      </c>
      <c r="E41">
        <v>-29.51</v>
      </c>
      <c r="F41">
        <v>-29.28</v>
      </c>
      <c r="G41">
        <v>-27.94</v>
      </c>
      <c r="H41">
        <v>-29.84</v>
      </c>
      <c r="I41">
        <v>-29.84</v>
      </c>
      <c r="J41">
        <v>-28.87</v>
      </c>
      <c r="K41">
        <v>-29.57</v>
      </c>
      <c r="L41">
        <v>-29.3</v>
      </c>
      <c r="M41">
        <v>-29.35</v>
      </c>
      <c r="N41">
        <v>-28.63</v>
      </c>
      <c r="O41">
        <v>121.7</v>
      </c>
    </row>
    <row r="42" spans="1:15" x14ac:dyDescent="0.25">
      <c r="A42" s="23">
        <v>45181.438888888886</v>
      </c>
      <c r="C42">
        <v>-31.16</v>
      </c>
      <c r="D42">
        <v>-29.84</v>
      </c>
      <c r="E42">
        <v>-30.2</v>
      </c>
      <c r="F42">
        <v>-29.76</v>
      </c>
      <c r="G42">
        <v>-28.18</v>
      </c>
      <c r="H42">
        <v>-30.32</v>
      </c>
      <c r="I42">
        <v>-30.4</v>
      </c>
      <c r="J42">
        <v>-29.21</v>
      </c>
      <c r="K42">
        <v>-30.11</v>
      </c>
      <c r="L42">
        <v>-29.86</v>
      </c>
      <c r="M42">
        <v>-29.77</v>
      </c>
      <c r="N42">
        <v>-28.91</v>
      </c>
      <c r="O42">
        <v>126.15</v>
      </c>
    </row>
    <row r="43" spans="1:15" x14ac:dyDescent="0.25">
      <c r="A43" s="23">
        <v>45181.439583333333</v>
      </c>
      <c r="C43">
        <v>-30.95</v>
      </c>
      <c r="D43">
        <v>-30</v>
      </c>
      <c r="E43">
        <v>-30.34</v>
      </c>
      <c r="F43">
        <v>-29.87</v>
      </c>
      <c r="G43">
        <v>-28.23</v>
      </c>
      <c r="H43">
        <v>-30.35</v>
      </c>
      <c r="I43">
        <v>-30.92</v>
      </c>
      <c r="J43">
        <v>-29.49</v>
      </c>
      <c r="K43">
        <v>-30.41</v>
      </c>
      <c r="L43">
        <v>-30.37</v>
      </c>
      <c r="M43">
        <v>-29.8</v>
      </c>
      <c r="N43">
        <v>-29.21</v>
      </c>
      <c r="O43">
        <v>130.35</v>
      </c>
    </row>
    <row r="44" spans="1:15" x14ac:dyDescent="0.25">
      <c r="A44" s="23">
        <v>45181.44027777778</v>
      </c>
      <c r="C44">
        <v>-29.83</v>
      </c>
      <c r="D44">
        <v>-29.32</v>
      </c>
      <c r="E44">
        <v>-29.1</v>
      </c>
      <c r="F44">
        <v>-30.13</v>
      </c>
      <c r="G44">
        <v>-28.37</v>
      </c>
      <c r="H44">
        <v>-29.64</v>
      </c>
      <c r="I44">
        <v>-30.26</v>
      </c>
      <c r="J44">
        <v>-28.6</v>
      </c>
      <c r="K44">
        <v>-30.06</v>
      </c>
      <c r="L44">
        <v>-29.81</v>
      </c>
      <c r="M44">
        <v>-29.89</v>
      </c>
      <c r="N44">
        <v>-29.03</v>
      </c>
      <c r="O44">
        <v>138.65</v>
      </c>
    </row>
    <row r="45" spans="1:15" x14ac:dyDescent="0.25">
      <c r="A45" s="23">
        <v>45181.440972222219</v>
      </c>
      <c r="C45">
        <v>-29.23</v>
      </c>
      <c r="D45">
        <v>-28.91</v>
      </c>
      <c r="E45">
        <v>-28.58</v>
      </c>
      <c r="F45">
        <v>-29.76</v>
      </c>
      <c r="G45">
        <v>-28.18</v>
      </c>
      <c r="H45">
        <v>-29.38</v>
      </c>
      <c r="I45">
        <v>-29.67</v>
      </c>
      <c r="J45">
        <v>-27.86</v>
      </c>
      <c r="K45">
        <v>-29.84</v>
      </c>
      <c r="L45">
        <v>-29.35</v>
      </c>
      <c r="M45">
        <v>-29.7</v>
      </c>
      <c r="N45">
        <v>-28.82</v>
      </c>
      <c r="O45">
        <v>139.97999999999999</v>
      </c>
    </row>
    <row r="46" spans="1:15" x14ac:dyDescent="0.25">
      <c r="A46" s="23">
        <v>45181.441666666666</v>
      </c>
      <c r="C46">
        <v>-28.97</v>
      </c>
      <c r="D46">
        <v>-28.67</v>
      </c>
      <c r="E46">
        <v>-28.05</v>
      </c>
      <c r="F46">
        <v>-29.52</v>
      </c>
      <c r="G46">
        <v>-27.74</v>
      </c>
      <c r="H46">
        <v>-29.07</v>
      </c>
      <c r="I46">
        <v>-29.4</v>
      </c>
      <c r="J46">
        <v>-27.48</v>
      </c>
      <c r="K46">
        <v>-29.45</v>
      </c>
      <c r="L46">
        <v>-28.98</v>
      </c>
      <c r="M46">
        <v>-29.34</v>
      </c>
      <c r="N46">
        <v>-28.53</v>
      </c>
      <c r="O46">
        <v>144.81</v>
      </c>
    </row>
    <row r="47" spans="1:15" x14ac:dyDescent="0.25">
      <c r="A47" s="23">
        <v>45181.442361111112</v>
      </c>
      <c r="C47">
        <v>-28.68</v>
      </c>
      <c r="D47">
        <v>-28.41</v>
      </c>
      <c r="E47">
        <v>-27.74</v>
      </c>
      <c r="F47">
        <v>-29.23</v>
      </c>
      <c r="G47">
        <v>-27.44</v>
      </c>
      <c r="H47">
        <v>-28.84</v>
      </c>
      <c r="I47">
        <v>-29.16</v>
      </c>
      <c r="J47">
        <v>-27.16</v>
      </c>
      <c r="K47">
        <v>-29.04</v>
      </c>
      <c r="L47">
        <v>-28.65</v>
      </c>
      <c r="M47">
        <v>-29.04</v>
      </c>
      <c r="N47">
        <v>-28.28</v>
      </c>
      <c r="O47">
        <v>149.97999999999999</v>
      </c>
    </row>
    <row r="48" spans="1:15" x14ac:dyDescent="0.25">
      <c r="A48" s="23">
        <v>45181.443055555559</v>
      </c>
      <c r="C48">
        <v>-28.41</v>
      </c>
      <c r="D48">
        <v>-28.19</v>
      </c>
      <c r="E48">
        <v>-27.34</v>
      </c>
      <c r="F48">
        <v>-29</v>
      </c>
      <c r="G48">
        <v>-27.22</v>
      </c>
      <c r="H48">
        <v>-28.55</v>
      </c>
      <c r="I48">
        <v>-28.84</v>
      </c>
      <c r="J48">
        <v>-26.8</v>
      </c>
      <c r="K48">
        <v>-28.63</v>
      </c>
      <c r="L48">
        <v>-28.41</v>
      </c>
      <c r="M48">
        <v>-28.82</v>
      </c>
      <c r="N48">
        <v>-28.01</v>
      </c>
      <c r="O48">
        <v>154.44999999999999</v>
      </c>
    </row>
    <row r="49" spans="1:15" x14ac:dyDescent="0.25">
      <c r="A49" s="23">
        <v>45181.443749999999</v>
      </c>
      <c r="C49">
        <v>-27.68</v>
      </c>
      <c r="D49">
        <v>-28.11</v>
      </c>
      <c r="E49">
        <v>-28.45</v>
      </c>
      <c r="F49">
        <v>-29.53</v>
      </c>
      <c r="G49">
        <v>-29.32</v>
      </c>
      <c r="H49">
        <v>-28.58</v>
      </c>
      <c r="I49">
        <v>-29.03</v>
      </c>
      <c r="J49">
        <v>-29.34</v>
      </c>
      <c r="K49">
        <v>-28.73</v>
      </c>
      <c r="L49">
        <v>-28.45</v>
      </c>
      <c r="M49">
        <v>-29.21</v>
      </c>
      <c r="N49">
        <v>-28.56</v>
      </c>
      <c r="O49">
        <v>154.35</v>
      </c>
    </row>
    <row r="50" spans="1:15" x14ac:dyDescent="0.25">
      <c r="A50" s="23">
        <v>45181.444444444445</v>
      </c>
      <c r="C50">
        <v>-28.02</v>
      </c>
      <c r="D50">
        <v>-28.57</v>
      </c>
      <c r="E50">
        <v>-29.12</v>
      </c>
      <c r="F50">
        <v>-30.31</v>
      </c>
      <c r="G50">
        <v>-30.15</v>
      </c>
      <c r="H50">
        <v>-29.04</v>
      </c>
      <c r="I50">
        <v>-29.66</v>
      </c>
      <c r="J50">
        <v>-30.21</v>
      </c>
      <c r="K50">
        <v>-29.3</v>
      </c>
      <c r="L50">
        <v>-29.12</v>
      </c>
      <c r="M50">
        <v>-30.12</v>
      </c>
      <c r="N50">
        <v>-29.55</v>
      </c>
      <c r="O50">
        <v>156.91999999999999</v>
      </c>
    </row>
    <row r="51" spans="1:15" x14ac:dyDescent="0.25">
      <c r="A51" s="23">
        <v>45181.445138888892</v>
      </c>
      <c r="C51">
        <v>-28.36</v>
      </c>
      <c r="D51">
        <v>-28.64</v>
      </c>
      <c r="E51">
        <v>-28.95</v>
      </c>
      <c r="F51">
        <v>-30.45</v>
      </c>
      <c r="G51">
        <v>-29.78</v>
      </c>
      <c r="H51">
        <v>-29.16</v>
      </c>
      <c r="I51">
        <v>-29.84</v>
      </c>
      <c r="J51">
        <v>-30.1</v>
      </c>
      <c r="K51">
        <v>-29.42</v>
      </c>
      <c r="L51">
        <v>-29.37</v>
      </c>
      <c r="M51">
        <v>-30.3</v>
      </c>
      <c r="N51">
        <v>-29.69</v>
      </c>
      <c r="O51">
        <v>153.72</v>
      </c>
    </row>
    <row r="52" spans="1:15" x14ac:dyDescent="0.25">
      <c r="A52" s="23">
        <v>45181.445833333331</v>
      </c>
      <c r="C52">
        <v>-28.25</v>
      </c>
      <c r="D52">
        <v>-28.45</v>
      </c>
      <c r="E52">
        <v>-27.45</v>
      </c>
      <c r="F52">
        <v>-30.14</v>
      </c>
      <c r="G52">
        <v>-28.94</v>
      </c>
      <c r="H52">
        <v>-28.97</v>
      </c>
      <c r="I52">
        <v>-29.57</v>
      </c>
      <c r="J52">
        <v>-29.15</v>
      </c>
      <c r="K52">
        <v>-28.77</v>
      </c>
      <c r="L52">
        <v>-29.15</v>
      </c>
      <c r="M52">
        <v>-29.95</v>
      </c>
      <c r="N52">
        <v>-29.23</v>
      </c>
      <c r="O52">
        <v>153.86000000000001</v>
      </c>
    </row>
    <row r="53" spans="1:15" x14ac:dyDescent="0.25">
      <c r="A53" s="23">
        <v>45181.446527777778</v>
      </c>
      <c r="C53">
        <v>-27.83</v>
      </c>
      <c r="D53">
        <v>-28.02</v>
      </c>
      <c r="E53">
        <v>-26.72</v>
      </c>
      <c r="F53">
        <v>-29.67</v>
      </c>
      <c r="G53">
        <v>-28.51</v>
      </c>
      <c r="H53">
        <v>-28.67</v>
      </c>
      <c r="I53">
        <v>-29.3</v>
      </c>
      <c r="J53">
        <v>-28.69</v>
      </c>
      <c r="K53">
        <v>-28.43</v>
      </c>
      <c r="L53">
        <v>-28.78</v>
      </c>
      <c r="M53">
        <v>-29.47</v>
      </c>
      <c r="N53">
        <v>-28.81</v>
      </c>
      <c r="O53">
        <v>152.21</v>
      </c>
    </row>
    <row r="54" spans="1:15" x14ac:dyDescent="0.25">
      <c r="A54" s="23">
        <v>45181.447222222225</v>
      </c>
      <c r="C54">
        <v>-27.49</v>
      </c>
      <c r="D54">
        <v>-27.73</v>
      </c>
      <c r="E54">
        <v>-26.53</v>
      </c>
      <c r="F54">
        <v>-29.38</v>
      </c>
      <c r="G54">
        <v>-28.25</v>
      </c>
      <c r="H54">
        <v>-28.42</v>
      </c>
      <c r="I54">
        <v>-28.94</v>
      </c>
      <c r="J54">
        <v>-28.2</v>
      </c>
      <c r="K54">
        <v>-28.12</v>
      </c>
      <c r="L54">
        <v>-28.48</v>
      </c>
      <c r="M54">
        <v>-29.08</v>
      </c>
      <c r="N54">
        <v>-28.46</v>
      </c>
      <c r="O54">
        <v>153.13999999999999</v>
      </c>
    </row>
    <row r="55" spans="1:15" x14ac:dyDescent="0.25">
      <c r="A55" s="23">
        <v>45181.447916666664</v>
      </c>
      <c r="C55">
        <v>-29.53</v>
      </c>
      <c r="D55">
        <v>-28.5</v>
      </c>
      <c r="E55">
        <v>-28.29</v>
      </c>
      <c r="F55">
        <v>-28.86</v>
      </c>
      <c r="G55">
        <v>-27.71</v>
      </c>
      <c r="H55">
        <v>-29.08</v>
      </c>
      <c r="I55">
        <v>-29.01</v>
      </c>
      <c r="J55">
        <v>-28.35</v>
      </c>
      <c r="K55">
        <v>-28.62</v>
      </c>
      <c r="L55">
        <v>-28.5</v>
      </c>
      <c r="M55">
        <v>-28.77</v>
      </c>
      <c r="N55">
        <v>-28.24</v>
      </c>
      <c r="O55">
        <v>151.91</v>
      </c>
    </row>
    <row r="56" spans="1:15" x14ac:dyDescent="0.25">
      <c r="A56" s="23">
        <v>45181.448611111111</v>
      </c>
      <c r="C56">
        <v>-30.46</v>
      </c>
      <c r="D56">
        <v>-29.15</v>
      </c>
      <c r="E56">
        <v>-29.39</v>
      </c>
      <c r="F56">
        <v>-29.21</v>
      </c>
      <c r="G56">
        <v>-27.57</v>
      </c>
      <c r="H56">
        <v>-29.7</v>
      </c>
      <c r="I56">
        <v>-29.73</v>
      </c>
      <c r="J56">
        <v>-28.81</v>
      </c>
      <c r="K56">
        <v>-29.43</v>
      </c>
      <c r="L56">
        <v>-29.18</v>
      </c>
      <c r="M56">
        <v>-29.29</v>
      </c>
      <c r="N56">
        <v>-28.56</v>
      </c>
      <c r="O56">
        <v>153.1</v>
      </c>
    </row>
    <row r="57" spans="1:15" x14ac:dyDescent="0.25">
      <c r="A57" s="23">
        <v>45181.449305555558</v>
      </c>
      <c r="C57">
        <v>-31.08</v>
      </c>
      <c r="D57">
        <v>-29.77</v>
      </c>
      <c r="E57">
        <v>-30.05</v>
      </c>
      <c r="F57">
        <v>-29.59</v>
      </c>
      <c r="G57">
        <v>-27.99</v>
      </c>
      <c r="H57">
        <v>-30.25</v>
      </c>
      <c r="I57">
        <v>-30.42</v>
      </c>
      <c r="J57">
        <v>-29.16</v>
      </c>
      <c r="K57">
        <v>-30.11</v>
      </c>
      <c r="L57">
        <v>-29.83</v>
      </c>
      <c r="M57">
        <v>-29.68</v>
      </c>
      <c r="N57">
        <v>-28.87</v>
      </c>
      <c r="O57">
        <v>151.87</v>
      </c>
    </row>
    <row r="58" spans="1:15" x14ac:dyDescent="0.25">
      <c r="A58" s="23">
        <v>45181.45</v>
      </c>
      <c r="C58">
        <v>-30.95</v>
      </c>
      <c r="D58">
        <v>-29.72</v>
      </c>
      <c r="E58">
        <v>-30.11</v>
      </c>
      <c r="F58">
        <v>-29.85</v>
      </c>
      <c r="G58">
        <v>-28.43</v>
      </c>
      <c r="H58">
        <v>-30.23</v>
      </c>
      <c r="I58">
        <v>-30.79</v>
      </c>
      <c r="J58">
        <v>-29.13</v>
      </c>
      <c r="K58">
        <v>-30.31</v>
      </c>
      <c r="L58">
        <v>-30.12</v>
      </c>
      <c r="M58">
        <v>-29.85</v>
      </c>
      <c r="N58">
        <v>-29</v>
      </c>
      <c r="O58">
        <v>151.33000000000001</v>
      </c>
    </row>
    <row r="59" spans="1:15" x14ac:dyDescent="0.25">
      <c r="A59" s="23">
        <v>45181.450694444444</v>
      </c>
      <c r="C59">
        <v>-29.73</v>
      </c>
      <c r="D59">
        <v>-29.22</v>
      </c>
      <c r="E59">
        <v>-29.11</v>
      </c>
      <c r="F59">
        <v>-30.07</v>
      </c>
      <c r="G59">
        <v>-28.46</v>
      </c>
      <c r="H59">
        <v>-29.65</v>
      </c>
      <c r="I59">
        <v>-30.21</v>
      </c>
      <c r="J59">
        <v>-28.1</v>
      </c>
      <c r="K59">
        <v>-30.09</v>
      </c>
      <c r="L59">
        <v>-29.64</v>
      </c>
      <c r="M59">
        <v>-29.86</v>
      </c>
      <c r="N59">
        <v>-28.98</v>
      </c>
      <c r="O59">
        <v>153.08000000000001</v>
      </c>
    </row>
    <row r="60" spans="1:15" x14ac:dyDescent="0.25">
      <c r="A60" s="23">
        <v>45181.451388888891</v>
      </c>
      <c r="C60">
        <v>-29.19</v>
      </c>
      <c r="D60">
        <v>-28.96</v>
      </c>
      <c r="E60">
        <v>-28.5</v>
      </c>
      <c r="F60">
        <v>-29.82</v>
      </c>
      <c r="G60">
        <v>-27.96</v>
      </c>
      <c r="H60">
        <v>-29.27</v>
      </c>
      <c r="I60">
        <v>-29.76</v>
      </c>
      <c r="J60">
        <v>-27.84</v>
      </c>
      <c r="K60">
        <v>-29.9</v>
      </c>
      <c r="L60">
        <v>-29.24</v>
      </c>
      <c r="M60">
        <v>-29.51</v>
      </c>
      <c r="N60">
        <v>-28.72</v>
      </c>
      <c r="O60">
        <v>152.29</v>
      </c>
    </row>
    <row r="61" spans="1:15" x14ac:dyDescent="0.25">
      <c r="A61" s="23">
        <v>45181.45208333333</v>
      </c>
      <c r="C61">
        <v>-28.91</v>
      </c>
      <c r="D61">
        <v>-28.66</v>
      </c>
      <c r="E61">
        <v>-28.12</v>
      </c>
      <c r="F61">
        <v>-29.54</v>
      </c>
      <c r="G61">
        <v>-27.45</v>
      </c>
      <c r="H61">
        <v>-29.07</v>
      </c>
      <c r="I61">
        <v>-29.39</v>
      </c>
      <c r="J61">
        <v>-27.42</v>
      </c>
      <c r="K61">
        <v>-29.4</v>
      </c>
      <c r="L61">
        <v>-28.99</v>
      </c>
      <c r="M61">
        <v>-29.25</v>
      </c>
      <c r="N61">
        <v>-28.5</v>
      </c>
      <c r="O61">
        <v>152.53</v>
      </c>
    </row>
    <row r="62" spans="1:15" x14ac:dyDescent="0.25">
      <c r="A62" s="23">
        <v>45181.452777777777</v>
      </c>
      <c r="C62">
        <v>-28.64</v>
      </c>
      <c r="D62">
        <v>-28.4</v>
      </c>
      <c r="E62">
        <v>-27.78</v>
      </c>
      <c r="F62">
        <v>-29.25</v>
      </c>
      <c r="G62">
        <v>-27.27</v>
      </c>
      <c r="H62">
        <v>-28.81</v>
      </c>
      <c r="I62">
        <v>-29.14</v>
      </c>
      <c r="J62">
        <v>-27.14</v>
      </c>
      <c r="K62">
        <v>-28.98</v>
      </c>
      <c r="L62">
        <v>-28.72</v>
      </c>
      <c r="M62">
        <v>-29.02</v>
      </c>
      <c r="N62">
        <v>-28.25</v>
      </c>
      <c r="O62">
        <v>152.09</v>
      </c>
    </row>
    <row r="63" spans="1:15" x14ac:dyDescent="0.25">
      <c r="A63" s="23">
        <v>45181.453472222223</v>
      </c>
      <c r="C63">
        <v>-28.33</v>
      </c>
      <c r="D63">
        <v>-28.18</v>
      </c>
      <c r="E63">
        <v>-27.36</v>
      </c>
      <c r="F63">
        <v>-29.06</v>
      </c>
      <c r="G63">
        <v>-27.74</v>
      </c>
      <c r="H63">
        <v>-28.66</v>
      </c>
      <c r="I63">
        <v>-28.88</v>
      </c>
      <c r="J63">
        <v>-27.38</v>
      </c>
      <c r="K63">
        <v>-28.59</v>
      </c>
      <c r="L63">
        <v>-28.46</v>
      </c>
      <c r="M63">
        <v>-28.85</v>
      </c>
      <c r="N63">
        <v>-28.09</v>
      </c>
      <c r="O63">
        <v>151.43</v>
      </c>
    </row>
    <row r="64" spans="1:15" x14ac:dyDescent="0.25">
      <c r="A64" s="23">
        <v>45181.45416666667</v>
      </c>
      <c r="C64">
        <v>-28.13</v>
      </c>
      <c r="D64">
        <v>-28.19</v>
      </c>
      <c r="E64">
        <v>-28.76</v>
      </c>
      <c r="F64">
        <v>-29.81</v>
      </c>
      <c r="G64">
        <v>-29.66</v>
      </c>
      <c r="H64">
        <v>-28.81</v>
      </c>
      <c r="I64">
        <v>-29.22</v>
      </c>
      <c r="J64">
        <v>-29.7</v>
      </c>
      <c r="K64">
        <v>-28.95</v>
      </c>
      <c r="L64">
        <v>-28.74</v>
      </c>
      <c r="M64">
        <v>-29.5</v>
      </c>
      <c r="N64">
        <v>-28.88</v>
      </c>
      <c r="O64">
        <v>151.56</v>
      </c>
    </row>
    <row r="65" spans="1:15" x14ac:dyDescent="0.25">
      <c r="A65" s="23">
        <v>45181.454861111109</v>
      </c>
      <c r="C65">
        <v>-28.04</v>
      </c>
      <c r="D65">
        <v>-28.61</v>
      </c>
      <c r="E65">
        <v>-29.35</v>
      </c>
      <c r="F65">
        <v>-30.58</v>
      </c>
      <c r="G65">
        <v>-30.36</v>
      </c>
      <c r="H65">
        <v>-29.16</v>
      </c>
      <c r="I65">
        <v>-29.83</v>
      </c>
      <c r="J65">
        <v>-30.41</v>
      </c>
      <c r="K65">
        <v>-29.47</v>
      </c>
      <c r="L65">
        <v>-29.36</v>
      </c>
      <c r="M65">
        <v>-30.37</v>
      </c>
      <c r="N65">
        <v>-29.73</v>
      </c>
      <c r="O65">
        <v>152.77000000000001</v>
      </c>
    </row>
    <row r="66" spans="1:15" x14ac:dyDescent="0.25">
      <c r="A66" s="23">
        <v>45181.455555555556</v>
      </c>
      <c r="C66">
        <v>-28.48</v>
      </c>
      <c r="D66">
        <v>-28.75</v>
      </c>
      <c r="E66">
        <v>-28.19</v>
      </c>
      <c r="F66">
        <v>-30.41</v>
      </c>
      <c r="G66">
        <v>-29.16</v>
      </c>
      <c r="H66">
        <v>-29.18</v>
      </c>
      <c r="I66">
        <v>-29.81</v>
      </c>
      <c r="J66">
        <v>-29.48</v>
      </c>
      <c r="K66">
        <v>-29.36</v>
      </c>
      <c r="L66">
        <v>-29.35</v>
      </c>
      <c r="M66">
        <v>-30.27</v>
      </c>
      <c r="N66">
        <v>-29.61</v>
      </c>
      <c r="O66">
        <v>152.6</v>
      </c>
    </row>
    <row r="67" spans="1:15" x14ac:dyDescent="0.25">
      <c r="A67" s="23">
        <v>45181.456250000003</v>
      </c>
      <c r="C67">
        <v>-28.21</v>
      </c>
      <c r="D67">
        <v>-28.37</v>
      </c>
      <c r="E67">
        <v>-27.05</v>
      </c>
      <c r="F67">
        <v>-29.97</v>
      </c>
      <c r="G67">
        <v>-28.77</v>
      </c>
      <c r="H67">
        <v>-28.99</v>
      </c>
      <c r="I67">
        <v>-29.63</v>
      </c>
      <c r="J67">
        <v>-29.05</v>
      </c>
      <c r="K67">
        <v>-28.77</v>
      </c>
      <c r="L67">
        <v>-29.12</v>
      </c>
      <c r="M67">
        <v>-29.81</v>
      </c>
      <c r="N67">
        <v>-29.15</v>
      </c>
      <c r="O67">
        <v>152.19999999999999</v>
      </c>
    </row>
    <row r="68" spans="1:15" x14ac:dyDescent="0.25">
      <c r="A68" s="23">
        <v>45181.456944444442</v>
      </c>
      <c r="C68">
        <v>-27.83</v>
      </c>
      <c r="D68">
        <v>-27.99</v>
      </c>
      <c r="E68">
        <v>-26.76</v>
      </c>
      <c r="F68">
        <v>-29.61</v>
      </c>
      <c r="G68">
        <v>-28.53</v>
      </c>
      <c r="H68">
        <v>-28.75</v>
      </c>
      <c r="I68">
        <v>-29.3</v>
      </c>
      <c r="J68">
        <v>-28.63</v>
      </c>
      <c r="K68">
        <v>-28.42</v>
      </c>
      <c r="L68">
        <v>-28.84</v>
      </c>
      <c r="M68">
        <v>-29.36</v>
      </c>
      <c r="N68">
        <v>-28.82</v>
      </c>
      <c r="O68">
        <v>152.16</v>
      </c>
    </row>
    <row r="69" spans="1:15" x14ac:dyDescent="0.25">
      <c r="A69" s="23">
        <v>45181.457638888889</v>
      </c>
      <c r="C69">
        <v>-27.6</v>
      </c>
      <c r="D69">
        <v>-27.78</v>
      </c>
      <c r="E69">
        <v>-26.42</v>
      </c>
      <c r="F69">
        <v>-29.28</v>
      </c>
      <c r="G69">
        <v>-28.18</v>
      </c>
      <c r="H69">
        <v>-28.46</v>
      </c>
      <c r="I69">
        <v>-29.01</v>
      </c>
      <c r="J69">
        <v>-28.3</v>
      </c>
      <c r="K69">
        <v>-28.07</v>
      </c>
      <c r="L69">
        <v>-28.53</v>
      </c>
      <c r="M69">
        <v>-29.05</v>
      </c>
      <c r="N69">
        <v>-28.47</v>
      </c>
      <c r="O69">
        <v>151.76</v>
      </c>
    </row>
    <row r="70" spans="1:15" x14ac:dyDescent="0.25">
      <c r="A70" s="23">
        <v>45181.458333333336</v>
      </c>
      <c r="C70">
        <v>-29.38</v>
      </c>
      <c r="D70">
        <v>-28.56</v>
      </c>
      <c r="E70">
        <v>-28.1</v>
      </c>
      <c r="F70">
        <v>-28.78</v>
      </c>
      <c r="G70">
        <v>-27.54</v>
      </c>
      <c r="H70">
        <v>-29.09</v>
      </c>
      <c r="I70">
        <v>-29.07</v>
      </c>
      <c r="J70">
        <v>-28.34</v>
      </c>
      <c r="K70">
        <v>-28.58</v>
      </c>
      <c r="L70">
        <v>-28.57</v>
      </c>
      <c r="M70">
        <v>-28.74</v>
      </c>
      <c r="N70">
        <v>-28.27</v>
      </c>
      <c r="O70">
        <v>151.77000000000001</v>
      </c>
    </row>
    <row r="71" spans="1:15" x14ac:dyDescent="0.25">
      <c r="A71" s="23">
        <v>45181.459027777775</v>
      </c>
      <c r="C71">
        <v>-30.44</v>
      </c>
      <c r="D71">
        <v>-29.21</v>
      </c>
      <c r="E71">
        <v>-29.23</v>
      </c>
      <c r="F71">
        <v>-29.15</v>
      </c>
      <c r="G71">
        <v>-27.49</v>
      </c>
      <c r="H71">
        <v>-29.8</v>
      </c>
      <c r="I71">
        <v>-29.87</v>
      </c>
      <c r="J71">
        <v>-28.72</v>
      </c>
      <c r="K71">
        <v>-29.44</v>
      </c>
      <c r="L71">
        <v>-29.25</v>
      </c>
      <c r="M71">
        <v>-29.17</v>
      </c>
      <c r="N71">
        <v>-28.47</v>
      </c>
      <c r="O71">
        <v>151.56</v>
      </c>
    </row>
    <row r="72" spans="1:15" x14ac:dyDescent="0.25">
      <c r="A72" s="23">
        <v>45181.459722222222</v>
      </c>
      <c r="C72">
        <v>-31.06</v>
      </c>
      <c r="D72">
        <v>-29.71</v>
      </c>
      <c r="E72">
        <v>-30.03</v>
      </c>
      <c r="F72">
        <v>-29.52</v>
      </c>
      <c r="G72">
        <v>-27.88</v>
      </c>
      <c r="H72">
        <v>-30.19</v>
      </c>
      <c r="I72">
        <v>-30.46</v>
      </c>
      <c r="J72">
        <v>-29.23</v>
      </c>
      <c r="K72">
        <v>-30.11</v>
      </c>
      <c r="L72">
        <v>-29.86</v>
      </c>
      <c r="M72">
        <v>-29.64</v>
      </c>
      <c r="N72">
        <v>-28.97</v>
      </c>
      <c r="O72">
        <v>151.84</v>
      </c>
    </row>
    <row r="73" spans="1:15" x14ac:dyDescent="0.25">
      <c r="A73" s="23">
        <v>45181.460416666669</v>
      </c>
      <c r="C73">
        <v>-31.01</v>
      </c>
      <c r="D73">
        <v>-29.97</v>
      </c>
      <c r="E73">
        <v>-30.23</v>
      </c>
      <c r="F73">
        <v>-29.65</v>
      </c>
      <c r="G73">
        <v>-28.23</v>
      </c>
      <c r="H73">
        <v>-30.3</v>
      </c>
      <c r="I73">
        <v>-30.92</v>
      </c>
      <c r="J73">
        <v>-29.33</v>
      </c>
      <c r="K73">
        <v>-30.32</v>
      </c>
      <c r="L73">
        <v>-30.23</v>
      </c>
      <c r="M73">
        <v>-29.72</v>
      </c>
      <c r="N73">
        <v>-29.15</v>
      </c>
      <c r="O73">
        <v>152.35</v>
      </c>
    </row>
    <row r="74" spans="1:15" x14ac:dyDescent="0.25">
      <c r="A74" s="23">
        <v>45181.461111111108</v>
      </c>
      <c r="C74">
        <v>-29.78</v>
      </c>
      <c r="D74">
        <v>-29.24</v>
      </c>
      <c r="E74">
        <v>-28.98</v>
      </c>
      <c r="F74">
        <v>-29.9</v>
      </c>
      <c r="G74">
        <v>-28.24</v>
      </c>
      <c r="H74">
        <v>-29.62</v>
      </c>
      <c r="I74">
        <v>-30.3</v>
      </c>
      <c r="J74">
        <v>-28.36</v>
      </c>
      <c r="K74">
        <v>-29.95</v>
      </c>
      <c r="L74">
        <v>-29.68</v>
      </c>
      <c r="M74">
        <v>-29.76</v>
      </c>
      <c r="N74">
        <v>-29.01</v>
      </c>
      <c r="O74">
        <v>152</v>
      </c>
    </row>
    <row r="75" spans="1:15" x14ac:dyDescent="0.25">
      <c r="A75" s="23">
        <v>45181.461805555555</v>
      </c>
      <c r="C75">
        <v>-29.27</v>
      </c>
      <c r="D75">
        <v>-28.91</v>
      </c>
      <c r="E75">
        <v>-28.46</v>
      </c>
      <c r="F75">
        <v>-29.72</v>
      </c>
      <c r="G75">
        <v>-27.96</v>
      </c>
      <c r="H75">
        <v>-29.38</v>
      </c>
      <c r="I75">
        <v>-29.77</v>
      </c>
      <c r="J75">
        <v>-27.88</v>
      </c>
      <c r="K75">
        <v>-29.81</v>
      </c>
      <c r="L75">
        <v>-29.29</v>
      </c>
      <c r="M75">
        <v>-29.57</v>
      </c>
      <c r="N75">
        <v>-28.79</v>
      </c>
      <c r="O75">
        <v>152.41999999999999</v>
      </c>
    </row>
    <row r="76" spans="1:15" x14ac:dyDescent="0.25">
      <c r="A76" s="23">
        <v>45238.638888888891</v>
      </c>
      <c r="C76">
        <v>96.3</v>
      </c>
      <c r="D76">
        <v>99.67</v>
      </c>
      <c r="E76">
        <v>95.66</v>
      </c>
      <c r="F76">
        <v>98.11</v>
      </c>
      <c r="G76">
        <v>98.19</v>
      </c>
      <c r="H76">
        <v>92.42</v>
      </c>
      <c r="I76">
        <v>95.11</v>
      </c>
      <c r="J76">
        <v>92.93</v>
      </c>
      <c r="K76">
        <v>98.89</v>
      </c>
      <c r="L76">
        <v>47.99</v>
      </c>
      <c r="M76">
        <v>-29.57</v>
      </c>
      <c r="N76">
        <v>-28.79</v>
      </c>
      <c r="O76">
        <v>151.88</v>
      </c>
    </row>
    <row r="77" spans="1:15" x14ac:dyDescent="0.25">
      <c r="A77" s="23">
        <v>45238.63958333333</v>
      </c>
      <c r="C77">
        <v>96.44</v>
      </c>
      <c r="D77">
        <v>99.28</v>
      </c>
      <c r="E77">
        <v>95.67</v>
      </c>
      <c r="F77">
        <v>97.9</v>
      </c>
      <c r="G77">
        <v>97.81</v>
      </c>
      <c r="H77">
        <v>91.96</v>
      </c>
      <c r="I77">
        <v>95.14</v>
      </c>
      <c r="J77">
        <v>93.04</v>
      </c>
      <c r="K77">
        <v>98.6</v>
      </c>
      <c r="L77">
        <v>47.99</v>
      </c>
      <c r="M77">
        <v>149.80000000000001</v>
      </c>
      <c r="N77">
        <v>151.29</v>
      </c>
      <c r="O77">
        <v>151.54</v>
      </c>
    </row>
    <row r="78" spans="1:15" x14ac:dyDescent="0.25">
      <c r="A78" s="23">
        <v>45238.640277777777</v>
      </c>
      <c r="C78">
        <v>96.47</v>
      </c>
      <c r="D78">
        <v>99.34</v>
      </c>
      <c r="E78">
        <v>95.65</v>
      </c>
      <c r="F78">
        <v>97.97</v>
      </c>
      <c r="G78">
        <v>98.17</v>
      </c>
      <c r="H78">
        <v>92.12</v>
      </c>
      <c r="I78">
        <v>95.24</v>
      </c>
      <c r="J78">
        <v>93.36</v>
      </c>
      <c r="K78">
        <v>98.54</v>
      </c>
      <c r="L78">
        <v>40.28</v>
      </c>
      <c r="M78">
        <v>149.93</v>
      </c>
      <c r="N78">
        <v>151.33000000000001</v>
      </c>
      <c r="O78">
        <v>151.25</v>
      </c>
    </row>
    <row r="79" spans="1:15" x14ac:dyDescent="0.25">
      <c r="A79" s="23">
        <v>45238.640972222223</v>
      </c>
      <c r="C79">
        <v>96.26</v>
      </c>
      <c r="D79">
        <v>99.1</v>
      </c>
      <c r="E79">
        <v>95.65</v>
      </c>
      <c r="F79">
        <v>97.62</v>
      </c>
      <c r="G79">
        <v>97.75</v>
      </c>
      <c r="H79">
        <v>92.33</v>
      </c>
      <c r="I79">
        <v>94.88</v>
      </c>
      <c r="J79">
        <v>93.39</v>
      </c>
      <c r="K79">
        <v>98.4</v>
      </c>
      <c r="L79">
        <v>151.63999999999999</v>
      </c>
      <c r="M79">
        <v>150.74</v>
      </c>
      <c r="N79">
        <v>152.08000000000001</v>
      </c>
      <c r="O79">
        <v>152.04</v>
      </c>
    </row>
    <row r="80" spans="1:15" x14ac:dyDescent="0.25">
      <c r="A80" s="23">
        <v>45238.64166666667</v>
      </c>
      <c r="C80">
        <v>96.22</v>
      </c>
      <c r="D80">
        <v>99.01</v>
      </c>
      <c r="E80">
        <v>95.69</v>
      </c>
      <c r="F80">
        <v>97.63</v>
      </c>
      <c r="G80">
        <v>97.72</v>
      </c>
      <c r="H80">
        <v>92.53</v>
      </c>
      <c r="I80">
        <v>94.96</v>
      </c>
      <c r="J80">
        <v>93.34</v>
      </c>
      <c r="K80">
        <v>98.38</v>
      </c>
      <c r="L80">
        <v>152.04</v>
      </c>
      <c r="M80">
        <v>150.96</v>
      </c>
      <c r="N80">
        <v>152.55000000000001</v>
      </c>
      <c r="O80">
        <v>152.38</v>
      </c>
    </row>
    <row r="81" spans="1:15" x14ac:dyDescent="0.25">
      <c r="A81" s="23">
        <v>45238.642361111109</v>
      </c>
      <c r="C81">
        <v>96.46</v>
      </c>
      <c r="D81">
        <v>98.92</v>
      </c>
      <c r="E81">
        <v>95.78</v>
      </c>
      <c r="F81">
        <v>97.75</v>
      </c>
      <c r="G81">
        <v>97.66</v>
      </c>
      <c r="H81">
        <v>92.58</v>
      </c>
      <c r="I81">
        <v>95.05</v>
      </c>
      <c r="J81">
        <v>93.68</v>
      </c>
      <c r="K81">
        <v>98.38</v>
      </c>
      <c r="L81">
        <v>151.41999999999999</v>
      </c>
      <c r="M81">
        <v>150.47</v>
      </c>
      <c r="N81">
        <v>151.63</v>
      </c>
      <c r="O81">
        <v>151.94</v>
      </c>
    </row>
    <row r="82" spans="1:15" x14ac:dyDescent="0.25">
      <c r="A82" s="23">
        <v>45238.643055555556</v>
      </c>
      <c r="C82">
        <v>96.34</v>
      </c>
      <c r="D82">
        <v>98.77</v>
      </c>
      <c r="E82">
        <v>95.59</v>
      </c>
      <c r="F82">
        <v>97.54</v>
      </c>
      <c r="G82">
        <v>97.66</v>
      </c>
      <c r="H82">
        <v>92.46</v>
      </c>
      <c r="I82">
        <v>95.24</v>
      </c>
      <c r="J82">
        <v>93.69</v>
      </c>
      <c r="K82">
        <v>98.19</v>
      </c>
      <c r="L82">
        <v>151.05000000000001</v>
      </c>
      <c r="M82">
        <v>150.16999999999999</v>
      </c>
      <c r="N82">
        <v>151.44999999999999</v>
      </c>
      <c r="O82">
        <v>151.6</v>
      </c>
    </row>
    <row r="83" spans="1:15" x14ac:dyDescent="0.25">
      <c r="A83" s="23">
        <v>45238.643750000003</v>
      </c>
      <c r="C83">
        <v>96.52</v>
      </c>
      <c r="D83">
        <v>98.86</v>
      </c>
      <c r="E83">
        <v>95.77</v>
      </c>
      <c r="F83">
        <v>97.62</v>
      </c>
      <c r="G83">
        <v>97.63</v>
      </c>
      <c r="H83">
        <v>92.27</v>
      </c>
      <c r="I83">
        <v>95.27</v>
      </c>
      <c r="J83">
        <v>93.95</v>
      </c>
      <c r="K83">
        <v>98.29</v>
      </c>
      <c r="L83">
        <v>151.16999999999999</v>
      </c>
      <c r="M83">
        <v>150.06</v>
      </c>
      <c r="N83">
        <v>151.57</v>
      </c>
      <c r="O83">
        <v>151.63</v>
      </c>
    </row>
    <row r="84" spans="1:15" x14ac:dyDescent="0.25">
      <c r="A84" s="23">
        <v>45238.644444444442</v>
      </c>
      <c r="C84">
        <v>96.47</v>
      </c>
      <c r="D84">
        <v>98.7</v>
      </c>
      <c r="E84">
        <v>95.79</v>
      </c>
      <c r="F84">
        <v>97.56</v>
      </c>
      <c r="G84">
        <v>97.75</v>
      </c>
      <c r="H84">
        <v>92.87</v>
      </c>
      <c r="I84">
        <v>95.29</v>
      </c>
      <c r="J84">
        <v>93.75</v>
      </c>
      <c r="K84">
        <v>98.15</v>
      </c>
      <c r="L84">
        <v>151.38</v>
      </c>
      <c r="M84">
        <v>150.25</v>
      </c>
      <c r="N84">
        <v>151.57</v>
      </c>
      <c r="O84">
        <v>151.71</v>
      </c>
    </row>
    <row r="85" spans="1:15" x14ac:dyDescent="0.25">
      <c r="A85" s="23">
        <v>45238.645138888889</v>
      </c>
      <c r="C85">
        <v>96.34</v>
      </c>
      <c r="D85">
        <v>98.64</v>
      </c>
      <c r="E85">
        <v>95.66</v>
      </c>
      <c r="F85">
        <v>97.35</v>
      </c>
      <c r="G85">
        <v>97.57</v>
      </c>
      <c r="H85">
        <v>92.45</v>
      </c>
      <c r="I85">
        <v>95.17</v>
      </c>
      <c r="J85">
        <v>93.91</v>
      </c>
      <c r="K85">
        <v>98.03</v>
      </c>
      <c r="L85">
        <v>154.32</v>
      </c>
      <c r="M85">
        <v>152.18</v>
      </c>
      <c r="N85">
        <v>151.97</v>
      </c>
      <c r="O85">
        <v>151.77000000000001</v>
      </c>
    </row>
    <row r="86" spans="1:15" x14ac:dyDescent="0.25">
      <c r="A86" s="23">
        <v>45238.645833333336</v>
      </c>
      <c r="C86">
        <v>96.6</v>
      </c>
      <c r="D86">
        <v>98.6</v>
      </c>
      <c r="E86">
        <v>95.86</v>
      </c>
      <c r="F86">
        <v>97.45</v>
      </c>
      <c r="G86">
        <v>97.51</v>
      </c>
      <c r="H86">
        <v>93.2</v>
      </c>
      <c r="I86">
        <v>95.41</v>
      </c>
      <c r="J86">
        <v>93.92</v>
      </c>
      <c r="K86">
        <v>98.15</v>
      </c>
      <c r="L86">
        <v>151.49</v>
      </c>
      <c r="M86">
        <v>150.36000000000001</v>
      </c>
      <c r="N86">
        <v>151.94999999999999</v>
      </c>
      <c r="O86">
        <v>151.85</v>
      </c>
    </row>
    <row r="87" spans="1:15" x14ac:dyDescent="0.25">
      <c r="A87" s="23">
        <v>45238.646527777775</v>
      </c>
      <c r="C87">
        <v>96.57</v>
      </c>
      <c r="D87">
        <v>98.67</v>
      </c>
      <c r="E87">
        <v>95.74</v>
      </c>
      <c r="F87">
        <v>97.45</v>
      </c>
      <c r="G87">
        <v>97.7</v>
      </c>
      <c r="H87">
        <v>93.08</v>
      </c>
      <c r="I87">
        <v>95.4</v>
      </c>
      <c r="J87">
        <v>93.92</v>
      </c>
      <c r="K87">
        <v>98.04</v>
      </c>
      <c r="L87">
        <v>165.49</v>
      </c>
      <c r="M87">
        <v>163.87</v>
      </c>
      <c r="N87">
        <v>168.1</v>
      </c>
      <c r="O87">
        <v>167.25</v>
      </c>
    </row>
    <row r="88" spans="1:15" x14ac:dyDescent="0.25">
      <c r="A88" s="23">
        <v>45238.647222222222</v>
      </c>
      <c r="C88">
        <v>96.6</v>
      </c>
      <c r="D88">
        <v>98.49</v>
      </c>
      <c r="E88">
        <v>95.89</v>
      </c>
      <c r="F88">
        <v>97.47</v>
      </c>
      <c r="G88">
        <v>97.23</v>
      </c>
      <c r="H88">
        <v>93.32</v>
      </c>
      <c r="I88">
        <v>95.39</v>
      </c>
      <c r="J88">
        <v>94.04</v>
      </c>
      <c r="K88">
        <v>98.07</v>
      </c>
      <c r="L88">
        <v>173.56</v>
      </c>
      <c r="M88">
        <v>170.6</v>
      </c>
      <c r="N88">
        <v>175.59</v>
      </c>
      <c r="O88">
        <v>174.65</v>
      </c>
    </row>
    <row r="89" spans="1:15" x14ac:dyDescent="0.25">
      <c r="A89" s="23">
        <v>45238.647916666669</v>
      </c>
      <c r="C89">
        <v>96.7</v>
      </c>
      <c r="D89">
        <v>98.5</v>
      </c>
      <c r="E89">
        <v>95.72</v>
      </c>
      <c r="F89">
        <v>97.31</v>
      </c>
      <c r="G89">
        <v>97.6</v>
      </c>
      <c r="H89">
        <v>93.02</v>
      </c>
      <c r="I89">
        <v>95.61</v>
      </c>
      <c r="J89">
        <v>94.22</v>
      </c>
      <c r="K89">
        <v>98.03</v>
      </c>
      <c r="L89">
        <v>179.31</v>
      </c>
      <c r="M89">
        <v>177.4</v>
      </c>
      <c r="N89">
        <v>181.16</v>
      </c>
      <c r="O89">
        <v>180.19</v>
      </c>
    </row>
    <row r="90" spans="1:15" x14ac:dyDescent="0.25">
      <c r="A90" s="23">
        <v>45238.648611111108</v>
      </c>
      <c r="C90">
        <v>96.49</v>
      </c>
      <c r="D90">
        <v>98.41</v>
      </c>
      <c r="E90">
        <v>95.68</v>
      </c>
      <c r="F90">
        <v>97.33</v>
      </c>
      <c r="G90">
        <v>97.63</v>
      </c>
      <c r="H90">
        <v>93.23</v>
      </c>
      <c r="I90">
        <v>95.47</v>
      </c>
      <c r="J90">
        <v>94.32</v>
      </c>
      <c r="K90">
        <v>97.96</v>
      </c>
      <c r="L90">
        <v>184.51</v>
      </c>
      <c r="M90">
        <v>181.86</v>
      </c>
      <c r="N90">
        <v>185.24</v>
      </c>
      <c r="O90">
        <v>185.28</v>
      </c>
    </row>
    <row r="91" spans="1:15" x14ac:dyDescent="0.25">
      <c r="A91" s="23">
        <v>45238.649305555555</v>
      </c>
      <c r="C91">
        <v>96.56</v>
      </c>
      <c r="D91">
        <v>98.47</v>
      </c>
      <c r="E91">
        <v>95.7</v>
      </c>
      <c r="F91">
        <v>97.34</v>
      </c>
      <c r="G91">
        <v>97.7</v>
      </c>
      <c r="H91">
        <v>92.99</v>
      </c>
      <c r="I91">
        <v>95.35</v>
      </c>
      <c r="J91">
        <v>94.24</v>
      </c>
      <c r="K91">
        <v>97.99</v>
      </c>
      <c r="L91">
        <v>188.85</v>
      </c>
      <c r="M91">
        <v>185.46</v>
      </c>
      <c r="N91">
        <v>189.26</v>
      </c>
      <c r="O91">
        <v>189.46</v>
      </c>
    </row>
    <row r="92" spans="1:15" x14ac:dyDescent="0.25">
      <c r="A92" s="23">
        <v>45238.65</v>
      </c>
      <c r="C92">
        <v>96.45</v>
      </c>
      <c r="D92">
        <v>98.51</v>
      </c>
      <c r="E92">
        <v>95.71</v>
      </c>
      <c r="F92">
        <v>97.4</v>
      </c>
      <c r="G92">
        <v>97.5</v>
      </c>
      <c r="H92">
        <v>93.17</v>
      </c>
      <c r="I92">
        <v>95.37</v>
      </c>
      <c r="J92">
        <v>94.46</v>
      </c>
      <c r="K92">
        <v>98.03</v>
      </c>
      <c r="L92">
        <v>192.47</v>
      </c>
      <c r="M92">
        <v>189.58</v>
      </c>
      <c r="N92">
        <v>191.47</v>
      </c>
      <c r="O92">
        <v>193.33</v>
      </c>
    </row>
    <row r="93" spans="1:15" x14ac:dyDescent="0.25">
      <c r="A93" s="23">
        <v>45238.650694444441</v>
      </c>
      <c r="C93">
        <v>96.63</v>
      </c>
      <c r="D93">
        <v>98.34</v>
      </c>
      <c r="E93">
        <v>95.88</v>
      </c>
      <c r="F93">
        <v>97.34</v>
      </c>
      <c r="G93">
        <v>97.58</v>
      </c>
      <c r="H93">
        <v>93.5</v>
      </c>
      <c r="I93">
        <v>95.47</v>
      </c>
      <c r="J93">
        <v>94.24</v>
      </c>
      <c r="K93">
        <v>97.92</v>
      </c>
      <c r="L93">
        <v>195.02</v>
      </c>
      <c r="M93">
        <v>192.26</v>
      </c>
      <c r="N93">
        <v>195.18</v>
      </c>
      <c r="O93">
        <v>195.32</v>
      </c>
    </row>
    <row r="94" spans="1:15" x14ac:dyDescent="0.25">
      <c r="A94" s="23">
        <v>45238.651388888888</v>
      </c>
      <c r="C94">
        <v>96.52</v>
      </c>
      <c r="D94">
        <v>98.36</v>
      </c>
      <c r="E94">
        <v>95.95</v>
      </c>
      <c r="F94">
        <v>97.4</v>
      </c>
      <c r="G94">
        <v>97.41</v>
      </c>
      <c r="H94">
        <v>93.57</v>
      </c>
      <c r="I94">
        <v>95.6</v>
      </c>
      <c r="J94">
        <v>94.22</v>
      </c>
      <c r="K94">
        <v>97.99</v>
      </c>
      <c r="L94">
        <v>198.07</v>
      </c>
      <c r="M94">
        <v>195.33</v>
      </c>
      <c r="N94">
        <v>198.57</v>
      </c>
      <c r="O94">
        <v>197.01</v>
      </c>
    </row>
    <row r="95" spans="1:15" x14ac:dyDescent="0.25">
      <c r="A95" s="23">
        <v>45238.652083333334</v>
      </c>
      <c r="C95">
        <v>96.64</v>
      </c>
      <c r="D95">
        <v>98.37</v>
      </c>
      <c r="E95">
        <v>95.88</v>
      </c>
      <c r="F95">
        <v>97.27</v>
      </c>
      <c r="G95">
        <v>97.53</v>
      </c>
      <c r="H95">
        <v>93.67</v>
      </c>
      <c r="I95">
        <v>95.41</v>
      </c>
      <c r="J95">
        <v>94.33</v>
      </c>
      <c r="K95">
        <v>97.9</v>
      </c>
      <c r="L95">
        <v>195.59</v>
      </c>
      <c r="M95">
        <v>193.16</v>
      </c>
      <c r="N95">
        <v>195.79</v>
      </c>
      <c r="O95">
        <v>195.85</v>
      </c>
    </row>
    <row r="96" spans="1:15" x14ac:dyDescent="0.25">
      <c r="A96" s="23">
        <v>45238.652777777781</v>
      </c>
      <c r="C96">
        <v>96.57</v>
      </c>
      <c r="D96">
        <v>98.46</v>
      </c>
      <c r="E96">
        <v>95.87</v>
      </c>
      <c r="F96">
        <v>97.34</v>
      </c>
      <c r="G96">
        <v>97.66</v>
      </c>
      <c r="H96">
        <v>93.47</v>
      </c>
      <c r="I96">
        <v>95.4</v>
      </c>
      <c r="J96">
        <v>94.25</v>
      </c>
      <c r="K96">
        <v>97.97</v>
      </c>
      <c r="L96">
        <v>196.63</v>
      </c>
      <c r="M96">
        <v>193.86</v>
      </c>
      <c r="N96">
        <v>197.39</v>
      </c>
      <c r="O96">
        <v>197.09</v>
      </c>
    </row>
    <row r="97" spans="1:15" x14ac:dyDescent="0.25">
      <c r="A97" s="23">
        <v>45238.65347222222</v>
      </c>
      <c r="C97">
        <v>96.52</v>
      </c>
      <c r="D97">
        <v>98.21</v>
      </c>
      <c r="E97">
        <v>95.82</v>
      </c>
      <c r="F97">
        <v>97.15</v>
      </c>
      <c r="G97">
        <v>97.34</v>
      </c>
      <c r="H97">
        <v>93.69</v>
      </c>
      <c r="I97">
        <v>95.49</v>
      </c>
      <c r="J97">
        <v>94.31</v>
      </c>
      <c r="K97">
        <v>97.8</v>
      </c>
      <c r="L97">
        <v>195.03</v>
      </c>
      <c r="M97">
        <v>191.12</v>
      </c>
      <c r="N97">
        <v>195.38</v>
      </c>
      <c r="O97">
        <v>193.95</v>
      </c>
    </row>
    <row r="98" spans="1:15" x14ac:dyDescent="0.25">
      <c r="A98" s="23">
        <v>45238.654166666667</v>
      </c>
      <c r="C98">
        <v>96.67</v>
      </c>
      <c r="D98">
        <v>98.43</v>
      </c>
      <c r="E98">
        <v>95.87</v>
      </c>
      <c r="F98">
        <v>97.37</v>
      </c>
      <c r="G98">
        <v>97.62</v>
      </c>
      <c r="H98">
        <v>93.7</v>
      </c>
      <c r="I98">
        <v>95.68</v>
      </c>
      <c r="J98">
        <v>94.5</v>
      </c>
      <c r="K98">
        <v>98</v>
      </c>
      <c r="L98">
        <v>193.34</v>
      </c>
      <c r="M98">
        <v>190.56</v>
      </c>
      <c r="N98">
        <v>193.41</v>
      </c>
      <c r="O98">
        <v>192.14</v>
      </c>
    </row>
    <row r="99" spans="1:15" x14ac:dyDescent="0.25">
      <c r="A99" s="23">
        <v>45238.654861111114</v>
      </c>
      <c r="C99">
        <v>96.54</v>
      </c>
      <c r="D99">
        <v>98.12</v>
      </c>
      <c r="E99">
        <v>95.72</v>
      </c>
      <c r="F99">
        <v>97.24</v>
      </c>
      <c r="G99">
        <v>97.31</v>
      </c>
      <c r="H99">
        <v>93.85</v>
      </c>
      <c r="I99">
        <v>95.53</v>
      </c>
      <c r="J99">
        <v>94.32</v>
      </c>
      <c r="K99">
        <v>97.78</v>
      </c>
      <c r="L99">
        <v>195.64</v>
      </c>
      <c r="M99">
        <v>193.15</v>
      </c>
      <c r="N99">
        <v>196</v>
      </c>
      <c r="O99">
        <v>196.15</v>
      </c>
    </row>
    <row r="100" spans="1:15" x14ac:dyDescent="0.25">
      <c r="A100" s="23">
        <v>45238.655555555553</v>
      </c>
      <c r="C100">
        <v>96.75</v>
      </c>
      <c r="D100">
        <v>98.53</v>
      </c>
      <c r="E100">
        <v>96.02</v>
      </c>
      <c r="F100">
        <v>97.37</v>
      </c>
      <c r="G100">
        <v>97.52</v>
      </c>
      <c r="H100">
        <v>93.75</v>
      </c>
      <c r="I100">
        <v>95.45</v>
      </c>
      <c r="J100">
        <v>94.31</v>
      </c>
      <c r="K100">
        <v>97.99</v>
      </c>
      <c r="L100">
        <v>192.95</v>
      </c>
      <c r="M100">
        <v>190.19</v>
      </c>
      <c r="N100">
        <v>193.46</v>
      </c>
      <c r="O100">
        <v>193.93</v>
      </c>
    </row>
    <row r="101" spans="1:15" x14ac:dyDescent="0.25">
      <c r="A101" s="23">
        <v>45238.65625</v>
      </c>
      <c r="C101">
        <v>96.73</v>
      </c>
      <c r="D101">
        <v>98.32</v>
      </c>
      <c r="E101">
        <v>95.82</v>
      </c>
      <c r="F101">
        <v>97.34</v>
      </c>
      <c r="G101">
        <v>97.28</v>
      </c>
      <c r="H101">
        <v>93.92</v>
      </c>
      <c r="I101">
        <v>95.49</v>
      </c>
      <c r="J101">
        <v>94.36</v>
      </c>
      <c r="K101">
        <v>97.9</v>
      </c>
      <c r="L101">
        <v>191.94</v>
      </c>
      <c r="M101">
        <v>190.05</v>
      </c>
      <c r="N101">
        <v>192.26</v>
      </c>
      <c r="O101">
        <v>192.02</v>
      </c>
    </row>
    <row r="102" spans="1:15" x14ac:dyDescent="0.25">
      <c r="A102" s="23">
        <v>45238.656944444447</v>
      </c>
      <c r="C102">
        <v>96.68</v>
      </c>
      <c r="D102">
        <v>98.38</v>
      </c>
      <c r="E102">
        <v>95.97</v>
      </c>
      <c r="F102">
        <v>97.3</v>
      </c>
      <c r="G102">
        <v>97.61</v>
      </c>
      <c r="H102">
        <v>93.98</v>
      </c>
      <c r="I102">
        <v>95.7</v>
      </c>
      <c r="J102">
        <v>94.33</v>
      </c>
      <c r="K102">
        <v>97.88</v>
      </c>
      <c r="L102">
        <v>191.89</v>
      </c>
      <c r="M102">
        <v>190.57</v>
      </c>
      <c r="N102">
        <v>192.85</v>
      </c>
      <c r="O102">
        <v>192.73</v>
      </c>
    </row>
    <row r="103" spans="1:15" x14ac:dyDescent="0.25">
      <c r="A103" s="23">
        <v>45238.657638888886</v>
      </c>
      <c r="C103">
        <v>96.84</v>
      </c>
      <c r="D103">
        <v>98.4</v>
      </c>
      <c r="E103">
        <v>95.94</v>
      </c>
      <c r="F103">
        <v>97.34</v>
      </c>
      <c r="G103">
        <v>97.47</v>
      </c>
      <c r="H103">
        <v>93.99</v>
      </c>
      <c r="I103">
        <v>95.82</v>
      </c>
      <c r="J103">
        <v>94.47</v>
      </c>
      <c r="K103">
        <v>97.89</v>
      </c>
      <c r="L103">
        <v>192.12</v>
      </c>
      <c r="M103">
        <v>190.4</v>
      </c>
      <c r="N103">
        <v>192.95</v>
      </c>
      <c r="O103">
        <v>193.09</v>
      </c>
    </row>
    <row r="104" spans="1:15" x14ac:dyDescent="0.25">
      <c r="A104" s="23">
        <v>45238.658333333333</v>
      </c>
      <c r="C104">
        <v>96.64</v>
      </c>
      <c r="D104">
        <v>98.45</v>
      </c>
      <c r="E104">
        <v>96.06</v>
      </c>
      <c r="F104">
        <v>97.31</v>
      </c>
      <c r="G104">
        <v>97.59</v>
      </c>
      <c r="H104">
        <v>93.58</v>
      </c>
      <c r="I104">
        <v>95.46</v>
      </c>
      <c r="J104">
        <v>94.37</v>
      </c>
      <c r="K104">
        <v>97.98</v>
      </c>
      <c r="L104">
        <v>192.68</v>
      </c>
      <c r="M104">
        <v>190.94</v>
      </c>
      <c r="N104">
        <v>193.57</v>
      </c>
      <c r="O104">
        <v>193.43</v>
      </c>
    </row>
    <row r="105" spans="1:15" x14ac:dyDescent="0.25">
      <c r="A105" s="23">
        <v>45238.65902777778</v>
      </c>
      <c r="C105">
        <v>106.31</v>
      </c>
      <c r="D105">
        <v>115.02</v>
      </c>
      <c r="E105">
        <v>106.93</v>
      </c>
      <c r="F105">
        <v>112.48</v>
      </c>
      <c r="G105">
        <v>111.29</v>
      </c>
      <c r="H105">
        <v>101.12</v>
      </c>
      <c r="I105">
        <v>106.62</v>
      </c>
      <c r="J105">
        <v>101.39</v>
      </c>
      <c r="K105">
        <v>114.06</v>
      </c>
      <c r="L105">
        <v>192.03</v>
      </c>
      <c r="M105">
        <v>189.83</v>
      </c>
      <c r="N105">
        <v>192.6</v>
      </c>
      <c r="O105">
        <v>192.59</v>
      </c>
    </row>
    <row r="106" spans="1:15" x14ac:dyDescent="0.25">
      <c r="A106" s="23">
        <v>45238.659722222219</v>
      </c>
      <c r="C106">
        <v>119.65</v>
      </c>
      <c r="D106">
        <v>133.06</v>
      </c>
      <c r="E106">
        <v>121.04</v>
      </c>
      <c r="F106">
        <v>128.96</v>
      </c>
      <c r="G106">
        <v>127.75</v>
      </c>
      <c r="H106">
        <v>114.16</v>
      </c>
      <c r="I106">
        <v>121.26</v>
      </c>
      <c r="J106">
        <v>113.69</v>
      </c>
      <c r="K106">
        <v>131.69999999999999</v>
      </c>
      <c r="L106">
        <v>192.44</v>
      </c>
      <c r="M106">
        <v>190.9</v>
      </c>
      <c r="N106">
        <v>193.3</v>
      </c>
      <c r="O106">
        <v>193.91</v>
      </c>
    </row>
    <row r="107" spans="1:15" x14ac:dyDescent="0.25">
      <c r="A107" s="23">
        <v>45238.660416666666</v>
      </c>
      <c r="C107">
        <v>127.07</v>
      </c>
      <c r="D107">
        <v>142.91999999999999</v>
      </c>
      <c r="E107">
        <v>136.36000000000001</v>
      </c>
      <c r="F107">
        <v>136.74</v>
      </c>
      <c r="G107">
        <v>139.63</v>
      </c>
      <c r="H107">
        <v>125.93</v>
      </c>
      <c r="I107">
        <v>131.69</v>
      </c>
      <c r="J107">
        <v>116.49</v>
      </c>
      <c r="K107">
        <v>141.47999999999999</v>
      </c>
      <c r="L107">
        <v>192.01</v>
      </c>
      <c r="M107">
        <v>190.44</v>
      </c>
      <c r="N107">
        <v>192.47</v>
      </c>
      <c r="O107">
        <v>192.56</v>
      </c>
    </row>
    <row r="108" spans="1:15" x14ac:dyDescent="0.25">
      <c r="A108" s="23">
        <v>45238.661111111112</v>
      </c>
      <c r="C108">
        <v>130.62</v>
      </c>
      <c r="D108">
        <v>146</v>
      </c>
      <c r="E108">
        <v>138.28</v>
      </c>
      <c r="F108">
        <v>139.47999999999999</v>
      </c>
      <c r="G108">
        <v>143.30000000000001</v>
      </c>
      <c r="H108">
        <v>130.19</v>
      </c>
      <c r="I108">
        <v>132.88999999999999</v>
      </c>
      <c r="J108">
        <v>124.69</v>
      </c>
      <c r="K108">
        <v>144.63999999999999</v>
      </c>
      <c r="L108">
        <v>191.39</v>
      </c>
      <c r="M108">
        <v>190</v>
      </c>
      <c r="N108">
        <v>192.31</v>
      </c>
      <c r="O108">
        <v>192.45</v>
      </c>
    </row>
    <row r="109" spans="1:15" x14ac:dyDescent="0.25">
      <c r="A109" s="23">
        <v>45238.661805555559</v>
      </c>
      <c r="C109">
        <v>133.5</v>
      </c>
      <c r="D109">
        <v>148.41999999999999</v>
      </c>
      <c r="E109">
        <v>139.41999999999999</v>
      </c>
      <c r="F109">
        <v>142.85</v>
      </c>
      <c r="G109">
        <v>145.47</v>
      </c>
      <c r="H109">
        <v>131.94</v>
      </c>
      <c r="I109">
        <v>133.69999999999999</v>
      </c>
      <c r="J109">
        <v>129.29</v>
      </c>
      <c r="K109">
        <v>146.46</v>
      </c>
      <c r="L109">
        <v>191.53</v>
      </c>
      <c r="M109">
        <v>189.85</v>
      </c>
      <c r="N109">
        <v>192.36</v>
      </c>
      <c r="O109">
        <v>192.38</v>
      </c>
    </row>
    <row r="110" spans="1:15" x14ac:dyDescent="0.25">
      <c r="A110" s="23">
        <v>45238.662499999999</v>
      </c>
      <c r="C110">
        <v>138.38</v>
      </c>
      <c r="D110">
        <v>150.38999999999999</v>
      </c>
      <c r="E110">
        <v>141.88</v>
      </c>
      <c r="F110">
        <v>145.13</v>
      </c>
      <c r="G110">
        <v>146.94</v>
      </c>
      <c r="H110">
        <v>133.88</v>
      </c>
      <c r="I110">
        <v>137.88</v>
      </c>
      <c r="J110">
        <v>132.91</v>
      </c>
      <c r="K110">
        <v>147.68</v>
      </c>
      <c r="L110">
        <v>192.27</v>
      </c>
      <c r="M110">
        <v>191.28</v>
      </c>
      <c r="N110">
        <v>193.27</v>
      </c>
      <c r="O110">
        <v>193.64</v>
      </c>
    </row>
    <row r="111" spans="1:15" x14ac:dyDescent="0.25">
      <c r="A111" s="23">
        <v>45238.663194444445</v>
      </c>
      <c r="C111">
        <v>139.68</v>
      </c>
      <c r="D111">
        <v>151.34</v>
      </c>
      <c r="E111">
        <v>142.74</v>
      </c>
      <c r="F111">
        <v>146.72999999999999</v>
      </c>
      <c r="G111">
        <v>147.88999999999999</v>
      </c>
      <c r="H111">
        <v>134.91</v>
      </c>
      <c r="I111">
        <v>140.35</v>
      </c>
      <c r="J111">
        <v>135.94</v>
      </c>
      <c r="K111">
        <v>148.83000000000001</v>
      </c>
      <c r="L111">
        <v>192.37</v>
      </c>
      <c r="M111">
        <v>190.83</v>
      </c>
      <c r="N111">
        <v>193.08</v>
      </c>
      <c r="O111">
        <v>192.96</v>
      </c>
    </row>
    <row r="112" spans="1:15" x14ac:dyDescent="0.25">
      <c r="A112" s="23">
        <v>45238.663888888892</v>
      </c>
      <c r="C112">
        <v>141.46</v>
      </c>
      <c r="D112">
        <v>151.41</v>
      </c>
      <c r="E112">
        <v>143.22</v>
      </c>
      <c r="F112">
        <v>147.34</v>
      </c>
      <c r="G112">
        <v>148.38</v>
      </c>
      <c r="H112">
        <v>136.02000000000001</v>
      </c>
      <c r="I112">
        <v>141.26</v>
      </c>
      <c r="J112">
        <v>136.80000000000001</v>
      </c>
      <c r="K112">
        <v>148.99</v>
      </c>
      <c r="L112">
        <v>191.75</v>
      </c>
      <c r="M112">
        <v>190.32</v>
      </c>
      <c r="N112">
        <v>192.51</v>
      </c>
      <c r="O112">
        <v>192.54</v>
      </c>
    </row>
    <row r="113" spans="1:15" x14ac:dyDescent="0.25">
      <c r="A113" s="23">
        <v>45238.664583333331</v>
      </c>
      <c r="C113">
        <v>141.69999999999999</v>
      </c>
      <c r="D113">
        <v>151.74</v>
      </c>
      <c r="E113">
        <v>143.65</v>
      </c>
      <c r="F113">
        <v>147.94999999999999</v>
      </c>
      <c r="G113">
        <v>149</v>
      </c>
      <c r="H113">
        <v>136.49</v>
      </c>
      <c r="I113">
        <v>141.44</v>
      </c>
      <c r="J113">
        <v>137.99</v>
      </c>
      <c r="K113">
        <v>149.5</v>
      </c>
      <c r="L113">
        <v>191.43</v>
      </c>
      <c r="M113">
        <v>190.24</v>
      </c>
      <c r="N113">
        <v>192.05</v>
      </c>
      <c r="O113">
        <v>192.68</v>
      </c>
    </row>
    <row r="114" spans="1:15" x14ac:dyDescent="0.25">
      <c r="A114" s="23">
        <v>45238.665277777778</v>
      </c>
      <c r="C114">
        <v>143.13</v>
      </c>
      <c r="D114">
        <v>151.47999999999999</v>
      </c>
      <c r="E114">
        <v>143.84</v>
      </c>
      <c r="F114">
        <v>148.22999999999999</v>
      </c>
      <c r="G114">
        <v>148.75</v>
      </c>
      <c r="H114">
        <v>137</v>
      </c>
      <c r="I114">
        <v>141.11000000000001</v>
      </c>
      <c r="J114">
        <v>138.69999999999999</v>
      </c>
      <c r="K114">
        <v>149.44</v>
      </c>
      <c r="L114">
        <v>191.53</v>
      </c>
      <c r="M114">
        <v>190.23</v>
      </c>
      <c r="N114">
        <v>191.92</v>
      </c>
      <c r="O114">
        <v>192.29</v>
      </c>
    </row>
    <row r="115" spans="1:15" x14ac:dyDescent="0.25">
      <c r="A115" s="23">
        <v>45238.665972222225</v>
      </c>
      <c r="C115">
        <v>143.86000000000001</v>
      </c>
      <c r="D115">
        <v>151.30000000000001</v>
      </c>
      <c r="E115">
        <v>144.47</v>
      </c>
      <c r="F115">
        <v>148.09</v>
      </c>
      <c r="G115">
        <v>148.86000000000001</v>
      </c>
      <c r="H115">
        <v>137.81</v>
      </c>
      <c r="I115">
        <v>142.13999999999999</v>
      </c>
      <c r="J115">
        <v>139.05000000000001</v>
      </c>
      <c r="K115">
        <v>149.38</v>
      </c>
      <c r="L115">
        <v>191.74</v>
      </c>
      <c r="M115">
        <v>190.56</v>
      </c>
      <c r="N115">
        <v>192.09</v>
      </c>
      <c r="O115">
        <v>192.86</v>
      </c>
    </row>
    <row r="116" spans="1:15" x14ac:dyDescent="0.25">
      <c r="A116" s="23">
        <v>45238.666666666664</v>
      </c>
      <c r="C116">
        <v>144.32</v>
      </c>
      <c r="D116">
        <v>151.19</v>
      </c>
      <c r="E116">
        <v>144.49</v>
      </c>
      <c r="F116">
        <v>148.09</v>
      </c>
      <c r="G116">
        <v>148.88999999999999</v>
      </c>
      <c r="H116">
        <v>138.31</v>
      </c>
      <c r="I116">
        <v>142.53</v>
      </c>
      <c r="J116">
        <v>139.47999999999999</v>
      </c>
      <c r="K116">
        <v>149.35</v>
      </c>
      <c r="L116">
        <v>192.01</v>
      </c>
      <c r="M116">
        <v>190.72</v>
      </c>
      <c r="N116">
        <v>192.32</v>
      </c>
      <c r="O116">
        <v>193.1</v>
      </c>
    </row>
    <row r="117" spans="1:15" x14ac:dyDescent="0.25">
      <c r="A117" s="23">
        <v>45238.667361111111</v>
      </c>
      <c r="C117">
        <v>144.66</v>
      </c>
      <c r="D117">
        <v>151.11000000000001</v>
      </c>
      <c r="E117">
        <v>144.41</v>
      </c>
      <c r="F117">
        <v>147.82</v>
      </c>
      <c r="G117">
        <v>148.80000000000001</v>
      </c>
      <c r="H117">
        <v>138.81</v>
      </c>
      <c r="I117">
        <v>142.18</v>
      </c>
      <c r="J117">
        <v>139.85</v>
      </c>
      <c r="K117">
        <v>149.16999999999999</v>
      </c>
      <c r="L117">
        <v>192.31</v>
      </c>
      <c r="M117">
        <v>190.97</v>
      </c>
      <c r="N117">
        <v>192.54</v>
      </c>
      <c r="O117">
        <v>193.07</v>
      </c>
    </row>
    <row r="118" spans="1:15" x14ac:dyDescent="0.25">
      <c r="A118" s="23">
        <v>45238.668055555558</v>
      </c>
      <c r="C118">
        <v>144.63999999999999</v>
      </c>
      <c r="D118">
        <v>150.6</v>
      </c>
      <c r="E118">
        <v>144.52000000000001</v>
      </c>
      <c r="F118">
        <v>147.44</v>
      </c>
      <c r="G118">
        <v>148.46</v>
      </c>
      <c r="H118">
        <v>138.66</v>
      </c>
      <c r="I118">
        <v>142.33000000000001</v>
      </c>
      <c r="J118">
        <v>139.87</v>
      </c>
      <c r="K118">
        <v>149.02000000000001</v>
      </c>
      <c r="L118">
        <v>192.3</v>
      </c>
      <c r="M118">
        <v>191.2</v>
      </c>
      <c r="N118">
        <v>192.54</v>
      </c>
      <c r="O118">
        <v>193.41</v>
      </c>
    </row>
    <row r="119" spans="1:15" x14ac:dyDescent="0.25">
      <c r="A119" s="23">
        <v>45238.668749999997</v>
      </c>
      <c r="C119">
        <v>144.97</v>
      </c>
      <c r="D119">
        <v>150.13</v>
      </c>
      <c r="E119">
        <v>144.57</v>
      </c>
      <c r="F119">
        <v>147.37</v>
      </c>
      <c r="G119">
        <v>148.22</v>
      </c>
      <c r="H119">
        <v>138.82</v>
      </c>
      <c r="I119">
        <v>142.44</v>
      </c>
      <c r="J119">
        <v>140.05000000000001</v>
      </c>
      <c r="K119">
        <v>148.80000000000001</v>
      </c>
      <c r="L119">
        <v>192.23</v>
      </c>
      <c r="M119">
        <v>190.8</v>
      </c>
      <c r="N119">
        <v>192.41</v>
      </c>
      <c r="O119">
        <v>193.02</v>
      </c>
    </row>
    <row r="120" spans="1:15" x14ac:dyDescent="0.25">
      <c r="A120" s="23">
        <v>45238.669444444444</v>
      </c>
      <c r="C120">
        <v>145</v>
      </c>
      <c r="D120">
        <v>150.49</v>
      </c>
      <c r="E120">
        <v>144.84</v>
      </c>
      <c r="F120">
        <v>147.51</v>
      </c>
      <c r="G120">
        <v>148.47</v>
      </c>
      <c r="H120">
        <v>138.99</v>
      </c>
      <c r="I120">
        <v>142.78</v>
      </c>
      <c r="J120">
        <v>140.75</v>
      </c>
      <c r="K120">
        <v>148.87</v>
      </c>
      <c r="L120">
        <v>191.98</v>
      </c>
      <c r="M120">
        <v>190.59</v>
      </c>
      <c r="N120">
        <v>192.3</v>
      </c>
      <c r="O120">
        <v>192.68</v>
      </c>
    </row>
    <row r="121" spans="1:15" x14ac:dyDescent="0.25">
      <c r="A121" s="23">
        <v>45238.670138888891</v>
      </c>
      <c r="C121">
        <v>144.9</v>
      </c>
      <c r="D121">
        <v>149.72999999999999</v>
      </c>
      <c r="E121">
        <v>144.4</v>
      </c>
      <c r="F121">
        <v>146.93</v>
      </c>
      <c r="G121">
        <v>147.75</v>
      </c>
      <c r="H121">
        <v>138.62</v>
      </c>
      <c r="I121">
        <v>142.19</v>
      </c>
      <c r="J121">
        <v>140.63</v>
      </c>
      <c r="K121">
        <v>148.22</v>
      </c>
      <c r="L121">
        <v>191.73</v>
      </c>
      <c r="M121">
        <v>190.61</v>
      </c>
      <c r="N121">
        <v>192.18</v>
      </c>
      <c r="O121">
        <v>192.77</v>
      </c>
    </row>
    <row r="122" spans="1:15" x14ac:dyDescent="0.25">
      <c r="A122" s="23">
        <v>45238.67083333333</v>
      </c>
      <c r="C122">
        <v>145.77000000000001</v>
      </c>
      <c r="D122">
        <v>150.06</v>
      </c>
      <c r="E122">
        <v>144.29</v>
      </c>
      <c r="F122">
        <v>147.65</v>
      </c>
      <c r="G122">
        <v>147.87</v>
      </c>
      <c r="H122">
        <v>139.76</v>
      </c>
      <c r="I122">
        <v>142.78</v>
      </c>
      <c r="J122">
        <v>140.5</v>
      </c>
      <c r="K122">
        <v>148.63</v>
      </c>
      <c r="L122">
        <v>191.69</v>
      </c>
      <c r="M122">
        <v>190.63</v>
      </c>
      <c r="N122">
        <v>192.05</v>
      </c>
      <c r="O122">
        <v>192.69</v>
      </c>
    </row>
    <row r="123" spans="1:15" x14ac:dyDescent="0.25">
      <c r="A123" s="23">
        <v>45238.671527777777</v>
      </c>
      <c r="C123">
        <v>145.49</v>
      </c>
      <c r="D123">
        <v>149.41999999999999</v>
      </c>
      <c r="E123">
        <v>144.44</v>
      </c>
      <c r="F123">
        <v>147.34</v>
      </c>
      <c r="G123">
        <v>147.94</v>
      </c>
      <c r="H123">
        <v>138.75</v>
      </c>
      <c r="I123">
        <v>143.15</v>
      </c>
      <c r="J123">
        <v>141</v>
      </c>
      <c r="K123">
        <v>148.32</v>
      </c>
      <c r="L123">
        <v>191.58</v>
      </c>
      <c r="M123">
        <v>190.37</v>
      </c>
      <c r="N123">
        <v>191.85</v>
      </c>
      <c r="O123">
        <v>192.59</v>
      </c>
    </row>
    <row r="124" spans="1:15" x14ac:dyDescent="0.25">
      <c r="A124" s="23">
        <v>45238.672222222223</v>
      </c>
      <c r="C124">
        <v>145.4</v>
      </c>
      <c r="D124">
        <v>149.49</v>
      </c>
      <c r="E124">
        <v>144.49</v>
      </c>
      <c r="F124">
        <v>147.37</v>
      </c>
      <c r="G124">
        <v>147.71</v>
      </c>
      <c r="H124">
        <v>139.32</v>
      </c>
      <c r="I124">
        <v>142.88</v>
      </c>
      <c r="J124">
        <v>141.05000000000001</v>
      </c>
      <c r="K124">
        <v>148.34</v>
      </c>
      <c r="L124">
        <v>191.6</v>
      </c>
      <c r="M124">
        <v>189.98</v>
      </c>
      <c r="N124">
        <v>191.65</v>
      </c>
      <c r="O124">
        <v>192.73</v>
      </c>
    </row>
    <row r="125" spans="1:15" x14ac:dyDescent="0.25">
      <c r="A125" s="23">
        <v>45238.67291666667</v>
      </c>
      <c r="C125">
        <v>145.24</v>
      </c>
      <c r="D125">
        <v>149.32</v>
      </c>
      <c r="E125">
        <v>144.41999999999999</v>
      </c>
      <c r="F125">
        <v>147.09</v>
      </c>
      <c r="G125">
        <v>147.69</v>
      </c>
      <c r="H125">
        <v>139.30000000000001</v>
      </c>
      <c r="I125">
        <v>142.78</v>
      </c>
      <c r="J125">
        <v>140.9</v>
      </c>
      <c r="K125">
        <v>148.22999999999999</v>
      </c>
      <c r="L125">
        <v>191.52</v>
      </c>
      <c r="M125">
        <v>190.29</v>
      </c>
      <c r="N125">
        <v>191.83</v>
      </c>
      <c r="O125">
        <v>192.88</v>
      </c>
    </row>
    <row r="126" spans="1:15" x14ac:dyDescent="0.25">
      <c r="A126" s="23">
        <v>45238.673611111109</v>
      </c>
      <c r="C126">
        <v>145.9</v>
      </c>
      <c r="D126">
        <v>149.38</v>
      </c>
      <c r="E126">
        <v>144.25</v>
      </c>
      <c r="F126">
        <v>147.44</v>
      </c>
      <c r="G126">
        <v>147.51</v>
      </c>
      <c r="H126">
        <v>140.63999999999999</v>
      </c>
      <c r="I126">
        <v>143.18</v>
      </c>
      <c r="J126">
        <v>141.06</v>
      </c>
      <c r="K126">
        <v>148.25</v>
      </c>
      <c r="L126">
        <v>191.85</v>
      </c>
      <c r="M126">
        <v>190.43</v>
      </c>
      <c r="N126">
        <v>191.56</v>
      </c>
      <c r="O126">
        <v>192.89</v>
      </c>
    </row>
    <row r="127" spans="1:15" x14ac:dyDescent="0.25">
      <c r="A127" s="23">
        <v>45238.674305555556</v>
      </c>
      <c r="C127">
        <v>145.26</v>
      </c>
      <c r="D127">
        <v>149.09</v>
      </c>
      <c r="E127">
        <v>144.33000000000001</v>
      </c>
      <c r="F127">
        <v>146.9</v>
      </c>
      <c r="G127">
        <v>147.69</v>
      </c>
      <c r="H127">
        <v>140.1</v>
      </c>
      <c r="I127">
        <v>143.02000000000001</v>
      </c>
      <c r="J127">
        <v>141.25</v>
      </c>
      <c r="K127">
        <v>148.04</v>
      </c>
      <c r="L127">
        <v>191.94</v>
      </c>
      <c r="M127">
        <v>190.52</v>
      </c>
      <c r="N127">
        <v>192.01</v>
      </c>
      <c r="O127">
        <v>193.02</v>
      </c>
    </row>
    <row r="128" spans="1:15" x14ac:dyDescent="0.25">
      <c r="A128" s="23">
        <v>45238.675000000003</v>
      </c>
      <c r="C128">
        <v>145.80000000000001</v>
      </c>
      <c r="D128">
        <v>148.97999999999999</v>
      </c>
      <c r="E128">
        <v>144.38</v>
      </c>
      <c r="F128">
        <v>147.21</v>
      </c>
      <c r="G128">
        <v>147.63999999999999</v>
      </c>
      <c r="H128">
        <v>140.16999999999999</v>
      </c>
      <c r="I128">
        <v>143.44</v>
      </c>
      <c r="J128">
        <v>141.47999999999999</v>
      </c>
      <c r="K128">
        <v>148.1</v>
      </c>
      <c r="L128">
        <v>191.88</v>
      </c>
      <c r="M128">
        <v>190.51</v>
      </c>
      <c r="N128">
        <v>192.09</v>
      </c>
      <c r="O128">
        <v>192.99</v>
      </c>
    </row>
    <row r="129" spans="1:15" x14ac:dyDescent="0.25">
      <c r="A129" s="23">
        <v>45238.675694444442</v>
      </c>
      <c r="C129">
        <v>145.72999999999999</v>
      </c>
      <c r="D129">
        <v>148.97</v>
      </c>
      <c r="E129">
        <v>144.52000000000001</v>
      </c>
      <c r="F129">
        <v>147.22999999999999</v>
      </c>
      <c r="G129">
        <v>147.66999999999999</v>
      </c>
      <c r="H129">
        <v>140.38999999999999</v>
      </c>
      <c r="I129">
        <v>143.24</v>
      </c>
      <c r="J129">
        <v>141.37</v>
      </c>
      <c r="K129">
        <v>148.15</v>
      </c>
      <c r="L129">
        <v>191.97</v>
      </c>
      <c r="M129">
        <v>190.49</v>
      </c>
      <c r="N129">
        <v>192.25</v>
      </c>
      <c r="O129">
        <v>192.96</v>
      </c>
    </row>
    <row r="130" spans="1:15" x14ac:dyDescent="0.25">
      <c r="A130" s="23">
        <v>45238.676388888889</v>
      </c>
      <c r="C130">
        <v>145.55000000000001</v>
      </c>
      <c r="D130">
        <v>149.19999999999999</v>
      </c>
      <c r="E130">
        <v>144.59</v>
      </c>
      <c r="F130">
        <v>147.13999999999999</v>
      </c>
      <c r="G130">
        <v>147.71</v>
      </c>
      <c r="H130">
        <v>140.25</v>
      </c>
      <c r="I130">
        <v>143.26</v>
      </c>
      <c r="J130">
        <v>141.58000000000001</v>
      </c>
      <c r="K130">
        <v>148.16999999999999</v>
      </c>
      <c r="L130">
        <v>191.12</v>
      </c>
      <c r="M130">
        <v>189.8</v>
      </c>
      <c r="N130">
        <v>191.23</v>
      </c>
      <c r="O130">
        <v>192</v>
      </c>
    </row>
    <row r="131" spans="1:15" x14ac:dyDescent="0.25">
      <c r="A131" s="23">
        <v>45238.677083333336</v>
      </c>
      <c r="C131">
        <v>145.54</v>
      </c>
      <c r="D131">
        <v>148.88</v>
      </c>
      <c r="E131">
        <v>144.49</v>
      </c>
      <c r="F131">
        <v>147.07</v>
      </c>
      <c r="G131">
        <v>147.38999999999999</v>
      </c>
      <c r="H131">
        <v>140.47999999999999</v>
      </c>
      <c r="I131">
        <v>143.38</v>
      </c>
      <c r="J131">
        <v>141.44</v>
      </c>
      <c r="K131">
        <v>148.06</v>
      </c>
      <c r="L131">
        <v>191.06</v>
      </c>
      <c r="M131">
        <v>190.47</v>
      </c>
      <c r="N131">
        <v>191.55</v>
      </c>
      <c r="O131">
        <v>192.4</v>
      </c>
    </row>
    <row r="132" spans="1:15" x14ac:dyDescent="0.25">
      <c r="A132" s="23">
        <v>45238.677777777775</v>
      </c>
      <c r="C132">
        <v>145.69999999999999</v>
      </c>
      <c r="D132">
        <v>148.88</v>
      </c>
      <c r="E132">
        <v>144.52000000000001</v>
      </c>
      <c r="F132">
        <v>147.05000000000001</v>
      </c>
      <c r="G132">
        <v>147.4</v>
      </c>
      <c r="H132">
        <v>140.6</v>
      </c>
      <c r="I132">
        <v>143.26</v>
      </c>
      <c r="J132">
        <v>141.38</v>
      </c>
      <c r="K132">
        <v>147.91999999999999</v>
      </c>
      <c r="L132">
        <v>191.88</v>
      </c>
      <c r="M132">
        <v>190.94</v>
      </c>
      <c r="N132">
        <v>191.92</v>
      </c>
      <c r="O132">
        <v>193.52</v>
      </c>
    </row>
    <row r="133" spans="1:15" x14ac:dyDescent="0.25">
      <c r="A133" s="23">
        <v>45238.678472222222</v>
      </c>
      <c r="C133">
        <v>145.82</v>
      </c>
      <c r="D133">
        <v>148.78</v>
      </c>
      <c r="E133">
        <v>144.38999999999999</v>
      </c>
      <c r="F133">
        <v>147.25</v>
      </c>
      <c r="G133">
        <v>147.34</v>
      </c>
      <c r="H133">
        <v>140.97999999999999</v>
      </c>
      <c r="I133">
        <v>143.33000000000001</v>
      </c>
      <c r="J133">
        <v>141.66</v>
      </c>
      <c r="K133">
        <v>148.06</v>
      </c>
      <c r="L133">
        <v>185.71</v>
      </c>
      <c r="M133">
        <v>183.37</v>
      </c>
      <c r="N133">
        <v>184</v>
      </c>
      <c r="O133">
        <v>185.09</v>
      </c>
    </row>
    <row r="134" spans="1:15" x14ac:dyDescent="0.25">
      <c r="A134" s="23">
        <v>45238.679166666669</v>
      </c>
      <c r="C134">
        <v>146</v>
      </c>
      <c r="D134">
        <v>148.84</v>
      </c>
      <c r="E134">
        <v>144.33000000000001</v>
      </c>
      <c r="F134">
        <v>147.41999999999999</v>
      </c>
      <c r="G134">
        <v>147.63999999999999</v>
      </c>
      <c r="H134">
        <v>141.19999999999999</v>
      </c>
      <c r="I134">
        <v>143.62</v>
      </c>
      <c r="J134">
        <v>141.46</v>
      </c>
      <c r="K134">
        <v>148.16</v>
      </c>
    </row>
    <row r="135" spans="1:15" x14ac:dyDescent="0.25">
      <c r="A135" s="23">
        <v>45238.679861111108</v>
      </c>
      <c r="C135">
        <v>145.88</v>
      </c>
      <c r="D135">
        <v>148.85</v>
      </c>
      <c r="E135">
        <v>144.32</v>
      </c>
      <c r="F135">
        <v>147.28</v>
      </c>
      <c r="G135">
        <v>147.28</v>
      </c>
      <c r="H135">
        <v>141.41999999999999</v>
      </c>
      <c r="I135">
        <v>143.29</v>
      </c>
      <c r="J135">
        <v>141.30000000000001</v>
      </c>
      <c r="K135">
        <v>148.07</v>
      </c>
    </row>
    <row r="136" spans="1:15" x14ac:dyDescent="0.25">
      <c r="A136" s="23">
        <v>45238.680555555555</v>
      </c>
      <c r="C136">
        <v>146.16999999999999</v>
      </c>
      <c r="D136">
        <v>148.82</v>
      </c>
      <c r="E136">
        <v>144.35</v>
      </c>
      <c r="F136">
        <v>147.21</v>
      </c>
      <c r="G136">
        <v>147.36000000000001</v>
      </c>
      <c r="H136">
        <v>141.33000000000001</v>
      </c>
      <c r="I136">
        <v>143.38999999999999</v>
      </c>
      <c r="J136">
        <v>141.43</v>
      </c>
      <c r="K136">
        <v>148.08000000000001</v>
      </c>
    </row>
    <row r="137" spans="1:15" x14ac:dyDescent="0.25">
      <c r="A137" s="23">
        <v>45238.681250000001</v>
      </c>
      <c r="C137">
        <v>145.80000000000001</v>
      </c>
      <c r="D137">
        <v>148.66999999999999</v>
      </c>
      <c r="E137">
        <v>144.41</v>
      </c>
      <c r="F137">
        <v>147</v>
      </c>
      <c r="G137">
        <v>147.41999999999999</v>
      </c>
      <c r="H137">
        <v>140.94</v>
      </c>
      <c r="I137">
        <v>143.65</v>
      </c>
      <c r="J137">
        <v>141.53</v>
      </c>
      <c r="K137">
        <v>147.85</v>
      </c>
    </row>
    <row r="138" spans="1:15" x14ac:dyDescent="0.25">
      <c r="A138" s="23">
        <v>45238.681944444441</v>
      </c>
      <c r="C138">
        <v>146.09</v>
      </c>
      <c r="D138">
        <v>148.76</v>
      </c>
      <c r="E138">
        <v>144.68</v>
      </c>
      <c r="F138">
        <v>147.11000000000001</v>
      </c>
      <c r="G138">
        <v>147.47999999999999</v>
      </c>
      <c r="H138">
        <v>141.54</v>
      </c>
      <c r="I138">
        <v>143.55000000000001</v>
      </c>
      <c r="J138">
        <v>141.31</v>
      </c>
      <c r="K138">
        <v>147.97999999999999</v>
      </c>
    </row>
    <row r="139" spans="1:15" x14ac:dyDescent="0.25">
      <c r="A139" s="23">
        <v>45238.682638888888</v>
      </c>
      <c r="C139">
        <v>146.09</v>
      </c>
      <c r="D139">
        <v>148.79</v>
      </c>
      <c r="E139">
        <v>144.29</v>
      </c>
      <c r="F139">
        <v>147.13</v>
      </c>
      <c r="G139">
        <v>147.37</v>
      </c>
      <c r="H139">
        <v>141.37</v>
      </c>
      <c r="I139">
        <v>143.44999999999999</v>
      </c>
      <c r="J139">
        <v>141.56</v>
      </c>
      <c r="K139">
        <v>147.97</v>
      </c>
    </row>
    <row r="140" spans="1:15" x14ac:dyDescent="0.25">
      <c r="A140" s="23">
        <v>45238.683333333334</v>
      </c>
      <c r="C140">
        <v>146</v>
      </c>
      <c r="D140">
        <v>148.66999999999999</v>
      </c>
      <c r="E140">
        <v>144.43</v>
      </c>
      <c r="F140">
        <v>147</v>
      </c>
      <c r="G140">
        <v>147.4</v>
      </c>
      <c r="H140">
        <v>141.43</v>
      </c>
      <c r="I140">
        <v>143.47</v>
      </c>
      <c r="J140">
        <v>141.38</v>
      </c>
      <c r="K140">
        <v>147.80000000000001</v>
      </c>
    </row>
    <row r="141" spans="1:15" x14ac:dyDescent="0.25">
      <c r="A141" s="23">
        <v>45238.684027777781</v>
      </c>
      <c r="C141">
        <v>146.38999999999999</v>
      </c>
      <c r="D141">
        <v>148.96</v>
      </c>
      <c r="E141">
        <v>144.46</v>
      </c>
      <c r="F141">
        <v>147.18</v>
      </c>
      <c r="G141">
        <v>147.53</v>
      </c>
      <c r="H141">
        <v>140.93</v>
      </c>
      <c r="I141">
        <v>143.72</v>
      </c>
      <c r="J141">
        <v>141.4</v>
      </c>
      <c r="K141">
        <v>148.04</v>
      </c>
    </row>
    <row r="142" spans="1:15" x14ac:dyDescent="0.25">
      <c r="A142" s="23">
        <v>45238.68472222222</v>
      </c>
      <c r="C142">
        <v>146.35</v>
      </c>
      <c r="D142">
        <v>148.91</v>
      </c>
      <c r="E142">
        <v>144.66</v>
      </c>
      <c r="F142">
        <v>147.16</v>
      </c>
      <c r="G142">
        <v>147.5</v>
      </c>
      <c r="H142">
        <v>141.32</v>
      </c>
      <c r="I142">
        <v>144</v>
      </c>
      <c r="J142">
        <v>141.36000000000001</v>
      </c>
      <c r="K142">
        <v>148</v>
      </c>
    </row>
    <row r="143" spans="1:15" x14ac:dyDescent="0.25">
      <c r="A143" s="23">
        <v>45238.685416666667</v>
      </c>
      <c r="C143">
        <v>146.15</v>
      </c>
      <c r="D143">
        <v>148.78</v>
      </c>
      <c r="E143">
        <v>144.69</v>
      </c>
      <c r="F143">
        <v>147.13999999999999</v>
      </c>
      <c r="G143">
        <v>147.30000000000001</v>
      </c>
      <c r="H143">
        <v>141.51</v>
      </c>
      <c r="I143">
        <v>143.81</v>
      </c>
      <c r="J143">
        <v>141.66</v>
      </c>
      <c r="K143">
        <v>147.99</v>
      </c>
    </row>
    <row r="144" spans="1:15" x14ac:dyDescent="0.25">
      <c r="A144" s="23">
        <v>45238.686111111114</v>
      </c>
      <c r="C144">
        <v>146.24</v>
      </c>
      <c r="D144">
        <v>148.79</v>
      </c>
      <c r="E144">
        <v>144.62</v>
      </c>
      <c r="F144">
        <v>147.03</v>
      </c>
      <c r="G144">
        <v>147.25</v>
      </c>
      <c r="H144">
        <v>141.21</v>
      </c>
      <c r="I144">
        <v>143.58000000000001</v>
      </c>
      <c r="J144">
        <v>141.72</v>
      </c>
      <c r="K144">
        <v>147.96</v>
      </c>
    </row>
    <row r="145" spans="1:11" x14ac:dyDescent="0.25">
      <c r="A145" s="23">
        <v>45238.686805555553</v>
      </c>
      <c r="C145">
        <v>146.30000000000001</v>
      </c>
      <c r="D145">
        <v>148.65</v>
      </c>
      <c r="E145">
        <v>144.65</v>
      </c>
      <c r="F145">
        <v>147.04</v>
      </c>
      <c r="G145">
        <v>147.32</v>
      </c>
      <c r="H145">
        <v>141.69</v>
      </c>
      <c r="I145">
        <v>143.83000000000001</v>
      </c>
      <c r="J145">
        <v>141.62</v>
      </c>
      <c r="K145">
        <v>147.88</v>
      </c>
    </row>
    <row r="146" spans="1:11" x14ac:dyDescent="0.25">
      <c r="A146" s="23">
        <v>45238.6875</v>
      </c>
      <c r="C146">
        <v>146.47999999999999</v>
      </c>
      <c r="D146">
        <v>148.81</v>
      </c>
      <c r="E146">
        <v>144.49</v>
      </c>
      <c r="F146">
        <v>147.04</v>
      </c>
      <c r="G146">
        <v>147.58000000000001</v>
      </c>
      <c r="H146">
        <v>141.72</v>
      </c>
      <c r="I146">
        <v>143.76</v>
      </c>
      <c r="J146">
        <v>141.58000000000001</v>
      </c>
      <c r="K146">
        <v>147.97999999999999</v>
      </c>
    </row>
    <row r="147" spans="1:11" x14ac:dyDescent="0.25">
      <c r="A147" s="23">
        <v>45238.688194444447</v>
      </c>
      <c r="C147">
        <v>146.55000000000001</v>
      </c>
      <c r="D147">
        <v>148.63999999999999</v>
      </c>
      <c r="E147">
        <v>144.51</v>
      </c>
      <c r="F147">
        <v>147.13</v>
      </c>
      <c r="G147">
        <v>147.29</v>
      </c>
      <c r="H147">
        <v>141.38999999999999</v>
      </c>
      <c r="I147">
        <v>143.79</v>
      </c>
      <c r="J147">
        <v>141.76</v>
      </c>
      <c r="K147">
        <v>147.84</v>
      </c>
    </row>
    <row r="148" spans="1:11" x14ac:dyDescent="0.25">
      <c r="A148" s="23">
        <v>45238.688888888886</v>
      </c>
      <c r="C148">
        <v>146.44999999999999</v>
      </c>
      <c r="D148">
        <v>148.71</v>
      </c>
      <c r="E148">
        <v>144.84</v>
      </c>
      <c r="F148">
        <v>147</v>
      </c>
      <c r="G148">
        <v>147.44999999999999</v>
      </c>
      <c r="H148">
        <v>141.91</v>
      </c>
      <c r="I148">
        <v>143.9</v>
      </c>
      <c r="J148">
        <v>141.69999999999999</v>
      </c>
      <c r="K148">
        <v>148</v>
      </c>
    </row>
    <row r="149" spans="1:11" x14ac:dyDescent="0.25">
      <c r="A149" s="23">
        <v>45238.689583333333</v>
      </c>
      <c r="C149">
        <v>146.84</v>
      </c>
      <c r="D149">
        <v>148.62</v>
      </c>
      <c r="E149">
        <v>144.51</v>
      </c>
      <c r="F149">
        <v>147.13</v>
      </c>
      <c r="G149">
        <v>147.11000000000001</v>
      </c>
      <c r="H149">
        <v>141.63999999999999</v>
      </c>
      <c r="I149">
        <v>143.61000000000001</v>
      </c>
      <c r="J149">
        <v>141.59</v>
      </c>
      <c r="K149">
        <v>147.91</v>
      </c>
    </row>
    <row r="150" spans="1:11" x14ac:dyDescent="0.25">
      <c r="A150" s="23">
        <v>45238.69027777778</v>
      </c>
      <c r="C150">
        <v>147.04</v>
      </c>
      <c r="D150">
        <v>148.63</v>
      </c>
      <c r="E150">
        <v>144.37</v>
      </c>
      <c r="F150">
        <v>147.16999999999999</v>
      </c>
      <c r="G150">
        <v>147.41999999999999</v>
      </c>
      <c r="H150">
        <v>141.25</v>
      </c>
      <c r="I150">
        <v>143.61000000000001</v>
      </c>
      <c r="J150">
        <v>141.88</v>
      </c>
      <c r="K150">
        <v>147.91999999999999</v>
      </c>
    </row>
    <row r="151" spans="1:11" x14ac:dyDescent="0.25">
      <c r="A151" s="23">
        <v>45238.690972222219</v>
      </c>
      <c r="C151">
        <v>149.27000000000001</v>
      </c>
      <c r="D151">
        <v>148.5</v>
      </c>
      <c r="E151">
        <v>144.68</v>
      </c>
      <c r="F151">
        <v>147.03</v>
      </c>
      <c r="G151">
        <v>147.22999999999999</v>
      </c>
      <c r="H151">
        <v>141.93</v>
      </c>
      <c r="I151">
        <v>143.91999999999999</v>
      </c>
      <c r="J151">
        <v>141.88</v>
      </c>
      <c r="K151">
        <v>147.91</v>
      </c>
    </row>
    <row r="152" spans="1:11" x14ac:dyDescent="0.25">
      <c r="A152" s="23">
        <v>45238.691666666666</v>
      </c>
      <c r="C152">
        <v>149.6</v>
      </c>
      <c r="D152">
        <v>148.57</v>
      </c>
      <c r="E152">
        <v>144.44</v>
      </c>
      <c r="F152">
        <v>147.09</v>
      </c>
      <c r="G152">
        <v>147.24</v>
      </c>
      <c r="H152">
        <v>142.22</v>
      </c>
      <c r="I152">
        <v>143.71</v>
      </c>
      <c r="J152">
        <v>141.59</v>
      </c>
      <c r="K152">
        <v>147.83000000000001</v>
      </c>
    </row>
    <row r="153" spans="1:11" x14ac:dyDescent="0.25">
      <c r="A153" s="23">
        <v>45238.692361111112</v>
      </c>
      <c r="C153">
        <v>149.91999999999999</v>
      </c>
      <c r="D153">
        <v>148.83000000000001</v>
      </c>
      <c r="E153">
        <v>144.66999999999999</v>
      </c>
      <c r="F153">
        <v>147.21</v>
      </c>
      <c r="G153">
        <v>147.63999999999999</v>
      </c>
      <c r="H153">
        <v>141.77000000000001</v>
      </c>
      <c r="I153">
        <v>144.01</v>
      </c>
      <c r="J153">
        <v>142</v>
      </c>
      <c r="K153">
        <v>148.05000000000001</v>
      </c>
    </row>
    <row r="154" spans="1:11" x14ac:dyDescent="0.25">
      <c r="A154" s="23">
        <v>45238.693055555559</v>
      </c>
      <c r="C154">
        <v>149.96</v>
      </c>
      <c r="D154">
        <v>148.76</v>
      </c>
      <c r="E154">
        <v>144.75</v>
      </c>
      <c r="F154">
        <v>147.19999999999999</v>
      </c>
      <c r="G154">
        <v>147.54</v>
      </c>
      <c r="H154">
        <v>141.80000000000001</v>
      </c>
      <c r="I154">
        <v>143.83000000000001</v>
      </c>
      <c r="J154">
        <v>141.96</v>
      </c>
      <c r="K154">
        <v>147.97999999999999</v>
      </c>
    </row>
    <row r="155" spans="1:11" x14ac:dyDescent="0.25">
      <c r="A155" s="23">
        <v>45238.693749999999</v>
      </c>
      <c r="C155">
        <v>149.76</v>
      </c>
      <c r="D155">
        <v>148.63999999999999</v>
      </c>
      <c r="E155">
        <v>144.80000000000001</v>
      </c>
      <c r="F155">
        <v>146.88999999999999</v>
      </c>
      <c r="G155">
        <v>147.15</v>
      </c>
      <c r="H155">
        <v>141.87</v>
      </c>
      <c r="I155">
        <v>143.9</v>
      </c>
      <c r="J155">
        <v>141.72</v>
      </c>
      <c r="K155">
        <v>147.82</v>
      </c>
    </row>
    <row r="156" spans="1:11" x14ac:dyDescent="0.25">
      <c r="A156" s="23">
        <v>45238.694444444445</v>
      </c>
      <c r="C156">
        <v>149.72</v>
      </c>
      <c r="D156">
        <v>148.55000000000001</v>
      </c>
      <c r="E156">
        <v>144.63</v>
      </c>
      <c r="F156">
        <v>147.24</v>
      </c>
      <c r="G156">
        <v>147.38999999999999</v>
      </c>
      <c r="H156">
        <v>141.81</v>
      </c>
      <c r="I156">
        <v>143.78</v>
      </c>
      <c r="J156">
        <v>141.82</v>
      </c>
      <c r="K156">
        <v>147.96</v>
      </c>
    </row>
    <row r="157" spans="1:11" x14ac:dyDescent="0.25">
      <c r="A157" s="23">
        <v>45238.695138888892</v>
      </c>
      <c r="C157">
        <v>149.97999999999999</v>
      </c>
      <c r="D157">
        <v>148.83000000000001</v>
      </c>
      <c r="E157">
        <v>144.84</v>
      </c>
      <c r="F157">
        <v>147.1</v>
      </c>
      <c r="G157">
        <v>147.47999999999999</v>
      </c>
      <c r="H157">
        <v>142.02000000000001</v>
      </c>
      <c r="I157">
        <v>143.96</v>
      </c>
      <c r="J157">
        <v>141.6</v>
      </c>
      <c r="K157">
        <v>148.04</v>
      </c>
    </row>
    <row r="158" spans="1:11" x14ac:dyDescent="0.25">
      <c r="A158" s="23">
        <v>45238.695833333331</v>
      </c>
      <c r="C158">
        <v>149.69</v>
      </c>
      <c r="D158">
        <v>148.59</v>
      </c>
      <c r="E158">
        <v>144.56</v>
      </c>
      <c r="F158">
        <v>147.07</v>
      </c>
      <c r="G158">
        <v>147.5</v>
      </c>
      <c r="H158">
        <v>141.77000000000001</v>
      </c>
      <c r="I158">
        <v>143.61000000000001</v>
      </c>
      <c r="J158">
        <v>141.74</v>
      </c>
      <c r="K158">
        <v>147.88999999999999</v>
      </c>
    </row>
    <row r="159" spans="1:11" x14ac:dyDescent="0.25">
      <c r="A159" s="23">
        <v>45238.696527777778</v>
      </c>
      <c r="C159">
        <v>149.82</v>
      </c>
      <c r="D159">
        <v>148.6</v>
      </c>
      <c r="E159">
        <v>144.71</v>
      </c>
      <c r="F159">
        <v>147.04</v>
      </c>
      <c r="G159">
        <v>147.32</v>
      </c>
      <c r="H159">
        <v>142.43</v>
      </c>
      <c r="I159">
        <v>143.93</v>
      </c>
      <c r="J159">
        <v>141.57</v>
      </c>
      <c r="K159">
        <v>147.93</v>
      </c>
    </row>
    <row r="160" spans="1:11" x14ac:dyDescent="0.25">
      <c r="A160" s="23">
        <v>45238.697222222225</v>
      </c>
      <c r="C160">
        <v>149.80000000000001</v>
      </c>
      <c r="D160">
        <v>148.62</v>
      </c>
      <c r="E160">
        <v>144.54</v>
      </c>
      <c r="F160">
        <v>147.04</v>
      </c>
      <c r="G160">
        <v>147.35</v>
      </c>
      <c r="H160">
        <v>141.88999999999999</v>
      </c>
      <c r="I160">
        <v>144.05000000000001</v>
      </c>
      <c r="J160">
        <v>141.97999999999999</v>
      </c>
      <c r="K160">
        <v>147.9</v>
      </c>
    </row>
    <row r="161" spans="1:11" x14ac:dyDescent="0.25">
      <c r="A161" s="23">
        <v>45238.697916666664</v>
      </c>
      <c r="C161">
        <v>164.74</v>
      </c>
      <c r="D161">
        <v>159.61000000000001</v>
      </c>
      <c r="E161">
        <v>151.65</v>
      </c>
      <c r="F161">
        <v>156.69999999999999</v>
      </c>
      <c r="G161">
        <v>156.30000000000001</v>
      </c>
      <c r="H161">
        <v>146.24</v>
      </c>
      <c r="I161">
        <v>150.31</v>
      </c>
      <c r="J161">
        <v>146.05000000000001</v>
      </c>
      <c r="K161">
        <v>158.44</v>
      </c>
    </row>
    <row r="162" spans="1:11" x14ac:dyDescent="0.25">
      <c r="A162" s="23">
        <v>45238.698611111111</v>
      </c>
      <c r="C162">
        <v>182.83</v>
      </c>
      <c r="D162">
        <v>175.47</v>
      </c>
      <c r="E162">
        <v>166.11</v>
      </c>
      <c r="F162">
        <v>169.66</v>
      </c>
      <c r="G162">
        <v>172.54</v>
      </c>
      <c r="H162">
        <v>158.86000000000001</v>
      </c>
      <c r="I162">
        <v>160.68</v>
      </c>
      <c r="J162">
        <v>154.55000000000001</v>
      </c>
      <c r="K162">
        <v>175.05</v>
      </c>
    </row>
    <row r="163" spans="1:11" x14ac:dyDescent="0.25">
      <c r="A163" s="23">
        <v>45238.699305555558</v>
      </c>
      <c r="C163">
        <v>198.15</v>
      </c>
      <c r="D163">
        <v>188.24</v>
      </c>
      <c r="E163">
        <v>181.27</v>
      </c>
      <c r="F163">
        <v>182.97</v>
      </c>
      <c r="G163">
        <v>184.77</v>
      </c>
      <c r="H163">
        <v>170.19</v>
      </c>
      <c r="I163">
        <v>175.42</v>
      </c>
      <c r="J163">
        <v>158.06</v>
      </c>
      <c r="K163">
        <v>187.06</v>
      </c>
    </row>
    <row r="164" spans="1:11" x14ac:dyDescent="0.25">
      <c r="A164" s="23">
        <v>45238.7</v>
      </c>
      <c r="C164">
        <v>201.17</v>
      </c>
      <c r="D164">
        <v>194.56</v>
      </c>
      <c r="E164">
        <v>188.93</v>
      </c>
      <c r="F164">
        <v>190.72</v>
      </c>
      <c r="G164">
        <v>190.96</v>
      </c>
      <c r="H164">
        <v>177.3</v>
      </c>
      <c r="I164">
        <v>183.46</v>
      </c>
      <c r="J164">
        <v>162.88999999999999</v>
      </c>
      <c r="K164">
        <v>193.12</v>
      </c>
    </row>
    <row r="165" spans="1:11" x14ac:dyDescent="0.25">
      <c r="A165" s="23">
        <v>45238.700694444444</v>
      </c>
      <c r="C165">
        <v>203.07</v>
      </c>
      <c r="D165">
        <v>197</v>
      </c>
      <c r="E165">
        <v>189.79</v>
      </c>
      <c r="F165">
        <v>192.83</v>
      </c>
      <c r="G165">
        <v>194.19</v>
      </c>
      <c r="H165">
        <v>180.39</v>
      </c>
      <c r="I165">
        <v>182.8</v>
      </c>
      <c r="J165">
        <v>170.26</v>
      </c>
      <c r="K165">
        <v>196.87</v>
      </c>
    </row>
    <row r="166" spans="1:11" x14ac:dyDescent="0.25">
      <c r="A166" s="23">
        <v>45238.701388888891</v>
      </c>
      <c r="C166">
        <v>202.78</v>
      </c>
      <c r="D166">
        <v>198.22</v>
      </c>
      <c r="E166">
        <v>189.31</v>
      </c>
      <c r="F166">
        <v>192.56</v>
      </c>
      <c r="G166">
        <v>195.34</v>
      </c>
      <c r="H166">
        <v>181.7</v>
      </c>
      <c r="I166">
        <v>182.75</v>
      </c>
      <c r="J166">
        <v>174.78</v>
      </c>
      <c r="K166">
        <v>197.1</v>
      </c>
    </row>
    <row r="167" spans="1:11" x14ac:dyDescent="0.25">
      <c r="A167" s="23">
        <v>45238.70208333333</v>
      </c>
      <c r="C167">
        <v>203.4</v>
      </c>
      <c r="D167">
        <v>199.76</v>
      </c>
      <c r="E167">
        <v>191.14</v>
      </c>
      <c r="F167">
        <v>193.88</v>
      </c>
      <c r="G167">
        <v>196.95</v>
      </c>
      <c r="H167">
        <v>183.2</v>
      </c>
      <c r="I167">
        <v>184.38</v>
      </c>
      <c r="J167">
        <v>181.2</v>
      </c>
      <c r="K167">
        <v>198.72</v>
      </c>
    </row>
    <row r="168" spans="1:11" x14ac:dyDescent="0.25">
      <c r="A168" s="23">
        <v>45238.702777777777</v>
      </c>
      <c r="C168">
        <v>203.14</v>
      </c>
      <c r="D168">
        <v>199.72</v>
      </c>
      <c r="E168">
        <v>191.41</v>
      </c>
      <c r="F168">
        <v>194.33</v>
      </c>
      <c r="G168">
        <v>197.15</v>
      </c>
      <c r="H168">
        <v>184.31</v>
      </c>
      <c r="I168">
        <v>185.52</v>
      </c>
      <c r="J168">
        <v>180.2</v>
      </c>
      <c r="K168">
        <v>198.96</v>
      </c>
    </row>
    <row r="169" spans="1:11" x14ac:dyDescent="0.25">
      <c r="A169" s="23">
        <v>45238.703472222223</v>
      </c>
      <c r="C169">
        <v>203.24</v>
      </c>
      <c r="D169">
        <v>200.42</v>
      </c>
      <c r="E169">
        <v>192.1</v>
      </c>
      <c r="F169">
        <v>194.71</v>
      </c>
      <c r="G169">
        <v>197.68</v>
      </c>
      <c r="H169">
        <v>184.25</v>
      </c>
      <c r="I169">
        <v>186.13</v>
      </c>
      <c r="J169">
        <v>180.9</v>
      </c>
      <c r="K169">
        <v>199</v>
      </c>
    </row>
    <row r="170" spans="1:11" x14ac:dyDescent="0.25">
      <c r="A170" s="23">
        <v>45238.70416666667</v>
      </c>
      <c r="C170">
        <v>203.12</v>
      </c>
      <c r="D170">
        <v>200.51</v>
      </c>
      <c r="E170">
        <v>192.7</v>
      </c>
      <c r="F170">
        <v>193.94</v>
      </c>
      <c r="G170">
        <v>197.88</v>
      </c>
      <c r="H170">
        <v>184.85</v>
      </c>
      <c r="I170">
        <v>186.33</v>
      </c>
      <c r="J170">
        <v>182.73</v>
      </c>
      <c r="K170">
        <v>199.23</v>
      </c>
    </row>
    <row r="171" spans="1:11" x14ac:dyDescent="0.25">
      <c r="A171" s="23">
        <v>45238.704861111109</v>
      </c>
      <c r="C171">
        <v>203.02</v>
      </c>
      <c r="D171">
        <v>200.92</v>
      </c>
      <c r="E171">
        <v>193.65</v>
      </c>
      <c r="F171">
        <v>195.61</v>
      </c>
      <c r="G171">
        <v>197.97</v>
      </c>
      <c r="H171">
        <v>185.2</v>
      </c>
      <c r="I171">
        <v>187.78</v>
      </c>
      <c r="J171">
        <v>183.69</v>
      </c>
      <c r="K171">
        <v>198.73</v>
      </c>
    </row>
    <row r="172" spans="1:11" x14ac:dyDescent="0.25">
      <c r="A172" s="23">
        <v>45238.705555555556</v>
      </c>
      <c r="C172">
        <v>202.94</v>
      </c>
      <c r="D172">
        <v>200.87</v>
      </c>
      <c r="E172">
        <v>193.78</v>
      </c>
      <c r="F172">
        <v>196.08</v>
      </c>
      <c r="G172">
        <v>198.03</v>
      </c>
      <c r="H172">
        <v>185.7</v>
      </c>
      <c r="I172">
        <v>188.57</v>
      </c>
      <c r="J172">
        <v>185.11</v>
      </c>
      <c r="K172">
        <v>198.78</v>
      </c>
    </row>
    <row r="173" spans="1:11" x14ac:dyDescent="0.25">
      <c r="A173" s="23">
        <v>45238.706250000003</v>
      </c>
      <c r="C173">
        <v>202.56</v>
      </c>
      <c r="D173">
        <v>200.41</v>
      </c>
      <c r="E173">
        <v>194.08</v>
      </c>
      <c r="F173">
        <v>194.67</v>
      </c>
      <c r="G173">
        <v>197.81</v>
      </c>
      <c r="H173">
        <v>185.78</v>
      </c>
      <c r="I173">
        <v>188.21</v>
      </c>
      <c r="J173">
        <v>184.46</v>
      </c>
      <c r="K173">
        <v>198.86</v>
      </c>
    </row>
    <row r="174" spans="1:11" x14ac:dyDescent="0.25">
      <c r="A174" s="23">
        <v>45238.706944444442</v>
      </c>
      <c r="C174">
        <v>202</v>
      </c>
      <c r="D174">
        <v>199.9</v>
      </c>
      <c r="E174">
        <v>193.49</v>
      </c>
      <c r="F174">
        <v>194.32</v>
      </c>
      <c r="G174">
        <v>197.67</v>
      </c>
      <c r="H174">
        <v>186.5</v>
      </c>
      <c r="I174">
        <v>188.83</v>
      </c>
      <c r="J174">
        <v>185.77</v>
      </c>
      <c r="K174">
        <v>198.71</v>
      </c>
    </row>
    <row r="175" spans="1:11" x14ac:dyDescent="0.25">
      <c r="A175" s="23">
        <v>45238.707638888889</v>
      </c>
      <c r="C175">
        <v>202.28</v>
      </c>
      <c r="D175">
        <v>200.58</v>
      </c>
      <c r="E175">
        <v>193.84</v>
      </c>
      <c r="F175">
        <v>196.4</v>
      </c>
      <c r="G175">
        <v>197.73</v>
      </c>
      <c r="H175">
        <v>186.4</v>
      </c>
      <c r="I175">
        <v>189.45</v>
      </c>
      <c r="J175">
        <v>186.58</v>
      </c>
      <c r="K175">
        <v>198.43</v>
      </c>
    </row>
    <row r="176" spans="1:11" x14ac:dyDescent="0.25">
      <c r="A176" s="23">
        <v>45238.708333333336</v>
      </c>
      <c r="C176">
        <v>202.18</v>
      </c>
      <c r="D176">
        <v>199.99</v>
      </c>
      <c r="E176">
        <v>193.39</v>
      </c>
      <c r="F176">
        <v>195.16</v>
      </c>
      <c r="G176">
        <v>197.7</v>
      </c>
      <c r="H176">
        <v>187.3</v>
      </c>
      <c r="I176">
        <v>189.3</v>
      </c>
      <c r="J176">
        <v>186.6</v>
      </c>
      <c r="K176">
        <v>198.39</v>
      </c>
    </row>
    <row r="177" spans="1:11" x14ac:dyDescent="0.25">
      <c r="A177" s="23">
        <v>45238.709027777775</v>
      </c>
      <c r="C177">
        <v>201.78</v>
      </c>
      <c r="D177">
        <v>200.34</v>
      </c>
      <c r="E177">
        <v>193.45</v>
      </c>
      <c r="F177">
        <v>196.31</v>
      </c>
      <c r="G177">
        <v>197.53</v>
      </c>
      <c r="H177">
        <v>187.01</v>
      </c>
      <c r="I177">
        <v>189.42</v>
      </c>
      <c r="J177">
        <v>186.65</v>
      </c>
      <c r="K177">
        <v>198.21</v>
      </c>
    </row>
    <row r="178" spans="1:11" x14ac:dyDescent="0.25">
      <c r="A178" s="23">
        <v>45238.709722222222</v>
      </c>
      <c r="C178">
        <v>201.75</v>
      </c>
      <c r="D178">
        <v>200.08</v>
      </c>
      <c r="E178">
        <v>193.52</v>
      </c>
      <c r="F178">
        <v>195.63</v>
      </c>
      <c r="G178">
        <v>197.73</v>
      </c>
      <c r="H178">
        <v>187.04</v>
      </c>
      <c r="I178">
        <v>189.96</v>
      </c>
      <c r="J178">
        <v>186.94</v>
      </c>
      <c r="K178">
        <v>198.16</v>
      </c>
    </row>
    <row r="179" spans="1:11" x14ac:dyDescent="0.25">
      <c r="A179" s="23">
        <v>45238.710416666669</v>
      </c>
      <c r="C179">
        <v>201.51</v>
      </c>
      <c r="D179">
        <v>199.5</v>
      </c>
      <c r="E179">
        <v>193.58</v>
      </c>
      <c r="F179">
        <v>195.71</v>
      </c>
      <c r="G179">
        <v>197.46</v>
      </c>
      <c r="H179">
        <v>187.33</v>
      </c>
      <c r="I179">
        <v>189.92</v>
      </c>
      <c r="J179">
        <v>187.66</v>
      </c>
      <c r="K179">
        <v>198.03</v>
      </c>
    </row>
    <row r="180" spans="1:11" x14ac:dyDescent="0.25">
      <c r="A180" s="23">
        <v>45238.711111111108</v>
      </c>
      <c r="C180">
        <v>201.6</v>
      </c>
      <c r="D180">
        <v>199.63</v>
      </c>
      <c r="E180">
        <v>193.85</v>
      </c>
      <c r="F180">
        <v>195.92</v>
      </c>
      <c r="G180">
        <v>197.46</v>
      </c>
      <c r="H180">
        <v>187.34</v>
      </c>
      <c r="I180">
        <v>190.54</v>
      </c>
      <c r="J180">
        <v>187.53</v>
      </c>
      <c r="K180">
        <v>198.2</v>
      </c>
    </row>
    <row r="181" spans="1:11" x14ac:dyDescent="0.25">
      <c r="A181" s="23">
        <v>45238.711805555555</v>
      </c>
      <c r="C181">
        <v>201.28</v>
      </c>
      <c r="D181">
        <v>199.36</v>
      </c>
      <c r="E181">
        <v>193.56</v>
      </c>
      <c r="F181">
        <v>195.78</v>
      </c>
      <c r="G181">
        <v>197.13</v>
      </c>
      <c r="H181">
        <v>187.28</v>
      </c>
      <c r="I181">
        <v>190</v>
      </c>
      <c r="J181">
        <v>187.64</v>
      </c>
      <c r="K181">
        <v>197.96</v>
      </c>
    </row>
    <row r="182" spans="1:11" x14ac:dyDescent="0.25">
      <c r="A182" s="23">
        <v>45238.712500000001</v>
      </c>
      <c r="C182">
        <v>201.43</v>
      </c>
      <c r="D182">
        <v>199.55</v>
      </c>
      <c r="E182">
        <v>193</v>
      </c>
      <c r="F182">
        <v>196.35</v>
      </c>
      <c r="G182">
        <v>197.37</v>
      </c>
      <c r="H182">
        <v>187.23</v>
      </c>
      <c r="I182">
        <v>190.41</v>
      </c>
      <c r="J182">
        <v>187.93</v>
      </c>
      <c r="K182">
        <v>197.93</v>
      </c>
    </row>
    <row r="183" spans="1:11" x14ac:dyDescent="0.25">
      <c r="A183" s="23">
        <v>45238.713194444441</v>
      </c>
      <c r="C183">
        <v>201.36</v>
      </c>
      <c r="D183">
        <v>199.67</v>
      </c>
      <c r="E183">
        <v>193.08</v>
      </c>
      <c r="F183">
        <v>196.17</v>
      </c>
      <c r="G183">
        <v>197.2</v>
      </c>
      <c r="H183">
        <v>187.64</v>
      </c>
      <c r="I183">
        <v>190.8</v>
      </c>
      <c r="J183">
        <v>188.33</v>
      </c>
      <c r="K183">
        <v>197.82</v>
      </c>
    </row>
    <row r="184" spans="1:11" x14ac:dyDescent="0.25">
      <c r="A184" s="23">
        <v>45238.713888888888</v>
      </c>
      <c r="C184">
        <v>201.08</v>
      </c>
      <c r="D184">
        <v>199.28</v>
      </c>
      <c r="E184">
        <v>193.88</v>
      </c>
      <c r="F184">
        <v>195.01</v>
      </c>
      <c r="G184">
        <v>197.29</v>
      </c>
      <c r="H184">
        <v>187.15</v>
      </c>
      <c r="I184">
        <v>190.13</v>
      </c>
      <c r="J184">
        <v>187.21</v>
      </c>
      <c r="K184">
        <v>197.88</v>
      </c>
    </row>
    <row r="185" spans="1:11" x14ac:dyDescent="0.25">
      <c r="A185" s="23">
        <v>45238.714583333334</v>
      </c>
      <c r="C185">
        <v>200.98</v>
      </c>
      <c r="D185">
        <v>199.17</v>
      </c>
      <c r="E185">
        <v>193.16</v>
      </c>
      <c r="F185">
        <v>196.4</v>
      </c>
      <c r="G185">
        <v>196.96</v>
      </c>
      <c r="H185">
        <v>187.98</v>
      </c>
      <c r="I185">
        <v>190.09</v>
      </c>
      <c r="J185">
        <v>188.16</v>
      </c>
      <c r="K185">
        <v>197.65</v>
      </c>
    </row>
    <row r="186" spans="1:11" x14ac:dyDescent="0.25">
      <c r="A186" s="23">
        <v>45238.715277777781</v>
      </c>
      <c r="C186">
        <v>201.29</v>
      </c>
      <c r="D186">
        <v>199.53</v>
      </c>
      <c r="E186">
        <v>193.29</v>
      </c>
      <c r="F186">
        <v>196.28</v>
      </c>
      <c r="G186">
        <v>197.17</v>
      </c>
      <c r="H186">
        <v>187.85</v>
      </c>
      <c r="I186">
        <v>190.85</v>
      </c>
      <c r="J186">
        <v>188.44</v>
      </c>
      <c r="K186">
        <v>197.86</v>
      </c>
    </row>
    <row r="187" spans="1:11" x14ac:dyDescent="0.25">
      <c r="A187" s="23">
        <v>45238.71597222222</v>
      </c>
      <c r="C187">
        <v>200.83</v>
      </c>
      <c r="D187">
        <v>199.06</v>
      </c>
      <c r="E187">
        <v>192.9</v>
      </c>
      <c r="F187">
        <v>196.15</v>
      </c>
      <c r="G187">
        <v>197.06</v>
      </c>
      <c r="H187">
        <v>188.19</v>
      </c>
      <c r="I187">
        <v>190.73</v>
      </c>
      <c r="J187">
        <v>188.63</v>
      </c>
      <c r="K187">
        <v>197.64</v>
      </c>
    </row>
    <row r="188" spans="1:11" x14ac:dyDescent="0.25">
      <c r="A188" s="23">
        <v>45238.716666666667</v>
      </c>
      <c r="C188">
        <v>201.04</v>
      </c>
      <c r="D188">
        <v>199.19</v>
      </c>
      <c r="E188">
        <v>193.45</v>
      </c>
      <c r="F188">
        <v>195.83</v>
      </c>
      <c r="G188">
        <v>197.28</v>
      </c>
      <c r="H188">
        <v>188.96</v>
      </c>
      <c r="I188">
        <v>190.87</v>
      </c>
      <c r="J188">
        <v>188.51</v>
      </c>
      <c r="K188">
        <v>197.82</v>
      </c>
    </row>
    <row r="189" spans="1:11" x14ac:dyDescent="0.25">
      <c r="A189" s="23">
        <v>45238.717361111114</v>
      </c>
      <c r="C189">
        <v>200.77</v>
      </c>
      <c r="D189">
        <v>199.14</v>
      </c>
      <c r="E189">
        <v>193.08</v>
      </c>
      <c r="F189">
        <v>196.21</v>
      </c>
      <c r="G189">
        <v>196.94</v>
      </c>
      <c r="H189">
        <v>188.22</v>
      </c>
      <c r="I189">
        <v>190.97</v>
      </c>
      <c r="J189">
        <v>188.26</v>
      </c>
      <c r="K189">
        <v>197.59</v>
      </c>
    </row>
    <row r="190" spans="1:11" x14ac:dyDescent="0.25">
      <c r="A190" s="23">
        <v>45238.718055555553</v>
      </c>
      <c r="C190">
        <v>201.01</v>
      </c>
      <c r="D190">
        <v>199.3</v>
      </c>
      <c r="E190">
        <v>193.21</v>
      </c>
      <c r="F190">
        <v>196.31</v>
      </c>
      <c r="G190">
        <v>197.14</v>
      </c>
      <c r="H190">
        <v>188.33</v>
      </c>
      <c r="I190">
        <v>191.14</v>
      </c>
      <c r="J190">
        <v>188.49</v>
      </c>
      <c r="K190">
        <v>197.73</v>
      </c>
    </row>
    <row r="191" spans="1:11" x14ac:dyDescent="0.25">
      <c r="A191" s="23">
        <v>45238.71875</v>
      </c>
      <c r="C191">
        <v>200.86</v>
      </c>
      <c r="D191">
        <v>199.09</v>
      </c>
      <c r="E191">
        <v>192.74</v>
      </c>
      <c r="F191">
        <v>196.41</v>
      </c>
      <c r="G191">
        <v>197</v>
      </c>
      <c r="H191">
        <v>188.05</v>
      </c>
      <c r="I191">
        <v>190.58</v>
      </c>
      <c r="J191">
        <v>188.9</v>
      </c>
      <c r="K191">
        <v>197.7</v>
      </c>
    </row>
    <row r="192" spans="1:11" x14ac:dyDescent="0.25">
      <c r="A192" s="23">
        <v>45238.719444444447</v>
      </c>
      <c r="C192">
        <v>200.89</v>
      </c>
      <c r="D192">
        <v>199.11</v>
      </c>
      <c r="E192">
        <v>192.91</v>
      </c>
      <c r="F192">
        <v>196.43</v>
      </c>
      <c r="G192">
        <v>196.98</v>
      </c>
      <c r="H192">
        <v>188.42</v>
      </c>
      <c r="I192">
        <v>191.05</v>
      </c>
      <c r="J192">
        <v>188.47</v>
      </c>
      <c r="K192">
        <v>197.66</v>
      </c>
    </row>
    <row r="193" spans="1:11" x14ac:dyDescent="0.25">
      <c r="A193" s="23">
        <v>45238.720138888886</v>
      </c>
      <c r="C193">
        <v>200.93</v>
      </c>
      <c r="D193">
        <v>198.95</v>
      </c>
      <c r="E193">
        <v>193.26</v>
      </c>
      <c r="F193">
        <v>196.04</v>
      </c>
      <c r="G193">
        <v>197.03</v>
      </c>
      <c r="H193">
        <v>188.31</v>
      </c>
      <c r="I193">
        <v>190.83</v>
      </c>
      <c r="J193">
        <v>188.31</v>
      </c>
      <c r="K193">
        <v>197.66</v>
      </c>
    </row>
    <row r="194" spans="1:11" x14ac:dyDescent="0.25">
      <c r="A194" s="23">
        <v>45238.720833333333</v>
      </c>
      <c r="C194">
        <v>200.84</v>
      </c>
      <c r="D194">
        <v>198.89</v>
      </c>
      <c r="E194">
        <v>193.51</v>
      </c>
      <c r="F194">
        <v>195.37</v>
      </c>
      <c r="G194">
        <v>197.09</v>
      </c>
      <c r="H194">
        <v>188.44</v>
      </c>
      <c r="I194">
        <v>190.72</v>
      </c>
      <c r="J194">
        <v>188.05</v>
      </c>
      <c r="K194">
        <v>197.53</v>
      </c>
    </row>
    <row r="195" spans="1:11" x14ac:dyDescent="0.25">
      <c r="A195" s="23">
        <v>45238.72152777778</v>
      </c>
      <c r="C195">
        <v>200.9</v>
      </c>
      <c r="D195">
        <v>199.21</v>
      </c>
      <c r="E195">
        <v>193.23</v>
      </c>
      <c r="F195">
        <v>196.28</v>
      </c>
      <c r="G195">
        <v>197.29</v>
      </c>
      <c r="H195">
        <v>187.9</v>
      </c>
      <c r="I195">
        <v>191.18</v>
      </c>
      <c r="J195">
        <v>188.07</v>
      </c>
      <c r="K195">
        <v>197.71</v>
      </c>
    </row>
  </sheetData>
  <sheetProtection algorithmName="SHA-512" hashValue="DMnUHDhZtTKGYzV1Qzzx0SPeFMrJL0kIkUeHDHaq3wiKKiP4aQEA88KoY2fqmWvbvDvYza7fQQPS8UFS968YqQ==" saltValue="G1t6R9Bo+i+8Wbx2l5k/0g==" spinCount="100000"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E917-1301-4AAD-98B5-8B1BB07E670B}">
  <sheetPr codeName="Feuil3">
    <tabColor theme="0" tint="-0.34998626667073579"/>
  </sheetPr>
  <dimension ref="A1:Q136"/>
  <sheetViews>
    <sheetView topLeftCell="A100" workbookViewId="0">
      <selection activeCell="H111" sqref="H111"/>
    </sheetView>
  </sheetViews>
  <sheetFormatPr baseColWidth="10" defaultRowHeight="15" x14ac:dyDescent="0.25"/>
  <sheetData>
    <row r="1" spans="1:14" x14ac:dyDescent="0.25">
      <c r="A1" s="333" t="s">
        <v>85</v>
      </c>
      <c r="B1" s="333"/>
      <c r="C1" s="333"/>
      <c r="D1" s="333"/>
      <c r="E1" s="333"/>
      <c r="F1" s="333"/>
      <c r="G1" s="333"/>
      <c r="H1" s="333"/>
      <c r="I1" s="333"/>
      <c r="J1" s="333"/>
      <c r="K1" s="333"/>
      <c r="L1" s="333"/>
      <c r="M1" s="333"/>
      <c r="N1" s="333"/>
    </row>
    <row r="2" spans="1:14" x14ac:dyDescent="0.25">
      <c r="A2" s="28" t="s">
        <v>50</v>
      </c>
      <c r="B2" t="s">
        <v>51</v>
      </c>
      <c r="C2" t="s">
        <v>52</v>
      </c>
      <c r="E2" t="s">
        <v>53</v>
      </c>
      <c r="F2">
        <v>8480381</v>
      </c>
      <c r="H2" t="s">
        <v>54</v>
      </c>
      <c r="I2" t="s">
        <v>55</v>
      </c>
      <c r="N2" s="29"/>
    </row>
    <row r="3" spans="1:14" x14ac:dyDescent="0.25">
      <c r="A3" s="28"/>
      <c r="B3" t="s">
        <v>56</v>
      </c>
      <c r="C3" t="s">
        <v>57</v>
      </c>
      <c r="E3" t="s">
        <v>58</v>
      </c>
      <c r="F3" t="s">
        <v>59</v>
      </c>
      <c r="H3" t="s">
        <v>60</v>
      </c>
      <c r="I3" t="s">
        <v>61</v>
      </c>
      <c r="K3" t="s">
        <v>62</v>
      </c>
      <c r="L3" t="s">
        <v>63</v>
      </c>
      <c r="N3" s="29"/>
    </row>
    <row r="4" spans="1:14" x14ac:dyDescent="0.25">
      <c r="A4" s="28" t="s">
        <v>64</v>
      </c>
      <c r="B4" t="s">
        <v>65</v>
      </c>
      <c r="N4" s="29"/>
    </row>
    <row r="5" spans="1:14" x14ac:dyDescent="0.25">
      <c r="A5" s="28" t="s">
        <v>66</v>
      </c>
      <c r="B5" t="s">
        <v>67</v>
      </c>
      <c r="C5">
        <v>20</v>
      </c>
      <c r="D5" t="s">
        <v>68</v>
      </c>
      <c r="E5">
        <v>550</v>
      </c>
      <c r="F5" t="s">
        <v>69</v>
      </c>
      <c r="G5" t="s">
        <v>70</v>
      </c>
      <c r="N5" s="29"/>
    </row>
    <row r="6" spans="1:14" x14ac:dyDescent="0.25">
      <c r="A6" s="28" t="s">
        <v>71</v>
      </c>
      <c r="B6" t="s">
        <v>67</v>
      </c>
      <c r="C6">
        <v>20</v>
      </c>
      <c r="D6" t="s">
        <v>68</v>
      </c>
      <c r="E6">
        <v>550</v>
      </c>
      <c r="F6" t="s">
        <v>69</v>
      </c>
      <c r="G6" t="s">
        <v>70</v>
      </c>
      <c r="N6" s="29"/>
    </row>
    <row r="7" spans="1:14" x14ac:dyDescent="0.25">
      <c r="A7" s="28" t="s">
        <v>72</v>
      </c>
      <c r="B7" t="s">
        <v>67</v>
      </c>
      <c r="C7">
        <v>20</v>
      </c>
      <c r="D7" t="s">
        <v>68</v>
      </c>
      <c r="E7">
        <v>550</v>
      </c>
      <c r="F7" t="s">
        <v>69</v>
      </c>
      <c r="G7" t="s">
        <v>70</v>
      </c>
      <c r="N7" s="29"/>
    </row>
    <row r="8" spans="1:14" x14ac:dyDescent="0.25">
      <c r="A8" s="28" t="s">
        <v>73</v>
      </c>
      <c r="B8" t="s">
        <v>67</v>
      </c>
      <c r="C8">
        <v>20</v>
      </c>
      <c r="D8" t="s">
        <v>68</v>
      </c>
      <c r="E8">
        <v>550</v>
      </c>
      <c r="F8" t="s">
        <v>69</v>
      </c>
      <c r="G8" t="s">
        <v>70</v>
      </c>
      <c r="N8" s="29"/>
    </row>
    <row r="9" spans="1:14" x14ac:dyDescent="0.25">
      <c r="A9" s="28" t="s">
        <v>74</v>
      </c>
      <c r="B9" t="s">
        <v>67</v>
      </c>
      <c r="C9">
        <v>20</v>
      </c>
      <c r="D9" t="s">
        <v>68</v>
      </c>
      <c r="E9">
        <v>550</v>
      </c>
      <c r="F9" t="s">
        <v>69</v>
      </c>
      <c r="G9" t="s">
        <v>70</v>
      </c>
      <c r="N9" s="29"/>
    </row>
    <row r="10" spans="1:14" x14ac:dyDescent="0.25">
      <c r="A10" s="28" t="s">
        <v>75</v>
      </c>
      <c r="B10" t="s">
        <v>67</v>
      </c>
      <c r="C10">
        <v>20</v>
      </c>
      <c r="D10" t="s">
        <v>68</v>
      </c>
      <c r="E10">
        <v>550</v>
      </c>
      <c r="F10" t="s">
        <v>69</v>
      </c>
      <c r="G10" t="s">
        <v>70</v>
      </c>
      <c r="N10" s="29"/>
    </row>
    <row r="11" spans="1:14" x14ac:dyDescent="0.25">
      <c r="A11" s="28" t="s">
        <v>76</v>
      </c>
      <c r="B11" t="s">
        <v>67</v>
      </c>
      <c r="C11">
        <v>20</v>
      </c>
      <c r="D11" t="s">
        <v>68</v>
      </c>
      <c r="E11">
        <v>550</v>
      </c>
      <c r="F11" t="s">
        <v>69</v>
      </c>
      <c r="G11" t="s">
        <v>70</v>
      </c>
      <c r="N11" s="29"/>
    </row>
    <row r="12" spans="1:14" x14ac:dyDescent="0.25">
      <c r="A12" s="28" t="s">
        <v>77</v>
      </c>
      <c r="B12" t="s">
        <v>67</v>
      </c>
      <c r="C12">
        <v>20</v>
      </c>
      <c r="D12" t="s">
        <v>68</v>
      </c>
      <c r="E12">
        <v>550</v>
      </c>
      <c r="F12" t="s">
        <v>69</v>
      </c>
      <c r="G12" t="s">
        <v>70</v>
      </c>
      <c r="N12" s="29"/>
    </row>
    <row r="13" spans="1:14" x14ac:dyDescent="0.25">
      <c r="A13" s="28" t="s">
        <v>78</v>
      </c>
      <c r="B13" t="s">
        <v>67</v>
      </c>
      <c r="C13">
        <v>20</v>
      </c>
      <c r="D13" t="s">
        <v>68</v>
      </c>
      <c r="E13">
        <v>550</v>
      </c>
      <c r="F13" t="s">
        <v>69</v>
      </c>
      <c r="G13" t="s">
        <v>70</v>
      </c>
      <c r="N13" s="29"/>
    </row>
    <row r="14" spans="1:14" x14ac:dyDescent="0.25">
      <c r="A14" s="28" t="s">
        <v>79</v>
      </c>
      <c r="B14" t="s">
        <v>67</v>
      </c>
      <c r="C14">
        <v>0</v>
      </c>
      <c r="D14" t="s">
        <v>68</v>
      </c>
      <c r="E14">
        <v>550</v>
      </c>
      <c r="F14" t="s">
        <v>69</v>
      </c>
      <c r="G14" t="s">
        <v>70</v>
      </c>
      <c r="N14" s="29"/>
    </row>
    <row r="15" spans="1:14" x14ac:dyDescent="0.25">
      <c r="A15" s="28" t="s">
        <v>80</v>
      </c>
      <c r="B15" t="s">
        <v>67</v>
      </c>
      <c r="C15">
        <v>-30</v>
      </c>
      <c r="D15" t="s">
        <v>68</v>
      </c>
      <c r="E15">
        <v>535</v>
      </c>
      <c r="F15" t="s">
        <v>69</v>
      </c>
      <c r="G15" t="s">
        <v>70</v>
      </c>
      <c r="N15" s="29"/>
    </row>
    <row r="16" spans="1:14" x14ac:dyDescent="0.25">
      <c r="A16" s="28" t="s">
        <v>81</v>
      </c>
      <c r="B16" t="s">
        <v>67</v>
      </c>
      <c r="C16">
        <v>-30</v>
      </c>
      <c r="D16" t="s">
        <v>68</v>
      </c>
      <c r="E16">
        <v>535</v>
      </c>
      <c r="F16" t="s">
        <v>69</v>
      </c>
      <c r="G16" t="s">
        <v>70</v>
      </c>
      <c r="N16" s="29"/>
    </row>
    <row r="17" spans="1:15" x14ac:dyDescent="0.25">
      <c r="A17" s="28" t="s">
        <v>82</v>
      </c>
      <c r="B17" t="s">
        <v>67</v>
      </c>
      <c r="C17">
        <v>-30</v>
      </c>
      <c r="D17" t="s">
        <v>68</v>
      </c>
      <c r="E17">
        <v>535</v>
      </c>
      <c r="F17" t="s">
        <v>69</v>
      </c>
      <c r="G17" t="s">
        <v>70</v>
      </c>
      <c r="N17" s="29"/>
    </row>
    <row r="18" spans="1:15" x14ac:dyDescent="0.25">
      <c r="A18" s="28" t="s">
        <v>83</v>
      </c>
      <c r="B18" t="s">
        <v>67</v>
      </c>
      <c r="C18">
        <v>-35</v>
      </c>
      <c r="D18" t="s">
        <v>68</v>
      </c>
      <c r="E18">
        <v>550</v>
      </c>
      <c r="F18" t="s">
        <v>69</v>
      </c>
      <c r="G18" t="s">
        <v>70</v>
      </c>
      <c r="N18" s="29"/>
    </row>
    <row r="19" spans="1:15" x14ac:dyDescent="0.25">
      <c r="A19" s="28" t="s">
        <v>84</v>
      </c>
      <c r="B19" t="s">
        <v>67</v>
      </c>
      <c r="C19">
        <v>-35</v>
      </c>
      <c r="D19" t="s">
        <v>68</v>
      </c>
      <c r="E19">
        <v>550</v>
      </c>
      <c r="F19" t="s">
        <v>69</v>
      </c>
      <c r="G19" t="s">
        <v>70</v>
      </c>
      <c r="N19" s="29"/>
    </row>
    <row r="20" spans="1:15" x14ac:dyDescent="0.25">
      <c r="A20" s="28" t="s">
        <v>36</v>
      </c>
      <c r="C20" t="s">
        <v>66</v>
      </c>
      <c r="D20" t="s">
        <v>71</v>
      </c>
      <c r="E20" t="s">
        <v>72</v>
      </c>
      <c r="F20" t="s">
        <v>73</v>
      </c>
      <c r="G20" t="s">
        <v>74</v>
      </c>
      <c r="H20" t="s">
        <v>75</v>
      </c>
      <c r="I20" t="s">
        <v>76</v>
      </c>
      <c r="J20" t="s">
        <v>77</v>
      </c>
      <c r="K20" t="s">
        <v>78</v>
      </c>
      <c r="L20" t="s">
        <v>79</v>
      </c>
      <c r="M20" t="s">
        <v>81</v>
      </c>
      <c r="N20" s="29" t="s">
        <v>82</v>
      </c>
    </row>
    <row r="21" spans="1:15" x14ac:dyDescent="0.25">
      <c r="A21" s="30"/>
      <c r="B21" s="31"/>
      <c r="C21" s="31" t="s">
        <v>70</v>
      </c>
      <c r="D21" s="31" t="s">
        <v>70</v>
      </c>
      <c r="E21" s="31" t="s">
        <v>70</v>
      </c>
      <c r="F21" s="31" t="s">
        <v>70</v>
      </c>
      <c r="G21" s="31" t="s">
        <v>70</v>
      </c>
      <c r="H21" s="31" t="s">
        <v>70</v>
      </c>
      <c r="I21" s="31" t="s">
        <v>70</v>
      </c>
      <c r="J21" s="31" t="s">
        <v>70</v>
      </c>
      <c r="K21" s="31" t="s">
        <v>70</v>
      </c>
      <c r="L21" s="31" t="s">
        <v>70</v>
      </c>
      <c r="M21" s="31" t="s">
        <v>70</v>
      </c>
      <c r="N21" s="32" t="s">
        <v>70</v>
      </c>
    </row>
    <row r="24" spans="1:15" x14ac:dyDescent="0.25">
      <c r="A24" s="333" t="s">
        <v>86</v>
      </c>
      <c r="B24" s="333"/>
      <c r="C24" s="333"/>
      <c r="D24" s="333"/>
      <c r="E24" s="333"/>
      <c r="F24" s="333"/>
      <c r="G24" s="333"/>
      <c r="H24" s="333"/>
      <c r="I24" s="333"/>
      <c r="J24" s="333"/>
      <c r="K24" s="333"/>
      <c r="L24" s="333"/>
      <c r="M24" s="333"/>
      <c r="N24" s="333"/>
      <c r="O24" s="333"/>
    </row>
    <row r="25" spans="1:15" x14ac:dyDescent="0.25">
      <c r="A25" s="28" t="s">
        <v>50</v>
      </c>
      <c r="B25" t="s">
        <v>51</v>
      </c>
      <c r="C25" t="s">
        <v>52</v>
      </c>
      <c r="E25" t="s">
        <v>53</v>
      </c>
      <c r="F25">
        <v>8480381</v>
      </c>
      <c r="H25" t="s">
        <v>54</v>
      </c>
      <c r="I25" t="s">
        <v>55</v>
      </c>
      <c r="O25" s="29"/>
    </row>
    <row r="26" spans="1:15" x14ac:dyDescent="0.25">
      <c r="A26" s="28"/>
      <c r="B26" t="s">
        <v>56</v>
      </c>
      <c r="C26" t="s">
        <v>57</v>
      </c>
      <c r="E26" t="s">
        <v>58</v>
      </c>
      <c r="F26" t="s">
        <v>59</v>
      </c>
      <c r="H26" t="s">
        <v>60</v>
      </c>
      <c r="I26" t="s">
        <v>61</v>
      </c>
      <c r="K26" t="s">
        <v>62</v>
      </c>
      <c r="L26" t="s">
        <v>63</v>
      </c>
      <c r="O26" s="29"/>
    </row>
    <row r="27" spans="1:15" x14ac:dyDescent="0.25">
      <c r="A27" s="28" t="s">
        <v>64</v>
      </c>
      <c r="B27" t="s">
        <v>65</v>
      </c>
      <c r="O27" s="29"/>
    </row>
    <row r="28" spans="1:15" x14ac:dyDescent="0.25">
      <c r="A28" s="28" t="s">
        <v>66</v>
      </c>
      <c r="B28" t="s">
        <v>67</v>
      </c>
      <c r="C28">
        <v>20</v>
      </c>
      <c r="D28" t="s">
        <v>68</v>
      </c>
      <c r="E28">
        <v>250</v>
      </c>
      <c r="F28" t="s">
        <v>69</v>
      </c>
      <c r="G28" t="s">
        <v>70</v>
      </c>
      <c r="O28" s="29"/>
    </row>
    <row r="29" spans="1:15" x14ac:dyDescent="0.25">
      <c r="A29" s="28" t="s">
        <v>71</v>
      </c>
      <c r="B29" t="s">
        <v>67</v>
      </c>
      <c r="C29">
        <v>20</v>
      </c>
      <c r="D29" t="s">
        <v>68</v>
      </c>
      <c r="E29">
        <v>250</v>
      </c>
      <c r="F29" t="s">
        <v>69</v>
      </c>
      <c r="G29" t="s">
        <v>70</v>
      </c>
      <c r="O29" s="29"/>
    </row>
    <row r="30" spans="1:15" x14ac:dyDescent="0.25">
      <c r="A30" s="28" t="s">
        <v>72</v>
      </c>
      <c r="B30" t="s">
        <v>67</v>
      </c>
      <c r="C30">
        <v>20</v>
      </c>
      <c r="D30" t="s">
        <v>68</v>
      </c>
      <c r="E30">
        <v>250</v>
      </c>
      <c r="F30" t="s">
        <v>69</v>
      </c>
      <c r="G30" t="s">
        <v>70</v>
      </c>
      <c r="O30" s="29"/>
    </row>
    <row r="31" spans="1:15" x14ac:dyDescent="0.25">
      <c r="A31" s="28" t="s">
        <v>73</v>
      </c>
      <c r="B31" t="s">
        <v>67</v>
      </c>
      <c r="C31">
        <v>20</v>
      </c>
      <c r="D31" t="s">
        <v>68</v>
      </c>
      <c r="E31">
        <v>250</v>
      </c>
      <c r="F31" t="s">
        <v>69</v>
      </c>
      <c r="G31" t="s">
        <v>70</v>
      </c>
      <c r="O31" s="29"/>
    </row>
    <row r="32" spans="1:15" x14ac:dyDescent="0.25">
      <c r="A32" s="28" t="s">
        <v>74</v>
      </c>
      <c r="B32" t="s">
        <v>67</v>
      </c>
      <c r="C32">
        <v>20</v>
      </c>
      <c r="D32" t="s">
        <v>68</v>
      </c>
      <c r="E32">
        <v>250</v>
      </c>
      <c r="F32" t="s">
        <v>69</v>
      </c>
      <c r="G32" t="s">
        <v>70</v>
      </c>
      <c r="O32" s="29"/>
    </row>
    <row r="33" spans="1:15" x14ac:dyDescent="0.25">
      <c r="A33" s="28" t="s">
        <v>75</v>
      </c>
      <c r="B33" t="s">
        <v>67</v>
      </c>
      <c r="C33">
        <v>20</v>
      </c>
      <c r="D33" t="s">
        <v>68</v>
      </c>
      <c r="E33">
        <v>250</v>
      </c>
      <c r="F33" t="s">
        <v>69</v>
      </c>
      <c r="G33" t="s">
        <v>70</v>
      </c>
      <c r="O33" s="29"/>
    </row>
    <row r="34" spans="1:15" x14ac:dyDescent="0.25">
      <c r="A34" s="28" t="s">
        <v>76</v>
      </c>
      <c r="B34" t="s">
        <v>67</v>
      </c>
      <c r="C34">
        <v>20</v>
      </c>
      <c r="D34" t="s">
        <v>68</v>
      </c>
      <c r="E34">
        <v>250</v>
      </c>
      <c r="F34" t="s">
        <v>69</v>
      </c>
      <c r="G34" t="s">
        <v>70</v>
      </c>
      <c r="O34" s="29"/>
    </row>
    <row r="35" spans="1:15" x14ac:dyDescent="0.25">
      <c r="A35" s="28" t="s">
        <v>77</v>
      </c>
      <c r="B35" t="s">
        <v>67</v>
      </c>
      <c r="C35">
        <v>20</v>
      </c>
      <c r="D35" t="s">
        <v>68</v>
      </c>
      <c r="E35">
        <v>250</v>
      </c>
      <c r="F35" t="s">
        <v>69</v>
      </c>
      <c r="G35" t="s">
        <v>70</v>
      </c>
      <c r="O35" s="29"/>
    </row>
    <row r="36" spans="1:15" x14ac:dyDescent="0.25">
      <c r="A36" s="28" t="s">
        <v>78</v>
      </c>
      <c r="B36" t="s">
        <v>67</v>
      </c>
      <c r="C36">
        <v>20</v>
      </c>
      <c r="D36" t="s">
        <v>68</v>
      </c>
      <c r="E36">
        <v>250</v>
      </c>
      <c r="F36" t="s">
        <v>69</v>
      </c>
      <c r="G36" t="s">
        <v>70</v>
      </c>
      <c r="O36" s="29"/>
    </row>
    <row r="37" spans="1:15" x14ac:dyDescent="0.25">
      <c r="A37" s="28" t="s">
        <v>79</v>
      </c>
      <c r="B37" t="s">
        <v>67</v>
      </c>
      <c r="C37">
        <v>0</v>
      </c>
      <c r="D37" t="s">
        <v>68</v>
      </c>
      <c r="E37">
        <v>250</v>
      </c>
      <c r="F37" t="s">
        <v>69</v>
      </c>
      <c r="G37" t="s">
        <v>70</v>
      </c>
      <c r="O37" s="29"/>
    </row>
    <row r="38" spans="1:15" x14ac:dyDescent="0.25">
      <c r="A38" s="28" t="s">
        <v>80</v>
      </c>
      <c r="B38" t="s">
        <v>67</v>
      </c>
      <c r="C38">
        <v>0</v>
      </c>
      <c r="D38" t="s">
        <v>68</v>
      </c>
      <c r="E38">
        <v>250</v>
      </c>
      <c r="F38" t="s">
        <v>69</v>
      </c>
      <c r="G38" t="s">
        <v>70</v>
      </c>
      <c r="O38" s="29"/>
    </row>
    <row r="39" spans="1:15" x14ac:dyDescent="0.25">
      <c r="A39" s="28" t="s">
        <v>81</v>
      </c>
      <c r="B39" t="s">
        <v>67</v>
      </c>
      <c r="C39">
        <v>0</v>
      </c>
      <c r="D39" t="s">
        <v>68</v>
      </c>
      <c r="E39">
        <v>250</v>
      </c>
      <c r="F39" t="s">
        <v>69</v>
      </c>
      <c r="G39" t="s">
        <v>70</v>
      </c>
      <c r="O39" s="29"/>
    </row>
    <row r="40" spans="1:15" x14ac:dyDescent="0.25">
      <c r="A40" s="28" t="s">
        <v>82</v>
      </c>
      <c r="B40" t="s">
        <v>67</v>
      </c>
      <c r="C40">
        <v>0</v>
      </c>
      <c r="D40" t="s">
        <v>68</v>
      </c>
      <c r="E40">
        <v>250</v>
      </c>
      <c r="F40" t="s">
        <v>69</v>
      </c>
      <c r="G40" t="s">
        <v>70</v>
      </c>
      <c r="O40" s="29"/>
    </row>
    <row r="41" spans="1:15" x14ac:dyDescent="0.25">
      <c r="A41" s="28" t="s">
        <v>36</v>
      </c>
      <c r="C41" t="s">
        <v>66</v>
      </c>
      <c r="D41" t="s">
        <v>71</v>
      </c>
      <c r="E41" t="s">
        <v>72</v>
      </c>
      <c r="F41" t="s">
        <v>73</v>
      </c>
      <c r="G41" t="s">
        <v>74</v>
      </c>
      <c r="H41" t="s">
        <v>75</v>
      </c>
      <c r="I41" t="s">
        <v>76</v>
      </c>
      <c r="J41" t="s">
        <v>77</v>
      </c>
      <c r="K41" t="s">
        <v>78</v>
      </c>
      <c r="L41" t="s">
        <v>79</v>
      </c>
      <c r="M41" t="s">
        <v>80</v>
      </c>
      <c r="N41" t="s">
        <v>81</v>
      </c>
      <c r="O41" s="29" t="s">
        <v>82</v>
      </c>
    </row>
    <row r="42" spans="1:15" x14ac:dyDescent="0.25">
      <c r="A42" s="30"/>
      <c r="B42" s="31"/>
      <c r="C42" s="31" t="s">
        <v>70</v>
      </c>
      <c r="D42" s="31" t="s">
        <v>70</v>
      </c>
      <c r="E42" s="31" t="s">
        <v>70</v>
      </c>
      <c r="F42" s="31" t="s">
        <v>70</v>
      </c>
      <c r="G42" s="31" t="s">
        <v>70</v>
      </c>
      <c r="H42" s="31" t="s">
        <v>70</v>
      </c>
      <c r="I42" s="31" t="s">
        <v>70</v>
      </c>
      <c r="J42" s="31" t="s">
        <v>70</v>
      </c>
      <c r="K42" s="31" t="s">
        <v>70</v>
      </c>
      <c r="L42" s="31" t="s">
        <v>70</v>
      </c>
      <c r="M42" s="31" t="s">
        <v>70</v>
      </c>
      <c r="N42" s="31" t="s">
        <v>70</v>
      </c>
      <c r="O42" s="32" t="s">
        <v>70</v>
      </c>
    </row>
    <row r="45" spans="1:15" x14ac:dyDescent="0.25">
      <c r="A45" s="334" t="s">
        <v>245</v>
      </c>
      <c r="B45" s="334"/>
      <c r="C45" s="334"/>
      <c r="D45" s="334"/>
      <c r="E45" s="334"/>
      <c r="F45" s="334"/>
      <c r="G45" s="334"/>
      <c r="H45" s="334"/>
      <c r="I45" s="334"/>
      <c r="J45" s="334"/>
      <c r="K45" s="334"/>
    </row>
    <row r="46" spans="1:15" x14ac:dyDescent="0.25">
      <c r="A46" s="28" t="s">
        <v>50</v>
      </c>
      <c r="B46" t="s">
        <v>51</v>
      </c>
      <c r="C46" t="s">
        <v>52</v>
      </c>
      <c r="E46" t="s">
        <v>53</v>
      </c>
      <c r="F46">
        <v>8480381</v>
      </c>
      <c r="H46" t="s">
        <v>54</v>
      </c>
      <c r="I46" t="s">
        <v>55</v>
      </c>
      <c r="K46" s="29"/>
    </row>
    <row r="47" spans="1:15" x14ac:dyDescent="0.25">
      <c r="A47" s="28"/>
      <c r="B47" t="s">
        <v>56</v>
      </c>
      <c r="C47" t="s">
        <v>57</v>
      </c>
      <c r="E47" t="s">
        <v>58</v>
      </c>
      <c r="F47" t="s">
        <v>59</v>
      </c>
      <c r="H47" t="s">
        <v>60</v>
      </c>
      <c r="I47" t="s">
        <v>61</v>
      </c>
      <c r="J47" t="s">
        <v>62</v>
      </c>
      <c r="K47" s="29" t="s">
        <v>63</v>
      </c>
    </row>
    <row r="48" spans="1:15" x14ac:dyDescent="0.25">
      <c r="A48" s="28" t="s">
        <v>64</v>
      </c>
      <c r="B48" t="s">
        <v>65</v>
      </c>
      <c r="K48" s="29"/>
    </row>
    <row r="49" spans="1:11" x14ac:dyDescent="0.25">
      <c r="A49" s="28" t="s">
        <v>66</v>
      </c>
      <c r="B49" t="s">
        <v>67</v>
      </c>
      <c r="C49">
        <v>20</v>
      </c>
      <c r="D49" t="s">
        <v>68</v>
      </c>
      <c r="E49">
        <v>550</v>
      </c>
      <c r="F49" t="s">
        <v>69</v>
      </c>
      <c r="G49" t="s">
        <v>70</v>
      </c>
      <c r="K49" s="29"/>
    </row>
    <row r="50" spans="1:11" x14ac:dyDescent="0.25">
      <c r="A50" s="28" t="s">
        <v>71</v>
      </c>
      <c r="B50" t="s">
        <v>67</v>
      </c>
      <c r="C50">
        <v>20</v>
      </c>
      <c r="D50" t="s">
        <v>68</v>
      </c>
      <c r="E50">
        <v>550</v>
      </c>
      <c r="F50" t="s">
        <v>69</v>
      </c>
      <c r="G50" t="s">
        <v>70</v>
      </c>
      <c r="K50" s="29"/>
    </row>
    <row r="51" spans="1:11" x14ac:dyDescent="0.25">
      <c r="A51" s="28" t="s">
        <v>72</v>
      </c>
      <c r="B51" t="s">
        <v>67</v>
      </c>
      <c r="C51">
        <v>20</v>
      </c>
      <c r="D51" t="s">
        <v>68</v>
      </c>
      <c r="E51">
        <v>550</v>
      </c>
      <c r="F51" t="s">
        <v>69</v>
      </c>
      <c r="G51" t="s">
        <v>70</v>
      </c>
      <c r="K51" s="29"/>
    </row>
    <row r="52" spans="1:11" x14ac:dyDescent="0.25">
      <c r="A52" s="28" t="s">
        <v>73</v>
      </c>
      <c r="B52" t="s">
        <v>67</v>
      </c>
      <c r="C52">
        <v>20</v>
      </c>
      <c r="D52" t="s">
        <v>68</v>
      </c>
      <c r="E52">
        <v>550</v>
      </c>
      <c r="F52" t="s">
        <v>69</v>
      </c>
      <c r="G52" t="s">
        <v>70</v>
      </c>
      <c r="K52" s="29"/>
    </row>
    <row r="53" spans="1:11" x14ac:dyDescent="0.25">
      <c r="A53" s="28" t="s">
        <v>74</v>
      </c>
      <c r="B53" t="s">
        <v>67</v>
      </c>
      <c r="C53">
        <v>20</v>
      </c>
      <c r="D53" t="s">
        <v>68</v>
      </c>
      <c r="E53">
        <v>550</v>
      </c>
      <c r="F53" t="s">
        <v>69</v>
      </c>
      <c r="G53" t="s">
        <v>70</v>
      </c>
      <c r="K53" s="29"/>
    </row>
    <row r="54" spans="1:11" x14ac:dyDescent="0.25">
      <c r="A54" s="28" t="s">
        <v>75</v>
      </c>
      <c r="B54" t="s">
        <v>67</v>
      </c>
      <c r="C54">
        <v>20</v>
      </c>
      <c r="D54" t="s">
        <v>68</v>
      </c>
      <c r="E54">
        <v>550</v>
      </c>
      <c r="F54" t="s">
        <v>69</v>
      </c>
      <c r="G54" t="s">
        <v>70</v>
      </c>
      <c r="K54" s="29"/>
    </row>
    <row r="55" spans="1:11" x14ac:dyDescent="0.25">
      <c r="A55" s="28" t="s">
        <v>76</v>
      </c>
      <c r="B55" t="s">
        <v>67</v>
      </c>
      <c r="C55">
        <v>20</v>
      </c>
      <c r="D55" t="s">
        <v>68</v>
      </c>
      <c r="E55">
        <v>550</v>
      </c>
      <c r="F55" t="s">
        <v>69</v>
      </c>
      <c r="G55" t="s">
        <v>70</v>
      </c>
      <c r="K55" s="29"/>
    </row>
    <row r="56" spans="1:11" x14ac:dyDescent="0.25">
      <c r="A56" s="28" t="s">
        <v>77</v>
      </c>
      <c r="B56" t="s">
        <v>67</v>
      </c>
      <c r="C56">
        <v>20</v>
      </c>
      <c r="D56" t="s">
        <v>68</v>
      </c>
      <c r="E56">
        <v>550</v>
      </c>
      <c r="F56" t="s">
        <v>69</v>
      </c>
      <c r="G56" t="s">
        <v>70</v>
      </c>
      <c r="K56" s="29"/>
    </row>
    <row r="57" spans="1:11" x14ac:dyDescent="0.25">
      <c r="A57" s="28" t="s">
        <v>78</v>
      </c>
      <c r="B57" t="s">
        <v>67</v>
      </c>
      <c r="C57">
        <v>20</v>
      </c>
      <c r="D57" t="s">
        <v>68</v>
      </c>
      <c r="E57">
        <v>550</v>
      </c>
      <c r="F57" t="s">
        <v>69</v>
      </c>
      <c r="G57" t="s">
        <v>70</v>
      </c>
      <c r="K57" s="29"/>
    </row>
    <row r="58" spans="1:11" x14ac:dyDescent="0.25">
      <c r="A58" s="28" t="s">
        <v>36</v>
      </c>
      <c r="C58" t="s">
        <v>66</v>
      </c>
      <c r="D58" t="s">
        <v>71</v>
      </c>
      <c r="E58" t="s">
        <v>72</v>
      </c>
      <c r="F58" t="s">
        <v>73</v>
      </c>
      <c r="G58" t="s">
        <v>74</v>
      </c>
      <c r="H58" t="s">
        <v>75</v>
      </c>
      <c r="I58" t="s">
        <v>76</v>
      </c>
      <c r="J58" t="s">
        <v>77</v>
      </c>
      <c r="K58" s="29" t="s">
        <v>78</v>
      </c>
    </row>
    <row r="59" spans="1:11" x14ac:dyDescent="0.25">
      <c r="A59" s="30"/>
      <c r="B59" s="31"/>
      <c r="C59" s="31" t="s">
        <v>70</v>
      </c>
      <c r="D59" s="31" t="s">
        <v>70</v>
      </c>
      <c r="E59" s="31" t="s">
        <v>70</v>
      </c>
      <c r="F59" s="31" t="s">
        <v>70</v>
      </c>
      <c r="G59" s="31" t="s">
        <v>70</v>
      </c>
      <c r="H59" s="31" t="s">
        <v>70</v>
      </c>
      <c r="I59" s="31" t="s">
        <v>70</v>
      </c>
      <c r="J59" s="31" t="s">
        <v>70</v>
      </c>
      <c r="K59" s="32" t="s">
        <v>70</v>
      </c>
    </row>
    <row r="63" spans="1:11" x14ac:dyDescent="0.25">
      <c r="A63" s="335" t="s">
        <v>277</v>
      </c>
      <c r="B63" s="336"/>
      <c r="C63" s="336"/>
      <c r="D63" s="336"/>
      <c r="E63" s="336"/>
      <c r="F63" s="336"/>
      <c r="G63" s="336"/>
      <c r="H63" s="336"/>
      <c r="I63" s="336"/>
      <c r="J63" s="337"/>
    </row>
    <row r="64" spans="1:11" x14ac:dyDescent="0.25">
      <c r="A64" s="28" t="s">
        <v>50</v>
      </c>
      <c r="B64" t="s">
        <v>51</v>
      </c>
      <c r="C64" t="s">
        <v>52</v>
      </c>
      <c r="E64" t="s">
        <v>53</v>
      </c>
      <c r="F64">
        <v>8480381</v>
      </c>
      <c r="H64" t="s">
        <v>54</v>
      </c>
      <c r="J64" s="29"/>
    </row>
    <row r="65" spans="1:17" x14ac:dyDescent="0.25">
      <c r="A65" s="28"/>
      <c r="B65" t="s">
        <v>56</v>
      </c>
      <c r="C65" t="s">
        <v>57</v>
      </c>
      <c r="E65" t="s">
        <v>58</v>
      </c>
      <c r="F65" t="s">
        <v>59</v>
      </c>
      <c r="H65" t="s">
        <v>60</v>
      </c>
      <c r="J65" s="29"/>
    </row>
    <row r="66" spans="1:17" x14ac:dyDescent="0.25">
      <c r="A66" s="28" t="s">
        <v>64</v>
      </c>
      <c r="B66" t="s">
        <v>65</v>
      </c>
      <c r="J66" s="29"/>
    </row>
    <row r="67" spans="1:17" x14ac:dyDescent="0.25">
      <c r="A67" s="28" t="s">
        <v>66</v>
      </c>
      <c r="B67" t="s">
        <v>67</v>
      </c>
      <c r="C67">
        <v>20</v>
      </c>
      <c r="D67" t="s">
        <v>68</v>
      </c>
      <c r="E67">
        <v>550</v>
      </c>
      <c r="F67" t="s">
        <v>69</v>
      </c>
      <c r="G67" t="s">
        <v>70</v>
      </c>
      <c r="J67" s="29"/>
    </row>
    <row r="68" spans="1:17" x14ac:dyDescent="0.25">
      <c r="A68" s="28" t="s">
        <v>71</v>
      </c>
      <c r="B68" t="s">
        <v>67</v>
      </c>
      <c r="C68">
        <v>20</v>
      </c>
      <c r="D68" t="s">
        <v>68</v>
      </c>
      <c r="E68">
        <v>550</v>
      </c>
      <c r="F68" t="s">
        <v>69</v>
      </c>
      <c r="G68" t="s">
        <v>70</v>
      </c>
      <c r="J68" s="29"/>
    </row>
    <row r="69" spans="1:17" x14ac:dyDescent="0.25">
      <c r="A69" s="28" t="s">
        <v>72</v>
      </c>
      <c r="B69" t="s">
        <v>67</v>
      </c>
      <c r="C69">
        <v>20</v>
      </c>
      <c r="D69" t="s">
        <v>68</v>
      </c>
      <c r="E69">
        <v>550</v>
      </c>
      <c r="F69" t="s">
        <v>69</v>
      </c>
      <c r="G69" t="s">
        <v>70</v>
      </c>
      <c r="J69" s="29"/>
    </row>
    <row r="70" spans="1:17" x14ac:dyDescent="0.25">
      <c r="A70" s="28" t="s">
        <v>73</v>
      </c>
      <c r="B70" t="s">
        <v>67</v>
      </c>
      <c r="C70">
        <v>20</v>
      </c>
      <c r="D70" t="s">
        <v>68</v>
      </c>
      <c r="E70">
        <v>550</v>
      </c>
      <c r="F70" t="s">
        <v>69</v>
      </c>
      <c r="G70" t="s">
        <v>70</v>
      </c>
      <c r="J70" s="29"/>
    </row>
    <row r="71" spans="1:17" x14ac:dyDescent="0.25">
      <c r="A71" s="28" t="s">
        <v>74</v>
      </c>
      <c r="B71" t="s">
        <v>67</v>
      </c>
      <c r="C71">
        <v>20</v>
      </c>
      <c r="D71" t="s">
        <v>68</v>
      </c>
      <c r="E71">
        <v>550</v>
      </c>
      <c r="F71" t="s">
        <v>69</v>
      </c>
      <c r="G71" t="s">
        <v>70</v>
      </c>
      <c r="J71" s="29"/>
    </row>
    <row r="72" spans="1:17" x14ac:dyDescent="0.25">
      <c r="A72" s="28" t="s">
        <v>75</v>
      </c>
      <c r="B72" t="s">
        <v>67</v>
      </c>
      <c r="C72">
        <v>20</v>
      </c>
      <c r="D72" t="s">
        <v>68</v>
      </c>
      <c r="E72">
        <v>550</v>
      </c>
      <c r="F72" t="s">
        <v>69</v>
      </c>
      <c r="G72" t="s">
        <v>70</v>
      </c>
      <c r="J72" s="29"/>
    </row>
    <row r="73" spans="1:17" x14ac:dyDescent="0.25">
      <c r="A73" s="28" t="s">
        <v>76</v>
      </c>
      <c r="B73" t="s">
        <v>67</v>
      </c>
      <c r="C73">
        <v>20</v>
      </c>
      <c r="D73" t="s">
        <v>68</v>
      </c>
      <c r="E73">
        <v>550</v>
      </c>
      <c r="F73" t="s">
        <v>69</v>
      </c>
      <c r="G73" t="s">
        <v>70</v>
      </c>
      <c r="J73" s="29"/>
    </row>
    <row r="74" spans="1:17" x14ac:dyDescent="0.25">
      <c r="A74" s="28" t="s">
        <v>77</v>
      </c>
      <c r="B74" t="s">
        <v>67</v>
      </c>
      <c r="C74">
        <v>20</v>
      </c>
      <c r="D74" t="s">
        <v>68</v>
      </c>
      <c r="E74">
        <v>550</v>
      </c>
      <c r="F74" t="s">
        <v>69</v>
      </c>
      <c r="G74" t="s">
        <v>70</v>
      </c>
      <c r="J74" s="29"/>
    </row>
    <row r="75" spans="1:17" x14ac:dyDescent="0.25">
      <c r="A75" s="30" t="s">
        <v>78</v>
      </c>
      <c r="B75" s="31" t="s">
        <v>67</v>
      </c>
      <c r="C75" s="31">
        <v>20</v>
      </c>
      <c r="D75" s="31" t="s">
        <v>68</v>
      </c>
      <c r="E75" s="31">
        <v>550</v>
      </c>
      <c r="F75" s="31" t="s">
        <v>69</v>
      </c>
      <c r="G75" s="31" t="s">
        <v>70</v>
      </c>
      <c r="H75" s="31"/>
      <c r="I75" s="31"/>
      <c r="J75" s="32"/>
    </row>
    <row r="79" spans="1:17" x14ac:dyDescent="0.25">
      <c r="A79" s="335" t="s">
        <v>529</v>
      </c>
      <c r="B79" s="336"/>
      <c r="C79" s="336"/>
      <c r="D79" s="336"/>
      <c r="E79" s="336"/>
      <c r="F79" s="336"/>
      <c r="G79" s="336"/>
      <c r="H79" s="336"/>
      <c r="I79" s="336"/>
      <c r="J79" s="336"/>
      <c r="K79" s="336"/>
      <c r="L79" s="336"/>
      <c r="M79" s="336"/>
      <c r="N79" s="336"/>
      <c r="O79" s="336"/>
      <c r="P79" s="336"/>
      <c r="Q79" s="337"/>
    </row>
    <row r="80" spans="1:17" x14ac:dyDescent="0.25">
      <c r="A80" s="28" t="s">
        <v>50</v>
      </c>
      <c r="B80" t="s">
        <v>51</v>
      </c>
      <c r="C80" t="s">
        <v>52</v>
      </c>
      <c r="E80" t="s">
        <v>53</v>
      </c>
      <c r="F80">
        <v>8480381</v>
      </c>
      <c r="H80" t="s">
        <v>54</v>
      </c>
      <c r="I80" t="s">
        <v>55</v>
      </c>
      <c r="Q80" s="29"/>
    </row>
    <row r="81" spans="1:17" x14ac:dyDescent="0.25">
      <c r="A81" s="28"/>
      <c r="B81" t="s">
        <v>56</v>
      </c>
      <c r="C81" t="s">
        <v>57</v>
      </c>
      <c r="E81" t="s">
        <v>58</v>
      </c>
      <c r="F81" t="s">
        <v>59</v>
      </c>
      <c r="H81" t="s">
        <v>60</v>
      </c>
      <c r="I81" t="s">
        <v>61</v>
      </c>
      <c r="K81" t="s">
        <v>62</v>
      </c>
      <c r="L81" t="s">
        <v>63</v>
      </c>
      <c r="Q81" s="29"/>
    </row>
    <row r="82" spans="1:17" x14ac:dyDescent="0.25">
      <c r="A82" s="28" t="s">
        <v>64</v>
      </c>
      <c r="B82" t="s">
        <v>65</v>
      </c>
      <c r="Q82" s="29"/>
    </row>
    <row r="83" spans="1:17" x14ac:dyDescent="0.25">
      <c r="A83" s="28" t="s">
        <v>66</v>
      </c>
      <c r="B83" t="s">
        <v>67</v>
      </c>
      <c r="C83">
        <v>20</v>
      </c>
      <c r="D83" t="s">
        <v>68</v>
      </c>
      <c r="E83">
        <v>550</v>
      </c>
      <c r="F83" t="s">
        <v>69</v>
      </c>
      <c r="G83" t="s">
        <v>70</v>
      </c>
      <c r="Q83" s="29"/>
    </row>
    <row r="84" spans="1:17" x14ac:dyDescent="0.25">
      <c r="A84" s="28" t="s">
        <v>71</v>
      </c>
      <c r="B84" t="s">
        <v>67</v>
      </c>
      <c r="C84">
        <v>20</v>
      </c>
      <c r="D84" t="s">
        <v>68</v>
      </c>
      <c r="E84">
        <v>550</v>
      </c>
      <c r="F84" t="s">
        <v>69</v>
      </c>
      <c r="G84" t="s">
        <v>70</v>
      </c>
      <c r="Q84" s="29"/>
    </row>
    <row r="85" spans="1:17" x14ac:dyDescent="0.25">
      <c r="A85" s="28" t="s">
        <v>72</v>
      </c>
      <c r="B85" t="s">
        <v>67</v>
      </c>
      <c r="C85">
        <v>20</v>
      </c>
      <c r="D85" t="s">
        <v>68</v>
      </c>
      <c r="E85">
        <v>550</v>
      </c>
      <c r="F85" t="s">
        <v>69</v>
      </c>
      <c r="G85" t="s">
        <v>70</v>
      </c>
      <c r="Q85" s="29"/>
    </row>
    <row r="86" spans="1:17" x14ac:dyDescent="0.25">
      <c r="A86" s="28" t="s">
        <v>73</v>
      </c>
      <c r="B86" t="s">
        <v>67</v>
      </c>
      <c r="C86">
        <v>20</v>
      </c>
      <c r="D86" t="s">
        <v>68</v>
      </c>
      <c r="E86">
        <v>550</v>
      </c>
      <c r="F86" t="s">
        <v>69</v>
      </c>
      <c r="G86" t="s">
        <v>70</v>
      </c>
      <c r="Q86" s="29"/>
    </row>
    <row r="87" spans="1:17" x14ac:dyDescent="0.25">
      <c r="A87" s="28" t="s">
        <v>74</v>
      </c>
      <c r="B87" t="s">
        <v>67</v>
      </c>
      <c r="C87">
        <v>20</v>
      </c>
      <c r="D87" t="s">
        <v>68</v>
      </c>
      <c r="E87">
        <v>550</v>
      </c>
      <c r="F87" t="s">
        <v>69</v>
      </c>
      <c r="G87" t="s">
        <v>70</v>
      </c>
      <c r="Q87" s="29"/>
    </row>
    <row r="88" spans="1:17" x14ac:dyDescent="0.25">
      <c r="A88" s="28" t="s">
        <v>75</v>
      </c>
      <c r="B88" t="s">
        <v>67</v>
      </c>
      <c r="C88">
        <v>20</v>
      </c>
      <c r="D88" t="s">
        <v>68</v>
      </c>
      <c r="E88">
        <v>550</v>
      </c>
      <c r="F88" t="s">
        <v>69</v>
      </c>
      <c r="G88" t="s">
        <v>70</v>
      </c>
      <c r="Q88" s="29"/>
    </row>
    <row r="89" spans="1:17" x14ac:dyDescent="0.25">
      <c r="A89" s="28" t="s">
        <v>76</v>
      </c>
      <c r="B89" t="s">
        <v>67</v>
      </c>
      <c r="C89">
        <v>20</v>
      </c>
      <c r="D89" t="s">
        <v>68</v>
      </c>
      <c r="E89">
        <v>550</v>
      </c>
      <c r="F89" t="s">
        <v>69</v>
      </c>
      <c r="G89" t="s">
        <v>70</v>
      </c>
      <c r="Q89" s="29"/>
    </row>
    <row r="90" spans="1:17" x14ac:dyDescent="0.25">
      <c r="A90" s="28" t="s">
        <v>77</v>
      </c>
      <c r="B90" t="s">
        <v>67</v>
      </c>
      <c r="C90">
        <v>20</v>
      </c>
      <c r="D90" t="s">
        <v>68</v>
      </c>
      <c r="E90">
        <v>550</v>
      </c>
      <c r="F90" t="s">
        <v>69</v>
      </c>
      <c r="G90" t="s">
        <v>70</v>
      </c>
      <c r="Q90" s="29"/>
    </row>
    <row r="91" spans="1:17" x14ac:dyDescent="0.25">
      <c r="A91" s="28" t="s">
        <v>78</v>
      </c>
      <c r="B91" t="s">
        <v>67</v>
      </c>
      <c r="C91">
        <v>20</v>
      </c>
      <c r="D91" t="s">
        <v>68</v>
      </c>
      <c r="E91">
        <v>550</v>
      </c>
      <c r="F91" t="s">
        <v>69</v>
      </c>
      <c r="G91" t="s">
        <v>70</v>
      </c>
      <c r="Q91" s="29"/>
    </row>
    <row r="92" spans="1:17" x14ac:dyDescent="0.25">
      <c r="A92" s="28" t="s">
        <v>79</v>
      </c>
      <c r="B92" t="s">
        <v>67</v>
      </c>
      <c r="C92">
        <v>0</v>
      </c>
      <c r="D92" t="s">
        <v>68</v>
      </c>
      <c r="E92">
        <v>550</v>
      </c>
      <c r="F92" t="s">
        <v>69</v>
      </c>
      <c r="G92" t="s">
        <v>70</v>
      </c>
      <c r="Q92" s="29"/>
    </row>
    <row r="93" spans="1:17" x14ac:dyDescent="0.25">
      <c r="A93" s="28" t="s">
        <v>80</v>
      </c>
      <c r="B93" t="s">
        <v>67</v>
      </c>
      <c r="C93">
        <v>-30</v>
      </c>
      <c r="D93" t="s">
        <v>68</v>
      </c>
      <c r="E93">
        <v>535</v>
      </c>
      <c r="F93" t="s">
        <v>69</v>
      </c>
      <c r="G93" t="s">
        <v>70</v>
      </c>
      <c r="Q93" s="29"/>
    </row>
    <row r="94" spans="1:17" x14ac:dyDescent="0.25">
      <c r="A94" s="28" t="s">
        <v>81</v>
      </c>
      <c r="B94" t="s">
        <v>67</v>
      </c>
      <c r="C94">
        <v>-30</v>
      </c>
      <c r="D94" t="s">
        <v>68</v>
      </c>
      <c r="E94">
        <v>535</v>
      </c>
      <c r="F94" t="s">
        <v>69</v>
      </c>
      <c r="G94" t="s">
        <v>70</v>
      </c>
      <c r="Q94" s="29"/>
    </row>
    <row r="95" spans="1:17" x14ac:dyDescent="0.25">
      <c r="A95" s="28" t="s">
        <v>82</v>
      </c>
      <c r="B95" t="s">
        <v>67</v>
      </c>
      <c r="C95">
        <v>-30</v>
      </c>
      <c r="D95" t="s">
        <v>68</v>
      </c>
      <c r="E95">
        <v>535</v>
      </c>
      <c r="F95" t="s">
        <v>69</v>
      </c>
      <c r="G95" t="s">
        <v>70</v>
      </c>
      <c r="Q95" s="29"/>
    </row>
    <row r="96" spans="1:17" x14ac:dyDescent="0.25">
      <c r="A96" s="28" t="s">
        <v>83</v>
      </c>
      <c r="B96" t="s">
        <v>67</v>
      </c>
      <c r="C96">
        <v>-35</v>
      </c>
      <c r="D96" t="s">
        <v>68</v>
      </c>
      <c r="E96">
        <v>550</v>
      </c>
      <c r="F96" t="s">
        <v>69</v>
      </c>
      <c r="G96" t="s">
        <v>70</v>
      </c>
      <c r="Q96" s="29"/>
    </row>
    <row r="97" spans="1:17" x14ac:dyDescent="0.25">
      <c r="A97" s="28" t="s">
        <v>84</v>
      </c>
      <c r="B97" t="s">
        <v>67</v>
      </c>
      <c r="C97">
        <v>-35</v>
      </c>
      <c r="D97" t="s">
        <v>68</v>
      </c>
      <c r="E97">
        <v>550</v>
      </c>
      <c r="F97" t="s">
        <v>69</v>
      </c>
      <c r="G97" t="s">
        <v>70</v>
      </c>
      <c r="Q97" s="29"/>
    </row>
    <row r="98" spans="1:17" x14ac:dyDescent="0.25">
      <c r="A98" s="28" t="s">
        <v>36</v>
      </c>
      <c r="C98" t="s">
        <v>66</v>
      </c>
      <c r="D98" t="s">
        <v>71</v>
      </c>
      <c r="E98" t="s">
        <v>72</v>
      </c>
      <c r="F98" t="s">
        <v>73</v>
      </c>
      <c r="G98" t="s">
        <v>74</v>
      </c>
      <c r="H98" t="s">
        <v>75</v>
      </c>
      <c r="I98" t="s">
        <v>76</v>
      </c>
      <c r="J98" t="s">
        <v>77</v>
      </c>
      <c r="K98" t="s">
        <v>78</v>
      </c>
      <c r="L98" t="s">
        <v>79</v>
      </c>
      <c r="M98" t="s">
        <v>80</v>
      </c>
      <c r="N98" t="s">
        <v>81</v>
      </c>
      <c r="O98" t="s">
        <v>82</v>
      </c>
      <c r="P98" t="s">
        <v>83</v>
      </c>
      <c r="Q98" s="29" t="s">
        <v>84</v>
      </c>
    </row>
    <row r="99" spans="1:17" x14ac:dyDescent="0.25">
      <c r="A99" s="30"/>
      <c r="B99" s="31"/>
      <c r="C99" s="31" t="s">
        <v>70</v>
      </c>
      <c r="D99" s="31" t="s">
        <v>70</v>
      </c>
      <c r="E99" s="31" t="s">
        <v>70</v>
      </c>
      <c r="F99" s="31" t="s">
        <v>70</v>
      </c>
      <c r="G99" s="31" t="s">
        <v>70</v>
      </c>
      <c r="H99" s="31" t="s">
        <v>70</v>
      </c>
      <c r="I99" s="31" t="s">
        <v>70</v>
      </c>
      <c r="J99" s="31" t="s">
        <v>70</v>
      </c>
      <c r="K99" s="31" t="s">
        <v>70</v>
      </c>
      <c r="L99" s="31" t="s">
        <v>70</v>
      </c>
      <c r="M99" s="31" t="s">
        <v>70</v>
      </c>
      <c r="N99" s="31" t="s">
        <v>70</v>
      </c>
      <c r="O99" s="31" t="s">
        <v>70</v>
      </c>
      <c r="P99" s="31" t="s">
        <v>70</v>
      </c>
      <c r="Q99" s="32" t="s">
        <v>70</v>
      </c>
    </row>
    <row r="103" spans="1:17" x14ac:dyDescent="0.25">
      <c r="A103" s="335" t="str">
        <f>C104</f>
        <v>6100 PORTABLE</v>
      </c>
      <c r="B103" s="336"/>
      <c r="C103" s="336"/>
      <c r="D103" s="336"/>
      <c r="E103" s="336"/>
      <c r="F103" s="336"/>
      <c r="G103" s="336"/>
      <c r="H103" s="336"/>
      <c r="I103" s="336"/>
      <c r="J103" s="336"/>
      <c r="K103" s="336"/>
      <c r="L103" s="336"/>
      <c r="M103" s="336"/>
      <c r="N103" s="336"/>
      <c r="O103" s="336"/>
      <c r="P103" s="336"/>
      <c r="Q103" s="337"/>
    </row>
    <row r="104" spans="1:17" x14ac:dyDescent="0.25">
      <c r="A104" s="28" t="s">
        <v>50</v>
      </c>
      <c r="B104" t="s">
        <v>51</v>
      </c>
      <c r="C104" t="s">
        <v>52</v>
      </c>
      <c r="E104" t="s">
        <v>53</v>
      </c>
      <c r="F104">
        <v>8480381</v>
      </c>
      <c r="H104" t="s">
        <v>54</v>
      </c>
      <c r="I104" t="s">
        <v>55</v>
      </c>
      <c r="Q104" s="29"/>
    </row>
    <row r="105" spans="1:17" x14ac:dyDescent="0.25">
      <c r="A105" s="28"/>
      <c r="B105" t="s">
        <v>56</v>
      </c>
      <c r="C105" t="s">
        <v>57</v>
      </c>
      <c r="E105" t="s">
        <v>58</v>
      </c>
      <c r="F105" t="s">
        <v>59</v>
      </c>
      <c r="H105" t="s">
        <v>60</v>
      </c>
      <c r="I105" t="s">
        <v>61</v>
      </c>
      <c r="K105" t="s">
        <v>62</v>
      </c>
      <c r="L105" t="s">
        <v>63</v>
      </c>
      <c r="Q105" s="29"/>
    </row>
    <row r="106" spans="1:17" x14ac:dyDescent="0.25">
      <c r="A106" s="28" t="s">
        <v>64</v>
      </c>
      <c r="B106" t="s">
        <v>65</v>
      </c>
      <c r="Q106" s="29"/>
    </row>
    <row r="107" spans="1:17" x14ac:dyDescent="0.25">
      <c r="A107" s="28" t="s">
        <v>66</v>
      </c>
      <c r="B107" t="s">
        <v>67</v>
      </c>
      <c r="C107">
        <v>20</v>
      </c>
      <c r="D107" t="s">
        <v>68</v>
      </c>
      <c r="E107">
        <v>550</v>
      </c>
      <c r="F107" t="s">
        <v>69</v>
      </c>
      <c r="G107" t="s">
        <v>70</v>
      </c>
      <c r="Q107" s="29"/>
    </row>
    <row r="108" spans="1:17" x14ac:dyDescent="0.25">
      <c r="A108" s="28" t="s">
        <v>71</v>
      </c>
      <c r="B108" t="s">
        <v>67</v>
      </c>
      <c r="C108">
        <v>20</v>
      </c>
      <c r="D108" t="s">
        <v>68</v>
      </c>
      <c r="E108">
        <v>550</v>
      </c>
      <c r="F108" t="s">
        <v>69</v>
      </c>
      <c r="G108" t="s">
        <v>70</v>
      </c>
      <c r="Q108" s="29"/>
    </row>
    <row r="109" spans="1:17" x14ac:dyDescent="0.25">
      <c r="A109" s="28" t="s">
        <v>72</v>
      </c>
      <c r="B109" t="s">
        <v>67</v>
      </c>
      <c r="C109">
        <v>20</v>
      </c>
      <c r="D109" t="s">
        <v>68</v>
      </c>
      <c r="E109">
        <v>550</v>
      </c>
      <c r="F109" t="s">
        <v>69</v>
      </c>
      <c r="G109" t="s">
        <v>70</v>
      </c>
      <c r="Q109" s="29"/>
    </row>
    <row r="110" spans="1:17" x14ac:dyDescent="0.25">
      <c r="A110" s="28" t="s">
        <v>73</v>
      </c>
      <c r="B110" t="s">
        <v>67</v>
      </c>
      <c r="C110">
        <v>20</v>
      </c>
      <c r="D110" t="s">
        <v>68</v>
      </c>
      <c r="E110">
        <v>550</v>
      </c>
      <c r="F110" t="s">
        <v>69</v>
      </c>
      <c r="G110" t="s">
        <v>70</v>
      </c>
      <c r="Q110" s="29"/>
    </row>
    <row r="111" spans="1:17" x14ac:dyDescent="0.25">
      <c r="A111" s="28" t="s">
        <v>74</v>
      </c>
      <c r="B111" t="s">
        <v>67</v>
      </c>
      <c r="C111">
        <v>20</v>
      </c>
      <c r="D111" t="s">
        <v>68</v>
      </c>
      <c r="E111">
        <v>550</v>
      </c>
      <c r="F111" t="s">
        <v>69</v>
      </c>
      <c r="G111" t="s">
        <v>70</v>
      </c>
      <c r="Q111" s="29"/>
    </row>
    <row r="112" spans="1:17" x14ac:dyDescent="0.25">
      <c r="A112" s="28" t="s">
        <v>75</v>
      </c>
      <c r="B112" t="s">
        <v>67</v>
      </c>
      <c r="C112">
        <v>20</v>
      </c>
      <c r="D112" t="s">
        <v>68</v>
      </c>
      <c r="E112">
        <v>550</v>
      </c>
      <c r="F112" t="s">
        <v>69</v>
      </c>
      <c r="G112" t="s">
        <v>70</v>
      </c>
      <c r="Q112" s="29"/>
    </row>
    <row r="113" spans="1:17" x14ac:dyDescent="0.25">
      <c r="A113" s="28" t="s">
        <v>76</v>
      </c>
      <c r="B113" t="s">
        <v>67</v>
      </c>
      <c r="C113">
        <v>20</v>
      </c>
      <c r="D113" t="s">
        <v>68</v>
      </c>
      <c r="E113">
        <v>550</v>
      </c>
      <c r="F113" t="s">
        <v>69</v>
      </c>
      <c r="G113" t="s">
        <v>70</v>
      </c>
      <c r="Q113" s="29"/>
    </row>
    <row r="114" spans="1:17" x14ac:dyDescent="0.25">
      <c r="A114" s="28" t="s">
        <v>77</v>
      </c>
      <c r="B114" t="s">
        <v>67</v>
      </c>
      <c r="C114">
        <v>20</v>
      </c>
      <c r="D114" t="s">
        <v>68</v>
      </c>
      <c r="E114">
        <v>550</v>
      </c>
      <c r="F114" t="s">
        <v>69</v>
      </c>
      <c r="G114" t="s">
        <v>70</v>
      </c>
      <c r="Q114" s="29"/>
    </row>
    <row r="115" spans="1:17" x14ac:dyDescent="0.25">
      <c r="A115" s="28" t="s">
        <v>78</v>
      </c>
      <c r="B115" t="s">
        <v>67</v>
      </c>
      <c r="C115">
        <v>20</v>
      </c>
      <c r="D115" t="s">
        <v>68</v>
      </c>
      <c r="E115">
        <v>550</v>
      </c>
      <c r="F115" t="s">
        <v>69</v>
      </c>
      <c r="G115" t="s">
        <v>70</v>
      </c>
      <c r="Q115" s="29"/>
    </row>
    <row r="116" spans="1:17" x14ac:dyDescent="0.25">
      <c r="A116" s="28" t="s">
        <v>79</v>
      </c>
      <c r="B116" t="s">
        <v>67</v>
      </c>
      <c r="C116">
        <v>20</v>
      </c>
      <c r="D116" t="s">
        <v>68</v>
      </c>
      <c r="E116">
        <v>550</v>
      </c>
      <c r="F116" t="s">
        <v>69</v>
      </c>
      <c r="G116" t="s">
        <v>70</v>
      </c>
      <c r="Q116" s="29"/>
    </row>
    <row r="117" spans="1:17" x14ac:dyDescent="0.25">
      <c r="A117" s="28" t="s">
        <v>80</v>
      </c>
      <c r="B117" t="s">
        <v>67</v>
      </c>
      <c r="C117">
        <v>20</v>
      </c>
      <c r="D117" t="s">
        <v>68</v>
      </c>
      <c r="E117">
        <v>550</v>
      </c>
      <c r="F117" t="s">
        <v>69</v>
      </c>
      <c r="G117" t="s">
        <v>70</v>
      </c>
      <c r="Q117" s="29"/>
    </row>
    <row r="118" spans="1:17" x14ac:dyDescent="0.25">
      <c r="A118" s="28" t="s">
        <v>81</v>
      </c>
      <c r="B118" t="s">
        <v>67</v>
      </c>
      <c r="C118">
        <v>20</v>
      </c>
      <c r="D118" t="s">
        <v>68</v>
      </c>
      <c r="E118">
        <v>550</v>
      </c>
      <c r="F118" t="s">
        <v>69</v>
      </c>
      <c r="G118" t="s">
        <v>70</v>
      </c>
      <c r="Q118" s="29"/>
    </row>
    <row r="119" spans="1:17" x14ac:dyDescent="0.25">
      <c r="A119" s="28" t="s">
        <v>82</v>
      </c>
      <c r="B119" t="s">
        <v>67</v>
      </c>
      <c r="C119">
        <v>20</v>
      </c>
      <c r="D119" t="s">
        <v>68</v>
      </c>
      <c r="E119">
        <v>550</v>
      </c>
      <c r="F119" t="s">
        <v>69</v>
      </c>
      <c r="G119" t="s">
        <v>70</v>
      </c>
      <c r="Q119" s="29"/>
    </row>
    <row r="120" spans="1:17" x14ac:dyDescent="0.25">
      <c r="A120" s="28" t="s">
        <v>83</v>
      </c>
      <c r="B120" t="s">
        <v>67</v>
      </c>
      <c r="C120">
        <v>20</v>
      </c>
      <c r="D120" t="s">
        <v>68</v>
      </c>
      <c r="E120">
        <v>550</v>
      </c>
      <c r="F120" t="s">
        <v>69</v>
      </c>
      <c r="G120" t="s">
        <v>70</v>
      </c>
      <c r="Q120" s="29"/>
    </row>
    <row r="121" spans="1:17" x14ac:dyDescent="0.25">
      <c r="A121" s="28" t="s">
        <v>84</v>
      </c>
      <c r="B121" t="s">
        <v>67</v>
      </c>
      <c r="C121">
        <v>20</v>
      </c>
      <c r="D121" t="s">
        <v>68</v>
      </c>
      <c r="E121">
        <v>550</v>
      </c>
      <c r="F121" t="s">
        <v>69</v>
      </c>
      <c r="G121" t="s">
        <v>70</v>
      </c>
      <c r="Q121" s="29"/>
    </row>
    <row r="122" spans="1:17" x14ac:dyDescent="0.25">
      <c r="A122" s="28" t="s">
        <v>36</v>
      </c>
      <c r="C122" t="s">
        <v>66</v>
      </c>
      <c r="D122" t="s">
        <v>71</v>
      </c>
      <c r="E122" t="s">
        <v>72</v>
      </c>
      <c r="F122" t="s">
        <v>73</v>
      </c>
      <c r="G122" t="s">
        <v>74</v>
      </c>
      <c r="H122" t="s">
        <v>75</v>
      </c>
      <c r="I122" t="s">
        <v>76</v>
      </c>
      <c r="J122" t="s">
        <v>77</v>
      </c>
      <c r="K122" t="s">
        <v>78</v>
      </c>
      <c r="L122" t="s">
        <v>79</v>
      </c>
      <c r="M122" t="s">
        <v>80</v>
      </c>
      <c r="N122" t="s">
        <v>81</v>
      </c>
      <c r="O122" t="s">
        <v>82</v>
      </c>
      <c r="P122" t="s">
        <v>83</v>
      </c>
      <c r="Q122" s="29" t="s">
        <v>84</v>
      </c>
    </row>
    <row r="123" spans="1:17" x14ac:dyDescent="0.25">
      <c r="A123" s="30"/>
      <c r="B123" s="31"/>
      <c r="C123" s="31" t="s">
        <v>70</v>
      </c>
      <c r="D123" s="31" t="s">
        <v>70</v>
      </c>
      <c r="E123" s="31" t="s">
        <v>70</v>
      </c>
      <c r="F123" s="31" t="s">
        <v>70</v>
      </c>
      <c r="G123" s="31" t="s">
        <v>70</v>
      </c>
      <c r="H123" s="31" t="s">
        <v>70</v>
      </c>
      <c r="I123" s="31" t="s">
        <v>70</v>
      </c>
      <c r="J123" s="31" t="s">
        <v>70</v>
      </c>
      <c r="K123" s="31" t="s">
        <v>70</v>
      </c>
      <c r="L123" s="31" t="s">
        <v>70</v>
      </c>
      <c r="M123" s="31" t="s">
        <v>70</v>
      </c>
      <c r="N123" s="31" t="s">
        <v>70</v>
      </c>
      <c r="O123" s="31" t="s">
        <v>70</v>
      </c>
      <c r="P123" s="31" t="s">
        <v>70</v>
      </c>
      <c r="Q123" s="32" t="s">
        <v>70</v>
      </c>
    </row>
    <row r="125" spans="1:17" ht="15.75" thickBot="1" x14ac:dyDescent="0.3"/>
    <row r="126" spans="1:17" ht="15.75" thickBot="1" x14ac:dyDescent="0.3">
      <c r="A126" s="330" t="str">
        <f>C127</f>
        <v>Four Thermidor Efita</v>
      </c>
      <c r="B126" s="331"/>
      <c r="C126" s="331"/>
      <c r="D126" s="331"/>
      <c r="E126" s="331"/>
      <c r="F126" s="331"/>
      <c r="G126" s="331"/>
      <c r="H126" s="331"/>
      <c r="I126" s="331"/>
      <c r="J126" s="331"/>
      <c r="K126" s="331"/>
      <c r="L126" s="332"/>
    </row>
    <row r="127" spans="1:17" ht="15.75" thickTop="1" x14ac:dyDescent="0.25">
      <c r="A127" s="309" t="s">
        <v>50</v>
      </c>
      <c r="B127" t="s">
        <v>51</v>
      </c>
      <c r="C127" t="s">
        <v>530</v>
      </c>
      <c r="E127" t="s">
        <v>53</v>
      </c>
      <c r="F127">
        <v>8470479</v>
      </c>
      <c r="H127" t="s">
        <v>54</v>
      </c>
      <c r="I127" t="s">
        <v>531</v>
      </c>
      <c r="L127" s="310"/>
    </row>
    <row r="128" spans="1:17" x14ac:dyDescent="0.25">
      <c r="A128" s="309"/>
      <c r="B128" t="s">
        <v>56</v>
      </c>
      <c r="C128" t="s">
        <v>532</v>
      </c>
      <c r="E128" t="s">
        <v>58</v>
      </c>
      <c r="F128" t="s">
        <v>59</v>
      </c>
      <c r="H128" t="s">
        <v>60</v>
      </c>
      <c r="I128" t="s">
        <v>61</v>
      </c>
      <c r="K128" t="s">
        <v>62</v>
      </c>
      <c r="L128" s="310" t="s">
        <v>63</v>
      </c>
    </row>
    <row r="129" spans="1:12" x14ac:dyDescent="0.25">
      <c r="A129" s="309" t="s">
        <v>64</v>
      </c>
      <c r="B129" t="s">
        <v>65</v>
      </c>
      <c r="L129" s="310"/>
    </row>
    <row r="130" spans="1:12" x14ac:dyDescent="0.25">
      <c r="A130" s="309" t="s">
        <v>525</v>
      </c>
      <c r="B130" t="s">
        <v>67</v>
      </c>
      <c r="C130">
        <v>50</v>
      </c>
      <c r="D130" t="s">
        <v>68</v>
      </c>
      <c r="E130">
        <v>550</v>
      </c>
      <c r="F130" t="s">
        <v>69</v>
      </c>
      <c r="G130" t="s">
        <v>70</v>
      </c>
      <c r="L130" s="310"/>
    </row>
    <row r="131" spans="1:12" x14ac:dyDescent="0.25">
      <c r="A131" s="309" t="s">
        <v>533</v>
      </c>
      <c r="B131" t="s">
        <v>67</v>
      </c>
      <c r="C131">
        <v>0</v>
      </c>
      <c r="D131" t="s">
        <v>68</v>
      </c>
      <c r="E131">
        <v>100</v>
      </c>
      <c r="F131" t="s">
        <v>69</v>
      </c>
      <c r="G131" t="s">
        <v>534</v>
      </c>
      <c r="L131" s="310"/>
    </row>
    <row r="132" spans="1:12" x14ac:dyDescent="0.25">
      <c r="A132" s="309" t="s">
        <v>526</v>
      </c>
      <c r="B132" t="s">
        <v>67</v>
      </c>
      <c r="C132">
        <v>50</v>
      </c>
      <c r="D132" t="s">
        <v>68</v>
      </c>
      <c r="E132">
        <v>550</v>
      </c>
      <c r="F132" t="s">
        <v>69</v>
      </c>
      <c r="G132" t="s">
        <v>70</v>
      </c>
      <c r="L132" s="310"/>
    </row>
    <row r="133" spans="1:12" x14ac:dyDescent="0.25">
      <c r="A133" s="309" t="s">
        <v>528</v>
      </c>
      <c r="B133" t="s">
        <v>67</v>
      </c>
      <c r="C133">
        <v>50</v>
      </c>
      <c r="D133" t="s">
        <v>68</v>
      </c>
      <c r="E133">
        <v>550</v>
      </c>
      <c r="F133" t="s">
        <v>69</v>
      </c>
      <c r="G133" t="s">
        <v>70</v>
      </c>
      <c r="L133" s="310"/>
    </row>
    <row r="134" spans="1:12" x14ac:dyDescent="0.25">
      <c r="A134" s="309" t="s">
        <v>527</v>
      </c>
      <c r="B134" t="s">
        <v>67</v>
      </c>
      <c r="C134">
        <v>50</v>
      </c>
      <c r="D134" t="s">
        <v>68</v>
      </c>
      <c r="E134">
        <v>550</v>
      </c>
      <c r="F134" t="s">
        <v>69</v>
      </c>
      <c r="G134" t="s">
        <v>70</v>
      </c>
      <c r="L134" s="310"/>
    </row>
    <row r="135" spans="1:12" x14ac:dyDescent="0.25">
      <c r="A135" s="309" t="s">
        <v>36</v>
      </c>
      <c r="C135" t="s">
        <v>525</v>
      </c>
      <c r="D135" t="s">
        <v>533</v>
      </c>
      <c r="E135" t="s">
        <v>526</v>
      </c>
      <c r="F135" t="s">
        <v>528</v>
      </c>
      <c r="G135" t="s">
        <v>527</v>
      </c>
      <c r="L135" s="310"/>
    </row>
    <row r="136" spans="1:12" ht="15.75" thickBot="1" x14ac:dyDescent="0.3">
      <c r="A136" s="311"/>
      <c r="B136" s="312"/>
      <c r="C136" s="312" t="s">
        <v>70</v>
      </c>
      <c r="D136" s="312" t="s">
        <v>534</v>
      </c>
      <c r="E136" s="312" t="s">
        <v>70</v>
      </c>
      <c r="F136" s="312" t="s">
        <v>70</v>
      </c>
      <c r="G136" s="312" t="s">
        <v>70</v>
      </c>
      <c r="H136" s="312"/>
      <c r="I136" s="312"/>
      <c r="J136" s="312"/>
      <c r="K136" s="312"/>
      <c r="L136" s="313"/>
    </row>
  </sheetData>
  <sheetProtection algorithmName="SHA-512" hashValue="9BJtfSnrpZgsK6tIryymrJAB3WLSCfR6a9ufWATqNAbU6QqrTDYre1aMVmS3XUhZEAyejTv7M0bq5Q0w2MwT8A==" saltValue="8Pv0uB1NxSVRTJZgSk5UAg==" spinCount="100000" sheet="1" objects="1" scenarios="1"/>
  <mergeCells count="7">
    <mergeCell ref="A126:L126"/>
    <mergeCell ref="A1:N1"/>
    <mergeCell ref="A24:O24"/>
    <mergeCell ref="A45:K45"/>
    <mergeCell ref="A63:J63"/>
    <mergeCell ref="A79:Q79"/>
    <mergeCell ref="A103:Q103"/>
  </mergeCells>
  <phoneticPr fontId="3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0" tint="-0.34998626667073579"/>
  </sheetPr>
  <dimension ref="B2:M10"/>
  <sheetViews>
    <sheetView tabSelected="1" topLeftCell="D1" workbookViewId="0">
      <selection activeCell="J16" sqref="J16"/>
    </sheetView>
  </sheetViews>
  <sheetFormatPr baseColWidth="10" defaultColWidth="9.140625" defaultRowHeight="15" x14ac:dyDescent="0.25"/>
  <cols>
    <col min="2" max="2" width="15.28515625" customWidth="1"/>
    <col min="12" max="12" width="17.85546875" customWidth="1"/>
  </cols>
  <sheetData>
    <row r="2" spans="2:13" x14ac:dyDescent="0.25">
      <c r="I2" s="338" t="s">
        <v>559</v>
      </c>
      <c r="J2" s="338"/>
      <c r="K2" s="338"/>
      <c r="L2" t="s">
        <v>560</v>
      </c>
    </row>
    <row r="3" spans="2:13" x14ac:dyDescent="0.25">
      <c r="B3" s="24" t="s">
        <v>278</v>
      </c>
    </row>
    <row r="4" spans="2:13" x14ac:dyDescent="0.25">
      <c r="B4" s="24" t="s">
        <v>242</v>
      </c>
      <c r="D4" s="24"/>
    </row>
    <row r="5" spans="2:13" x14ac:dyDescent="0.25">
      <c r="B5" s="24" t="s">
        <v>283</v>
      </c>
    </row>
    <row r="6" spans="2:13" x14ac:dyDescent="0.25">
      <c r="B6" s="24" t="s">
        <v>243</v>
      </c>
    </row>
    <row r="7" spans="2:13" x14ac:dyDescent="0.25">
      <c r="B7" s="24" t="s">
        <v>284</v>
      </c>
      <c r="K7" s="158" t="s">
        <v>319</v>
      </c>
    </row>
    <row r="8" spans="2:13" x14ac:dyDescent="0.25">
      <c r="B8" s="24" t="s">
        <v>321</v>
      </c>
    </row>
    <row r="10" spans="2:13" x14ac:dyDescent="0.25">
      <c r="M10" t="s">
        <v>244</v>
      </c>
    </row>
  </sheetData>
  <sheetProtection algorithmName="SHA-512" hashValue="+ud0A8wLWhP7OPfJHLrZcRmcJRnwBbDLZpal/4oohqJ1tExJCBozXkKhDcMeWWPl+F/PcfdvaOVXXTZXkg3QaQ==" saltValue="AXDy8207BICGmGDs7f4GkA==" spinCount="100000" sheet="1" objects="1" scenarios="1"/>
  <mergeCells count="1">
    <mergeCell ref="I2:K2"/>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43" r:id="rId4" name="ComboBox1">
          <controlPr defaultSize="0" autoLine="0" altText="sedrftgyh" linkedCell="K7" listFillRange="B3:B8" r:id="rId5">
            <anchor moveWithCells="1">
              <from>
                <xdr:col>7</xdr:col>
                <xdr:colOff>514350</xdr:colOff>
                <xdr:row>4</xdr:row>
                <xdr:rowOff>57150</xdr:rowOff>
              </from>
              <to>
                <xdr:col>14</xdr:col>
                <xdr:colOff>438150</xdr:colOff>
                <xdr:row>11</xdr:row>
                <xdr:rowOff>19050</xdr:rowOff>
              </to>
            </anchor>
          </controlPr>
        </control>
      </mc:Choice>
      <mc:Fallback>
        <control shapeId="10243" r:id="rId4" name="ComboBox1"/>
      </mc:Fallback>
    </mc:AlternateContent>
    <mc:AlternateContent xmlns:mc="http://schemas.openxmlformats.org/markup-compatibility/2006">
      <mc:Choice Requires="x14">
        <control shapeId="10245" r:id="rId6" name="Button 5">
          <controlPr defaultSize="0" print="0" autoFill="0" autoPict="0" macro="[0]!Clear_All_Content.clear_all_content">
            <anchor moveWithCells="1" sizeWithCells="1">
              <from>
                <xdr:col>18</xdr:col>
                <xdr:colOff>238125</xdr:colOff>
                <xdr:row>5</xdr:row>
                <xdr:rowOff>104775</xdr:rowOff>
              </from>
              <to>
                <xdr:col>24</xdr:col>
                <xdr:colOff>219075</xdr:colOff>
                <xdr:row>11</xdr:row>
                <xdr:rowOff>47625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4ADEB-5F77-4D0C-B3C1-72099841C5AA}">
  <sheetPr codeName="Mesures">
    <tabColor rgb="FF002060"/>
  </sheetPr>
  <dimension ref="A1:N63"/>
  <sheetViews>
    <sheetView topLeftCell="A7" zoomScale="70" zoomScaleNormal="85" workbookViewId="0">
      <selection activeCell="D42" sqref="D42"/>
    </sheetView>
  </sheetViews>
  <sheetFormatPr baseColWidth="10" defaultRowHeight="15" x14ac:dyDescent="0.25"/>
  <cols>
    <col min="1" max="1" width="39.28515625" customWidth="1"/>
    <col min="2" max="7" width="26.7109375" customWidth="1"/>
    <col min="8" max="8" width="17.140625" customWidth="1"/>
    <col min="14" max="14" width="26" customWidth="1"/>
  </cols>
  <sheetData>
    <row r="1" spans="1:14" ht="20.25" x14ac:dyDescent="0.25">
      <c r="A1" s="340" t="s">
        <v>470</v>
      </c>
      <c r="B1" s="340"/>
      <c r="C1" s="340"/>
      <c r="D1" s="340"/>
      <c r="E1" s="340"/>
      <c r="F1" s="340"/>
      <c r="G1" s="340"/>
      <c r="H1" s="340"/>
      <c r="I1" s="340"/>
      <c r="J1" s="340"/>
      <c r="K1" s="340"/>
      <c r="L1" s="340"/>
      <c r="M1" s="340"/>
    </row>
    <row r="2" spans="1:14" ht="20.25" x14ac:dyDescent="0.3">
      <c r="A2" s="341" t="s">
        <v>471</v>
      </c>
      <c r="B2" s="341"/>
      <c r="C2" s="341"/>
      <c r="D2" s="341"/>
      <c r="E2" s="341"/>
      <c r="F2" s="341"/>
      <c r="G2" s="341"/>
      <c r="H2" s="341"/>
      <c r="I2" s="341"/>
      <c r="J2" s="341"/>
      <c r="K2" s="341"/>
      <c r="L2" s="341"/>
      <c r="M2" s="341"/>
    </row>
    <row r="4" spans="1:14" x14ac:dyDescent="0.25">
      <c r="A4" t="s">
        <v>472</v>
      </c>
      <c r="B4" s="342" t="str">
        <f>Choose_TUS!L2 &amp; "(PV TUS INTERNE FOUR THERMIDOR)"</f>
        <v>IMP 472 ind O du 07-02-2024 (PV TUS INTERNE FOUR THERMIDOR)</v>
      </c>
      <c r="C4" s="342"/>
      <c r="D4" s="342"/>
      <c r="E4" s="269" t="s">
        <v>473</v>
      </c>
    </row>
    <row r="5" spans="1:14" x14ac:dyDescent="0.25">
      <c r="A5" s="270" t="s">
        <v>474</v>
      </c>
      <c r="B5" s="271"/>
      <c r="C5" s="24" t="s">
        <v>475</v>
      </c>
    </row>
    <row r="6" spans="1:14" x14ac:dyDescent="0.25">
      <c r="A6" s="270" t="s">
        <v>476</v>
      </c>
      <c r="B6" s="272"/>
    </row>
    <row r="7" spans="1:14" x14ac:dyDescent="0.25">
      <c r="A7" s="343" t="s">
        <v>477</v>
      </c>
      <c r="B7" s="271"/>
    </row>
    <row r="8" spans="1:14" x14ac:dyDescent="0.25">
      <c r="A8" s="344"/>
      <c r="B8" s="271"/>
    </row>
    <row r="9" spans="1:14" x14ac:dyDescent="0.25">
      <c r="A9" s="345"/>
      <c r="B9" s="271"/>
    </row>
    <row r="10" spans="1:14" x14ac:dyDescent="0.25">
      <c r="A10" s="270" t="s">
        <v>478</v>
      </c>
      <c r="B10" s="271"/>
    </row>
    <row r="11" spans="1:14" x14ac:dyDescent="0.25">
      <c r="A11" s="270" t="s">
        <v>5</v>
      </c>
      <c r="B11" s="273"/>
    </row>
    <row r="12" spans="1:14" x14ac:dyDescent="0.25">
      <c r="A12" s="270" t="s">
        <v>479</v>
      </c>
      <c r="B12" s="274"/>
    </row>
    <row r="14" spans="1:14" x14ac:dyDescent="0.25">
      <c r="A14" s="275" t="s">
        <v>480</v>
      </c>
      <c r="B14" s="276" t="s">
        <v>481</v>
      </c>
      <c r="C14" s="277" t="s">
        <v>482</v>
      </c>
      <c r="D14" s="346" t="s">
        <v>483</v>
      </c>
      <c r="E14" s="347"/>
      <c r="F14" s="275" t="s">
        <v>484</v>
      </c>
      <c r="H14" s="1"/>
      <c r="J14" s="339" t="s">
        <v>485</v>
      </c>
      <c r="K14" s="339"/>
      <c r="L14" s="339"/>
      <c r="M14" s="339"/>
      <c r="N14" s="339"/>
    </row>
    <row r="15" spans="1:14" x14ac:dyDescent="0.25">
      <c r="B15" s="278"/>
      <c r="C15" s="279"/>
      <c r="D15" s="280" t="s">
        <v>486</v>
      </c>
      <c r="E15" s="281" t="s">
        <v>487</v>
      </c>
      <c r="F15" s="1" t="s">
        <v>487</v>
      </c>
      <c r="H15" s="1"/>
      <c r="J15" s="348" t="s">
        <v>488</v>
      </c>
      <c r="K15" s="348"/>
      <c r="L15" s="348"/>
      <c r="M15" s="348"/>
      <c r="N15" s="348"/>
    </row>
    <row r="16" spans="1:14" x14ac:dyDescent="0.25">
      <c r="A16" s="253" t="s">
        <v>50</v>
      </c>
      <c r="B16" s="282" t="s">
        <v>489</v>
      </c>
      <c r="C16" s="283" t="s">
        <v>186</v>
      </c>
      <c r="D16" s="284"/>
      <c r="E16" s="284"/>
      <c r="F16" s="285"/>
      <c r="G16" s="286"/>
    </row>
    <row r="17" spans="1:14" x14ac:dyDescent="0.25">
      <c r="A17" s="253" t="s">
        <v>12</v>
      </c>
      <c r="B17" s="282" t="s">
        <v>490</v>
      </c>
      <c r="C17" s="284"/>
      <c r="D17" s="284"/>
      <c r="E17" s="284"/>
      <c r="F17" s="284"/>
      <c r="G17" s="286"/>
      <c r="J17" s="287" t="s">
        <v>491</v>
      </c>
      <c r="K17" s="287"/>
      <c r="L17" s="287"/>
      <c r="M17" s="287"/>
      <c r="N17" s="287"/>
    </row>
    <row r="18" spans="1:14" ht="25.5" x14ac:dyDescent="0.25">
      <c r="A18" s="253" t="s">
        <v>12</v>
      </c>
      <c r="B18" s="282" t="s">
        <v>490</v>
      </c>
      <c r="C18" s="284"/>
      <c r="D18" s="284"/>
      <c r="E18" s="284"/>
      <c r="F18" s="284"/>
      <c r="G18" s="286"/>
      <c r="H18" s="288" t="s">
        <v>492</v>
      </c>
      <c r="J18" s="287" t="s">
        <v>493</v>
      </c>
      <c r="K18" s="287"/>
      <c r="L18" s="287"/>
      <c r="M18" s="287"/>
      <c r="N18" s="287"/>
    </row>
    <row r="19" spans="1:14" x14ac:dyDescent="0.25">
      <c r="A19" s="88"/>
      <c r="B19" s="1"/>
      <c r="C19" s="1"/>
      <c r="D19" s="1"/>
      <c r="E19" s="1"/>
      <c r="F19" s="1"/>
      <c r="G19" s="1"/>
      <c r="H19" s="1"/>
      <c r="I19" s="349"/>
      <c r="J19" s="349"/>
      <c r="K19" s="349"/>
      <c r="L19" s="349"/>
      <c r="M19" s="349"/>
    </row>
    <row r="20" spans="1:14" x14ac:dyDescent="0.25">
      <c r="A20" s="88"/>
      <c r="B20" s="290" t="s">
        <v>494</v>
      </c>
      <c r="C20" s="290" t="s">
        <v>495</v>
      </c>
      <c r="D20" s="290" t="s">
        <v>496</v>
      </c>
      <c r="E20" s="290" t="s">
        <v>497</v>
      </c>
      <c r="F20" s="290" t="s">
        <v>498</v>
      </c>
      <c r="G20" s="290" t="s">
        <v>499</v>
      </c>
      <c r="H20" s="1"/>
      <c r="I20" s="289"/>
      <c r="J20" s="289"/>
      <c r="K20" s="289"/>
      <c r="L20" s="289"/>
      <c r="M20" s="289"/>
    </row>
    <row r="21" spans="1:14" x14ac:dyDescent="0.25">
      <c r="A21" s="88"/>
      <c r="B21" s="291">
        <v>80</v>
      </c>
      <c r="C21" s="291">
        <v>-0.6</v>
      </c>
      <c r="D21" s="291">
        <v>-0.27</v>
      </c>
      <c r="E21" s="291">
        <v>0.5</v>
      </c>
      <c r="F21" s="291">
        <v>3</v>
      </c>
      <c r="G21" s="291">
        <v>6</v>
      </c>
      <c r="H21" s="1"/>
      <c r="I21" s="289"/>
      <c r="J21" s="289"/>
      <c r="K21" s="289"/>
      <c r="L21" s="289"/>
      <c r="M21" s="289"/>
    </row>
    <row r="22" spans="1:14" x14ac:dyDescent="0.25">
      <c r="A22" s="88"/>
      <c r="B22" s="291">
        <v>200</v>
      </c>
      <c r="C22" s="292">
        <v>-0.6</v>
      </c>
      <c r="D22" s="292">
        <v>-0.27</v>
      </c>
      <c r="E22" s="292">
        <v>0.5</v>
      </c>
      <c r="F22" s="292">
        <v>3</v>
      </c>
      <c r="G22" s="292">
        <v>6</v>
      </c>
      <c r="H22" s="1"/>
      <c r="I22" s="289"/>
      <c r="J22" s="289"/>
      <c r="K22" s="289"/>
      <c r="L22" s="289"/>
      <c r="M22" s="289"/>
    </row>
    <row r="23" spans="1:14" x14ac:dyDescent="0.25">
      <c r="A23" s="88"/>
      <c r="B23" s="291">
        <v>385</v>
      </c>
      <c r="C23" s="292">
        <v>-0.6</v>
      </c>
      <c r="D23" s="292">
        <v>-0.27</v>
      </c>
      <c r="E23" s="292">
        <v>0.5</v>
      </c>
      <c r="F23" s="292">
        <v>5</v>
      </c>
      <c r="G23" s="292">
        <v>10</v>
      </c>
      <c r="H23" s="1"/>
      <c r="I23" s="289"/>
      <c r="J23" s="289"/>
      <c r="K23" s="289"/>
      <c r="L23" s="289"/>
      <c r="M23" s="289"/>
    </row>
    <row r="24" spans="1:14" x14ac:dyDescent="0.25">
      <c r="A24" s="88"/>
      <c r="B24" s="291">
        <v>535</v>
      </c>
      <c r="C24" s="292">
        <v>-0.6</v>
      </c>
      <c r="D24" s="292">
        <v>-0.27</v>
      </c>
      <c r="E24" s="292">
        <v>0.5</v>
      </c>
      <c r="F24" s="292">
        <v>5</v>
      </c>
      <c r="G24" s="292">
        <v>10</v>
      </c>
      <c r="H24" s="1"/>
      <c r="I24" s="289"/>
      <c r="J24" s="289"/>
      <c r="K24" s="289"/>
      <c r="L24" s="289"/>
      <c r="M24" s="289"/>
    </row>
    <row r="25" spans="1:14" x14ac:dyDescent="0.25">
      <c r="A25" s="88"/>
      <c r="B25" s="1"/>
      <c r="C25" s="1"/>
      <c r="D25" s="1"/>
      <c r="E25" s="1"/>
      <c r="F25" s="1"/>
      <c r="G25" s="1"/>
      <c r="H25" s="1"/>
      <c r="I25" s="289"/>
      <c r="J25" s="289"/>
      <c r="K25" s="289"/>
      <c r="L25" s="289"/>
      <c r="M25" s="289"/>
    </row>
    <row r="26" spans="1:14" x14ac:dyDescent="0.25">
      <c r="A26" s="350" t="s">
        <v>500</v>
      </c>
      <c r="B26" s="350"/>
      <c r="C26" s="350"/>
      <c r="D26" s="351" t="s">
        <v>501</v>
      </c>
      <c r="E26" s="352"/>
      <c r="F26" s="352"/>
      <c r="G26" s="352"/>
      <c r="H26" s="353"/>
      <c r="I26" s="289"/>
      <c r="J26" s="289"/>
      <c r="K26" s="289"/>
      <c r="L26" s="289"/>
      <c r="M26" s="289"/>
    </row>
    <row r="27" spans="1:14" ht="36" customHeight="1" x14ac:dyDescent="0.25">
      <c r="A27" s="293" t="s">
        <v>502</v>
      </c>
      <c r="B27" s="293" t="s">
        <v>503</v>
      </c>
      <c r="C27" s="294" t="s">
        <v>504</v>
      </c>
      <c r="D27" s="294" t="str">
        <f>_xlfn.CONCAT(B$21,"°C")</f>
        <v>80°C</v>
      </c>
      <c r="E27" s="294" t="str">
        <f>_xlfn.CONCAT(B$22,"°C")</f>
        <v>200°C</v>
      </c>
      <c r="F27" s="294" t="str">
        <f>_xlfn.CONCAT(B$23,"°C")</f>
        <v>385°C</v>
      </c>
      <c r="G27" s="294" t="str">
        <f>_xlfn.CONCAT(B$24,"°C")</f>
        <v>535°C</v>
      </c>
      <c r="H27" s="294" t="s">
        <v>505</v>
      </c>
      <c r="I27" s="289"/>
      <c r="J27" s="289"/>
      <c r="K27" s="289"/>
      <c r="L27" s="289"/>
      <c r="M27" s="289"/>
    </row>
    <row r="28" spans="1:14" ht="22.5" customHeight="1" x14ac:dyDescent="0.25">
      <c r="A28" s="250">
        <v>1</v>
      </c>
      <c r="B28" s="329"/>
      <c r="C28" s="329"/>
      <c r="D28" s="295"/>
      <c r="E28" s="295"/>
      <c r="F28" s="295"/>
      <c r="G28" s="295"/>
      <c r="H28" s="295"/>
      <c r="I28" s="289"/>
      <c r="J28" s="289"/>
      <c r="K28" s="289"/>
      <c r="L28" s="289"/>
      <c r="M28" s="289"/>
    </row>
    <row r="29" spans="1:14" ht="22.5" customHeight="1" x14ac:dyDescent="0.25">
      <c r="A29" s="250">
        <v>2</v>
      </c>
      <c r="B29" s="329"/>
      <c r="C29" s="329"/>
      <c r="D29" s="295"/>
      <c r="E29" s="295"/>
      <c r="F29" s="295"/>
      <c r="G29" s="295"/>
      <c r="H29" s="295"/>
      <c r="J29" s="339" t="s">
        <v>506</v>
      </c>
      <c r="K29" s="339"/>
      <c r="L29" s="339"/>
      <c r="M29" s="339"/>
      <c r="N29" s="339"/>
    </row>
    <row r="30" spans="1:14" ht="18" customHeight="1" x14ac:dyDescent="0.25">
      <c r="A30" s="250">
        <v>3</v>
      </c>
      <c r="B30" s="329"/>
      <c r="C30" s="329"/>
      <c r="D30" s="295"/>
      <c r="E30" s="295"/>
      <c r="F30" s="295"/>
      <c r="G30" s="295"/>
      <c r="H30" s="295"/>
      <c r="J30" s="339" t="s">
        <v>507</v>
      </c>
      <c r="K30" s="339"/>
      <c r="L30" s="339"/>
      <c r="M30" s="339"/>
      <c r="N30" s="339"/>
    </row>
    <row r="31" spans="1:14" ht="24" customHeight="1" x14ac:dyDescent="0.25">
      <c r="A31" s="250">
        <v>4</v>
      </c>
      <c r="B31" s="329"/>
      <c r="C31" s="329"/>
      <c r="D31" s="295"/>
      <c r="E31" s="295"/>
      <c r="F31" s="295"/>
      <c r="G31" s="295"/>
      <c r="H31" s="295"/>
      <c r="J31" s="339" t="s">
        <v>508</v>
      </c>
      <c r="K31" s="339"/>
      <c r="L31" s="339"/>
      <c r="M31" s="339"/>
      <c r="N31" s="339"/>
    </row>
    <row r="32" spans="1:14" ht="19.5" customHeight="1" x14ac:dyDescent="0.25">
      <c r="A32" s="250">
        <v>5</v>
      </c>
      <c r="B32" s="329"/>
      <c r="C32" s="329"/>
      <c r="D32" s="295"/>
      <c r="E32" s="295"/>
      <c r="F32" s="295"/>
      <c r="G32" s="295"/>
      <c r="H32" s="295"/>
      <c r="I32" s="289"/>
      <c r="J32" s="289"/>
      <c r="K32" s="289"/>
      <c r="L32" s="289"/>
      <c r="M32" s="289"/>
    </row>
    <row r="33" spans="1:13" ht="20.25" customHeight="1" x14ac:dyDescent="0.25">
      <c r="A33" s="250">
        <v>6</v>
      </c>
      <c r="B33" s="329"/>
      <c r="C33" s="329"/>
      <c r="D33" s="295"/>
      <c r="E33" s="295"/>
      <c r="F33" s="295"/>
      <c r="G33" s="295"/>
      <c r="H33" s="295"/>
      <c r="I33" s="289"/>
      <c r="J33" s="289"/>
      <c r="K33" s="289"/>
      <c r="L33" s="289"/>
      <c r="M33" s="289"/>
    </row>
    <row r="34" spans="1:13" ht="20.25" customHeight="1" x14ac:dyDescent="0.25">
      <c r="A34" s="250">
        <v>7</v>
      </c>
      <c r="B34" s="329"/>
      <c r="C34" s="329"/>
      <c r="D34" s="295"/>
      <c r="E34" s="295"/>
      <c r="F34" s="295"/>
      <c r="G34" s="295"/>
      <c r="H34" s="295"/>
      <c r="I34" s="289"/>
      <c r="J34" s="289"/>
      <c r="K34" s="289"/>
      <c r="L34" s="289"/>
      <c r="M34" s="289"/>
    </row>
    <row r="35" spans="1:13" ht="21" customHeight="1" x14ac:dyDescent="0.25">
      <c r="A35" s="250">
        <v>8</v>
      </c>
      <c r="B35" s="329"/>
      <c r="C35" s="329"/>
      <c r="D35" s="295"/>
      <c r="E35" s="295"/>
      <c r="F35" s="295"/>
      <c r="G35" s="295"/>
      <c r="H35" s="295"/>
      <c r="I35" s="289"/>
      <c r="J35" s="289"/>
      <c r="K35" s="289"/>
      <c r="L35" s="289"/>
      <c r="M35" s="289"/>
    </row>
    <row r="36" spans="1:13" ht="26.25" customHeight="1" x14ac:dyDescent="0.25">
      <c r="A36" s="250">
        <v>9</v>
      </c>
      <c r="B36" s="329"/>
      <c r="C36" s="329"/>
      <c r="D36" s="295"/>
      <c r="E36" s="295"/>
      <c r="F36" s="295"/>
      <c r="G36" s="295"/>
      <c r="H36" s="295"/>
      <c r="I36" s="289"/>
      <c r="J36" s="289"/>
      <c r="K36" s="289"/>
      <c r="L36" s="289"/>
      <c r="M36" s="289"/>
    </row>
    <row r="37" spans="1:13" x14ac:dyDescent="0.25">
      <c r="A37" s="88"/>
      <c r="B37" s="1"/>
      <c r="C37" s="1"/>
      <c r="D37" s="1"/>
      <c r="E37" s="1"/>
      <c r="F37" s="1"/>
      <c r="G37" s="1"/>
      <c r="H37" s="1"/>
      <c r="I37" s="289"/>
      <c r="J37" s="289"/>
      <c r="K37" s="289"/>
      <c r="L37" s="289"/>
      <c r="M37" s="289"/>
    </row>
    <row r="38" spans="1:13" x14ac:dyDescent="0.25">
      <c r="A38" s="88"/>
      <c r="B38" s="1"/>
      <c r="C38" s="350" t="s">
        <v>509</v>
      </c>
      <c r="D38" s="350" t="s">
        <v>510</v>
      </c>
      <c r="E38" s="350"/>
      <c r="F38" s="350"/>
      <c r="G38" s="126" t="str">
        <f>IF(+D16&lt;&gt;"",D16,"")</f>
        <v/>
      </c>
      <c r="H38" s="1"/>
      <c r="I38" s="289"/>
      <c r="J38" s="289"/>
      <c r="K38" s="289"/>
      <c r="L38" s="289"/>
      <c r="M38" s="289"/>
    </row>
    <row r="39" spans="1:13" x14ac:dyDescent="0.25">
      <c r="A39" s="88"/>
      <c r="B39" s="1"/>
      <c r="C39" s="350"/>
      <c r="D39" s="126" t="str">
        <f>_xlfn.CONCAT(B$21,"°C")</f>
        <v>80°C</v>
      </c>
      <c r="E39" s="126" t="str">
        <f>_xlfn.CONCAT(B$22,"°C")</f>
        <v>200°C</v>
      </c>
      <c r="F39" s="126" t="str">
        <f>_xlfn.CONCAT(B$23,"°C")</f>
        <v>385°C</v>
      </c>
      <c r="G39" s="126" t="str">
        <f>_xlfn.CONCAT(B$24,"°C")</f>
        <v>535°C</v>
      </c>
      <c r="H39" s="1"/>
      <c r="I39" s="289"/>
      <c r="J39" s="289"/>
      <c r="K39" s="289"/>
      <c r="L39" s="289"/>
      <c r="M39" s="289"/>
    </row>
    <row r="40" spans="1:13" ht="24" customHeight="1" x14ac:dyDescent="0.25">
      <c r="A40" s="88"/>
      <c r="B40" s="1"/>
      <c r="C40" s="250">
        <v>1</v>
      </c>
      <c r="D40" s="295"/>
      <c r="E40" s="295"/>
      <c r="F40" s="295"/>
      <c r="G40" s="295"/>
      <c r="H40" s="1"/>
      <c r="I40" s="289"/>
      <c r="J40" s="289"/>
      <c r="K40" s="289"/>
      <c r="L40" s="289"/>
      <c r="M40" s="289"/>
    </row>
    <row r="41" spans="1:13" ht="23.25" customHeight="1" x14ac:dyDescent="0.25">
      <c r="A41" s="88"/>
      <c r="B41" s="1"/>
      <c r="C41" s="250">
        <v>2</v>
      </c>
      <c r="D41" s="295"/>
      <c r="E41" s="295"/>
      <c r="F41" s="295"/>
      <c r="G41" s="295"/>
      <c r="H41" s="1"/>
      <c r="I41" s="289"/>
      <c r="J41" s="289"/>
      <c r="K41" s="289"/>
      <c r="L41" s="289"/>
      <c r="M41" s="289"/>
    </row>
    <row r="42" spans="1:13" ht="24" customHeight="1" x14ac:dyDescent="0.25">
      <c r="A42" s="88"/>
      <c r="B42" s="1"/>
      <c r="C42" s="250">
        <v>3</v>
      </c>
      <c r="D42" s="295"/>
      <c r="E42" s="295"/>
      <c r="F42" s="295"/>
      <c r="G42" s="295"/>
      <c r="H42" s="1"/>
      <c r="I42" s="289"/>
      <c r="J42" s="289"/>
      <c r="K42" s="289"/>
      <c r="L42" s="289"/>
      <c r="M42" s="289"/>
    </row>
    <row r="43" spans="1:13" ht="21" customHeight="1" x14ac:dyDescent="0.25">
      <c r="A43" s="88"/>
      <c r="B43" s="1"/>
      <c r="C43" s="250">
        <v>4</v>
      </c>
      <c r="D43" s="295"/>
      <c r="E43" s="295"/>
      <c r="F43" s="295"/>
      <c r="G43" s="295"/>
      <c r="H43" s="1"/>
      <c r="I43" s="289"/>
      <c r="J43" s="289"/>
      <c r="K43" s="289"/>
      <c r="L43" s="289"/>
      <c r="M43" s="289"/>
    </row>
    <row r="44" spans="1:13" ht="28.5" customHeight="1" x14ac:dyDescent="0.25">
      <c r="A44" s="88"/>
      <c r="B44" s="1"/>
      <c r="C44" s="250">
        <v>5</v>
      </c>
      <c r="D44" s="295"/>
      <c r="E44" s="295"/>
      <c r="F44" s="295"/>
      <c r="G44" s="295"/>
      <c r="H44" s="1"/>
      <c r="I44" s="289"/>
      <c r="J44" s="289"/>
      <c r="K44" s="289"/>
      <c r="L44" s="289"/>
      <c r="M44" s="289"/>
    </row>
    <row r="45" spans="1:13" ht="24" customHeight="1" x14ac:dyDescent="0.25">
      <c r="A45" s="88"/>
      <c r="B45" s="1"/>
      <c r="C45" s="250">
        <v>6</v>
      </c>
      <c r="D45" s="295"/>
      <c r="E45" s="295"/>
      <c r="F45" s="295"/>
      <c r="G45" s="295"/>
      <c r="H45" s="1"/>
      <c r="I45" s="289"/>
      <c r="J45" s="289"/>
      <c r="K45" s="289"/>
      <c r="L45" s="289"/>
      <c r="M45" s="289"/>
    </row>
    <row r="46" spans="1:13" ht="24" customHeight="1" x14ac:dyDescent="0.25">
      <c r="A46" s="88"/>
      <c r="B46" s="1"/>
      <c r="C46" s="250">
        <v>7</v>
      </c>
      <c r="D46" s="295"/>
      <c r="E46" s="295"/>
      <c r="F46" s="295"/>
      <c r="G46" s="295"/>
      <c r="H46" s="1"/>
      <c r="I46" s="289"/>
      <c r="J46" s="289"/>
      <c r="K46" s="289"/>
      <c r="L46" s="289"/>
      <c r="M46" s="289"/>
    </row>
    <row r="47" spans="1:13" ht="23.25" customHeight="1" x14ac:dyDescent="0.25">
      <c r="A47" s="88"/>
      <c r="B47" s="1"/>
      <c r="C47" s="250">
        <v>8</v>
      </c>
      <c r="D47" s="295"/>
      <c r="E47" s="295"/>
      <c r="F47" s="295"/>
      <c r="G47" s="295"/>
      <c r="H47" s="1"/>
      <c r="I47" s="289"/>
      <c r="J47" s="289"/>
      <c r="K47" s="289"/>
      <c r="L47" s="289"/>
      <c r="M47" s="289"/>
    </row>
    <row r="48" spans="1:13" ht="24" customHeight="1" x14ac:dyDescent="0.25">
      <c r="A48" s="88"/>
      <c r="B48" s="1"/>
      <c r="C48" s="250">
        <v>9</v>
      </c>
      <c r="D48" s="295"/>
      <c r="E48" s="295"/>
      <c r="F48" s="295"/>
      <c r="G48" s="295"/>
      <c r="H48" s="1"/>
      <c r="I48" s="289"/>
      <c r="J48" s="289"/>
      <c r="K48" s="289"/>
      <c r="L48" s="289"/>
      <c r="M48" s="289"/>
    </row>
    <row r="49" spans="1:13" x14ac:dyDescent="0.25">
      <c r="A49" s="88"/>
      <c r="B49" s="1"/>
      <c r="C49" s="1"/>
      <c r="D49" s="1"/>
      <c r="E49" s="1"/>
      <c r="F49" s="1"/>
      <c r="G49" s="1"/>
      <c r="H49" s="1"/>
      <c r="I49" s="289"/>
      <c r="J49" s="289"/>
      <c r="K49" s="289"/>
      <c r="L49" s="289"/>
      <c r="M49" s="289"/>
    </row>
    <row r="50" spans="1:13" x14ac:dyDescent="0.25">
      <c r="A50" s="88"/>
      <c r="B50" s="1"/>
      <c r="C50" s="1"/>
      <c r="D50" s="1"/>
      <c r="E50" s="1"/>
      <c r="F50" s="1"/>
      <c r="G50" s="1"/>
      <c r="H50" s="1"/>
      <c r="I50" s="289"/>
      <c r="J50" s="289"/>
      <c r="K50" s="289"/>
      <c r="L50" s="289"/>
      <c r="M50" s="289"/>
    </row>
    <row r="51" spans="1:13" x14ac:dyDescent="0.25">
      <c r="A51" s="296" t="s">
        <v>511</v>
      </c>
      <c r="B51" s="1"/>
      <c r="C51" s="297" t="s">
        <v>482</v>
      </c>
      <c r="D51" s="350"/>
      <c r="E51" s="350"/>
      <c r="F51" s="88"/>
      <c r="G51" s="1"/>
      <c r="H51" s="1"/>
    </row>
    <row r="52" spans="1:13" x14ac:dyDescent="0.25">
      <c r="C52" s="279"/>
      <c r="D52" s="250" t="s">
        <v>486</v>
      </c>
      <c r="E52" s="250" t="s">
        <v>487</v>
      </c>
      <c r="F52" s="1"/>
      <c r="I52" s="298"/>
      <c r="J52" s="299"/>
      <c r="K52" s="300"/>
      <c r="L52" s="301"/>
      <c r="M52" s="302"/>
    </row>
    <row r="53" spans="1:13" ht="28.9" customHeight="1" x14ac:dyDescent="0.25">
      <c r="A53" s="303" t="s">
        <v>512</v>
      </c>
      <c r="B53" s="304" t="s">
        <v>513</v>
      </c>
      <c r="C53" s="282" t="s">
        <v>514</v>
      </c>
      <c r="D53" s="282" t="s">
        <v>515</v>
      </c>
      <c r="E53" s="305">
        <v>42901</v>
      </c>
      <c r="F53" s="286"/>
      <c r="G53" s="299"/>
      <c r="H53" s="299"/>
      <c r="I53" s="339" t="s">
        <v>491</v>
      </c>
      <c r="J53" s="339"/>
      <c r="K53" s="339"/>
      <c r="L53" s="339"/>
      <c r="M53" s="339"/>
    </row>
    <row r="54" spans="1:13" ht="25.9" customHeight="1" x14ac:dyDescent="0.25">
      <c r="A54" s="306"/>
      <c r="B54" s="304" t="s">
        <v>516</v>
      </c>
      <c r="C54" s="282" t="s">
        <v>517</v>
      </c>
      <c r="D54" s="282" t="s">
        <v>518</v>
      </c>
      <c r="E54" s="305">
        <v>44785</v>
      </c>
      <c r="F54" s="299"/>
      <c r="G54" s="286"/>
      <c r="H54" s="286"/>
      <c r="I54" s="339" t="s">
        <v>493</v>
      </c>
      <c r="J54" s="339"/>
      <c r="K54" s="339"/>
      <c r="L54" s="339"/>
      <c r="M54" s="339"/>
    </row>
    <row r="55" spans="1:13" ht="28.9" customHeight="1" x14ac:dyDescent="0.25">
      <c r="A55" s="306"/>
      <c r="B55" s="304" t="s">
        <v>519</v>
      </c>
      <c r="C55" s="282" t="s">
        <v>520</v>
      </c>
      <c r="D55" s="282" t="s">
        <v>521</v>
      </c>
      <c r="E55" s="305">
        <v>44865</v>
      </c>
      <c r="F55" s="286"/>
      <c r="G55" s="286"/>
      <c r="H55" s="286"/>
      <c r="I55" s="307"/>
      <c r="J55" s="301"/>
      <c r="K55" s="302"/>
      <c r="L55" s="299"/>
      <c r="M55" s="302"/>
    </row>
    <row r="56" spans="1:13" x14ac:dyDescent="0.25">
      <c r="A56" s="308"/>
      <c r="B56" s="308"/>
      <c r="C56" s="308"/>
      <c r="D56" s="308"/>
      <c r="E56" s="308"/>
      <c r="F56" s="308"/>
      <c r="G56" s="308"/>
      <c r="H56" s="308"/>
      <c r="I56" s="299"/>
      <c r="J56" s="299"/>
      <c r="K56" s="299"/>
    </row>
    <row r="58" spans="1:13" x14ac:dyDescent="0.25">
      <c r="A58" s="306" t="s">
        <v>522</v>
      </c>
      <c r="B58" s="354"/>
      <c r="C58" s="355"/>
      <c r="D58" s="355"/>
      <c r="E58" s="355"/>
      <c r="F58" s="356"/>
    </row>
    <row r="59" spans="1:13" x14ac:dyDescent="0.25">
      <c r="A59" s="306" t="s">
        <v>523</v>
      </c>
      <c r="B59" s="357"/>
      <c r="C59" s="358"/>
      <c r="D59" s="358"/>
      <c r="E59" s="358"/>
      <c r="F59" s="359"/>
    </row>
    <row r="60" spans="1:13" x14ac:dyDescent="0.25">
      <c r="B60" s="360"/>
      <c r="C60" s="361"/>
      <c r="D60" s="361"/>
      <c r="E60" s="361"/>
      <c r="F60" s="362"/>
    </row>
    <row r="63" spans="1:13" ht="30" customHeight="1" x14ac:dyDescent="0.25"/>
  </sheetData>
  <sheetProtection algorithmName="SHA-512" hashValue="dWdjMhL1qb6zToL238b3WOFHmsyr4K3P1NXNoe2RNqEguR214LFFIpFoNEWJBoeCByZPHzzYt0JUmHtZjSHr2Q==" saltValue="WJagdk6vl9NpmiTO1/Ruxg==" spinCount="100000" sheet="1" objects="1" scenarios="1" selectLockedCells="1"/>
  <protectedRanges>
    <protectedRange sqref="B5:B12" name="Donnees controleur"/>
  </protectedRanges>
  <dataConsolidate/>
  <mergeCells count="19">
    <mergeCell ref="B58:F60"/>
    <mergeCell ref="J31:N31"/>
    <mergeCell ref="C38:C39"/>
    <mergeCell ref="D38:F38"/>
    <mergeCell ref="D51:E51"/>
    <mergeCell ref="I53:M53"/>
    <mergeCell ref="I54:M54"/>
    <mergeCell ref="J30:N30"/>
    <mergeCell ref="A1:M1"/>
    <mergeCell ref="A2:M2"/>
    <mergeCell ref="B4:D4"/>
    <mergeCell ref="A7:A9"/>
    <mergeCell ref="D14:E14"/>
    <mergeCell ref="J14:N14"/>
    <mergeCell ref="J15:N15"/>
    <mergeCell ref="I19:M19"/>
    <mergeCell ref="A26:C26"/>
    <mergeCell ref="D26:H26"/>
    <mergeCell ref="J29:N29"/>
  </mergeCells>
  <conditionalFormatting sqref="E16">
    <cfRule type="expression" dxfId="99" priority="2">
      <formula>$B$6&gt;EDATE($E$16,3)</formula>
    </cfRule>
  </conditionalFormatting>
  <conditionalFormatting sqref="F17:F18">
    <cfRule type="expression" dxfId="98" priority="3">
      <formula>$B$6&gt;(EDATE($F18,3)-JOUR.DECALER(4))</formula>
    </cfRule>
  </conditionalFormatting>
  <dataValidations count="2">
    <dataValidation type="list" allowBlank="1" showInputMessage="1" showErrorMessage="1" sqref="B12" xr:uid="{299A236D-0324-46C8-BFE1-5D0019C5008E}">
      <formula1>"Periodique , Initial"</formula1>
    </dataValidation>
    <dataValidation type="list" allowBlank="1" showInputMessage="1" showErrorMessage="1" sqref="B5" xr:uid="{1328ACAD-C900-43A2-B3BA-7545F4991EEA}">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Realisation_TUS_Four_1">
                <anchor moveWithCells="1" sizeWithCells="1">
                  <from>
                    <xdr:col>3</xdr:col>
                    <xdr:colOff>0</xdr:colOff>
                    <xdr:row>6</xdr:row>
                    <xdr:rowOff>171450</xdr:rowOff>
                  </from>
                  <to>
                    <xdr:col>6</xdr:col>
                    <xdr:colOff>0</xdr:colOff>
                    <xdr:row>10</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85BDA-E359-44BD-B774-3F9AED937221}">
  <sheetPr codeName="Feuil38">
    <tabColor rgb="FF002060"/>
  </sheetPr>
  <dimension ref="A1:P66"/>
  <sheetViews>
    <sheetView workbookViewId="0">
      <selection activeCell="B5" sqref="B5:G5"/>
    </sheetView>
  </sheetViews>
  <sheetFormatPr baseColWidth="10" defaultRowHeight="15" x14ac:dyDescent="0.25"/>
  <cols>
    <col min="1" max="1" width="16.7109375" customWidth="1"/>
    <col min="2" max="10" width="14.42578125" bestFit="1" customWidth="1"/>
    <col min="16" max="16" width="15.7109375" bestFit="1" customWidth="1"/>
  </cols>
  <sheetData>
    <row r="1" spans="1:16" x14ac:dyDescent="0.25">
      <c r="A1" t="s">
        <v>36</v>
      </c>
      <c r="B1" t="s">
        <v>37</v>
      </c>
      <c r="C1" t="s">
        <v>38</v>
      </c>
      <c r="D1" t="s">
        <v>39</v>
      </c>
      <c r="E1" t="s">
        <v>40</v>
      </c>
      <c r="F1" t="s">
        <v>41</v>
      </c>
      <c r="G1" t="s">
        <v>42</v>
      </c>
      <c r="H1" t="s">
        <v>43</v>
      </c>
      <c r="I1" t="s">
        <v>44</v>
      </c>
      <c r="J1" t="s">
        <v>45</v>
      </c>
      <c r="P1" s="23"/>
    </row>
    <row r="2" spans="1:16" x14ac:dyDescent="0.25">
      <c r="A2" s="321"/>
      <c r="B2" s="88"/>
      <c r="C2" s="88"/>
      <c r="D2" s="88"/>
      <c r="E2" s="322"/>
      <c r="F2" s="88"/>
      <c r="G2" s="88"/>
      <c r="H2" s="88"/>
      <c r="I2" s="88"/>
      <c r="J2" s="88"/>
      <c r="P2" s="23"/>
    </row>
    <row r="3" spans="1:16" x14ac:dyDescent="0.25">
      <c r="P3" s="23"/>
    </row>
    <row r="4" spans="1:16" x14ac:dyDescent="0.25">
      <c r="P4" s="23"/>
    </row>
    <row r="5" spans="1:16" x14ac:dyDescent="0.25">
      <c r="P5" s="23"/>
    </row>
    <row r="6" spans="1:16" x14ac:dyDescent="0.25">
      <c r="P6" s="23"/>
    </row>
    <row r="7" spans="1:16" x14ac:dyDescent="0.25">
      <c r="P7" s="23"/>
    </row>
    <row r="8" spans="1:16" ht="15.75" thickBot="1" x14ac:dyDescent="0.3">
      <c r="P8" s="23"/>
    </row>
    <row r="9" spans="1:16" ht="14.45" customHeight="1" x14ac:dyDescent="0.25">
      <c r="L9" s="363" t="s">
        <v>524</v>
      </c>
      <c r="M9" s="364"/>
      <c r="N9" s="364"/>
      <c r="O9" s="365"/>
      <c r="P9" s="23"/>
    </row>
    <row r="10" spans="1:16" ht="14.45" customHeight="1" x14ac:dyDescent="0.25">
      <c r="L10" s="366"/>
      <c r="M10" s="367"/>
      <c r="N10" s="367"/>
      <c r="O10" s="368"/>
      <c r="P10" s="23"/>
    </row>
    <row r="11" spans="1:16" ht="14.45" customHeight="1" x14ac:dyDescent="0.25">
      <c r="L11" s="366"/>
      <c r="M11" s="367"/>
      <c r="N11" s="367"/>
      <c r="O11" s="368"/>
      <c r="P11" s="23"/>
    </row>
    <row r="12" spans="1:16" ht="14.45" customHeight="1" x14ac:dyDescent="0.25">
      <c r="L12" s="366"/>
      <c r="M12" s="367"/>
      <c r="N12" s="367"/>
      <c r="O12" s="368"/>
      <c r="P12" s="23"/>
    </row>
    <row r="13" spans="1:16" ht="14.45" customHeight="1" x14ac:dyDescent="0.25">
      <c r="L13" s="366"/>
      <c r="M13" s="367"/>
      <c r="N13" s="367"/>
      <c r="O13" s="368"/>
      <c r="P13" s="23"/>
    </row>
    <row r="14" spans="1:16" ht="14.45" customHeight="1" x14ac:dyDescent="0.25">
      <c r="L14" s="366"/>
      <c r="M14" s="367"/>
      <c r="N14" s="367"/>
      <c r="O14" s="368"/>
      <c r="P14" s="23"/>
    </row>
    <row r="15" spans="1:16" ht="15" customHeight="1" thickBot="1" x14ac:dyDescent="0.3">
      <c r="L15" s="369"/>
      <c r="M15" s="370"/>
      <c r="N15" s="370"/>
      <c r="O15" s="371"/>
      <c r="P15" s="23"/>
    </row>
    <row r="16" spans="1:16" x14ac:dyDescent="0.25">
      <c r="P16" s="23"/>
    </row>
    <row r="17" spans="16:16" x14ac:dyDescent="0.25">
      <c r="P17" s="23"/>
    </row>
    <row r="18" spans="16:16" x14ac:dyDescent="0.25">
      <c r="P18" s="23"/>
    </row>
    <row r="19" spans="16:16" x14ac:dyDescent="0.25">
      <c r="P19" s="23"/>
    </row>
    <row r="20" spans="16:16" x14ac:dyDescent="0.25">
      <c r="P20" s="23"/>
    </row>
    <row r="21" spans="16:16" x14ac:dyDescent="0.25">
      <c r="P21" s="23"/>
    </row>
    <row r="22" spans="16:16" x14ac:dyDescent="0.25">
      <c r="P22" s="23"/>
    </row>
    <row r="23" spans="16:16" x14ac:dyDescent="0.25">
      <c r="P23" s="23"/>
    </row>
    <row r="24" spans="16:16" x14ac:dyDescent="0.25">
      <c r="P24" s="23"/>
    </row>
    <row r="25" spans="16:16" x14ac:dyDescent="0.25">
      <c r="P25" s="23"/>
    </row>
    <row r="26" spans="16:16" x14ac:dyDescent="0.25">
      <c r="P26" s="23"/>
    </row>
    <row r="27" spans="16:16" x14ac:dyDescent="0.25">
      <c r="P27" s="23"/>
    </row>
    <row r="28" spans="16:16" x14ac:dyDescent="0.25">
      <c r="P28" s="23"/>
    </row>
    <row r="29" spans="16:16" x14ac:dyDescent="0.25">
      <c r="P29" s="23"/>
    </row>
    <row r="30" spans="16:16" x14ac:dyDescent="0.25">
      <c r="P30" s="23"/>
    </row>
    <row r="31" spans="16:16" x14ac:dyDescent="0.25">
      <c r="P31" s="23"/>
    </row>
    <row r="32" spans="16:16" x14ac:dyDescent="0.25">
      <c r="P32" s="23"/>
    </row>
    <row r="33" spans="16:16" x14ac:dyDescent="0.25">
      <c r="P33" s="23"/>
    </row>
    <row r="34" spans="16:16" x14ac:dyDescent="0.25">
      <c r="P34" s="23"/>
    </row>
    <row r="35" spans="16:16" x14ac:dyDescent="0.25">
      <c r="P35" s="23"/>
    </row>
    <row r="36" spans="16:16" x14ac:dyDescent="0.25">
      <c r="P36" s="23"/>
    </row>
    <row r="37" spans="16:16" x14ac:dyDescent="0.25">
      <c r="P37" s="23"/>
    </row>
    <row r="38" spans="16:16" x14ac:dyDescent="0.25">
      <c r="P38" s="23"/>
    </row>
    <row r="39" spans="16:16" x14ac:dyDescent="0.25">
      <c r="P39" s="23"/>
    </row>
    <row r="40" spans="16:16" x14ac:dyDescent="0.25">
      <c r="P40" s="23"/>
    </row>
    <row r="41" spans="16:16" x14ac:dyDescent="0.25">
      <c r="P41" s="23"/>
    </row>
    <row r="42" spans="16:16" x14ac:dyDescent="0.25">
      <c r="P42" s="23"/>
    </row>
    <row r="43" spans="16:16" x14ac:dyDescent="0.25">
      <c r="P43" s="23"/>
    </row>
    <row r="44" spans="16:16" x14ac:dyDescent="0.25">
      <c r="P44" s="23"/>
    </row>
    <row r="45" spans="16:16" x14ac:dyDescent="0.25">
      <c r="P45" s="23"/>
    </row>
    <row r="46" spans="16:16" x14ac:dyDescent="0.25">
      <c r="P46" s="23"/>
    </row>
    <row r="47" spans="16:16" x14ac:dyDescent="0.25">
      <c r="P47" s="23"/>
    </row>
    <row r="48" spans="16:16" x14ac:dyDescent="0.25">
      <c r="P48" s="23"/>
    </row>
    <row r="49" spans="16:16" x14ac:dyDescent="0.25">
      <c r="P49" s="23"/>
    </row>
    <row r="50" spans="16:16" x14ac:dyDescent="0.25">
      <c r="P50" s="23"/>
    </row>
    <row r="51" spans="16:16" x14ac:dyDescent="0.25">
      <c r="P51" s="23"/>
    </row>
    <row r="52" spans="16:16" x14ac:dyDescent="0.25">
      <c r="P52" s="23"/>
    </row>
    <row r="53" spans="16:16" x14ac:dyDescent="0.25">
      <c r="P53" s="23"/>
    </row>
    <row r="54" spans="16:16" x14ac:dyDescent="0.25">
      <c r="P54" s="23"/>
    </row>
    <row r="55" spans="16:16" x14ac:dyDescent="0.25">
      <c r="P55" s="23"/>
    </row>
    <row r="56" spans="16:16" x14ac:dyDescent="0.25">
      <c r="P56" s="23"/>
    </row>
    <row r="57" spans="16:16" x14ac:dyDescent="0.25">
      <c r="P57" s="23"/>
    </row>
    <row r="58" spans="16:16" x14ac:dyDescent="0.25">
      <c r="P58" s="23"/>
    </row>
    <row r="59" spans="16:16" x14ac:dyDescent="0.25">
      <c r="P59" s="23"/>
    </row>
    <row r="60" spans="16:16" x14ac:dyDescent="0.25">
      <c r="P60" s="23"/>
    </row>
    <row r="61" spans="16:16" x14ac:dyDescent="0.25">
      <c r="P61" s="23"/>
    </row>
    <row r="62" spans="16:16" x14ac:dyDescent="0.25">
      <c r="P62" s="23"/>
    </row>
    <row r="63" spans="16:16" x14ac:dyDescent="0.25">
      <c r="P63" s="23"/>
    </row>
    <row r="64" spans="16:16" x14ac:dyDescent="0.25">
      <c r="P64" s="23"/>
    </row>
    <row r="65" spans="16:16" x14ac:dyDescent="0.25">
      <c r="P65" s="23"/>
    </row>
    <row r="66" spans="16:16" x14ac:dyDescent="0.25">
      <c r="P66" s="23"/>
    </row>
  </sheetData>
  <sheetProtection algorithmName="SHA-512" hashValue="himb3wwiH3LPxWGMuO3QNC/qJGVuSkK9beJWSA7TfS+YAGN/vIz3ao+RfUHd74mcbWDTY9X8qbRJnV0HLuEoaA==" saltValue="D8atFCICYDg1cBt4UBcOEA=="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63DD4-F79D-4EC3-AE4B-408247F8ABDB}">
  <sheetPr codeName="Feuil42">
    <tabColor rgb="FF002060"/>
  </sheetPr>
  <dimension ref="A1:O1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1"/>
      <c r="B2" s="88"/>
      <c r="C2" s="88"/>
      <c r="D2" s="88"/>
      <c r="E2" s="88"/>
      <c r="F2" s="88"/>
      <c r="G2" s="88"/>
      <c r="H2" s="88"/>
      <c r="I2" s="88"/>
      <c r="J2" s="88"/>
    </row>
    <row r="8" spans="1:15" ht="15.75" thickBot="1" x14ac:dyDescent="0.3"/>
    <row r="9" spans="1:15" ht="14.45" customHeight="1" x14ac:dyDescent="0.25">
      <c r="L9" s="363" t="s">
        <v>524</v>
      </c>
      <c r="M9" s="364"/>
      <c r="N9" s="364"/>
      <c r="O9" s="365"/>
    </row>
    <row r="10" spans="1:15" ht="14.45" customHeight="1" x14ac:dyDescent="0.25">
      <c r="L10" s="366"/>
      <c r="M10" s="367"/>
      <c r="N10" s="367"/>
      <c r="O10" s="368"/>
    </row>
    <row r="11" spans="1:15" ht="14.45" customHeight="1" x14ac:dyDescent="0.25">
      <c r="L11" s="366"/>
      <c r="M11" s="367"/>
      <c r="N11" s="367"/>
      <c r="O11" s="368"/>
    </row>
    <row r="12" spans="1:15" ht="14.45" customHeight="1" x14ac:dyDescent="0.25">
      <c r="L12" s="366"/>
      <c r="M12" s="367"/>
      <c r="N12" s="367"/>
      <c r="O12" s="368"/>
    </row>
    <row r="13" spans="1:15" ht="14.45" customHeight="1" x14ac:dyDescent="0.25">
      <c r="L13" s="366"/>
      <c r="M13" s="367"/>
      <c r="N13" s="367"/>
      <c r="O13" s="368"/>
    </row>
    <row r="14" spans="1:15" ht="14.45" customHeight="1" x14ac:dyDescent="0.25">
      <c r="L14" s="366"/>
      <c r="M14" s="367"/>
      <c r="N14" s="367"/>
      <c r="O14" s="368"/>
    </row>
    <row r="15" spans="1:15" ht="15.75" thickBot="1" x14ac:dyDescent="0.3">
      <c r="L15" s="369"/>
      <c r="M15" s="370"/>
      <c r="N15" s="370"/>
      <c r="O15" s="371"/>
    </row>
  </sheetData>
  <sheetProtection algorithmName="SHA-512" hashValue="53P7Yk4cQA3sdgnDwCEiCSLVp8MK53873gO/N2/6FKRWhGbCtkplRbdn8cuYhKDSkebLmbOsJo3YkNdv4N2AFQ==" saltValue="4ga7jvv2Cb+UcGS8j+QChQ=="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0410A-ED73-40CE-837C-366DBA6ED45C}">
  <sheetPr codeName="Feuil39">
    <tabColor rgb="FF002060"/>
  </sheetPr>
  <dimension ref="A1:O1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1"/>
      <c r="B2" s="88"/>
      <c r="C2" s="88"/>
      <c r="D2" s="88"/>
      <c r="E2" s="88"/>
      <c r="F2" s="88"/>
      <c r="G2" s="88"/>
      <c r="H2" s="88"/>
      <c r="I2" s="88"/>
      <c r="J2" s="88"/>
    </row>
    <row r="8" spans="1:15" ht="15.75" thickBot="1" x14ac:dyDescent="0.3"/>
    <row r="9" spans="1:15" x14ac:dyDescent="0.25">
      <c r="L9" s="363" t="s">
        <v>524</v>
      </c>
      <c r="M9" s="364"/>
      <c r="N9" s="364"/>
      <c r="O9" s="365"/>
    </row>
    <row r="10" spans="1:15" x14ac:dyDescent="0.25">
      <c r="L10" s="366"/>
      <c r="M10" s="367"/>
      <c r="N10" s="367"/>
      <c r="O10" s="368"/>
    </row>
    <row r="11" spans="1:15" x14ac:dyDescent="0.25">
      <c r="L11" s="366"/>
      <c r="M11" s="367"/>
      <c r="N11" s="367"/>
      <c r="O11" s="368"/>
    </row>
    <row r="12" spans="1:15" x14ac:dyDescent="0.25">
      <c r="L12" s="366"/>
      <c r="M12" s="367"/>
      <c r="N12" s="367"/>
      <c r="O12" s="368"/>
    </row>
    <row r="13" spans="1:15" x14ac:dyDescent="0.25">
      <c r="L13" s="366"/>
      <c r="M13" s="367"/>
      <c r="N13" s="367"/>
      <c r="O13" s="368"/>
    </row>
    <row r="14" spans="1:15" x14ac:dyDescent="0.25">
      <c r="L14" s="366"/>
      <c r="M14" s="367"/>
      <c r="N14" s="367"/>
      <c r="O14" s="368"/>
    </row>
    <row r="15" spans="1:15" ht="15.75" thickBot="1" x14ac:dyDescent="0.3">
      <c r="L15" s="369"/>
      <c r="M15" s="370"/>
      <c r="N15" s="370"/>
      <c r="O15" s="371"/>
    </row>
  </sheetData>
  <sheetProtection algorithmName="SHA-512" hashValue="K5dSUHj7jfZg7Cs6i0Vknv6dh7azzZk0A9MenAsPksYU4nRgbY1MR1V94r1H67EMcoqTC8p+ltK3UfKKseMnGw==" saltValue="p8AzpGBn1r/4MwKNkkS7Bg=="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DDE1A-3907-45B0-86F7-4F3CD996ACD5}">
  <sheetPr codeName="Feuil40">
    <tabColor rgb="FF002060"/>
  </sheetPr>
  <dimension ref="A1:O1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1"/>
      <c r="B2" s="88"/>
      <c r="C2" s="88"/>
      <c r="D2" s="88"/>
      <c r="E2" s="88"/>
      <c r="F2" s="88"/>
      <c r="G2" s="88"/>
      <c r="H2" s="88"/>
      <c r="I2" s="88"/>
      <c r="J2" s="88"/>
    </row>
    <row r="8" spans="1:15" ht="15.75" thickBot="1" x14ac:dyDescent="0.3"/>
    <row r="9" spans="1:15" x14ac:dyDescent="0.25">
      <c r="L9" s="363" t="s">
        <v>524</v>
      </c>
      <c r="M9" s="364"/>
      <c r="N9" s="364"/>
      <c r="O9" s="365"/>
    </row>
    <row r="10" spans="1:15" x14ac:dyDescent="0.25">
      <c r="L10" s="366"/>
      <c r="M10" s="367"/>
      <c r="N10" s="367"/>
      <c r="O10" s="368"/>
    </row>
    <row r="11" spans="1:15" x14ac:dyDescent="0.25">
      <c r="L11" s="366"/>
      <c r="M11" s="367"/>
      <c r="N11" s="367"/>
      <c r="O11" s="368"/>
    </row>
    <row r="12" spans="1:15" x14ac:dyDescent="0.25">
      <c r="L12" s="366"/>
      <c r="M12" s="367"/>
      <c r="N12" s="367"/>
      <c r="O12" s="368"/>
    </row>
    <row r="13" spans="1:15" x14ac:dyDescent="0.25">
      <c r="L13" s="366"/>
      <c r="M13" s="367"/>
      <c r="N13" s="367"/>
      <c r="O13" s="368"/>
    </row>
    <row r="14" spans="1:15" x14ac:dyDescent="0.25">
      <c r="L14" s="366"/>
      <c r="M14" s="367"/>
      <c r="N14" s="367"/>
      <c r="O14" s="368"/>
    </row>
    <row r="15" spans="1:15" ht="15.75" thickBot="1" x14ac:dyDescent="0.3">
      <c r="L15" s="369"/>
      <c r="M15" s="370"/>
      <c r="N15" s="370"/>
      <c r="O15" s="371"/>
    </row>
  </sheetData>
  <sheetProtection algorithmName="SHA-512" hashValue="OIpmH/GCt4MZ1VWpG7APv46n6KMr2HPo1KLbT4AHg4Kc97leA11tj5dEVt6FCJpu/1Ub0+rq1EZJOxEPeFHDlg==" saltValue="a2G7F+NT1x8bo49W3XFmNQ=="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674EC-C03E-428C-BFA9-11B0050A6625}">
  <sheetPr codeName="Feuil41">
    <tabColor rgb="FF002060"/>
  </sheetPr>
  <dimension ref="A1:K15"/>
  <sheetViews>
    <sheetView workbookViewId="0">
      <selection activeCell="B5" sqref="B5:G5"/>
    </sheetView>
  </sheetViews>
  <sheetFormatPr baseColWidth="10" defaultRowHeight="15" x14ac:dyDescent="0.25"/>
  <cols>
    <col min="1" max="1" width="16.7109375" style="27" customWidth="1"/>
    <col min="2" max="2" width="11.42578125" style="27"/>
    <col min="3" max="3" width="12.28515625" style="27" customWidth="1"/>
    <col min="4" max="4" width="11.42578125" style="27"/>
  </cols>
  <sheetData>
    <row r="1" spans="1:11" x14ac:dyDescent="0.25">
      <c r="A1" t="s">
        <v>36</v>
      </c>
      <c r="B1" t="s">
        <v>525</v>
      </c>
      <c r="C1" t="s">
        <v>526</v>
      </c>
      <c r="D1" t="s">
        <v>527</v>
      </c>
      <c r="E1" t="s">
        <v>528</v>
      </c>
    </row>
    <row r="2" spans="1:11" x14ac:dyDescent="0.25">
      <c r="A2" s="321"/>
      <c r="B2" s="88"/>
      <c r="C2" s="88"/>
      <c r="D2" s="88"/>
      <c r="E2" s="88"/>
    </row>
    <row r="8" spans="1:11" ht="15.75" thickBot="1" x14ac:dyDescent="0.3"/>
    <row r="9" spans="1:11" x14ac:dyDescent="0.25">
      <c r="H9" s="363" t="s">
        <v>524</v>
      </c>
      <c r="I9" s="364"/>
      <c r="J9" s="364"/>
      <c r="K9" s="365"/>
    </row>
    <row r="10" spans="1:11" x14ac:dyDescent="0.25">
      <c r="H10" s="366"/>
      <c r="I10" s="367"/>
      <c r="J10" s="367"/>
      <c r="K10" s="368"/>
    </row>
    <row r="11" spans="1:11" x14ac:dyDescent="0.25">
      <c r="H11" s="366"/>
      <c r="I11" s="367"/>
      <c r="J11" s="367"/>
      <c r="K11" s="368"/>
    </row>
    <row r="12" spans="1:11" x14ac:dyDescent="0.25">
      <c r="H12" s="366"/>
      <c r="I12" s="367"/>
      <c r="J12" s="367"/>
      <c r="K12" s="368"/>
    </row>
    <row r="13" spans="1:11" x14ac:dyDescent="0.25">
      <c r="H13" s="366"/>
      <c r="I13" s="367"/>
      <c r="J13" s="367"/>
      <c r="K13" s="368"/>
    </row>
    <row r="14" spans="1:11" x14ac:dyDescent="0.25">
      <c r="H14" s="366"/>
      <c r="I14" s="367"/>
      <c r="J14" s="367"/>
      <c r="K14" s="368"/>
    </row>
    <row r="15" spans="1:11" ht="15.75" thickBot="1" x14ac:dyDescent="0.3">
      <c r="H15" s="369"/>
      <c r="I15" s="370"/>
      <c r="J15" s="370"/>
      <c r="K15" s="371"/>
    </row>
  </sheetData>
  <sheetProtection algorithmName="SHA-512" hashValue="fVmU+FMWhPYRjc1wm0TXsgMpykQTAHMqUoxObnLz8X3xOf3+l4yzxOeQsDKi6BYn/GlZW74J40dWv/v24UujDA==" saltValue="IMeES8ca5nXxUUAV1X4dAQ=="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465F5-13F1-431C-90A2-23EE0F887867}">
  <sheetPr codeName="Feuil43">
    <tabColor rgb="FF002060"/>
  </sheetPr>
  <dimension ref="A1:K15"/>
  <sheetViews>
    <sheetView topLeftCell="A2" workbookViewId="0">
      <selection activeCell="A2" sqref="A2:E94"/>
    </sheetView>
  </sheetViews>
  <sheetFormatPr baseColWidth="10" defaultRowHeight="15" x14ac:dyDescent="0.25"/>
  <cols>
    <col min="1" max="1" width="16.7109375" customWidth="1"/>
    <col min="3" max="3" width="12.28515625" customWidth="1"/>
  </cols>
  <sheetData>
    <row r="1" spans="1:11" x14ac:dyDescent="0.25">
      <c r="A1" t="s">
        <v>36</v>
      </c>
      <c r="B1" t="s">
        <v>525</v>
      </c>
      <c r="C1" t="s">
        <v>526</v>
      </c>
      <c r="D1" t="s">
        <v>527</v>
      </c>
      <c r="E1" t="s">
        <v>528</v>
      </c>
    </row>
    <row r="2" spans="1:11" x14ac:dyDescent="0.25">
      <c r="A2" s="321"/>
      <c r="B2" s="88"/>
      <c r="C2" s="88"/>
      <c r="D2" s="88"/>
      <c r="E2" s="88"/>
    </row>
    <row r="8" spans="1:11" ht="15.75" thickBot="1" x14ac:dyDescent="0.3"/>
    <row r="9" spans="1:11" x14ac:dyDescent="0.25">
      <c r="H9" s="363" t="s">
        <v>524</v>
      </c>
      <c r="I9" s="364"/>
      <c r="J9" s="364"/>
      <c r="K9" s="365"/>
    </row>
    <row r="10" spans="1:11" x14ac:dyDescent="0.25">
      <c r="H10" s="366"/>
      <c r="I10" s="367"/>
      <c r="J10" s="367"/>
      <c r="K10" s="368"/>
    </row>
    <row r="11" spans="1:11" x14ac:dyDescent="0.25">
      <c r="H11" s="366"/>
      <c r="I11" s="367"/>
      <c r="J11" s="367"/>
      <c r="K11" s="368"/>
    </row>
    <row r="12" spans="1:11" x14ac:dyDescent="0.25">
      <c r="H12" s="366"/>
      <c r="I12" s="367"/>
      <c r="J12" s="367"/>
      <c r="K12" s="368"/>
    </row>
    <row r="13" spans="1:11" x14ac:dyDescent="0.25">
      <c r="H13" s="366"/>
      <c r="I13" s="367"/>
      <c r="J13" s="367"/>
      <c r="K13" s="368"/>
    </row>
    <row r="14" spans="1:11" x14ac:dyDescent="0.25">
      <c r="H14" s="366"/>
      <c r="I14" s="367"/>
      <c r="J14" s="367"/>
      <c r="K14" s="368"/>
    </row>
    <row r="15" spans="1:11" ht="15.75" thickBot="1" x14ac:dyDescent="0.3">
      <c r="H15" s="369"/>
      <c r="I15" s="370"/>
      <c r="J15" s="370"/>
      <c r="K15" s="371"/>
    </row>
  </sheetData>
  <sheetProtection algorithmName="SHA-512" hashValue="Kqy301qoPvw1jAyr2XA8fCYR2c8NzYPJizPCmfcuqPEXlQEIuSVPKHnErMzAP6wIF4Wey3pYwvyegv8Nfzi9oA==" saltValue="2FWjd6j+0q+Zp30nBqtg+Q=="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FA2E2-A981-4BAA-9738-D33A2B5DA2D8}">
  <sheetPr codeName="Feuil44">
    <tabColor rgb="FF002060"/>
  </sheetPr>
  <dimension ref="A1:K15"/>
  <sheetViews>
    <sheetView workbookViewId="0">
      <selection activeCell="B5" sqref="B5:G5"/>
    </sheetView>
  </sheetViews>
  <sheetFormatPr baseColWidth="10" defaultRowHeight="15" x14ac:dyDescent="0.25"/>
  <cols>
    <col min="1" max="1" width="16.7109375" customWidth="1"/>
    <col min="3" max="3" width="12.28515625" customWidth="1"/>
  </cols>
  <sheetData>
    <row r="1" spans="1:11" x14ac:dyDescent="0.25">
      <c r="A1" t="s">
        <v>36</v>
      </c>
      <c r="B1" t="s">
        <v>525</v>
      </c>
      <c r="C1" t="s">
        <v>526</v>
      </c>
      <c r="D1" t="s">
        <v>527</v>
      </c>
      <c r="E1" t="s">
        <v>528</v>
      </c>
    </row>
    <row r="2" spans="1:11" x14ac:dyDescent="0.25">
      <c r="A2" s="321"/>
      <c r="B2" s="88"/>
      <c r="C2" s="88"/>
      <c r="D2" s="88"/>
      <c r="E2" s="88"/>
    </row>
    <row r="8" spans="1:11" ht="15.75" thickBot="1" x14ac:dyDescent="0.3"/>
    <row r="9" spans="1:11" x14ac:dyDescent="0.25">
      <c r="H9" s="363" t="s">
        <v>524</v>
      </c>
      <c r="I9" s="364"/>
      <c r="J9" s="364"/>
      <c r="K9" s="365"/>
    </row>
    <row r="10" spans="1:11" x14ac:dyDescent="0.25">
      <c r="H10" s="366"/>
      <c r="I10" s="367"/>
      <c r="J10" s="367"/>
      <c r="K10" s="368"/>
    </row>
    <row r="11" spans="1:11" x14ac:dyDescent="0.25">
      <c r="H11" s="366"/>
      <c r="I11" s="367"/>
      <c r="J11" s="367"/>
      <c r="K11" s="368"/>
    </row>
    <row r="12" spans="1:11" x14ac:dyDescent="0.25">
      <c r="H12" s="366"/>
      <c r="I12" s="367"/>
      <c r="J12" s="367"/>
      <c r="K12" s="368"/>
    </row>
    <row r="13" spans="1:11" x14ac:dyDescent="0.25">
      <c r="H13" s="366"/>
      <c r="I13" s="367"/>
      <c r="J13" s="367"/>
      <c r="K13" s="368"/>
    </row>
    <row r="14" spans="1:11" x14ac:dyDescent="0.25">
      <c r="H14" s="366"/>
      <c r="I14" s="367"/>
      <c r="J14" s="367"/>
      <c r="K14" s="368"/>
    </row>
    <row r="15" spans="1:11" ht="15.75" thickBot="1" x14ac:dyDescent="0.3">
      <c r="H15" s="369"/>
      <c r="I15" s="370"/>
      <c r="J15" s="370"/>
      <c r="K15" s="371"/>
    </row>
  </sheetData>
  <sheetProtection algorithmName="SHA-512" hashValue="6vbogdj0Nr1rnQ3rUhwje54QW8+Fec4yz8u/fsjFXEeKFWJknKSNKGVTCw+yH+RQTVdbdM2clZ7wOsvWFN8iGQ==" saltValue="A/iIYlSFpqHSrGAfWRu7yw=="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AB766-3D87-45AA-AAD7-F6E751128FCF}">
  <sheetPr codeName="Feuil45">
    <tabColor rgb="FF002060"/>
  </sheetPr>
  <dimension ref="A1:K15"/>
  <sheetViews>
    <sheetView topLeftCell="A25" workbookViewId="0">
      <selection activeCell="D29" sqref="D29"/>
    </sheetView>
  </sheetViews>
  <sheetFormatPr baseColWidth="10" defaultRowHeight="15" x14ac:dyDescent="0.25"/>
  <cols>
    <col min="1" max="1" width="16.7109375" customWidth="1"/>
    <col min="3" max="3" width="12.28515625" customWidth="1"/>
  </cols>
  <sheetData>
    <row r="1" spans="1:11" x14ac:dyDescent="0.25">
      <c r="A1" t="s">
        <v>36</v>
      </c>
      <c r="B1" t="s">
        <v>525</v>
      </c>
      <c r="C1" t="s">
        <v>526</v>
      </c>
      <c r="D1" t="s">
        <v>527</v>
      </c>
      <c r="E1" t="s">
        <v>528</v>
      </c>
    </row>
    <row r="2" spans="1:11" x14ac:dyDescent="0.25">
      <c r="A2" s="321"/>
      <c r="B2" s="88"/>
      <c r="C2" s="88"/>
      <c r="D2" s="88"/>
      <c r="E2" s="88"/>
    </row>
    <row r="8" spans="1:11" ht="15.75" thickBot="1" x14ac:dyDescent="0.3"/>
    <row r="9" spans="1:11" x14ac:dyDescent="0.25">
      <c r="H9" s="363" t="s">
        <v>524</v>
      </c>
      <c r="I9" s="364"/>
      <c r="J9" s="364"/>
      <c r="K9" s="365"/>
    </row>
    <row r="10" spans="1:11" x14ac:dyDescent="0.25">
      <c r="H10" s="366"/>
      <c r="I10" s="367"/>
      <c r="J10" s="367"/>
      <c r="K10" s="368"/>
    </row>
    <row r="11" spans="1:11" x14ac:dyDescent="0.25">
      <c r="H11" s="366"/>
      <c r="I11" s="367"/>
      <c r="J11" s="367"/>
      <c r="K11" s="368"/>
    </row>
    <row r="12" spans="1:11" x14ac:dyDescent="0.25">
      <c r="H12" s="366"/>
      <c r="I12" s="367"/>
      <c r="J12" s="367"/>
      <c r="K12" s="368"/>
    </row>
    <row r="13" spans="1:11" x14ac:dyDescent="0.25">
      <c r="H13" s="366"/>
      <c r="I13" s="367"/>
      <c r="J13" s="367"/>
      <c r="K13" s="368"/>
    </row>
    <row r="14" spans="1:11" x14ac:dyDescent="0.25">
      <c r="H14" s="366"/>
      <c r="I14" s="367"/>
      <c r="J14" s="367"/>
      <c r="K14" s="368"/>
    </row>
    <row r="15" spans="1:11" ht="15.75" thickBot="1" x14ac:dyDescent="0.3">
      <c r="H15" s="369"/>
      <c r="I15" s="370"/>
      <c r="J15" s="370"/>
      <c r="K15" s="371"/>
    </row>
  </sheetData>
  <sheetProtection algorithmName="SHA-512" hashValue="kWHrNGrRN8ZJuMYowwU0a0KPcLYF2xxpRMZXRCh19rLyX05KKaSiUbvX7oMajX/q9aGm/lhNMUNFRpCUV1StNA==" saltValue="j9DjpGQSNRCJh66b4GeiPA=="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929E7-BB41-4B1C-8558-DBEB45571675}">
  <sheetPr codeName="Feuil35">
    <tabColor rgb="FF002060"/>
  </sheetPr>
  <dimension ref="A1:AE330"/>
  <sheetViews>
    <sheetView topLeftCell="G1" zoomScale="85" zoomScaleNormal="85" workbookViewId="0">
      <selection activeCell="Z11" sqref="Z11"/>
    </sheetView>
  </sheetViews>
  <sheetFormatPr baseColWidth="10" defaultRowHeight="15" x14ac:dyDescent="0.25"/>
  <cols>
    <col min="1" max="1" width="16.7109375" style="27" bestFit="1" customWidth="1"/>
    <col min="2" max="10" width="12.7109375" style="27" bestFit="1" customWidth="1"/>
    <col min="11" max="11" width="11" style="27" bestFit="1" customWidth="1"/>
    <col min="12" max="12" width="5.5703125" customWidth="1"/>
    <col min="13" max="13" width="19.28515625" bestFit="1" customWidth="1"/>
    <col min="14" max="22" width="12.7109375" bestFit="1" customWidth="1"/>
    <col min="23" max="23" width="10.7109375" style="27" customWidth="1"/>
    <col min="26" max="26" width="17.7109375" customWidth="1"/>
    <col min="27" max="27" width="8.7109375" style="27" customWidth="1"/>
    <col min="28" max="28" width="10.7109375" style="27" customWidth="1"/>
    <col min="29" max="29" width="9.7109375" style="27" customWidth="1"/>
    <col min="31" max="31" width="16.85546875" bestFit="1" customWidth="1"/>
  </cols>
  <sheetData>
    <row r="1" spans="1:31" ht="23.25" x14ac:dyDescent="0.35">
      <c r="A1" s="372" t="str">
        <f>Mesures_Four!D27</f>
        <v>80°C</v>
      </c>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row>
    <row r="2" spans="1:31" x14ac:dyDescent="0.25">
      <c r="A2" s="145"/>
      <c r="M2" s="23" t="s">
        <v>87</v>
      </c>
      <c r="N2" s="44">
        <f>_xlfn.XLOOKUP(INT(SUBSTITUTE(N6,"Connecteur ", "")),Mesures_Four!C40:C48,Mesures_Four!D40:D48)</f>
        <v>0</v>
      </c>
      <c r="O2" s="44">
        <f>_xlfn.XLOOKUP(INT(SUBSTITUTE(O6,"Connecteur ", "")),Mesures_Four!C40:C48,Mesures_Four!D40:D48)</f>
        <v>0</v>
      </c>
      <c r="P2" s="44">
        <f>_xlfn.XLOOKUP(INT(SUBSTITUTE(P6,"Connecteur ", "")),Mesures_Four!C40:C48,Mesures_Four!D40:D48)</f>
        <v>0</v>
      </c>
      <c r="Q2" s="44">
        <f>_xlfn.XLOOKUP(INT(SUBSTITUTE(Q6,"Connecteur ", "")),Mesures_Four!C40:C48,Mesures_Four!D40:D48)</f>
        <v>0</v>
      </c>
      <c r="R2" s="44">
        <f>_xlfn.XLOOKUP(INT(SUBSTITUTE(R6,"Connecteur ", "")),Mesures_Four!C40:C48,Mesures_Four!D40:D48)</f>
        <v>0</v>
      </c>
      <c r="S2" s="44">
        <f>_xlfn.XLOOKUP(INT(SUBSTITUTE(S6,"Connecteur ", "")),Mesures_Four!C40:C48,Mesures_Four!D40:D48)</f>
        <v>0</v>
      </c>
      <c r="T2" s="44">
        <f>_xlfn.XLOOKUP(INT(SUBSTITUTE(T6,"Connecteur ", "")),Mesures_Four!C40:C48,Mesures_Four!D40:D48)</f>
        <v>0</v>
      </c>
      <c r="U2" s="44">
        <f>_xlfn.XLOOKUP(INT(SUBSTITUTE(U6,"Connecteur ", "")),Mesures_Four!C40:C48,Mesures_Four!D40:D48)</f>
        <v>0</v>
      </c>
      <c r="V2" s="44">
        <f>_xlfn.XLOOKUP(INT(SUBSTITUTE(V6,"Connecteur ", "")),Mesures_Four!C40:C48,Mesures_Four!D40:D48)</f>
        <v>0</v>
      </c>
      <c r="W2" s="212"/>
      <c r="X2" s="158"/>
      <c r="Y2" s="158"/>
    </row>
    <row r="3" spans="1:31" x14ac:dyDescent="0.25">
      <c r="M3" s="23" t="s">
        <v>23</v>
      </c>
      <c r="N3" s="44" t="e" cm="1">
        <f t="array" ref="N3">_xlfn.XLOOKUP(INT(SUBSTITUTE(N6,"Connecteur ", "")),INT(Mesures_Four!B28:B36),Mesures_Four!D28:D36)</f>
        <v>#N/A</v>
      </c>
      <c r="O3" s="44" t="e" cm="1">
        <f t="array" ref="O3">_xlfn.XLOOKUP(INT(SUBSTITUTE(O6,"Connecteur ", "")),INT(Mesures_Four!B28:B36),Mesures_Four!D28:D36)</f>
        <v>#N/A</v>
      </c>
      <c r="P3" s="44" t="e" cm="1">
        <f t="array" ref="P3">_xlfn.XLOOKUP(INT(SUBSTITUTE(P6,"Connecteur ", "")),INT(Mesures_Four!B28:B36),Mesures_Four!D28:D36)</f>
        <v>#N/A</v>
      </c>
      <c r="Q3" s="44" t="e" cm="1">
        <f t="array" ref="Q3">_xlfn.XLOOKUP(INT(SUBSTITUTE(Q6,"Connecteur ", "")),INT(Mesures_Four!B28:B36),Mesures_Four!D28:D36)</f>
        <v>#N/A</v>
      </c>
      <c r="R3" s="44" t="e" cm="1">
        <f t="array" ref="R3">_xlfn.XLOOKUP(INT(SUBSTITUTE(R6,"Connecteur ", "")),INT(Mesures_Four!B28:B36),Mesures_Four!D28:D36)</f>
        <v>#N/A</v>
      </c>
      <c r="S3" s="44" t="e" cm="1">
        <f t="array" ref="S3">_xlfn.XLOOKUP(INT(SUBSTITUTE(S6,"Connecteur ", "")),INT(Mesures_Four!B28:B36),Mesures_Four!D28:D36)</f>
        <v>#N/A</v>
      </c>
      <c r="T3" s="44" t="e" cm="1">
        <f t="array" ref="T3">_xlfn.XLOOKUP(INT(SUBSTITUTE(T6,"Connecteur ", "")),INT(Mesures_Four!B28:B36),Mesures_Four!D28:D36)</f>
        <v>#N/A</v>
      </c>
      <c r="U3" s="44" t="e" cm="1">
        <f t="array" ref="U3">_xlfn.XLOOKUP(INT(SUBSTITUTE(U6,"Connecteur ", "")),INT(Mesures_Four!B28:B36),Mesures_Four!D28:D36)</f>
        <v>#N/A</v>
      </c>
      <c r="V3" s="44" t="e" cm="1">
        <f t="array" ref="V3">_xlfn.XLOOKUP(INT(SUBSTITUTE(V6,"Connecteur ", "")),INT(Mesures_Four!B28:B36),Mesures_Four!D28:D36)</f>
        <v>#N/A</v>
      </c>
      <c r="W3" s="212"/>
      <c r="X3" s="158"/>
      <c r="Y3" s="158"/>
    </row>
    <row r="4" spans="1:31" x14ac:dyDescent="0.25">
      <c r="M4" s="23"/>
      <c r="N4" s="210"/>
      <c r="O4" s="210"/>
      <c r="P4" s="210"/>
      <c r="Q4" s="210"/>
      <c r="R4" s="210"/>
      <c r="S4" s="210"/>
      <c r="T4" s="210"/>
      <c r="U4" s="210"/>
      <c r="V4" s="210"/>
      <c r="W4" s="212"/>
      <c r="X4" s="158"/>
      <c r="Y4" s="158"/>
    </row>
    <row r="5" spans="1:31" x14ac:dyDescent="0.25">
      <c r="B5" s="374" t="s">
        <v>329</v>
      </c>
      <c r="C5" s="374"/>
      <c r="D5" s="374"/>
      <c r="E5" s="374"/>
      <c r="F5" s="374"/>
      <c r="G5" s="374"/>
      <c r="H5" s="374"/>
      <c r="I5" s="374"/>
      <c r="J5" s="374"/>
      <c r="N5" s="375" t="s">
        <v>88</v>
      </c>
      <c r="O5" s="375"/>
      <c r="P5" s="375"/>
      <c r="Q5" s="375"/>
      <c r="R5" s="375"/>
      <c r="S5" s="375"/>
      <c r="T5" s="375"/>
      <c r="U5" s="375"/>
      <c r="V5" s="375"/>
    </row>
    <row r="6" spans="1:31" x14ac:dyDescent="0.25">
      <c r="A6" s="207" t="str" cm="1">
        <f t="array" ref="A6:J7">tab_transfert80[#All]</f>
        <v>Date/Heure</v>
      </c>
      <c r="B6" s="207" t="str">
        <v>Connecteur 1</v>
      </c>
      <c r="C6" s="207" t="str">
        <v>Connecteur 2</v>
      </c>
      <c r="D6" s="207" t="str">
        <v>Connecteur 3</v>
      </c>
      <c r="E6" s="207" t="str">
        <v>Connecteur 4</v>
      </c>
      <c r="F6" s="207" t="str">
        <v>Connecteur 5</v>
      </c>
      <c r="G6" s="207" t="str">
        <v>Connecteur 6</v>
      </c>
      <c r="H6" s="207" t="str">
        <v>Connecteur 7</v>
      </c>
      <c r="I6" s="207" t="str">
        <v>Connecteur 8</v>
      </c>
      <c r="J6" s="207" t="str">
        <v>Connecteur 9</v>
      </c>
      <c r="K6" s="207" t="s">
        <v>328</v>
      </c>
      <c r="N6" s="201" t="str" cm="1">
        <f t="array" ref="N6:V6">tab_transfert80[[#Headers],[Connecteur 1]:[Connecteur 9]]</f>
        <v>Connecteur 1</v>
      </c>
      <c r="O6" s="201" t="str">
        <v>Connecteur 2</v>
      </c>
      <c r="P6" s="201" t="str">
        <v>Connecteur 3</v>
      </c>
      <c r="Q6" s="201" t="str">
        <v>Connecteur 4</v>
      </c>
      <c r="R6" s="201" t="str">
        <v>Connecteur 5</v>
      </c>
      <c r="S6" s="201" t="str">
        <v>Connecteur 6</v>
      </c>
      <c r="T6" s="201" t="str">
        <v>Connecteur 7</v>
      </c>
      <c r="U6" s="201" t="str">
        <v>Connecteur 8</v>
      </c>
      <c r="V6" s="201" t="str">
        <v>Connecteur 9</v>
      </c>
      <c r="W6" s="201" t="str" cm="1">
        <f t="array" ref="W6:W7">tab_four80[[#All],[Consigne T°]]</f>
        <v>Consigne T°</v>
      </c>
      <c r="Z6" s="201" t="str" cm="1">
        <f t="array" ref="Z6:AC7">tab_four80[[#All],[Date/Heure]:[Pt Chaud]]</f>
        <v>Date/Heure</v>
      </c>
      <c r="AA6" s="201" t="str">
        <v>Pt Froid</v>
      </c>
      <c r="AB6" s="201" t="str">
        <v>Regulation</v>
      </c>
      <c r="AC6" s="201" t="str">
        <v>Pt Chaud</v>
      </c>
      <c r="AE6" s="23"/>
    </row>
    <row r="7" spans="1:31" ht="14.45" customHeight="1" x14ac:dyDescent="0.25">
      <c r="A7">
        <v>0</v>
      </c>
      <c r="B7">
        <v>0</v>
      </c>
      <c r="C7">
        <v>0</v>
      </c>
      <c r="D7">
        <v>0</v>
      </c>
      <c r="E7">
        <v>0</v>
      </c>
      <c r="F7">
        <v>0</v>
      </c>
      <c r="G7">
        <v>0</v>
      </c>
      <c r="H7">
        <v>0</v>
      </c>
      <c r="I7">
        <v>0</v>
      </c>
      <c r="J7">
        <v>0</v>
      </c>
      <c r="M7" s="328" t="s">
        <v>327</v>
      </c>
      <c r="N7" s="205" t="e" cm="1">
        <f t="array" ref="N7:V7">tab_transfert80[[Connecteur 1]:[Connecteur 9]]+N2:V2+N3:V3</f>
        <v>#N/A</v>
      </c>
      <c r="O7" s="205" t="e">
        <v>#N/A</v>
      </c>
      <c r="P7" s="205" t="e">
        <v>#N/A</v>
      </c>
      <c r="Q7" s="205" t="e">
        <v>#N/A</v>
      </c>
      <c r="R7" s="205" t="e">
        <v>#N/A</v>
      </c>
      <c r="S7" s="205" t="e">
        <v>#N/A</v>
      </c>
      <c r="T7" s="205" t="e">
        <v>#N/A</v>
      </c>
      <c r="U7" s="205" t="e">
        <v>#N/A</v>
      </c>
      <c r="V7" s="205" t="e">
        <v>#N/A</v>
      </c>
      <c r="W7" s="213">
        <v>0</v>
      </c>
      <c r="Z7" s="23">
        <v>0</v>
      </c>
      <c r="AA7" s="27">
        <v>0</v>
      </c>
      <c r="AB7" s="27">
        <v>0</v>
      </c>
      <c r="AC7" s="27">
        <v>0</v>
      </c>
    </row>
    <row r="8" spans="1:31" ht="14.45" customHeight="1" x14ac:dyDescent="0.25">
      <c r="A8"/>
      <c r="B8"/>
      <c r="C8"/>
      <c r="D8"/>
      <c r="E8"/>
      <c r="F8"/>
      <c r="G8"/>
      <c r="H8"/>
      <c r="I8"/>
      <c r="J8"/>
      <c r="M8" s="327" t="s">
        <v>326</v>
      </c>
      <c r="N8" s="203"/>
      <c r="O8" s="203"/>
      <c r="P8" s="203"/>
      <c r="Q8" s="203"/>
      <c r="R8" s="203"/>
      <c r="S8" s="203"/>
      <c r="T8" s="203"/>
      <c r="U8" s="203"/>
      <c r="V8" s="203"/>
      <c r="W8" s="203"/>
      <c r="Z8" s="23"/>
    </row>
    <row r="9" spans="1:31" s="342" customFormat="1" ht="14.45" customHeight="1" x14ac:dyDescent="0.25"/>
    <row r="10" spans="1:31" ht="14.45" customHeight="1" x14ac:dyDescent="0.25">
      <c r="A10"/>
      <c r="B10"/>
      <c r="C10"/>
      <c r="D10"/>
      <c r="E10"/>
      <c r="F10"/>
      <c r="G10"/>
      <c r="H10"/>
      <c r="I10"/>
      <c r="J10"/>
      <c r="M10" s="91" t="s">
        <v>90</v>
      </c>
      <c r="N10" s="43" t="e">
        <f>MAX(tab_transfert80[Connecteur 1])+N$2+N$3</f>
        <v>#N/A</v>
      </c>
      <c r="O10" s="43" t="e">
        <f>MAX(tab_transfert80[Connecteur 2])+O$2+O$3</f>
        <v>#N/A</v>
      </c>
      <c r="P10" s="43" t="e">
        <f>MAX(tab_transfert80[Connecteur 3])+P$2+P$3</f>
        <v>#N/A</v>
      </c>
      <c r="Q10" s="43" t="e">
        <f>MAX(tab_transfert80[Connecteur 4])+Q$2+Q$3</f>
        <v>#N/A</v>
      </c>
      <c r="R10" s="43" t="e">
        <f>MAX(tab_transfert80[Connecteur 5])+R$2+R$3</f>
        <v>#N/A</v>
      </c>
      <c r="S10" s="43" t="e">
        <f>MAX(tab_transfert80[Connecteur 6])+S$2+S$3</f>
        <v>#N/A</v>
      </c>
      <c r="T10" s="43" t="e">
        <f>MAX(tab_transfert80[Connecteur 7])+T$2+T$3</f>
        <v>#N/A</v>
      </c>
      <c r="U10" s="43" t="e">
        <f>MAX(tab_transfert80[Connecteur 8])+U$2+U$3</f>
        <v>#N/A</v>
      </c>
      <c r="V10" s="43" t="e">
        <f>MAX(tab_transfert80[Connecteur 9])+V$2+V$3</f>
        <v>#N/A</v>
      </c>
      <c r="W10" s="200" t="e">
        <f>MAX(N10:V10)</f>
        <v>#N/A</v>
      </c>
      <c r="Z10" s="209"/>
      <c r="AA10" s="201" t="str" cm="1">
        <f t="array" ref="AA10:AC10">AA6:AC6</f>
        <v>Pt Froid</v>
      </c>
      <c r="AB10" s="201" t="str">
        <v>Regulation</v>
      </c>
      <c r="AC10" s="201" t="str">
        <v>Pt Chaud</v>
      </c>
    </row>
    <row r="11" spans="1:31" ht="14.45" customHeight="1" x14ac:dyDescent="0.25">
      <c r="A11"/>
      <c r="B11"/>
      <c r="C11"/>
      <c r="D11"/>
      <c r="E11"/>
      <c r="F11"/>
      <c r="G11"/>
      <c r="H11"/>
      <c r="I11"/>
      <c r="J11"/>
      <c r="M11" s="91" t="s">
        <v>91</v>
      </c>
      <c r="N11" s="43" t="e">
        <f ca="1">MAX(OFFSET(INDEX(tab_transfert80[Connecteur 1],1),COUNT(tab_transfert80[Connecteur 1])-30,0,30))+N$2+N$3</f>
        <v>#REF!</v>
      </c>
      <c r="O11" s="43" t="e">
        <f ca="1">MAX(OFFSET(INDEX(tab_transfert80[Connecteur 2],1),COUNT(tab_transfert80[Connecteur 2])-30,0,30))+O$2+O$3</f>
        <v>#REF!</v>
      </c>
      <c r="P11" s="43" t="e">
        <f ca="1">MAX(OFFSET(INDEX(tab_transfert80[Connecteur 3],1),COUNT(tab_transfert80[Connecteur 3])-30,0,30))+P$2+P$3</f>
        <v>#REF!</v>
      </c>
      <c r="Q11" s="43" t="e">
        <f ca="1">MAX(OFFSET(INDEX(tab_transfert80[Connecteur 4],1),COUNT(tab_transfert80[Connecteur 4])-30,0,30))+Q$2+Q$3</f>
        <v>#REF!</v>
      </c>
      <c r="R11" s="43" t="e">
        <f ca="1">MAX(OFFSET(INDEX(tab_transfert80[Connecteur 5],1),COUNT(tab_transfert80[Connecteur 5])-30,0,30))+R$2+R$3</f>
        <v>#REF!</v>
      </c>
      <c r="S11" s="43" t="e">
        <f ca="1">MAX(OFFSET(INDEX(tab_transfert80[Connecteur 6],1),COUNT(tab_transfert80[Connecteur 6])-30,0,30))+S$2+S$3</f>
        <v>#REF!</v>
      </c>
      <c r="T11" s="43" t="e">
        <f ca="1">MAX(OFFSET(INDEX(tab_transfert80[Connecteur 7],1),COUNT(tab_transfert80[Connecteur 7])-30,0,30))+T$2+T$3</f>
        <v>#REF!</v>
      </c>
      <c r="U11" s="43" t="e">
        <f ca="1">MAX(OFFSET(INDEX(tab_transfert80[Connecteur 8],1),COUNT(tab_transfert80[Connecteur 8])-30,0,30))+U$2+U$3</f>
        <v>#REF!</v>
      </c>
      <c r="V11" s="43" t="e">
        <f ca="1">MAX(OFFSET(INDEX(tab_transfert80[Connecteur 9],1),COUNT(tab_transfert80[Connecteur 9])-30,0,30))+V$2+V$3</f>
        <v>#REF!</v>
      </c>
      <c r="W11" s="200" t="e">
        <f ca="1">MAX(N11:V11)</f>
        <v>#REF!</v>
      </c>
      <c r="Z11" s="197" t="s">
        <v>90</v>
      </c>
      <c r="AA11" s="43">
        <f>MAX(tab_four80[Pt Froid])</f>
        <v>0</v>
      </c>
      <c r="AB11" s="43">
        <f>MAX(tab_four80[Regulation])</f>
        <v>0</v>
      </c>
      <c r="AC11" s="43">
        <f>MAX(tab_four80[Pt Chaud])</f>
        <v>0</v>
      </c>
    </row>
    <row r="12" spans="1:31" ht="14.45" customHeight="1" x14ac:dyDescent="0.25">
      <c r="A12"/>
      <c r="B12"/>
      <c r="C12"/>
      <c r="D12"/>
      <c r="E12"/>
      <c r="F12"/>
      <c r="G12"/>
      <c r="H12"/>
      <c r="I12"/>
      <c r="J12"/>
      <c r="M12" s="91" t="s">
        <v>93</v>
      </c>
      <c r="N12" s="43" t="e">
        <f ca="1">MIN(OFFSET(INDEX(tab_transfert80[Connecteur 1],1),COUNT(tab_transfert80[Connecteur 1])-30,0,30))+N$2+N$3</f>
        <v>#REF!</v>
      </c>
      <c r="O12" s="43" t="e">
        <f ca="1">MIN(OFFSET(INDEX(tab_transfert80[Connecteur 2],1),COUNT(tab_transfert80[Connecteur 2])-30,0,30))+O$2+O$3</f>
        <v>#REF!</v>
      </c>
      <c r="P12" s="43" t="e">
        <f ca="1">MIN(OFFSET(INDEX(tab_transfert80[Connecteur 3],1),COUNT(tab_transfert80[Connecteur 3])-30,0,30))+P$2+P$3</f>
        <v>#REF!</v>
      </c>
      <c r="Q12" s="43" t="e">
        <f ca="1">MIN(OFFSET(INDEX(tab_transfert80[Connecteur 4],1),COUNT(tab_transfert80[Connecteur 4])-30,0,30))+Q$2+Q$3</f>
        <v>#REF!</v>
      </c>
      <c r="R12" s="43" t="e">
        <f ca="1">MIN(OFFSET(INDEX(tab_transfert80[Connecteur 5],1),COUNT(tab_transfert80[Connecteur 5])-30,0,30))+R$2+R$3</f>
        <v>#REF!</v>
      </c>
      <c r="S12" s="43" t="e">
        <f ca="1">MIN(OFFSET(INDEX(tab_transfert80[Connecteur 6],1),COUNT(tab_transfert80[Connecteur 6])-30,0,30))+S$2+S$3</f>
        <v>#REF!</v>
      </c>
      <c r="T12" s="43" t="e">
        <f ca="1">MIN(OFFSET(INDEX(tab_transfert80[Connecteur 7],1),COUNT(tab_transfert80[Connecteur 7])-30,0,30))+T$2+T$3</f>
        <v>#REF!</v>
      </c>
      <c r="U12" s="43" t="e">
        <f ca="1">MIN(OFFSET(INDEX(tab_transfert80[Connecteur 8],1),COUNT(tab_transfert80[Connecteur 8])-30,0,30))+U$2+U$3</f>
        <v>#REF!</v>
      </c>
      <c r="V12" s="43" t="e">
        <f ca="1">MIN(OFFSET(INDEX(tab_transfert80[Connecteur 9],1),COUNT(tab_transfert80[Connecteur 9])-30,0,30))+V$2+V$3</f>
        <v>#REF!</v>
      </c>
      <c r="W12" s="200" t="e">
        <f ca="1">MIN(N12:V12)</f>
        <v>#REF!</v>
      </c>
      <c r="Z12" s="197" t="s">
        <v>91</v>
      </c>
      <c r="AA12" s="43" t="e">
        <f ca="1">MAX(OFFSET(INDEX(tab_four80[Pt Froid],1),COUNT(tab_four80[Pt Froid])-30,0,30))</f>
        <v>#REF!</v>
      </c>
      <c r="AB12" s="43" t="e">
        <f ca="1">MAX(OFFSET(INDEX(tab_four80[Regulation],1),COUNT(tab_four80[Regulation])-30,0,30))</f>
        <v>#REF!</v>
      </c>
      <c r="AC12" s="43" t="e">
        <f ca="1">MAX(OFFSET(INDEX(tab_four80[Pt Chaud],1),COUNT(tab_four80[Pt Chaud])-30,0,30))</f>
        <v>#REF!</v>
      </c>
    </row>
    <row r="13" spans="1:31" ht="14.45" customHeight="1" x14ac:dyDescent="0.25">
      <c r="A13"/>
      <c r="B13"/>
      <c r="C13"/>
      <c r="D13"/>
      <c r="E13"/>
      <c r="F13"/>
      <c r="G13"/>
      <c r="H13"/>
      <c r="I13"/>
      <c r="J13"/>
      <c r="M13" s="91" t="s">
        <v>95</v>
      </c>
      <c r="N13" s="43" t="e">
        <f ca="1">AVERAGE(OFFSET(INDEX(tab_transfert80[Connecteur 1],1),COUNT(tab_transfert80[Connecteur 1])-30,0,30))+N$2+N$3</f>
        <v>#REF!</v>
      </c>
      <c r="O13" s="43" t="e">
        <f ca="1">AVERAGE(OFFSET(INDEX(tab_transfert80[Connecteur 2],1),COUNT(tab_transfert80[Connecteur 2])-30,0,30))+O$2+O$3</f>
        <v>#REF!</v>
      </c>
      <c r="P13" s="43" t="e">
        <f ca="1">AVERAGE(OFFSET(INDEX(tab_transfert80[Connecteur 3],1),COUNT(tab_transfert80[Connecteur 3])-30,0,30))+P$2+P$3</f>
        <v>#REF!</v>
      </c>
      <c r="Q13" s="43" t="e">
        <f ca="1">AVERAGE(OFFSET(INDEX(tab_transfert80[Connecteur 4],1),COUNT(tab_transfert80[Connecteur 4])-30,0,30))+Q$2+Q$3</f>
        <v>#REF!</v>
      </c>
      <c r="R13" s="43" t="e">
        <f ca="1">AVERAGE(OFFSET(INDEX(tab_transfert80[Connecteur 5],1),COUNT(tab_transfert80[Connecteur 5])-30,0,30))+R$2+R$3</f>
        <v>#REF!</v>
      </c>
      <c r="S13" s="43" t="e">
        <f ca="1">AVERAGE(OFFSET(INDEX(tab_transfert80[Connecteur 6],1),COUNT(tab_transfert80[Connecteur 6])-30,0,30))+S$2+S$3</f>
        <v>#REF!</v>
      </c>
      <c r="T13" s="43" t="e">
        <f ca="1">AVERAGE(OFFSET(INDEX(tab_transfert80[Connecteur 7],1),COUNT(tab_transfert80[Connecteur 7])-30,0,30))+T$2+T$3</f>
        <v>#REF!</v>
      </c>
      <c r="U13" s="43" t="e">
        <f ca="1">AVERAGE(OFFSET(INDEX(tab_transfert80[Connecteur 8],1),COUNT(tab_transfert80[Connecteur 8])-30,0,30))+U$2+U$3</f>
        <v>#REF!</v>
      </c>
      <c r="V13" s="43" t="e">
        <f ca="1">AVERAGE(OFFSET(INDEX(tab_transfert80[Connecteur 9],1),COUNT(tab_transfert80[Connecteur 9])-30,0,30))+V$2+V$3</f>
        <v>#REF!</v>
      </c>
      <c r="W13" s="44"/>
      <c r="Z13" s="197" t="s">
        <v>93</v>
      </c>
      <c r="AA13" s="43" t="e">
        <f ca="1">MIN(OFFSET(INDEX(tab_four80[Pt Froid],1),COUNT(tab_four80[Pt Froid])-30,0,30))</f>
        <v>#REF!</v>
      </c>
      <c r="AB13" s="43" t="e">
        <f ca="1">MIN(OFFSET(INDEX(tab_four80[Regulation],1),COUNT(tab_four80[Regulation])-30,0,30))</f>
        <v>#REF!</v>
      </c>
      <c r="AC13" s="43" t="e">
        <f ca="1">MIN(OFFSET(INDEX(tab_four80[Pt Chaud],1),COUNT(tab_four80[Pt Chaud])-30,0,30))</f>
        <v>#REF!</v>
      </c>
    </row>
    <row r="14" spans="1:31" ht="14.45" customHeight="1" x14ac:dyDescent="0.25">
      <c r="A14"/>
      <c r="B14"/>
      <c r="C14"/>
      <c r="D14"/>
      <c r="E14"/>
      <c r="F14"/>
      <c r="G14"/>
      <c r="H14"/>
      <c r="I14"/>
      <c r="J14"/>
      <c r="M14" s="91" t="s">
        <v>96</v>
      </c>
      <c r="N14" s="43" t="e">
        <f ca="1">N11-N12</f>
        <v>#REF!</v>
      </c>
      <c r="O14" s="43" t="e">
        <f t="shared" ref="O14:V14" ca="1" si="0">O11-O12</f>
        <v>#REF!</v>
      </c>
      <c r="P14" s="43" t="e">
        <f t="shared" ca="1" si="0"/>
        <v>#REF!</v>
      </c>
      <c r="Q14" s="43" t="e">
        <f t="shared" ca="1" si="0"/>
        <v>#REF!</v>
      </c>
      <c r="R14" s="43" t="e">
        <f t="shared" ca="1" si="0"/>
        <v>#REF!</v>
      </c>
      <c r="S14" s="43" t="e">
        <f t="shared" ca="1" si="0"/>
        <v>#REF!</v>
      </c>
      <c r="T14" s="43" t="e">
        <f t="shared" ca="1" si="0"/>
        <v>#REF!</v>
      </c>
      <c r="U14" s="43" t="e">
        <f t="shared" ca="1" si="0"/>
        <v>#REF!</v>
      </c>
      <c r="V14" s="43" t="e">
        <f t="shared" ca="1" si="0"/>
        <v>#REF!</v>
      </c>
      <c r="Z14" s="197" t="s">
        <v>95</v>
      </c>
      <c r="AA14" s="43" t="e">
        <f ca="1">AVERAGE(OFFSET(INDEX(tab_four80[Pt Froid],1),COUNT(tab_four80[Pt Froid])-30,0,30))</f>
        <v>#REF!</v>
      </c>
      <c r="AB14" s="43" t="e">
        <f ca="1">AVERAGE(OFFSET(INDEX(tab_four80[Regulation],1),COUNT(tab_four80[Regulation])-30,0,30))</f>
        <v>#REF!</v>
      </c>
      <c r="AC14" s="43" t="e">
        <f ca="1">AVERAGE(OFFSET(INDEX(tab_four80[Pt Chaud],1),COUNT(tab_four80[Pt Chaud])-30,0,30))</f>
        <v>#REF!</v>
      </c>
    </row>
    <row r="15" spans="1:31" ht="14.45" customHeight="1" x14ac:dyDescent="0.25">
      <c r="A15"/>
      <c r="B15"/>
      <c r="C15"/>
      <c r="D15"/>
      <c r="E15"/>
      <c r="F15"/>
      <c r="G15"/>
      <c r="H15"/>
      <c r="I15"/>
      <c r="J15"/>
      <c r="M15" s="91" t="s">
        <v>97</v>
      </c>
      <c r="N15" s="376" t="e">
        <f ca="1">ABS(MAX(N11:V11) - MIN(N12:V12))</f>
        <v>#REF!</v>
      </c>
      <c r="O15" s="376"/>
      <c r="P15" s="376"/>
      <c r="Q15" s="376"/>
      <c r="R15" s="376"/>
      <c r="S15" s="376"/>
      <c r="T15" s="376"/>
      <c r="U15" s="376"/>
      <c r="V15" s="376"/>
      <c r="W15" s="44" t="e">
        <f ca="1">N15</f>
        <v>#REF!</v>
      </c>
      <c r="Z15" s="23"/>
    </row>
    <row r="16" spans="1:31" ht="14.45" customHeight="1" x14ac:dyDescent="0.25">
      <c r="A16"/>
      <c r="B16"/>
      <c r="C16"/>
      <c r="D16"/>
      <c r="E16"/>
      <c r="F16"/>
      <c r="G16"/>
      <c r="H16"/>
      <c r="I16"/>
      <c r="J16"/>
      <c r="M16" s="91" t="s">
        <v>98</v>
      </c>
      <c r="N16" s="376" t="e">
        <f ca="1">AVERAGE(N13:V13)</f>
        <v>#REF!</v>
      </c>
      <c r="O16" s="376"/>
      <c r="P16" s="376"/>
      <c r="Q16" s="376"/>
      <c r="R16" s="376"/>
      <c r="S16" s="376"/>
      <c r="T16" s="376"/>
      <c r="U16" s="376"/>
      <c r="V16" s="376"/>
      <c r="W16" s="44" t="e">
        <f ca="1">N16</f>
        <v>#REF!</v>
      </c>
      <c r="Z16" s="23"/>
    </row>
    <row r="17" spans="1:26" ht="14.45" customHeight="1" x14ac:dyDescent="0.25">
      <c r="A17"/>
      <c r="B17"/>
      <c r="C17"/>
      <c r="D17"/>
      <c r="E17"/>
      <c r="F17"/>
      <c r="G17"/>
      <c r="H17"/>
      <c r="I17"/>
      <c r="J17"/>
      <c r="M17" s="91" t="s">
        <v>325</v>
      </c>
      <c r="N17" s="35" t="str" cm="1">
        <f t="array" ref="N17:V17">tab_transfert80[[#Headers],[Connecteur 1]:[Connecteur 9]]</f>
        <v>Connecteur 1</v>
      </c>
      <c r="O17" s="35" t="str">
        <v>Connecteur 2</v>
      </c>
      <c r="P17" s="35" t="str">
        <v>Connecteur 3</v>
      </c>
      <c r="Q17" s="35" t="str">
        <v>Connecteur 4</v>
      </c>
      <c r="R17" s="35" t="str">
        <v>Connecteur 5</v>
      </c>
      <c r="S17" s="35" t="str">
        <v>Connecteur 6</v>
      </c>
      <c r="T17" s="35" t="str">
        <v>Connecteur 7</v>
      </c>
      <c r="U17" s="35" t="str">
        <v>Connecteur 8</v>
      </c>
      <c r="V17" s="35" t="str">
        <v>Connecteur 9</v>
      </c>
      <c r="Z17" s="23"/>
    </row>
    <row r="18" spans="1:26" ht="14.45" customHeight="1" x14ac:dyDescent="0.25">
      <c r="A18"/>
      <c r="B18"/>
      <c r="C18"/>
      <c r="D18"/>
      <c r="E18"/>
      <c r="F18"/>
      <c r="G18"/>
      <c r="H18"/>
      <c r="I18"/>
      <c r="J18"/>
      <c r="M18" s="193" t="s">
        <v>324</v>
      </c>
      <c r="N18" s="195" t="e">
        <f ca="1">_xlfn.STDEV.S(OFFSET(INDEX(tab_transfert80[Connecteur 1],1),COUNT(tab_transfert80[Connecteur 1])-30,0,30))</f>
        <v>#REF!</v>
      </c>
      <c r="O18" s="195" t="e">
        <f ca="1">_xlfn.STDEV.S(OFFSET(INDEX(tab_transfert80[Connecteur 2],1),COUNT(tab_transfert80[Connecteur 2])-30,0,30))</f>
        <v>#REF!</v>
      </c>
      <c r="P18" s="195" t="e">
        <f ca="1">_xlfn.STDEV.S(OFFSET(INDEX(tab_transfert80[Connecteur 3],1),COUNT(tab_transfert80[Connecteur 3])-30,0,30))</f>
        <v>#REF!</v>
      </c>
      <c r="Q18" s="195" t="e">
        <f ca="1">_xlfn.STDEV.S(OFFSET(INDEX(tab_transfert80[Connecteur 4],1),COUNT(tab_transfert80[Connecteur 4])-30,0,30))</f>
        <v>#REF!</v>
      </c>
      <c r="R18" s="195" t="e">
        <f ca="1">_xlfn.STDEV.S(OFFSET(INDEX(tab_transfert80[Connecteur 5],1),COUNT(tab_transfert80[Connecteur 5])-30,0,30))</f>
        <v>#REF!</v>
      </c>
      <c r="S18" s="195" t="e">
        <f ca="1">_xlfn.STDEV.S(OFFSET(INDEX(tab_transfert80[Connecteur 6],1),COUNT(tab_transfert80[Connecteur 6])-30,0,30))</f>
        <v>#REF!</v>
      </c>
      <c r="T18" s="195" t="e">
        <f ca="1">_xlfn.STDEV.S(OFFSET(INDEX(tab_transfert80[Connecteur 7],1),COUNT(tab_transfert80[Connecteur 7])-30,0,30))</f>
        <v>#REF!</v>
      </c>
      <c r="U18" s="195" t="e">
        <f ca="1">_xlfn.STDEV.S(OFFSET(INDEX(tab_transfert80[Connecteur 8],1),COUNT(tab_transfert80[Connecteur 8])-30,0,30))</f>
        <v>#REF!</v>
      </c>
      <c r="V18" s="195" t="e">
        <f ca="1">_xlfn.STDEV.S(OFFSET(INDEX(tab_transfert80[Connecteur 9],1),COUNT(tab_transfert80[Connecteur 9])-30,0,30))</f>
        <v>#REF!</v>
      </c>
      <c r="W18" s="194" t="e">
        <f ca="1">MAX(N18:V18)</f>
        <v>#REF!</v>
      </c>
      <c r="Z18" s="23"/>
    </row>
    <row r="19" spans="1:26" ht="14.45" customHeight="1" x14ac:dyDescent="0.25">
      <c r="A19"/>
      <c r="B19"/>
      <c r="C19"/>
      <c r="D19"/>
      <c r="E19"/>
      <c r="F19"/>
      <c r="G19"/>
      <c r="H19"/>
      <c r="I19"/>
      <c r="J19"/>
      <c r="N19" s="27"/>
      <c r="O19" s="27"/>
      <c r="P19" s="27"/>
      <c r="Q19" s="27"/>
      <c r="R19" s="27"/>
      <c r="S19" s="27"/>
      <c r="T19" s="27"/>
      <c r="U19" s="27"/>
      <c r="V19" s="27"/>
      <c r="Z19" s="23"/>
    </row>
    <row r="20" spans="1:26" ht="14.45" customHeight="1" x14ac:dyDescent="0.25">
      <c r="A20"/>
      <c r="B20"/>
      <c r="C20"/>
      <c r="D20"/>
      <c r="E20"/>
      <c r="F20"/>
      <c r="G20"/>
      <c r="H20"/>
      <c r="I20"/>
      <c r="J20"/>
      <c r="M20" s="193" t="s">
        <v>323</v>
      </c>
      <c r="N20" s="192" t="e">
        <f ca="1">W11-(OFFSET(INDEX(tab_four80[Consigne T°],1),COUNT(tab_four80[Consigne T°])-30,0,1))</f>
        <v>#REF!</v>
      </c>
      <c r="O20" s="27"/>
      <c r="P20" s="27"/>
      <c r="Q20" s="27"/>
      <c r="R20" s="27"/>
      <c r="S20" s="27"/>
      <c r="T20" s="27"/>
      <c r="U20" s="27"/>
      <c r="V20" s="27"/>
      <c r="Z20" s="23"/>
    </row>
    <row r="21" spans="1:26" ht="14.45" customHeight="1" x14ac:dyDescent="0.25">
      <c r="A21"/>
      <c r="B21"/>
      <c r="C21"/>
      <c r="D21"/>
      <c r="E21"/>
      <c r="F21"/>
      <c r="G21"/>
      <c r="H21"/>
      <c r="I21"/>
      <c r="J21"/>
      <c r="M21" s="193" t="s">
        <v>322</v>
      </c>
      <c r="N21" s="192" t="e">
        <f ca="1">W12-(OFFSET(INDEX(tab_four80[Consigne T°],1),COUNT(tab_four80[Consigne T°])-30,0,1))</f>
        <v>#REF!</v>
      </c>
      <c r="O21" s="27"/>
      <c r="P21" s="27"/>
      <c r="Q21" s="27"/>
      <c r="R21" s="27"/>
      <c r="S21" s="27"/>
      <c r="T21" s="27"/>
      <c r="U21" s="27"/>
      <c r="V21" s="27"/>
      <c r="Z21" s="23"/>
    </row>
    <row r="22" spans="1:26" ht="14.45" customHeight="1" x14ac:dyDescent="0.25">
      <c r="A22"/>
      <c r="B22"/>
      <c r="C22"/>
      <c r="D22"/>
      <c r="E22"/>
      <c r="F22"/>
      <c r="G22"/>
      <c r="H22"/>
      <c r="I22"/>
      <c r="J22"/>
      <c r="Z22" s="23"/>
    </row>
    <row r="23" spans="1:26" ht="14.45" customHeight="1" x14ac:dyDescent="0.25">
      <c r="A23"/>
      <c r="B23"/>
      <c r="C23"/>
      <c r="D23"/>
      <c r="E23"/>
      <c r="F23"/>
      <c r="G23"/>
      <c r="H23"/>
      <c r="I23"/>
      <c r="J23"/>
      <c r="Z23" s="23"/>
    </row>
    <row r="24" spans="1:26" ht="14.45" customHeight="1" x14ac:dyDescent="0.25">
      <c r="A24"/>
      <c r="B24"/>
      <c r="C24"/>
      <c r="D24"/>
      <c r="E24"/>
      <c r="F24"/>
      <c r="G24"/>
      <c r="H24"/>
      <c r="I24"/>
      <c r="J24"/>
      <c r="Z24" s="23"/>
    </row>
    <row r="25" spans="1:26" ht="14.45" customHeight="1" x14ac:dyDescent="0.25">
      <c r="A25"/>
      <c r="B25"/>
      <c r="C25"/>
      <c r="D25"/>
      <c r="E25"/>
      <c r="F25"/>
      <c r="G25"/>
      <c r="H25"/>
      <c r="I25"/>
      <c r="J25"/>
      <c r="Z25" s="23"/>
    </row>
    <row r="26" spans="1:26" ht="14.45" customHeight="1" x14ac:dyDescent="0.25">
      <c r="A26"/>
      <c r="B26"/>
      <c r="C26"/>
      <c r="D26"/>
      <c r="E26"/>
      <c r="F26"/>
      <c r="G26"/>
      <c r="H26"/>
      <c r="I26"/>
      <c r="J26"/>
      <c r="Z26" s="23"/>
    </row>
    <row r="27" spans="1:26" ht="14.45" customHeight="1" x14ac:dyDescent="0.25">
      <c r="A27"/>
      <c r="B27"/>
      <c r="C27"/>
      <c r="D27"/>
      <c r="E27"/>
      <c r="F27"/>
      <c r="G27"/>
      <c r="H27"/>
      <c r="I27"/>
      <c r="J27"/>
      <c r="Z27" s="23"/>
    </row>
    <row r="28" spans="1:26" ht="14.45" customHeight="1" x14ac:dyDescent="0.25">
      <c r="A28"/>
      <c r="B28"/>
      <c r="C28"/>
      <c r="D28"/>
      <c r="E28"/>
      <c r="F28"/>
      <c r="G28"/>
      <c r="H28"/>
      <c r="I28"/>
      <c r="J28"/>
      <c r="Z28" s="23"/>
    </row>
    <row r="29" spans="1:26" ht="14.45" customHeight="1" x14ac:dyDescent="0.25">
      <c r="A29"/>
      <c r="B29"/>
      <c r="C29"/>
      <c r="D29"/>
      <c r="E29"/>
      <c r="F29"/>
      <c r="G29"/>
      <c r="H29"/>
      <c r="I29"/>
      <c r="J29"/>
      <c r="Z29" s="23"/>
    </row>
    <row r="30" spans="1:26" ht="14.45" customHeight="1" x14ac:dyDescent="0.25">
      <c r="A30"/>
      <c r="B30"/>
      <c r="C30"/>
      <c r="D30"/>
      <c r="E30"/>
      <c r="F30"/>
      <c r="G30"/>
      <c r="H30"/>
      <c r="I30"/>
      <c r="J30"/>
      <c r="Z30" s="23"/>
    </row>
    <row r="31" spans="1:26" ht="14.45" customHeight="1" x14ac:dyDescent="0.25">
      <c r="A31"/>
      <c r="B31"/>
      <c r="C31"/>
      <c r="D31"/>
      <c r="E31"/>
      <c r="F31"/>
      <c r="G31"/>
      <c r="H31"/>
      <c r="I31"/>
      <c r="J31"/>
      <c r="Z31" s="23"/>
    </row>
    <row r="32" spans="1:26" ht="14.45" customHeight="1" x14ac:dyDescent="0.25">
      <c r="A32"/>
      <c r="B32"/>
      <c r="C32"/>
      <c r="D32"/>
      <c r="E32"/>
      <c r="F32"/>
      <c r="G32"/>
      <c r="H32"/>
      <c r="I32"/>
      <c r="J32"/>
      <c r="Z32" s="23"/>
    </row>
    <row r="33" spans="1:26" ht="14.45" customHeight="1" x14ac:dyDescent="0.25">
      <c r="A33"/>
      <c r="B33"/>
      <c r="C33"/>
      <c r="D33"/>
      <c r="E33"/>
      <c r="F33"/>
      <c r="G33"/>
      <c r="H33"/>
      <c r="I33"/>
      <c r="J33"/>
      <c r="Z33" s="23"/>
    </row>
    <row r="34" spans="1:26" ht="14.45" customHeight="1" x14ac:dyDescent="0.25">
      <c r="A34"/>
      <c r="B34"/>
      <c r="C34"/>
      <c r="D34"/>
      <c r="E34"/>
      <c r="F34"/>
      <c r="G34"/>
      <c r="H34"/>
      <c r="I34"/>
      <c r="J34"/>
      <c r="Z34" s="23"/>
    </row>
    <row r="35" spans="1:26" ht="14.45" customHeight="1" x14ac:dyDescent="0.25">
      <c r="A35"/>
      <c r="B35"/>
      <c r="C35"/>
      <c r="D35"/>
      <c r="E35"/>
      <c r="F35"/>
      <c r="G35"/>
      <c r="H35"/>
      <c r="I35"/>
      <c r="J35"/>
      <c r="Z35" s="23"/>
    </row>
    <row r="36" spans="1:26" ht="14.45" customHeight="1" x14ac:dyDescent="0.25">
      <c r="A36"/>
      <c r="B36"/>
      <c r="C36"/>
      <c r="D36"/>
      <c r="E36"/>
      <c r="F36"/>
      <c r="G36"/>
      <c r="H36"/>
      <c r="I36"/>
      <c r="J36"/>
      <c r="Z36" s="23"/>
    </row>
    <row r="37" spans="1:26" ht="14.45" customHeight="1" x14ac:dyDescent="0.25">
      <c r="A37"/>
      <c r="B37"/>
      <c r="C37"/>
      <c r="D37"/>
      <c r="E37"/>
      <c r="F37"/>
      <c r="G37"/>
      <c r="H37"/>
      <c r="I37"/>
      <c r="J37"/>
      <c r="Z37" s="23"/>
    </row>
    <row r="38" spans="1:26" ht="14.45" customHeight="1" x14ac:dyDescent="0.25">
      <c r="A38"/>
      <c r="B38"/>
      <c r="C38"/>
      <c r="D38"/>
      <c r="E38"/>
      <c r="F38"/>
      <c r="G38"/>
      <c r="H38"/>
      <c r="I38"/>
      <c r="J38"/>
      <c r="Z38" s="23"/>
    </row>
    <row r="39" spans="1:26" ht="14.45" customHeight="1" x14ac:dyDescent="0.25">
      <c r="A39"/>
      <c r="B39"/>
      <c r="C39"/>
      <c r="D39"/>
      <c r="E39"/>
      <c r="F39"/>
      <c r="G39"/>
      <c r="H39"/>
      <c r="I39"/>
      <c r="J39"/>
      <c r="Z39" s="23"/>
    </row>
    <row r="40" spans="1:26" ht="14.45" customHeight="1" x14ac:dyDescent="0.25">
      <c r="A40"/>
      <c r="B40"/>
      <c r="C40"/>
      <c r="D40"/>
      <c r="E40"/>
      <c r="F40"/>
      <c r="G40"/>
      <c r="H40"/>
      <c r="I40"/>
      <c r="J40"/>
      <c r="Z40" s="23"/>
    </row>
    <row r="41" spans="1:26" ht="14.45" customHeight="1" x14ac:dyDescent="0.25">
      <c r="A41"/>
      <c r="B41"/>
      <c r="C41"/>
      <c r="D41"/>
      <c r="E41"/>
      <c r="F41"/>
      <c r="G41"/>
      <c r="H41"/>
      <c r="I41"/>
      <c r="J41"/>
      <c r="Z41" s="23"/>
    </row>
    <row r="42" spans="1:26" ht="14.45" customHeight="1" x14ac:dyDescent="0.25">
      <c r="A42"/>
      <c r="B42"/>
      <c r="C42"/>
      <c r="D42"/>
      <c r="E42"/>
      <c r="F42"/>
      <c r="G42"/>
      <c r="H42"/>
      <c r="I42"/>
      <c r="J42"/>
      <c r="Z42" s="23"/>
    </row>
    <row r="43" spans="1:26" ht="14.45" customHeight="1" x14ac:dyDescent="0.25">
      <c r="A43"/>
      <c r="B43"/>
      <c r="C43"/>
      <c r="D43"/>
      <c r="E43"/>
      <c r="F43"/>
      <c r="G43"/>
      <c r="H43"/>
      <c r="I43"/>
      <c r="J43"/>
      <c r="Z43" s="23"/>
    </row>
    <row r="44" spans="1:26" ht="14.45" customHeight="1" x14ac:dyDescent="0.25">
      <c r="A44"/>
      <c r="B44"/>
      <c r="C44"/>
      <c r="D44"/>
      <c r="E44"/>
      <c r="F44"/>
      <c r="G44"/>
      <c r="H44"/>
      <c r="I44"/>
      <c r="J44"/>
      <c r="Z44" s="23"/>
    </row>
    <row r="45" spans="1:26" ht="14.45" customHeight="1" x14ac:dyDescent="0.25">
      <c r="A45"/>
      <c r="B45"/>
      <c r="C45"/>
      <c r="D45"/>
      <c r="E45"/>
      <c r="F45"/>
      <c r="G45"/>
      <c r="H45"/>
      <c r="I45"/>
      <c r="J45"/>
      <c r="Z45" s="23"/>
    </row>
    <row r="46" spans="1:26" ht="14.45" customHeight="1" x14ac:dyDescent="0.25">
      <c r="A46"/>
      <c r="B46"/>
      <c r="C46"/>
      <c r="D46"/>
      <c r="E46"/>
      <c r="F46"/>
      <c r="G46"/>
      <c r="H46"/>
      <c r="I46"/>
      <c r="J46"/>
      <c r="Z46" s="23"/>
    </row>
    <row r="47" spans="1:26" ht="14.45" customHeight="1" x14ac:dyDescent="0.25">
      <c r="A47"/>
      <c r="B47"/>
      <c r="C47"/>
      <c r="D47"/>
      <c r="E47"/>
      <c r="F47"/>
      <c r="G47"/>
      <c r="H47"/>
      <c r="I47"/>
      <c r="J47"/>
      <c r="Z47" s="23"/>
    </row>
    <row r="48" spans="1:26" ht="14.45" customHeight="1" x14ac:dyDescent="0.25">
      <c r="A48"/>
      <c r="B48"/>
      <c r="C48"/>
      <c r="D48"/>
      <c r="E48"/>
      <c r="F48"/>
      <c r="G48"/>
      <c r="H48"/>
      <c r="I48"/>
      <c r="J48"/>
      <c r="Z48" s="23"/>
    </row>
    <row r="49" spans="1:26" ht="14.45" customHeight="1" x14ac:dyDescent="0.25">
      <c r="A49"/>
      <c r="B49"/>
      <c r="C49"/>
      <c r="D49"/>
      <c r="E49"/>
      <c r="F49"/>
      <c r="G49"/>
      <c r="H49"/>
      <c r="I49"/>
      <c r="J49"/>
      <c r="Z49" s="23"/>
    </row>
    <row r="50" spans="1:26" ht="14.45" customHeight="1" x14ac:dyDescent="0.25">
      <c r="A50"/>
      <c r="B50"/>
      <c r="C50"/>
      <c r="D50"/>
      <c r="E50"/>
      <c r="F50"/>
      <c r="G50"/>
      <c r="H50"/>
      <c r="I50"/>
      <c r="J50"/>
      <c r="Z50" s="23"/>
    </row>
    <row r="51" spans="1:26" ht="14.45" customHeight="1" x14ac:dyDescent="0.25">
      <c r="A51"/>
      <c r="B51"/>
      <c r="C51"/>
      <c r="D51"/>
      <c r="E51"/>
      <c r="F51"/>
      <c r="G51"/>
      <c r="H51"/>
      <c r="I51"/>
      <c r="J51"/>
      <c r="Z51" s="23"/>
    </row>
    <row r="52" spans="1:26" ht="14.45" customHeight="1" x14ac:dyDescent="0.25">
      <c r="A52"/>
      <c r="B52"/>
      <c r="C52"/>
      <c r="D52"/>
      <c r="E52"/>
      <c r="F52"/>
      <c r="G52"/>
      <c r="H52"/>
      <c r="I52"/>
      <c r="J52"/>
      <c r="Z52" s="23"/>
    </row>
    <row r="53" spans="1:26" ht="14.45" customHeight="1" x14ac:dyDescent="0.25">
      <c r="A53"/>
      <c r="B53"/>
      <c r="C53"/>
      <c r="D53"/>
      <c r="E53"/>
      <c r="F53"/>
      <c r="G53"/>
      <c r="H53"/>
      <c r="I53"/>
      <c r="J53"/>
      <c r="Z53" s="23"/>
    </row>
    <row r="54" spans="1:26" ht="14.45" customHeight="1" x14ac:dyDescent="0.25">
      <c r="A54"/>
      <c r="B54"/>
      <c r="C54"/>
      <c r="D54"/>
      <c r="E54"/>
      <c r="F54"/>
      <c r="G54"/>
      <c r="H54"/>
      <c r="I54"/>
      <c r="J54"/>
      <c r="Z54" s="23"/>
    </row>
    <row r="55" spans="1:26" ht="14.45" customHeight="1" x14ac:dyDescent="0.25">
      <c r="A55"/>
      <c r="B55"/>
      <c r="C55"/>
      <c r="D55"/>
      <c r="E55"/>
      <c r="F55"/>
      <c r="G55"/>
      <c r="H55"/>
      <c r="I55"/>
      <c r="J55"/>
      <c r="Z55" s="23"/>
    </row>
    <row r="56" spans="1:26" ht="14.45" customHeight="1" x14ac:dyDescent="0.25">
      <c r="A56"/>
      <c r="B56"/>
      <c r="C56"/>
      <c r="D56"/>
      <c r="E56"/>
      <c r="F56"/>
      <c r="G56"/>
      <c r="H56"/>
      <c r="I56"/>
      <c r="J56"/>
      <c r="Z56" s="23"/>
    </row>
    <row r="57" spans="1:26" ht="14.45" customHeight="1" x14ac:dyDescent="0.25">
      <c r="A57"/>
      <c r="B57"/>
      <c r="C57"/>
      <c r="D57"/>
      <c r="E57"/>
      <c r="F57"/>
      <c r="G57"/>
      <c r="H57"/>
      <c r="I57"/>
      <c r="J57"/>
      <c r="Z57" s="23"/>
    </row>
    <row r="58" spans="1:26" ht="14.45" customHeight="1" x14ac:dyDescent="0.25">
      <c r="A58"/>
      <c r="B58"/>
      <c r="C58"/>
      <c r="D58"/>
      <c r="E58"/>
      <c r="F58"/>
      <c r="G58"/>
      <c r="H58"/>
      <c r="I58"/>
      <c r="J58"/>
      <c r="Z58" s="23"/>
    </row>
    <row r="59" spans="1:26" ht="14.45" customHeight="1" x14ac:dyDescent="0.25">
      <c r="A59"/>
      <c r="B59"/>
      <c r="C59"/>
      <c r="D59"/>
      <c r="E59"/>
      <c r="F59"/>
      <c r="G59"/>
      <c r="H59"/>
      <c r="I59"/>
      <c r="J59"/>
      <c r="Z59" s="23"/>
    </row>
    <row r="60" spans="1:26" ht="14.45" customHeight="1" x14ac:dyDescent="0.25">
      <c r="A60"/>
      <c r="B60"/>
      <c r="C60"/>
      <c r="D60"/>
      <c r="E60"/>
      <c r="F60"/>
      <c r="G60"/>
      <c r="H60"/>
      <c r="I60"/>
      <c r="J60"/>
      <c r="Z60" s="23"/>
    </row>
    <row r="61" spans="1:26" ht="14.45" customHeight="1" x14ac:dyDescent="0.25">
      <c r="A61"/>
      <c r="B61"/>
      <c r="C61"/>
      <c r="D61"/>
      <c r="E61"/>
      <c r="F61"/>
      <c r="G61"/>
      <c r="H61"/>
      <c r="I61"/>
      <c r="J61"/>
      <c r="Z61" s="23"/>
    </row>
    <row r="62" spans="1:26" ht="14.45" customHeight="1" x14ac:dyDescent="0.25">
      <c r="A62"/>
      <c r="B62"/>
      <c r="C62"/>
      <c r="D62"/>
      <c r="E62"/>
      <c r="F62"/>
      <c r="G62"/>
      <c r="H62"/>
      <c r="I62"/>
      <c r="J62"/>
      <c r="Z62" s="23"/>
    </row>
    <row r="63" spans="1:26" ht="14.45" customHeight="1" x14ac:dyDescent="0.25">
      <c r="A63"/>
      <c r="B63"/>
      <c r="C63"/>
      <c r="D63"/>
      <c r="E63"/>
      <c r="F63"/>
      <c r="G63"/>
      <c r="H63"/>
      <c r="I63"/>
      <c r="J63"/>
      <c r="Z63" s="23"/>
    </row>
    <row r="64" spans="1:26" ht="14.45" customHeight="1" x14ac:dyDescent="0.25">
      <c r="A64"/>
      <c r="B64"/>
      <c r="C64"/>
      <c r="D64"/>
      <c r="E64"/>
      <c r="F64"/>
      <c r="G64"/>
      <c r="H64"/>
      <c r="I64"/>
      <c r="J64"/>
      <c r="Z64" s="23"/>
    </row>
    <row r="65" spans="1:26" ht="14.45" customHeight="1" x14ac:dyDescent="0.25">
      <c r="A65"/>
      <c r="B65"/>
      <c r="C65"/>
      <c r="D65"/>
      <c r="E65"/>
      <c r="F65"/>
      <c r="G65"/>
      <c r="H65"/>
      <c r="I65"/>
      <c r="J65"/>
      <c r="Z65" s="23"/>
    </row>
    <row r="66" spans="1:26" ht="14.45" customHeight="1" x14ac:dyDescent="0.25">
      <c r="A66"/>
      <c r="B66"/>
      <c r="C66"/>
      <c r="D66"/>
      <c r="E66"/>
      <c r="F66"/>
      <c r="G66"/>
      <c r="H66"/>
      <c r="I66"/>
      <c r="J66"/>
      <c r="Z66" s="23"/>
    </row>
    <row r="67" spans="1:26" ht="14.45" customHeight="1" x14ac:dyDescent="0.25">
      <c r="A67"/>
      <c r="B67"/>
      <c r="C67"/>
      <c r="D67"/>
      <c r="E67"/>
      <c r="F67"/>
      <c r="G67"/>
      <c r="H67"/>
      <c r="I67"/>
      <c r="J67"/>
      <c r="Z67" s="23"/>
    </row>
    <row r="68" spans="1:26" ht="14.45" customHeight="1" x14ac:dyDescent="0.25">
      <c r="A68"/>
      <c r="B68"/>
      <c r="C68"/>
      <c r="D68"/>
      <c r="E68"/>
      <c r="F68"/>
      <c r="G68"/>
      <c r="H68"/>
      <c r="I68"/>
      <c r="J68"/>
      <c r="Z68" s="23"/>
    </row>
    <row r="69" spans="1:26" ht="14.45" customHeight="1" x14ac:dyDescent="0.25">
      <c r="A69"/>
      <c r="B69"/>
      <c r="C69"/>
      <c r="D69"/>
      <c r="E69"/>
      <c r="F69"/>
      <c r="G69"/>
      <c r="H69"/>
      <c r="I69"/>
      <c r="J69"/>
      <c r="Z69" s="23"/>
    </row>
    <row r="70" spans="1:26" ht="14.45" customHeight="1" x14ac:dyDescent="0.25">
      <c r="A70"/>
      <c r="B70"/>
      <c r="C70"/>
      <c r="D70"/>
      <c r="E70"/>
      <c r="F70"/>
      <c r="G70"/>
      <c r="H70"/>
      <c r="I70"/>
      <c r="J70"/>
      <c r="Z70" s="23"/>
    </row>
    <row r="71" spans="1:26" ht="14.45" customHeight="1" x14ac:dyDescent="0.25">
      <c r="A71"/>
      <c r="B71"/>
      <c r="C71"/>
      <c r="D71"/>
      <c r="E71"/>
      <c r="F71"/>
      <c r="G71"/>
      <c r="H71"/>
      <c r="I71"/>
      <c r="J71"/>
      <c r="Z71" s="23"/>
    </row>
    <row r="72" spans="1:26" ht="14.45" customHeight="1" x14ac:dyDescent="0.25">
      <c r="A72"/>
      <c r="B72"/>
      <c r="C72"/>
      <c r="D72"/>
      <c r="E72"/>
      <c r="F72"/>
      <c r="G72"/>
      <c r="H72"/>
      <c r="I72"/>
      <c r="J72"/>
      <c r="Z72" s="23"/>
    </row>
    <row r="73" spans="1:26" ht="14.45" customHeight="1" x14ac:dyDescent="0.25">
      <c r="A73"/>
      <c r="B73"/>
      <c r="C73"/>
      <c r="D73"/>
      <c r="E73"/>
      <c r="F73"/>
      <c r="G73"/>
      <c r="H73"/>
      <c r="I73"/>
      <c r="J73"/>
      <c r="Z73" s="23"/>
    </row>
    <row r="74" spans="1:26" ht="14.45" customHeight="1" x14ac:dyDescent="0.25">
      <c r="A74"/>
      <c r="B74"/>
      <c r="C74"/>
      <c r="D74"/>
      <c r="E74"/>
      <c r="F74"/>
      <c r="G74"/>
      <c r="H74"/>
      <c r="I74"/>
      <c r="J74"/>
      <c r="Z74" s="23"/>
    </row>
    <row r="75" spans="1:26" ht="14.45" customHeight="1" x14ac:dyDescent="0.25">
      <c r="A75"/>
      <c r="B75"/>
      <c r="C75"/>
      <c r="D75"/>
      <c r="E75"/>
      <c r="F75"/>
      <c r="G75"/>
      <c r="H75"/>
      <c r="I75"/>
      <c r="J75"/>
      <c r="Z75" s="23"/>
    </row>
    <row r="76" spans="1:26" ht="14.45" customHeight="1" x14ac:dyDescent="0.25">
      <c r="A76"/>
      <c r="B76"/>
      <c r="C76"/>
      <c r="D76"/>
      <c r="E76"/>
      <c r="F76"/>
      <c r="G76"/>
      <c r="H76"/>
      <c r="I76"/>
      <c r="J76"/>
      <c r="Z76" s="23"/>
    </row>
    <row r="77" spans="1:26" ht="14.45" customHeight="1" x14ac:dyDescent="0.25">
      <c r="A77"/>
      <c r="B77"/>
      <c r="C77"/>
      <c r="D77"/>
      <c r="E77"/>
      <c r="F77"/>
      <c r="G77"/>
      <c r="H77"/>
      <c r="I77"/>
      <c r="J77"/>
      <c r="Z77" s="23"/>
    </row>
    <row r="78" spans="1:26" ht="14.45" customHeight="1" x14ac:dyDescent="0.25">
      <c r="A78"/>
      <c r="B78"/>
      <c r="C78"/>
      <c r="D78"/>
      <c r="E78"/>
      <c r="F78"/>
      <c r="G78"/>
      <c r="H78"/>
      <c r="I78"/>
      <c r="J78"/>
      <c r="Z78" s="23"/>
    </row>
    <row r="79" spans="1:26" ht="14.45" customHeight="1" x14ac:dyDescent="0.25">
      <c r="A79"/>
      <c r="B79"/>
      <c r="C79"/>
      <c r="D79"/>
      <c r="E79"/>
      <c r="F79"/>
      <c r="G79"/>
      <c r="H79"/>
      <c r="I79"/>
      <c r="J79"/>
      <c r="Z79" s="23"/>
    </row>
    <row r="80" spans="1:26" ht="14.45" customHeight="1" x14ac:dyDescent="0.25">
      <c r="A80"/>
      <c r="B80"/>
      <c r="C80"/>
      <c r="D80"/>
      <c r="E80"/>
      <c r="F80"/>
      <c r="G80"/>
      <c r="H80"/>
      <c r="I80"/>
      <c r="J80"/>
      <c r="Z80" s="23"/>
    </row>
    <row r="81" spans="1:26" ht="14.45" customHeight="1" x14ac:dyDescent="0.25">
      <c r="A81"/>
      <c r="B81"/>
      <c r="C81"/>
      <c r="D81"/>
      <c r="E81"/>
      <c r="F81"/>
      <c r="G81"/>
      <c r="H81"/>
      <c r="I81"/>
      <c r="J81"/>
      <c r="Z81" s="23"/>
    </row>
    <row r="82" spans="1:26" ht="14.45" customHeight="1" x14ac:dyDescent="0.25">
      <c r="A82"/>
      <c r="B82"/>
      <c r="C82"/>
      <c r="D82"/>
      <c r="E82"/>
      <c r="F82"/>
      <c r="G82"/>
      <c r="H82"/>
      <c r="I82"/>
      <c r="J82"/>
      <c r="Z82" s="23"/>
    </row>
    <row r="83" spans="1:26" ht="14.45" customHeight="1" x14ac:dyDescent="0.25">
      <c r="A83"/>
      <c r="B83"/>
      <c r="C83"/>
      <c r="D83"/>
      <c r="E83"/>
      <c r="F83"/>
      <c r="G83"/>
      <c r="H83"/>
      <c r="I83"/>
      <c r="J83"/>
      <c r="Z83" s="23"/>
    </row>
    <row r="84" spans="1:26" ht="14.45" customHeight="1" x14ac:dyDescent="0.25">
      <c r="A84"/>
      <c r="B84"/>
      <c r="C84"/>
      <c r="D84"/>
      <c r="E84"/>
      <c r="F84"/>
      <c r="G84"/>
      <c r="H84"/>
      <c r="I84"/>
      <c r="J84"/>
      <c r="Z84" s="23"/>
    </row>
    <row r="85" spans="1:26" ht="14.45" customHeight="1" x14ac:dyDescent="0.25">
      <c r="A85"/>
      <c r="B85"/>
      <c r="C85"/>
      <c r="D85"/>
      <c r="E85"/>
      <c r="F85"/>
      <c r="G85"/>
      <c r="H85"/>
      <c r="I85"/>
      <c r="J85"/>
      <c r="Z85" s="23"/>
    </row>
    <row r="86" spans="1:26" ht="14.45" customHeight="1" x14ac:dyDescent="0.25">
      <c r="A86"/>
      <c r="B86"/>
      <c r="C86"/>
      <c r="D86"/>
      <c r="E86"/>
      <c r="F86"/>
      <c r="G86"/>
      <c r="H86"/>
      <c r="I86"/>
      <c r="J86"/>
      <c r="Z86" s="23"/>
    </row>
    <row r="87" spans="1:26" ht="14.45" customHeight="1" x14ac:dyDescent="0.25">
      <c r="A87"/>
      <c r="B87"/>
      <c r="C87"/>
      <c r="D87"/>
      <c r="E87"/>
      <c r="F87"/>
      <c r="G87"/>
      <c r="H87"/>
      <c r="I87"/>
      <c r="J87"/>
      <c r="Z87" s="23"/>
    </row>
    <row r="88" spans="1:26" ht="14.45" customHeight="1" x14ac:dyDescent="0.25">
      <c r="A88"/>
      <c r="B88"/>
      <c r="C88"/>
      <c r="D88"/>
      <c r="E88"/>
      <c r="F88"/>
      <c r="G88"/>
      <c r="H88"/>
      <c r="I88"/>
      <c r="J88"/>
      <c r="Z88" s="23"/>
    </row>
    <row r="89" spans="1:26" ht="14.45" customHeight="1" x14ac:dyDescent="0.25">
      <c r="A89"/>
      <c r="B89"/>
      <c r="C89"/>
      <c r="D89"/>
      <c r="E89"/>
      <c r="F89"/>
      <c r="G89"/>
      <c r="H89"/>
      <c r="I89"/>
      <c r="J89"/>
      <c r="Z89" s="23"/>
    </row>
    <row r="90" spans="1:26" ht="14.45" customHeight="1" x14ac:dyDescent="0.25">
      <c r="A90"/>
      <c r="B90"/>
      <c r="C90"/>
      <c r="D90"/>
      <c r="E90"/>
      <c r="F90"/>
      <c r="G90"/>
      <c r="H90"/>
      <c r="I90"/>
      <c r="J90"/>
      <c r="Z90" s="23"/>
    </row>
    <row r="91" spans="1:26" ht="14.45" customHeight="1" x14ac:dyDescent="0.25">
      <c r="A91"/>
      <c r="B91"/>
      <c r="C91"/>
      <c r="D91"/>
      <c r="E91"/>
      <c r="F91"/>
      <c r="G91"/>
      <c r="H91"/>
      <c r="I91"/>
      <c r="J91"/>
      <c r="Z91" s="23"/>
    </row>
    <row r="92" spans="1:26" ht="14.45" customHeight="1" x14ac:dyDescent="0.25">
      <c r="A92"/>
      <c r="B92"/>
      <c r="C92"/>
      <c r="D92"/>
      <c r="E92"/>
      <c r="F92"/>
      <c r="G92"/>
      <c r="H92"/>
      <c r="I92"/>
      <c r="J92"/>
      <c r="Z92" s="23"/>
    </row>
    <row r="93" spans="1:26" ht="14.45" customHeight="1" x14ac:dyDescent="0.25">
      <c r="A93"/>
      <c r="B93"/>
      <c r="C93"/>
      <c r="D93"/>
      <c r="E93"/>
      <c r="F93"/>
      <c r="G93"/>
      <c r="H93"/>
      <c r="I93"/>
      <c r="J93"/>
      <c r="Z93" s="23"/>
    </row>
    <row r="94" spans="1:26" ht="14.45" customHeight="1" x14ac:dyDescent="0.25">
      <c r="A94"/>
      <c r="B94"/>
      <c r="C94"/>
      <c r="D94"/>
      <c r="E94"/>
      <c r="F94"/>
      <c r="G94"/>
      <c r="H94"/>
      <c r="I94"/>
      <c r="J94"/>
      <c r="Z94" s="23"/>
    </row>
    <row r="95" spans="1:26" ht="14.45" customHeight="1" x14ac:dyDescent="0.25">
      <c r="A95"/>
      <c r="B95"/>
      <c r="C95"/>
      <c r="D95"/>
      <c r="E95"/>
      <c r="F95"/>
      <c r="G95"/>
      <c r="H95"/>
      <c r="I95"/>
      <c r="J95"/>
      <c r="Z95" s="23"/>
    </row>
    <row r="96" spans="1:26" ht="14.45" customHeight="1" x14ac:dyDescent="0.25">
      <c r="A96"/>
      <c r="B96"/>
      <c r="C96"/>
      <c r="D96"/>
      <c r="E96"/>
      <c r="F96"/>
      <c r="G96"/>
      <c r="H96"/>
      <c r="I96"/>
      <c r="J96"/>
      <c r="Z96" s="23"/>
    </row>
    <row r="97" spans="1:26" ht="14.45" customHeight="1" x14ac:dyDescent="0.25">
      <c r="A97"/>
      <c r="B97"/>
      <c r="C97"/>
      <c r="D97"/>
      <c r="E97"/>
      <c r="F97"/>
      <c r="G97"/>
      <c r="H97"/>
      <c r="I97"/>
      <c r="J97"/>
      <c r="Z97" s="23"/>
    </row>
    <row r="98" spans="1:26" ht="14.45" customHeight="1" x14ac:dyDescent="0.25">
      <c r="A98"/>
      <c r="B98"/>
      <c r="C98"/>
      <c r="D98"/>
      <c r="E98"/>
      <c r="F98"/>
      <c r="G98"/>
      <c r="H98"/>
      <c r="I98"/>
      <c r="J98"/>
      <c r="Z98" s="23"/>
    </row>
    <row r="99" spans="1:26" ht="14.45" customHeight="1" x14ac:dyDescent="0.25">
      <c r="A99"/>
      <c r="B99"/>
      <c r="C99"/>
      <c r="D99"/>
      <c r="E99"/>
      <c r="F99"/>
      <c r="G99"/>
      <c r="H99"/>
      <c r="I99"/>
      <c r="J99"/>
      <c r="Z99" s="23"/>
    </row>
    <row r="100" spans="1:26" ht="14.45" customHeight="1" x14ac:dyDescent="0.25">
      <c r="A100"/>
      <c r="B100"/>
      <c r="C100"/>
      <c r="D100"/>
      <c r="E100"/>
      <c r="F100"/>
      <c r="G100"/>
      <c r="H100"/>
      <c r="I100"/>
      <c r="J100"/>
      <c r="Z100" s="23"/>
    </row>
    <row r="101" spans="1:26" ht="14.45" customHeight="1" x14ac:dyDescent="0.25">
      <c r="A101"/>
      <c r="B101"/>
      <c r="C101"/>
      <c r="D101"/>
      <c r="E101"/>
      <c r="F101"/>
      <c r="G101"/>
      <c r="H101"/>
      <c r="I101"/>
      <c r="J101"/>
      <c r="Z101" s="23"/>
    </row>
    <row r="102" spans="1:26" ht="14.45" customHeight="1" x14ac:dyDescent="0.25">
      <c r="A102"/>
      <c r="B102"/>
      <c r="C102"/>
      <c r="D102"/>
      <c r="E102"/>
      <c r="F102"/>
      <c r="G102"/>
      <c r="H102"/>
      <c r="I102"/>
      <c r="J102"/>
      <c r="Z102" s="23"/>
    </row>
    <row r="103" spans="1:26" ht="14.45" customHeight="1" x14ac:dyDescent="0.25">
      <c r="A103"/>
      <c r="B103"/>
      <c r="C103"/>
      <c r="D103"/>
      <c r="E103"/>
      <c r="F103"/>
      <c r="G103"/>
      <c r="H103"/>
      <c r="I103"/>
      <c r="J103"/>
      <c r="Z103" s="23"/>
    </row>
    <row r="104" spans="1:26" ht="14.45" customHeight="1" x14ac:dyDescent="0.25">
      <c r="A104"/>
      <c r="B104"/>
      <c r="C104"/>
      <c r="D104"/>
      <c r="E104"/>
      <c r="F104"/>
      <c r="G104"/>
      <c r="H104"/>
      <c r="I104"/>
      <c r="J104"/>
      <c r="Z104" s="23"/>
    </row>
    <row r="105" spans="1:26" ht="14.45" customHeight="1" x14ac:dyDescent="0.25">
      <c r="A105"/>
      <c r="B105"/>
      <c r="C105"/>
      <c r="D105"/>
      <c r="E105"/>
      <c r="F105"/>
      <c r="G105"/>
      <c r="H105"/>
      <c r="I105"/>
      <c r="J105"/>
      <c r="Z105" s="23"/>
    </row>
    <row r="106" spans="1:26" ht="14.45" customHeight="1" x14ac:dyDescent="0.25">
      <c r="A106"/>
      <c r="B106"/>
      <c r="C106"/>
      <c r="D106"/>
      <c r="E106"/>
      <c r="F106"/>
      <c r="G106"/>
      <c r="H106"/>
      <c r="I106"/>
      <c r="J106"/>
      <c r="Z106" s="23"/>
    </row>
    <row r="107" spans="1:26" ht="14.45" customHeight="1" x14ac:dyDescent="0.25">
      <c r="A107"/>
      <c r="B107"/>
      <c r="C107"/>
      <c r="D107"/>
      <c r="E107"/>
      <c r="F107"/>
      <c r="G107"/>
      <c r="H107"/>
      <c r="I107"/>
      <c r="J107"/>
      <c r="Z107" s="23"/>
    </row>
    <row r="108" spans="1:26" ht="14.45" customHeight="1" x14ac:dyDescent="0.25">
      <c r="A108"/>
      <c r="B108"/>
      <c r="C108"/>
      <c r="D108"/>
      <c r="E108"/>
      <c r="F108"/>
      <c r="G108"/>
      <c r="H108"/>
      <c r="I108"/>
      <c r="J108"/>
      <c r="Z108" s="23"/>
    </row>
    <row r="109" spans="1:26" ht="14.45" customHeight="1" x14ac:dyDescent="0.25">
      <c r="A109"/>
      <c r="B109"/>
      <c r="C109"/>
      <c r="D109"/>
      <c r="E109"/>
      <c r="F109"/>
      <c r="G109"/>
      <c r="H109"/>
      <c r="I109"/>
      <c r="J109"/>
      <c r="Z109" s="23"/>
    </row>
    <row r="110" spans="1:26" ht="14.45" customHeight="1" x14ac:dyDescent="0.25">
      <c r="A110"/>
      <c r="B110"/>
      <c r="C110"/>
      <c r="D110"/>
      <c r="E110"/>
      <c r="F110"/>
      <c r="G110"/>
      <c r="H110"/>
      <c r="I110"/>
      <c r="J110"/>
      <c r="Z110" s="23"/>
    </row>
    <row r="111" spans="1:26" ht="14.45" customHeight="1" x14ac:dyDescent="0.25">
      <c r="A111"/>
      <c r="B111"/>
      <c r="C111"/>
      <c r="D111"/>
      <c r="E111"/>
      <c r="F111"/>
      <c r="G111"/>
      <c r="H111"/>
      <c r="I111"/>
      <c r="J111"/>
      <c r="Z111" s="23"/>
    </row>
    <row r="112" spans="1:26" ht="14.45" customHeight="1" x14ac:dyDescent="0.25">
      <c r="A112"/>
      <c r="B112"/>
      <c r="C112"/>
      <c r="D112"/>
      <c r="E112"/>
      <c r="F112"/>
      <c r="G112"/>
      <c r="H112"/>
      <c r="I112"/>
      <c r="J112"/>
      <c r="Z112" s="23"/>
    </row>
    <row r="113" spans="1:26" ht="14.45" customHeight="1" x14ac:dyDescent="0.25">
      <c r="A113"/>
      <c r="B113"/>
      <c r="C113"/>
      <c r="D113"/>
      <c r="E113"/>
      <c r="F113"/>
      <c r="G113"/>
      <c r="H113"/>
      <c r="I113"/>
      <c r="J113"/>
      <c r="Z113" s="23"/>
    </row>
    <row r="114" spans="1:26" ht="14.45" customHeight="1" x14ac:dyDescent="0.25">
      <c r="A114"/>
      <c r="B114"/>
      <c r="C114"/>
      <c r="D114"/>
      <c r="E114"/>
      <c r="F114"/>
      <c r="G114"/>
      <c r="H114"/>
      <c r="I114"/>
      <c r="J114"/>
      <c r="Z114" s="23"/>
    </row>
    <row r="115" spans="1:26" ht="14.45" customHeight="1" x14ac:dyDescent="0.25">
      <c r="A115"/>
      <c r="B115"/>
      <c r="C115"/>
      <c r="D115"/>
      <c r="E115"/>
      <c r="F115"/>
      <c r="G115"/>
      <c r="H115"/>
      <c r="I115"/>
      <c r="J115"/>
      <c r="Z115" s="23"/>
    </row>
    <row r="116" spans="1:26" ht="14.45" customHeight="1" x14ac:dyDescent="0.25">
      <c r="A116"/>
      <c r="B116"/>
      <c r="C116"/>
      <c r="D116"/>
      <c r="E116"/>
      <c r="F116"/>
      <c r="G116"/>
      <c r="H116"/>
      <c r="I116"/>
      <c r="J116"/>
      <c r="Z116" s="23"/>
    </row>
    <row r="117" spans="1:26" ht="14.45" customHeight="1" x14ac:dyDescent="0.25">
      <c r="A117"/>
      <c r="B117"/>
      <c r="C117"/>
      <c r="D117"/>
      <c r="E117"/>
      <c r="F117"/>
      <c r="G117"/>
      <c r="H117"/>
      <c r="I117"/>
      <c r="J117"/>
      <c r="Z117" s="23"/>
    </row>
    <row r="118" spans="1:26" ht="14.45" customHeight="1" x14ac:dyDescent="0.25">
      <c r="A118"/>
      <c r="B118"/>
      <c r="C118"/>
      <c r="D118"/>
      <c r="E118"/>
      <c r="F118"/>
      <c r="G118"/>
      <c r="H118"/>
      <c r="I118"/>
      <c r="J118"/>
      <c r="Z118" s="23"/>
    </row>
    <row r="119" spans="1:26" ht="14.45" customHeight="1" x14ac:dyDescent="0.25">
      <c r="A119"/>
      <c r="B119"/>
      <c r="C119"/>
      <c r="D119"/>
      <c r="E119"/>
      <c r="F119"/>
      <c r="G119"/>
      <c r="H119"/>
      <c r="I119"/>
      <c r="J119"/>
      <c r="Z119" s="23"/>
    </row>
    <row r="120" spans="1:26" ht="14.45" customHeight="1" x14ac:dyDescent="0.25">
      <c r="A120"/>
      <c r="B120"/>
      <c r="C120"/>
      <c r="D120"/>
      <c r="E120"/>
      <c r="F120"/>
      <c r="G120"/>
      <c r="H120"/>
      <c r="I120"/>
      <c r="J120"/>
      <c r="Z120" s="23"/>
    </row>
    <row r="121" spans="1:26" ht="14.45" customHeight="1" x14ac:dyDescent="0.25">
      <c r="A121"/>
      <c r="B121"/>
      <c r="C121"/>
      <c r="D121"/>
      <c r="E121"/>
      <c r="F121"/>
      <c r="G121"/>
      <c r="H121"/>
      <c r="I121"/>
      <c r="J121"/>
      <c r="Z121" s="23"/>
    </row>
    <row r="122" spans="1:26" ht="14.45" customHeight="1" x14ac:dyDescent="0.25">
      <c r="A122"/>
      <c r="B122"/>
      <c r="C122"/>
      <c r="D122"/>
      <c r="E122"/>
      <c r="F122"/>
      <c r="G122"/>
      <c r="H122"/>
      <c r="I122"/>
      <c r="J122"/>
      <c r="Z122" s="23"/>
    </row>
    <row r="123" spans="1:26" ht="14.45" customHeight="1" x14ac:dyDescent="0.25">
      <c r="A123"/>
      <c r="B123"/>
      <c r="C123"/>
      <c r="D123"/>
      <c r="E123"/>
      <c r="F123"/>
      <c r="G123"/>
      <c r="H123"/>
      <c r="I123"/>
      <c r="J123"/>
      <c r="Z123" s="23"/>
    </row>
    <row r="124" spans="1:26" ht="14.45" customHeight="1" x14ac:dyDescent="0.25">
      <c r="A124"/>
      <c r="B124"/>
      <c r="C124"/>
      <c r="D124"/>
      <c r="E124"/>
      <c r="F124"/>
      <c r="G124"/>
      <c r="H124"/>
      <c r="I124"/>
      <c r="J124"/>
      <c r="Z124" s="23"/>
    </row>
    <row r="125" spans="1:26" ht="14.45" customHeight="1" x14ac:dyDescent="0.25">
      <c r="A125"/>
      <c r="B125"/>
      <c r="C125"/>
      <c r="D125"/>
      <c r="E125"/>
      <c r="F125"/>
      <c r="G125"/>
      <c r="H125"/>
      <c r="I125"/>
      <c r="J125"/>
      <c r="Z125" s="23"/>
    </row>
    <row r="126" spans="1:26" ht="14.45" customHeight="1" x14ac:dyDescent="0.25">
      <c r="A126"/>
      <c r="B126"/>
      <c r="C126"/>
      <c r="D126"/>
      <c r="E126"/>
      <c r="F126"/>
      <c r="G126"/>
      <c r="H126"/>
      <c r="I126"/>
      <c r="J126"/>
      <c r="Z126" s="23"/>
    </row>
    <row r="127" spans="1:26" ht="14.45" customHeight="1" x14ac:dyDescent="0.25">
      <c r="A127"/>
      <c r="B127"/>
      <c r="C127"/>
      <c r="D127"/>
      <c r="E127"/>
      <c r="F127"/>
      <c r="G127"/>
      <c r="H127"/>
      <c r="I127"/>
      <c r="J127"/>
      <c r="Z127" s="23"/>
    </row>
    <row r="128" spans="1:26" ht="14.45" customHeight="1" x14ac:dyDescent="0.25">
      <c r="A128"/>
      <c r="B128"/>
      <c r="C128"/>
      <c r="D128"/>
      <c r="E128"/>
      <c r="F128"/>
      <c r="G128"/>
      <c r="H128"/>
      <c r="I128"/>
      <c r="J128"/>
      <c r="Z128" s="23"/>
    </row>
    <row r="129" spans="1:26" ht="14.45" customHeight="1" x14ac:dyDescent="0.25">
      <c r="A129"/>
      <c r="B129"/>
      <c r="C129"/>
      <c r="D129"/>
      <c r="E129"/>
      <c r="F129"/>
      <c r="G129"/>
      <c r="H129"/>
      <c r="I129"/>
      <c r="J129"/>
      <c r="Z129" s="23"/>
    </row>
    <row r="130" spans="1:26" ht="14.45" customHeight="1" x14ac:dyDescent="0.25">
      <c r="A130"/>
      <c r="B130"/>
      <c r="C130"/>
      <c r="D130"/>
      <c r="E130"/>
      <c r="F130"/>
      <c r="G130"/>
      <c r="H130"/>
      <c r="I130"/>
      <c r="J130"/>
      <c r="Z130" s="23"/>
    </row>
    <row r="131" spans="1:26" ht="14.45" customHeight="1" x14ac:dyDescent="0.25">
      <c r="A131"/>
      <c r="B131"/>
      <c r="C131"/>
      <c r="D131"/>
      <c r="E131"/>
      <c r="F131"/>
      <c r="G131"/>
      <c r="H131"/>
      <c r="I131"/>
      <c r="J131"/>
      <c r="Z131" s="23"/>
    </row>
    <row r="132" spans="1:26" ht="14.45" customHeight="1" x14ac:dyDescent="0.25">
      <c r="A132"/>
      <c r="B132"/>
      <c r="C132"/>
      <c r="D132"/>
      <c r="E132"/>
      <c r="F132"/>
      <c r="G132"/>
      <c r="H132"/>
      <c r="I132"/>
      <c r="J132"/>
      <c r="Z132" s="23"/>
    </row>
    <row r="133" spans="1:26" ht="14.45" customHeight="1" x14ac:dyDescent="0.25">
      <c r="A133"/>
      <c r="B133"/>
      <c r="C133"/>
      <c r="D133"/>
      <c r="E133"/>
      <c r="F133"/>
      <c r="G133"/>
      <c r="H133"/>
      <c r="I133"/>
      <c r="J133"/>
      <c r="Z133" s="23"/>
    </row>
    <row r="134" spans="1:26" ht="14.45" customHeight="1" x14ac:dyDescent="0.25">
      <c r="A134"/>
      <c r="B134"/>
      <c r="C134"/>
      <c r="D134"/>
      <c r="E134"/>
      <c r="F134"/>
      <c r="G134"/>
      <c r="H134"/>
      <c r="I134"/>
      <c r="J134"/>
      <c r="Z134" s="23"/>
    </row>
    <row r="135" spans="1:26" ht="14.45" customHeight="1" x14ac:dyDescent="0.25">
      <c r="A135"/>
      <c r="B135"/>
      <c r="C135"/>
      <c r="D135"/>
      <c r="E135"/>
      <c r="F135"/>
      <c r="G135"/>
      <c r="H135"/>
      <c r="I135"/>
      <c r="J135"/>
      <c r="Z135" s="23"/>
    </row>
    <row r="136" spans="1:26" ht="14.45" customHeight="1" x14ac:dyDescent="0.25">
      <c r="A136"/>
      <c r="B136"/>
      <c r="C136"/>
      <c r="D136"/>
      <c r="E136"/>
      <c r="F136"/>
      <c r="G136"/>
      <c r="H136"/>
      <c r="I136"/>
      <c r="J136"/>
      <c r="Z136" s="23"/>
    </row>
    <row r="137" spans="1:26" ht="14.45" customHeight="1" x14ac:dyDescent="0.25">
      <c r="A137"/>
      <c r="B137"/>
      <c r="C137"/>
      <c r="D137"/>
      <c r="E137"/>
      <c r="F137"/>
      <c r="G137"/>
      <c r="H137"/>
      <c r="I137"/>
      <c r="J137"/>
      <c r="Z137" s="23"/>
    </row>
    <row r="138" spans="1:26" ht="14.45" customHeight="1" x14ac:dyDescent="0.25">
      <c r="A138"/>
      <c r="B138"/>
      <c r="C138"/>
      <c r="D138"/>
      <c r="E138"/>
      <c r="F138"/>
      <c r="G138"/>
      <c r="H138"/>
      <c r="I138"/>
      <c r="J138"/>
      <c r="Z138" s="23"/>
    </row>
    <row r="139" spans="1:26" ht="14.45" customHeight="1" x14ac:dyDescent="0.25">
      <c r="A139"/>
      <c r="B139"/>
      <c r="C139"/>
      <c r="D139"/>
      <c r="E139"/>
      <c r="F139"/>
      <c r="G139"/>
      <c r="H139"/>
      <c r="I139"/>
      <c r="J139"/>
      <c r="Z139" s="23"/>
    </row>
    <row r="140" spans="1:26" ht="14.45" customHeight="1" x14ac:dyDescent="0.25">
      <c r="A140"/>
      <c r="B140"/>
      <c r="C140"/>
      <c r="D140"/>
      <c r="E140"/>
      <c r="F140"/>
      <c r="G140"/>
      <c r="H140"/>
      <c r="I140"/>
      <c r="J140"/>
      <c r="Z140" s="23"/>
    </row>
    <row r="141" spans="1:26" ht="14.45" customHeight="1" x14ac:dyDescent="0.25">
      <c r="A141"/>
      <c r="B141"/>
      <c r="C141"/>
      <c r="D141"/>
      <c r="E141"/>
      <c r="F141"/>
      <c r="G141"/>
      <c r="H141"/>
      <c r="I141"/>
      <c r="J141"/>
      <c r="Z141" s="23"/>
    </row>
    <row r="142" spans="1:26" ht="14.45" customHeight="1" x14ac:dyDescent="0.25">
      <c r="A142"/>
      <c r="B142"/>
      <c r="C142"/>
      <c r="D142"/>
      <c r="E142"/>
      <c r="F142"/>
      <c r="G142"/>
      <c r="H142"/>
      <c r="I142"/>
      <c r="J142"/>
      <c r="Z142" s="23"/>
    </row>
    <row r="143" spans="1:26" ht="14.45" customHeight="1" x14ac:dyDescent="0.25">
      <c r="A143"/>
      <c r="B143"/>
      <c r="C143"/>
      <c r="D143"/>
      <c r="E143"/>
      <c r="F143"/>
      <c r="G143"/>
      <c r="H143"/>
      <c r="I143"/>
      <c r="J143"/>
      <c r="Z143" s="23"/>
    </row>
    <row r="144" spans="1:26" ht="14.45" customHeight="1" x14ac:dyDescent="0.25">
      <c r="A144"/>
      <c r="B144"/>
      <c r="C144"/>
      <c r="D144"/>
      <c r="E144"/>
      <c r="F144"/>
      <c r="G144"/>
      <c r="H144"/>
      <c r="I144"/>
      <c r="J144"/>
      <c r="Z144" s="23"/>
    </row>
    <row r="145" spans="1:26" ht="14.45" customHeight="1" x14ac:dyDescent="0.25">
      <c r="A145"/>
      <c r="B145"/>
      <c r="C145"/>
      <c r="D145"/>
      <c r="E145"/>
      <c r="F145"/>
      <c r="G145"/>
      <c r="H145"/>
      <c r="I145"/>
      <c r="J145"/>
      <c r="Z145" s="23"/>
    </row>
    <row r="146" spans="1:26" ht="14.45" customHeight="1" x14ac:dyDescent="0.25">
      <c r="A146"/>
      <c r="B146"/>
      <c r="C146"/>
      <c r="D146"/>
      <c r="E146"/>
      <c r="F146"/>
      <c r="G146"/>
      <c r="H146"/>
      <c r="I146"/>
      <c r="J146"/>
      <c r="Z146" s="23"/>
    </row>
    <row r="147" spans="1:26" ht="14.45" customHeight="1" x14ac:dyDescent="0.25">
      <c r="A147"/>
      <c r="B147"/>
      <c r="C147"/>
      <c r="D147"/>
      <c r="E147"/>
      <c r="F147"/>
      <c r="G147"/>
      <c r="H147"/>
      <c r="I147"/>
      <c r="J147"/>
      <c r="Z147" s="23"/>
    </row>
    <row r="148" spans="1:26" ht="14.45" customHeight="1" x14ac:dyDescent="0.25">
      <c r="A148"/>
      <c r="B148"/>
      <c r="C148"/>
      <c r="D148"/>
      <c r="E148"/>
      <c r="F148"/>
      <c r="G148"/>
      <c r="H148"/>
      <c r="I148"/>
      <c r="J148"/>
      <c r="Z148" s="23"/>
    </row>
    <row r="149" spans="1:26" ht="14.45" customHeight="1" x14ac:dyDescent="0.25">
      <c r="A149"/>
      <c r="B149"/>
      <c r="C149"/>
      <c r="D149"/>
      <c r="E149"/>
      <c r="F149"/>
      <c r="G149"/>
      <c r="H149"/>
      <c r="I149"/>
      <c r="J149"/>
      <c r="Z149" s="23"/>
    </row>
    <row r="150" spans="1:26" ht="14.45" customHeight="1" x14ac:dyDescent="0.25">
      <c r="A150"/>
      <c r="B150"/>
      <c r="C150"/>
      <c r="D150"/>
      <c r="E150"/>
      <c r="F150"/>
      <c r="G150"/>
      <c r="H150"/>
      <c r="I150"/>
      <c r="J150"/>
      <c r="Z150" s="23"/>
    </row>
    <row r="151" spans="1:26" ht="14.45" customHeight="1" x14ac:dyDescent="0.25">
      <c r="A151"/>
      <c r="B151"/>
      <c r="C151"/>
      <c r="D151"/>
      <c r="E151"/>
      <c r="F151"/>
      <c r="G151"/>
      <c r="H151"/>
      <c r="I151"/>
      <c r="J151"/>
      <c r="Z151" s="23"/>
    </row>
    <row r="152" spans="1:26" ht="14.45" customHeight="1" x14ac:dyDescent="0.25">
      <c r="A152"/>
      <c r="B152"/>
      <c r="C152"/>
      <c r="D152"/>
      <c r="E152"/>
      <c r="F152"/>
      <c r="G152"/>
      <c r="H152"/>
      <c r="I152"/>
      <c r="J152"/>
      <c r="Z152" s="23"/>
    </row>
    <row r="153" spans="1:26" ht="14.45" customHeight="1" x14ac:dyDescent="0.25">
      <c r="A153"/>
      <c r="B153"/>
      <c r="C153"/>
      <c r="D153"/>
      <c r="E153"/>
      <c r="F153"/>
      <c r="G153"/>
      <c r="H153"/>
      <c r="I153"/>
      <c r="J153"/>
      <c r="Z153" s="23"/>
    </row>
    <row r="154" spans="1:26" ht="14.45" customHeight="1" x14ac:dyDescent="0.25">
      <c r="A154"/>
      <c r="B154"/>
      <c r="C154"/>
      <c r="D154"/>
      <c r="E154"/>
      <c r="F154"/>
      <c r="G154"/>
      <c r="H154"/>
      <c r="I154"/>
      <c r="J154"/>
      <c r="Z154" s="23"/>
    </row>
    <row r="155" spans="1:26" ht="14.45" customHeight="1" x14ac:dyDescent="0.25">
      <c r="A155"/>
      <c r="B155"/>
      <c r="C155"/>
      <c r="D155"/>
      <c r="E155"/>
      <c r="F155"/>
      <c r="G155"/>
      <c r="H155"/>
      <c r="I155"/>
      <c r="J155"/>
      <c r="Z155" s="23"/>
    </row>
    <row r="156" spans="1:26" ht="14.45" customHeight="1" x14ac:dyDescent="0.25">
      <c r="A156"/>
      <c r="B156"/>
      <c r="C156"/>
      <c r="D156"/>
      <c r="E156"/>
      <c r="F156"/>
      <c r="G156"/>
      <c r="H156"/>
      <c r="I156"/>
      <c r="J156"/>
      <c r="Z156" s="23"/>
    </row>
    <row r="157" spans="1:26" ht="14.45" customHeight="1" x14ac:dyDescent="0.25">
      <c r="A157"/>
      <c r="B157"/>
      <c r="C157"/>
      <c r="D157"/>
      <c r="E157"/>
      <c r="F157"/>
      <c r="G157"/>
      <c r="H157"/>
      <c r="I157"/>
      <c r="J157"/>
      <c r="Z157" s="23"/>
    </row>
    <row r="158" spans="1:26" ht="14.45" customHeight="1" x14ac:dyDescent="0.25">
      <c r="A158"/>
      <c r="B158"/>
      <c r="C158"/>
      <c r="D158"/>
      <c r="E158"/>
      <c r="F158"/>
      <c r="G158"/>
      <c r="H158"/>
      <c r="I158"/>
      <c r="J158"/>
      <c r="Z158" s="23"/>
    </row>
    <row r="159" spans="1:26" ht="14.45" customHeight="1" x14ac:dyDescent="0.25">
      <c r="A159"/>
      <c r="B159"/>
      <c r="C159"/>
      <c r="D159"/>
      <c r="E159"/>
      <c r="F159"/>
      <c r="G159"/>
      <c r="H159"/>
      <c r="I159"/>
      <c r="J159"/>
      <c r="Z159" s="23"/>
    </row>
    <row r="160" spans="1:26" ht="14.45" customHeight="1" x14ac:dyDescent="0.25">
      <c r="A160"/>
      <c r="B160"/>
      <c r="C160"/>
      <c r="D160"/>
      <c r="E160"/>
      <c r="F160"/>
      <c r="G160"/>
      <c r="H160"/>
      <c r="I160"/>
      <c r="J160"/>
      <c r="Z160" s="23"/>
    </row>
    <row r="161" spans="1:26" ht="14.45" customHeight="1" x14ac:dyDescent="0.25">
      <c r="A161"/>
      <c r="B161"/>
      <c r="C161"/>
      <c r="D161"/>
      <c r="E161"/>
      <c r="F161"/>
      <c r="G161"/>
      <c r="H161"/>
      <c r="I161"/>
      <c r="J161"/>
      <c r="Z161" s="23"/>
    </row>
    <row r="162" spans="1:26" ht="14.45" customHeight="1" x14ac:dyDescent="0.25">
      <c r="A162"/>
      <c r="B162"/>
      <c r="C162"/>
      <c r="D162"/>
      <c r="E162"/>
      <c r="F162"/>
      <c r="G162"/>
      <c r="H162"/>
      <c r="I162"/>
      <c r="J162"/>
      <c r="Z162" s="23"/>
    </row>
    <row r="163" spans="1:26" ht="14.45" customHeight="1" x14ac:dyDescent="0.25">
      <c r="A163"/>
      <c r="B163"/>
      <c r="C163"/>
      <c r="D163"/>
      <c r="E163"/>
      <c r="F163"/>
      <c r="G163"/>
      <c r="H163"/>
      <c r="I163"/>
      <c r="J163"/>
      <c r="Z163" s="23"/>
    </row>
    <row r="164" spans="1:26" ht="14.45" customHeight="1" x14ac:dyDescent="0.25">
      <c r="A164"/>
      <c r="B164"/>
      <c r="C164"/>
      <c r="D164"/>
      <c r="E164"/>
      <c r="F164"/>
      <c r="G164"/>
      <c r="H164"/>
      <c r="I164"/>
      <c r="J164"/>
      <c r="Z164" s="23"/>
    </row>
    <row r="165" spans="1:26" ht="14.45" customHeight="1" x14ac:dyDescent="0.25">
      <c r="A165"/>
      <c r="B165"/>
      <c r="C165"/>
      <c r="D165"/>
      <c r="E165"/>
      <c r="F165"/>
      <c r="G165"/>
      <c r="H165"/>
      <c r="I165"/>
      <c r="J165"/>
      <c r="Z165" s="23"/>
    </row>
    <row r="166" spans="1:26" ht="14.45" customHeight="1" x14ac:dyDescent="0.25">
      <c r="A166"/>
      <c r="B166"/>
      <c r="C166"/>
      <c r="D166"/>
      <c r="E166"/>
      <c r="F166"/>
      <c r="G166"/>
      <c r="H166"/>
      <c r="I166"/>
      <c r="J166"/>
      <c r="Z166" s="23"/>
    </row>
    <row r="167" spans="1:26" ht="14.45" customHeight="1" x14ac:dyDescent="0.25">
      <c r="A167"/>
      <c r="B167"/>
      <c r="C167"/>
      <c r="D167"/>
      <c r="E167"/>
      <c r="F167"/>
      <c r="G167"/>
      <c r="H167"/>
      <c r="I167"/>
      <c r="J167"/>
      <c r="Z167" s="23"/>
    </row>
    <row r="168" spans="1:26" ht="14.45" customHeight="1" x14ac:dyDescent="0.25">
      <c r="A168"/>
      <c r="B168"/>
      <c r="C168"/>
      <c r="D168"/>
      <c r="E168"/>
      <c r="F168"/>
      <c r="G168"/>
      <c r="H168"/>
      <c r="I168"/>
      <c r="J168"/>
      <c r="Z168" s="23"/>
    </row>
    <row r="169" spans="1:26" ht="14.45" customHeight="1" x14ac:dyDescent="0.25">
      <c r="A169"/>
      <c r="B169"/>
      <c r="C169"/>
      <c r="D169"/>
      <c r="E169"/>
      <c r="F169"/>
      <c r="G169"/>
      <c r="H169"/>
      <c r="I169"/>
      <c r="J169"/>
      <c r="Z169" s="23"/>
    </row>
    <row r="170" spans="1:26" ht="14.45" customHeight="1" x14ac:dyDescent="0.25">
      <c r="A170"/>
      <c r="B170"/>
      <c r="C170"/>
      <c r="D170"/>
      <c r="E170"/>
      <c r="F170"/>
      <c r="G170"/>
      <c r="H170"/>
      <c r="I170"/>
      <c r="J170"/>
      <c r="Z170" s="23"/>
    </row>
    <row r="171" spans="1:26" ht="14.45" customHeight="1" x14ac:dyDescent="0.25">
      <c r="A171"/>
      <c r="B171"/>
      <c r="C171"/>
      <c r="D171"/>
      <c r="E171"/>
      <c r="F171"/>
      <c r="G171"/>
      <c r="H171"/>
      <c r="I171"/>
      <c r="J171"/>
      <c r="Z171" s="23"/>
    </row>
    <row r="172" spans="1:26" ht="14.45" customHeight="1" x14ac:dyDescent="0.25">
      <c r="A172"/>
      <c r="B172"/>
      <c r="C172"/>
      <c r="D172"/>
      <c r="E172"/>
      <c r="F172"/>
      <c r="G172"/>
      <c r="H172"/>
      <c r="I172"/>
      <c r="J172"/>
      <c r="Z172" s="23"/>
    </row>
    <row r="173" spans="1:26" ht="14.45" customHeight="1" x14ac:dyDescent="0.25">
      <c r="A173"/>
      <c r="B173"/>
      <c r="C173"/>
      <c r="D173"/>
      <c r="E173"/>
      <c r="F173"/>
      <c r="G173"/>
      <c r="H173"/>
      <c r="I173"/>
      <c r="J173"/>
      <c r="Z173" s="23"/>
    </row>
    <row r="174" spans="1:26" ht="14.45" customHeight="1" x14ac:dyDescent="0.25">
      <c r="A174"/>
      <c r="B174"/>
      <c r="C174"/>
      <c r="D174"/>
      <c r="E174"/>
      <c r="F174"/>
      <c r="G174"/>
      <c r="H174"/>
      <c r="I174"/>
      <c r="J174"/>
      <c r="Z174" s="23"/>
    </row>
    <row r="175" spans="1:26" ht="14.45" customHeight="1" x14ac:dyDescent="0.25">
      <c r="A175"/>
      <c r="B175"/>
      <c r="C175"/>
      <c r="D175"/>
      <c r="E175"/>
      <c r="F175"/>
      <c r="G175"/>
      <c r="H175"/>
      <c r="I175"/>
      <c r="J175"/>
      <c r="Z175" s="23"/>
    </row>
    <row r="176" spans="1:26" ht="14.45" customHeight="1" x14ac:dyDescent="0.25">
      <c r="A176"/>
      <c r="B176"/>
      <c r="C176"/>
      <c r="D176"/>
      <c r="E176"/>
      <c r="F176"/>
      <c r="G176"/>
      <c r="H176"/>
      <c r="I176"/>
      <c r="J176"/>
      <c r="Z176" s="23"/>
    </row>
    <row r="177" spans="1:31" ht="14.45" customHeight="1" x14ac:dyDescent="0.25">
      <c r="A177"/>
      <c r="B177"/>
      <c r="C177"/>
      <c r="D177"/>
      <c r="E177"/>
      <c r="F177"/>
      <c r="G177"/>
      <c r="H177"/>
      <c r="I177"/>
      <c r="J177"/>
      <c r="Z177" s="23"/>
    </row>
    <row r="178" spans="1:31" ht="14.45" customHeight="1" x14ac:dyDescent="0.25">
      <c r="A178"/>
      <c r="B178"/>
      <c r="C178"/>
      <c r="D178"/>
      <c r="E178"/>
      <c r="F178"/>
      <c r="G178"/>
      <c r="H178"/>
      <c r="I178"/>
      <c r="J178"/>
      <c r="Z178" s="23"/>
    </row>
    <row r="179" spans="1:31" ht="14.45" customHeight="1" x14ac:dyDescent="0.25">
      <c r="A179"/>
      <c r="B179"/>
      <c r="C179"/>
      <c r="D179"/>
      <c r="E179"/>
      <c r="F179"/>
      <c r="G179"/>
      <c r="H179"/>
      <c r="I179"/>
      <c r="J179"/>
      <c r="Z179" s="23"/>
    </row>
    <row r="180" spans="1:31" x14ac:dyDescent="0.25">
      <c r="L180" s="27"/>
      <c r="X180" s="27"/>
      <c r="Y180" s="27"/>
      <c r="Z180" s="27"/>
    </row>
    <row r="181" spans="1:31" x14ac:dyDescent="0.25">
      <c r="A181"/>
      <c r="B181"/>
      <c r="C181"/>
      <c r="D181"/>
      <c r="E181"/>
      <c r="F181"/>
      <c r="G181"/>
      <c r="H181"/>
      <c r="I181"/>
      <c r="J181"/>
    </row>
    <row r="182" spans="1:31" x14ac:dyDescent="0.25">
      <c r="A182"/>
      <c r="B182"/>
      <c r="C182"/>
      <c r="D182"/>
      <c r="E182"/>
      <c r="F182"/>
      <c r="G182"/>
      <c r="H182"/>
      <c r="I182"/>
      <c r="J182"/>
    </row>
    <row r="183" spans="1:31" x14ac:dyDescent="0.25">
      <c r="A183"/>
      <c r="B183"/>
      <c r="C183"/>
      <c r="D183"/>
      <c r="E183"/>
      <c r="F183"/>
      <c r="G183"/>
      <c r="H183"/>
      <c r="I183"/>
      <c r="J183"/>
    </row>
    <row r="184" spans="1:31" x14ac:dyDescent="0.25">
      <c r="A184"/>
      <c r="B184"/>
      <c r="C184"/>
      <c r="D184"/>
      <c r="E184"/>
      <c r="F184"/>
      <c r="G184"/>
      <c r="H184"/>
      <c r="I184"/>
      <c r="J184"/>
    </row>
    <row r="185" spans="1:31" x14ac:dyDescent="0.25">
      <c r="A185"/>
      <c r="B185"/>
      <c r="C185"/>
      <c r="D185"/>
      <c r="E185"/>
      <c r="F185"/>
      <c r="G185"/>
      <c r="H185"/>
      <c r="I185"/>
      <c r="J185"/>
    </row>
    <row r="186" spans="1:31" x14ac:dyDescent="0.25">
      <c r="A186"/>
      <c r="B186"/>
      <c r="C186"/>
      <c r="D186"/>
      <c r="E186"/>
      <c r="F186"/>
      <c r="G186"/>
      <c r="H186"/>
      <c r="I186"/>
      <c r="J186"/>
      <c r="Z186" s="209"/>
    </row>
    <row r="187" spans="1:31" x14ac:dyDescent="0.25">
      <c r="A187"/>
      <c r="B187"/>
      <c r="C187"/>
      <c r="D187"/>
      <c r="E187"/>
      <c r="F187"/>
      <c r="G187"/>
      <c r="H187"/>
      <c r="I187"/>
      <c r="J187"/>
      <c r="Z187" s="209"/>
    </row>
    <row r="188" spans="1:31" s="27" customFormat="1" x14ac:dyDescent="0.25">
      <c r="A188"/>
      <c r="B188"/>
      <c r="C188"/>
      <c r="D188"/>
      <c r="E188"/>
      <c r="F188"/>
      <c r="G188"/>
      <c r="H188"/>
      <c r="I188"/>
      <c r="J188"/>
      <c r="L188"/>
      <c r="M188"/>
      <c r="N188"/>
      <c r="O188"/>
      <c r="P188"/>
      <c r="Q188"/>
      <c r="R188"/>
      <c r="S188"/>
      <c r="T188"/>
      <c r="U188"/>
      <c r="V188"/>
      <c r="X188"/>
      <c r="Y188"/>
      <c r="Z188" s="209"/>
      <c r="AD188"/>
      <c r="AE188"/>
    </row>
    <row r="189" spans="1:31" s="27" customFormat="1" x14ac:dyDescent="0.25">
      <c r="A189"/>
      <c r="B189"/>
      <c r="C189"/>
      <c r="D189"/>
      <c r="E189"/>
      <c r="F189"/>
      <c r="G189"/>
      <c r="H189"/>
      <c r="I189"/>
      <c r="J189"/>
      <c r="L189"/>
      <c r="M189"/>
      <c r="N189"/>
      <c r="O189"/>
      <c r="P189"/>
      <c r="Q189"/>
      <c r="R189"/>
      <c r="S189"/>
      <c r="T189"/>
      <c r="U189"/>
      <c r="V189"/>
      <c r="X189"/>
      <c r="Y189"/>
      <c r="Z189" s="209"/>
      <c r="AD189"/>
      <c r="AE189"/>
    </row>
    <row r="190" spans="1:31" s="27" customFormat="1" x14ac:dyDescent="0.25">
      <c r="A190"/>
      <c r="B190"/>
      <c r="C190"/>
      <c r="D190"/>
      <c r="E190"/>
      <c r="F190"/>
      <c r="G190"/>
      <c r="H190"/>
      <c r="I190"/>
      <c r="J190"/>
      <c r="L190"/>
      <c r="M190"/>
      <c r="N190"/>
      <c r="O190"/>
      <c r="P190"/>
      <c r="Q190"/>
      <c r="R190"/>
      <c r="S190"/>
      <c r="T190"/>
      <c r="U190"/>
      <c r="V190"/>
      <c r="X190"/>
      <c r="Y190"/>
      <c r="Z190" s="209"/>
      <c r="AD190"/>
      <c r="AE190"/>
    </row>
    <row r="191" spans="1:31" s="27" customFormat="1" x14ac:dyDescent="0.25">
      <c r="A191"/>
      <c r="B191"/>
      <c r="C191"/>
      <c r="D191"/>
      <c r="E191"/>
      <c r="F191"/>
      <c r="G191"/>
      <c r="H191"/>
      <c r="I191"/>
      <c r="J191"/>
      <c r="L191"/>
      <c r="M191"/>
      <c r="N191"/>
      <c r="O191"/>
      <c r="P191"/>
      <c r="Q191"/>
      <c r="R191"/>
      <c r="S191"/>
      <c r="T191"/>
      <c r="U191"/>
      <c r="V191"/>
      <c r="X191"/>
      <c r="Y191"/>
      <c r="Z191" s="209"/>
      <c r="AD191"/>
      <c r="AE191"/>
    </row>
    <row r="192" spans="1:31" s="27" customFormat="1" x14ac:dyDescent="0.25">
      <c r="A192"/>
      <c r="B192"/>
      <c r="C192"/>
      <c r="D192"/>
      <c r="E192"/>
      <c r="F192"/>
      <c r="G192"/>
      <c r="H192"/>
      <c r="I192"/>
      <c r="J192"/>
      <c r="L192"/>
      <c r="M192"/>
      <c r="N192"/>
      <c r="O192"/>
      <c r="P192"/>
      <c r="Q192"/>
      <c r="R192"/>
      <c r="S192"/>
      <c r="T192"/>
      <c r="U192"/>
      <c r="V192"/>
      <c r="X192"/>
      <c r="Y192"/>
      <c r="Z192" s="209"/>
      <c r="AD192"/>
      <c r="AE192"/>
    </row>
    <row r="193" spans="1:31" s="27" customFormat="1" x14ac:dyDescent="0.25">
      <c r="A193"/>
      <c r="B193"/>
      <c r="C193"/>
      <c r="D193"/>
      <c r="E193"/>
      <c r="F193"/>
      <c r="G193"/>
      <c r="H193"/>
      <c r="I193"/>
      <c r="J193"/>
      <c r="L193"/>
      <c r="M193"/>
      <c r="N193"/>
      <c r="O193"/>
      <c r="P193"/>
      <c r="Q193"/>
      <c r="R193"/>
      <c r="S193"/>
      <c r="T193"/>
      <c r="U193"/>
      <c r="V193"/>
      <c r="X193"/>
      <c r="Y193"/>
      <c r="Z193" s="209"/>
      <c r="AD193"/>
      <c r="AE193"/>
    </row>
    <row r="194" spans="1:31" s="27" customFormat="1" x14ac:dyDescent="0.25">
      <c r="A194"/>
      <c r="B194"/>
      <c r="C194"/>
      <c r="D194"/>
      <c r="E194"/>
      <c r="F194"/>
      <c r="G194"/>
      <c r="H194"/>
      <c r="I194"/>
      <c r="J194"/>
      <c r="L194"/>
      <c r="M194"/>
      <c r="N194"/>
      <c r="O194"/>
      <c r="P194"/>
      <c r="Q194"/>
      <c r="R194"/>
      <c r="S194"/>
      <c r="T194"/>
      <c r="U194"/>
      <c r="V194"/>
      <c r="X194"/>
      <c r="Y194"/>
      <c r="Z194" s="209"/>
      <c r="AD194"/>
      <c r="AE194"/>
    </row>
    <row r="195" spans="1:31" s="27" customFormat="1" x14ac:dyDescent="0.25">
      <c r="A195"/>
      <c r="B195"/>
      <c r="C195"/>
      <c r="D195"/>
      <c r="E195"/>
      <c r="F195"/>
      <c r="G195"/>
      <c r="H195"/>
      <c r="I195"/>
      <c r="J195"/>
      <c r="L195"/>
      <c r="M195"/>
      <c r="N195"/>
      <c r="O195"/>
      <c r="P195"/>
      <c r="Q195"/>
      <c r="R195"/>
      <c r="S195"/>
      <c r="T195"/>
      <c r="U195"/>
      <c r="V195"/>
      <c r="X195"/>
      <c r="Y195"/>
      <c r="Z195" s="209"/>
      <c r="AD195"/>
      <c r="AE195"/>
    </row>
    <row r="196" spans="1:31" s="27" customFormat="1" x14ac:dyDescent="0.25">
      <c r="A196"/>
      <c r="B196"/>
      <c r="C196"/>
      <c r="D196"/>
      <c r="E196"/>
      <c r="F196"/>
      <c r="G196"/>
      <c r="H196"/>
      <c r="I196"/>
      <c r="J196"/>
      <c r="L196"/>
      <c r="M196"/>
      <c r="N196"/>
      <c r="O196"/>
      <c r="P196"/>
      <c r="Q196"/>
      <c r="R196"/>
      <c r="S196"/>
      <c r="T196"/>
      <c r="U196"/>
      <c r="V196"/>
      <c r="X196"/>
      <c r="Y196"/>
      <c r="Z196" s="209"/>
      <c r="AD196"/>
      <c r="AE196"/>
    </row>
    <row r="197" spans="1:31" s="27" customFormat="1" x14ac:dyDescent="0.25">
      <c r="A197"/>
      <c r="B197"/>
      <c r="C197"/>
      <c r="D197"/>
      <c r="E197"/>
      <c r="F197"/>
      <c r="G197"/>
      <c r="H197"/>
      <c r="I197"/>
      <c r="J197"/>
      <c r="L197"/>
      <c r="M197"/>
      <c r="N197"/>
      <c r="O197"/>
      <c r="P197"/>
      <c r="Q197"/>
      <c r="R197"/>
      <c r="S197"/>
      <c r="T197"/>
      <c r="U197"/>
      <c r="V197"/>
      <c r="X197"/>
      <c r="Y197"/>
      <c r="Z197" s="209"/>
      <c r="AD197"/>
      <c r="AE197"/>
    </row>
    <row r="198" spans="1:31" s="27" customFormat="1" x14ac:dyDescent="0.25">
      <c r="A198"/>
      <c r="B198"/>
      <c r="C198"/>
      <c r="D198"/>
      <c r="E198"/>
      <c r="F198"/>
      <c r="G198"/>
      <c r="H198"/>
      <c r="I198"/>
      <c r="J198"/>
      <c r="L198"/>
      <c r="M198"/>
      <c r="N198"/>
      <c r="O198"/>
      <c r="P198"/>
      <c r="Q198"/>
      <c r="R198"/>
      <c r="S198"/>
      <c r="T198"/>
      <c r="U198"/>
      <c r="V198"/>
      <c r="X198"/>
      <c r="Y198"/>
      <c r="Z198" s="209"/>
      <c r="AD198"/>
      <c r="AE198"/>
    </row>
    <row r="199" spans="1:31" s="27" customFormat="1" x14ac:dyDescent="0.25">
      <c r="A199"/>
      <c r="B199"/>
      <c r="C199"/>
      <c r="D199"/>
      <c r="E199"/>
      <c r="F199"/>
      <c r="G199"/>
      <c r="H199"/>
      <c r="I199"/>
      <c r="J199"/>
      <c r="L199"/>
      <c r="M199"/>
      <c r="N199"/>
      <c r="O199"/>
      <c r="P199"/>
      <c r="Q199"/>
      <c r="R199"/>
      <c r="S199"/>
      <c r="T199"/>
      <c r="U199"/>
      <c r="V199"/>
      <c r="X199"/>
      <c r="Y199"/>
      <c r="Z199" s="209"/>
      <c r="AD199"/>
      <c r="AE199"/>
    </row>
    <row r="200" spans="1:31" s="27" customFormat="1" x14ac:dyDescent="0.25">
      <c r="A200"/>
      <c r="B200"/>
      <c r="C200"/>
      <c r="D200"/>
      <c r="E200"/>
      <c r="F200"/>
      <c r="G200"/>
      <c r="H200"/>
      <c r="I200"/>
      <c r="J200"/>
      <c r="L200"/>
      <c r="M200"/>
      <c r="N200"/>
      <c r="O200"/>
      <c r="P200"/>
      <c r="Q200"/>
      <c r="R200"/>
      <c r="S200"/>
      <c r="T200"/>
      <c r="U200"/>
      <c r="V200"/>
      <c r="X200"/>
      <c r="Y200"/>
      <c r="Z200" s="209"/>
      <c r="AD200"/>
      <c r="AE200"/>
    </row>
    <row r="201" spans="1:31" s="27" customFormat="1" x14ac:dyDescent="0.25">
      <c r="A201"/>
      <c r="B201"/>
      <c r="C201"/>
      <c r="D201"/>
      <c r="E201"/>
      <c r="F201"/>
      <c r="G201"/>
      <c r="H201"/>
      <c r="I201"/>
      <c r="J201"/>
      <c r="L201"/>
      <c r="M201"/>
      <c r="N201"/>
      <c r="O201"/>
      <c r="P201"/>
      <c r="Q201"/>
      <c r="R201"/>
      <c r="S201"/>
      <c r="T201"/>
      <c r="U201"/>
      <c r="V201"/>
      <c r="X201"/>
      <c r="Y201"/>
      <c r="Z201" s="209"/>
      <c r="AD201"/>
      <c r="AE201"/>
    </row>
    <row r="202" spans="1:31" s="27" customFormat="1" x14ac:dyDescent="0.25">
      <c r="A202"/>
      <c r="B202"/>
      <c r="C202"/>
      <c r="D202"/>
      <c r="E202"/>
      <c r="F202"/>
      <c r="G202"/>
      <c r="H202"/>
      <c r="I202"/>
      <c r="J202"/>
      <c r="L202"/>
      <c r="M202"/>
      <c r="N202"/>
      <c r="O202"/>
      <c r="P202"/>
      <c r="Q202"/>
      <c r="R202"/>
      <c r="S202"/>
      <c r="T202"/>
      <c r="U202"/>
      <c r="V202"/>
      <c r="X202"/>
      <c r="Y202"/>
      <c r="Z202" s="209"/>
      <c r="AD202"/>
      <c r="AE202"/>
    </row>
    <row r="203" spans="1:31" s="27" customFormat="1" x14ac:dyDescent="0.25">
      <c r="A203"/>
      <c r="B203"/>
      <c r="C203"/>
      <c r="D203"/>
      <c r="E203"/>
      <c r="F203"/>
      <c r="G203"/>
      <c r="H203"/>
      <c r="I203"/>
      <c r="J203"/>
      <c r="L203"/>
      <c r="M203"/>
      <c r="N203"/>
      <c r="O203"/>
      <c r="P203"/>
      <c r="Q203"/>
      <c r="R203"/>
      <c r="S203"/>
      <c r="T203"/>
      <c r="U203"/>
      <c r="V203"/>
      <c r="X203"/>
      <c r="Y203"/>
      <c r="Z203" s="209"/>
      <c r="AD203"/>
      <c r="AE203"/>
    </row>
    <row r="204" spans="1:31" s="27" customFormat="1" x14ac:dyDescent="0.25">
      <c r="A204"/>
      <c r="B204"/>
      <c r="C204"/>
      <c r="D204"/>
      <c r="E204"/>
      <c r="F204"/>
      <c r="G204"/>
      <c r="H204"/>
      <c r="I204"/>
      <c r="J204"/>
      <c r="L204"/>
      <c r="M204"/>
      <c r="N204"/>
      <c r="O204"/>
      <c r="P204"/>
      <c r="Q204"/>
      <c r="R204"/>
      <c r="S204"/>
      <c r="T204"/>
      <c r="U204"/>
      <c r="V204"/>
      <c r="X204"/>
      <c r="Y204"/>
      <c r="Z204" s="209"/>
      <c r="AD204"/>
      <c r="AE204"/>
    </row>
    <row r="205" spans="1:31" s="27" customFormat="1" x14ac:dyDescent="0.25">
      <c r="A205"/>
      <c r="B205"/>
      <c r="C205"/>
      <c r="D205"/>
      <c r="E205"/>
      <c r="F205"/>
      <c r="G205"/>
      <c r="H205"/>
      <c r="I205"/>
      <c r="J205"/>
      <c r="L205"/>
      <c r="M205"/>
      <c r="N205"/>
      <c r="O205"/>
      <c r="P205"/>
      <c r="Q205"/>
      <c r="R205"/>
      <c r="S205"/>
      <c r="T205"/>
      <c r="U205"/>
      <c r="V205"/>
      <c r="X205"/>
      <c r="Y205"/>
      <c r="Z205" s="209"/>
      <c r="AD205"/>
      <c r="AE205"/>
    </row>
    <row r="206" spans="1:31" s="27" customFormat="1" x14ac:dyDescent="0.25">
      <c r="A206"/>
      <c r="B206"/>
      <c r="C206"/>
      <c r="D206"/>
      <c r="E206"/>
      <c r="F206"/>
      <c r="G206"/>
      <c r="H206"/>
      <c r="I206"/>
      <c r="J206"/>
      <c r="L206"/>
      <c r="M206"/>
      <c r="N206"/>
      <c r="O206"/>
      <c r="P206"/>
      <c r="Q206"/>
      <c r="R206"/>
      <c r="S206"/>
      <c r="T206"/>
      <c r="U206"/>
      <c r="V206"/>
      <c r="X206"/>
      <c r="Y206"/>
      <c r="Z206" s="209"/>
      <c r="AD206"/>
      <c r="AE206"/>
    </row>
    <row r="207" spans="1:31" s="27" customFormat="1" x14ac:dyDescent="0.25">
      <c r="A207"/>
      <c r="B207"/>
      <c r="C207"/>
      <c r="D207"/>
      <c r="E207"/>
      <c r="F207"/>
      <c r="G207"/>
      <c r="H207"/>
      <c r="I207"/>
      <c r="J207"/>
      <c r="L207"/>
      <c r="M207"/>
      <c r="N207"/>
      <c r="O207"/>
      <c r="P207"/>
      <c r="Q207"/>
      <c r="R207"/>
      <c r="S207"/>
      <c r="T207"/>
      <c r="U207"/>
      <c r="V207"/>
      <c r="X207"/>
      <c r="Y207"/>
      <c r="Z207" s="209"/>
      <c r="AD207"/>
      <c r="AE207"/>
    </row>
    <row r="208" spans="1:31" s="27" customFormat="1" x14ac:dyDescent="0.25">
      <c r="A208"/>
      <c r="B208"/>
      <c r="C208"/>
      <c r="D208"/>
      <c r="E208"/>
      <c r="F208"/>
      <c r="G208"/>
      <c r="H208"/>
      <c r="I208"/>
      <c r="J208"/>
      <c r="L208"/>
      <c r="M208"/>
      <c r="N208"/>
      <c r="O208"/>
      <c r="P208"/>
      <c r="Q208"/>
      <c r="R208"/>
      <c r="S208"/>
      <c r="T208"/>
      <c r="U208"/>
      <c r="V208"/>
      <c r="X208"/>
      <c r="Y208"/>
      <c r="Z208" s="209"/>
      <c r="AD208"/>
      <c r="AE208"/>
    </row>
    <row r="209" spans="1:31" s="27" customFormat="1" x14ac:dyDescent="0.25">
      <c r="A209"/>
      <c r="B209"/>
      <c r="C209"/>
      <c r="D209"/>
      <c r="E209"/>
      <c r="F209"/>
      <c r="G209"/>
      <c r="H209"/>
      <c r="I209"/>
      <c r="J209"/>
      <c r="L209"/>
      <c r="M209"/>
      <c r="N209"/>
      <c r="O209"/>
      <c r="P209"/>
      <c r="Q209"/>
      <c r="R209"/>
      <c r="S209"/>
      <c r="T209"/>
      <c r="U209"/>
      <c r="V209"/>
      <c r="X209"/>
      <c r="Y209"/>
      <c r="Z209" s="209"/>
      <c r="AD209"/>
      <c r="AE209"/>
    </row>
    <row r="210" spans="1:31" s="27" customFormat="1" x14ac:dyDescent="0.25">
      <c r="A210"/>
      <c r="B210"/>
      <c r="C210"/>
      <c r="D210"/>
      <c r="E210"/>
      <c r="F210"/>
      <c r="G210"/>
      <c r="H210"/>
      <c r="I210"/>
      <c r="J210"/>
      <c r="L210"/>
      <c r="M210"/>
      <c r="N210"/>
      <c r="O210"/>
      <c r="P210"/>
      <c r="Q210"/>
      <c r="R210"/>
      <c r="S210"/>
      <c r="T210"/>
      <c r="U210"/>
      <c r="V210"/>
      <c r="X210"/>
      <c r="Y210"/>
      <c r="Z210" s="209"/>
      <c r="AD210"/>
      <c r="AE210"/>
    </row>
    <row r="211" spans="1:31" s="27" customFormat="1" x14ac:dyDescent="0.25">
      <c r="A211"/>
      <c r="B211"/>
      <c r="C211"/>
      <c r="D211"/>
      <c r="E211"/>
      <c r="F211"/>
      <c r="G211"/>
      <c r="H211"/>
      <c r="I211"/>
      <c r="J211"/>
      <c r="L211"/>
      <c r="M211"/>
      <c r="N211"/>
      <c r="O211"/>
      <c r="P211"/>
      <c r="Q211"/>
      <c r="R211"/>
      <c r="S211"/>
      <c r="T211"/>
      <c r="U211"/>
      <c r="V211"/>
      <c r="X211"/>
      <c r="Y211"/>
      <c r="Z211" s="209"/>
      <c r="AD211"/>
      <c r="AE211"/>
    </row>
    <row r="212" spans="1:31" s="27" customFormat="1" x14ac:dyDescent="0.25">
      <c r="A212"/>
      <c r="B212"/>
      <c r="C212"/>
      <c r="D212"/>
      <c r="E212"/>
      <c r="F212"/>
      <c r="G212"/>
      <c r="H212"/>
      <c r="I212"/>
      <c r="J212"/>
      <c r="L212"/>
      <c r="M212"/>
      <c r="N212"/>
      <c r="O212"/>
      <c r="P212"/>
      <c r="Q212"/>
      <c r="R212"/>
      <c r="S212"/>
      <c r="T212"/>
      <c r="U212"/>
      <c r="V212"/>
      <c r="X212"/>
      <c r="Y212"/>
      <c r="Z212" s="209"/>
      <c r="AD212"/>
      <c r="AE212"/>
    </row>
    <row r="213" spans="1:31" s="27" customFormat="1" x14ac:dyDescent="0.25">
      <c r="A213"/>
      <c r="B213"/>
      <c r="C213"/>
      <c r="D213"/>
      <c r="E213"/>
      <c r="F213"/>
      <c r="G213"/>
      <c r="H213"/>
      <c r="I213"/>
      <c r="J213"/>
      <c r="L213"/>
      <c r="M213"/>
      <c r="N213"/>
      <c r="O213"/>
      <c r="P213"/>
      <c r="Q213"/>
      <c r="R213"/>
      <c r="S213"/>
      <c r="T213"/>
      <c r="U213"/>
      <c r="V213"/>
      <c r="X213"/>
      <c r="Y213"/>
      <c r="Z213" s="209"/>
      <c r="AD213"/>
      <c r="AE213"/>
    </row>
    <row r="214" spans="1:31" s="27" customFormat="1" x14ac:dyDescent="0.25">
      <c r="A214"/>
      <c r="B214"/>
      <c r="C214"/>
      <c r="D214"/>
      <c r="E214"/>
      <c r="F214"/>
      <c r="G214"/>
      <c r="H214"/>
      <c r="I214"/>
      <c r="J214"/>
      <c r="L214"/>
      <c r="M214"/>
      <c r="N214"/>
      <c r="O214"/>
      <c r="P214"/>
      <c r="Q214"/>
      <c r="R214"/>
      <c r="S214"/>
      <c r="T214"/>
      <c r="U214"/>
      <c r="V214"/>
      <c r="X214"/>
      <c r="Y214"/>
      <c r="Z214" s="209"/>
      <c r="AD214"/>
      <c r="AE214"/>
    </row>
    <row r="215" spans="1:31" s="27" customFormat="1" x14ac:dyDescent="0.25">
      <c r="A215"/>
      <c r="B215"/>
      <c r="C215"/>
      <c r="D215"/>
      <c r="E215"/>
      <c r="F215"/>
      <c r="G215"/>
      <c r="H215"/>
      <c r="I215"/>
      <c r="J215"/>
      <c r="L215"/>
      <c r="M215"/>
      <c r="N215"/>
      <c r="O215"/>
      <c r="P215"/>
      <c r="Q215"/>
      <c r="R215"/>
      <c r="S215"/>
      <c r="T215"/>
      <c r="U215"/>
      <c r="V215"/>
      <c r="X215"/>
      <c r="Y215"/>
      <c r="Z215" s="209"/>
      <c r="AD215"/>
      <c r="AE215"/>
    </row>
    <row r="216" spans="1:31" s="27" customFormat="1" x14ac:dyDescent="0.25">
      <c r="A216"/>
      <c r="B216"/>
      <c r="C216"/>
      <c r="D216"/>
      <c r="E216"/>
      <c r="F216"/>
      <c r="G216"/>
      <c r="H216"/>
      <c r="I216"/>
      <c r="J216"/>
      <c r="L216"/>
      <c r="M216"/>
      <c r="N216"/>
      <c r="O216"/>
      <c r="P216"/>
      <c r="Q216"/>
      <c r="R216"/>
      <c r="S216"/>
      <c r="T216"/>
      <c r="U216"/>
      <c r="V216"/>
      <c r="X216"/>
      <c r="Y216"/>
      <c r="Z216" s="209"/>
      <c r="AD216"/>
      <c r="AE216"/>
    </row>
    <row r="217" spans="1:31" s="27" customFormat="1" x14ac:dyDescent="0.25">
      <c r="A217"/>
      <c r="B217"/>
      <c r="C217"/>
      <c r="D217"/>
      <c r="E217"/>
      <c r="F217"/>
      <c r="G217"/>
      <c r="H217"/>
      <c r="I217"/>
      <c r="J217"/>
      <c r="L217"/>
      <c r="M217"/>
      <c r="N217"/>
      <c r="O217"/>
      <c r="P217"/>
      <c r="Q217"/>
      <c r="R217"/>
      <c r="S217"/>
      <c r="T217"/>
      <c r="U217"/>
      <c r="V217"/>
      <c r="X217"/>
      <c r="Y217"/>
      <c r="Z217" s="209"/>
      <c r="AD217"/>
      <c r="AE217"/>
    </row>
    <row r="218" spans="1:31" s="27" customFormat="1" x14ac:dyDescent="0.25">
      <c r="A218"/>
      <c r="B218"/>
      <c r="C218"/>
      <c r="D218"/>
      <c r="E218"/>
      <c r="F218"/>
      <c r="G218"/>
      <c r="H218"/>
      <c r="I218"/>
      <c r="J218"/>
      <c r="L218"/>
      <c r="M218"/>
      <c r="N218"/>
      <c r="O218"/>
      <c r="P218"/>
      <c r="Q218"/>
      <c r="R218"/>
      <c r="S218"/>
      <c r="T218"/>
      <c r="U218"/>
      <c r="V218"/>
      <c r="X218"/>
      <c r="Y218"/>
      <c r="Z218" s="209"/>
      <c r="AD218"/>
      <c r="AE218"/>
    </row>
    <row r="219" spans="1:31" s="27" customFormat="1" x14ac:dyDescent="0.25">
      <c r="A219"/>
      <c r="B219"/>
      <c r="C219"/>
      <c r="D219"/>
      <c r="E219"/>
      <c r="F219"/>
      <c r="G219"/>
      <c r="H219"/>
      <c r="I219"/>
      <c r="J219"/>
      <c r="L219"/>
      <c r="M219"/>
      <c r="N219"/>
      <c r="O219"/>
      <c r="P219"/>
      <c r="Q219"/>
      <c r="R219"/>
      <c r="S219"/>
      <c r="T219"/>
      <c r="U219"/>
      <c r="V219"/>
      <c r="X219"/>
      <c r="Y219"/>
      <c r="Z219" s="209"/>
      <c r="AD219"/>
      <c r="AE219"/>
    </row>
    <row r="220" spans="1:31" s="27" customFormat="1" x14ac:dyDescent="0.25">
      <c r="A220"/>
      <c r="B220"/>
      <c r="C220"/>
      <c r="D220"/>
      <c r="E220"/>
      <c r="F220"/>
      <c r="G220"/>
      <c r="H220"/>
      <c r="I220"/>
      <c r="J220"/>
      <c r="L220"/>
      <c r="M220"/>
      <c r="N220"/>
      <c r="O220"/>
      <c r="P220"/>
      <c r="Q220"/>
      <c r="R220"/>
      <c r="S220"/>
      <c r="T220"/>
      <c r="U220"/>
      <c r="V220"/>
      <c r="X220"/>
      <c r="Y220"/>
      <c r="Z220" s="209"/>
      <c r="AD220"/>
      <c r="AE220"/>
    </row>
    <row r="221" spans="1:31" s="27" customFormat="1" x14ac:dyDescent="0.25">
      <c r="A221"/>
      <c r="B221"/>
      <c r="C221"/>
      <c r="D221"/>
      <c r="E221"/>
      <c r="F221"/>
      <c r="G221"/>
      <c r="H221"/>
      <c r="I221"/>
      <c r="J221"/>
      <c r="L221"/>
      <c r="M221"/>
      <c r="N221"/>
      <c r="O221"/>
      <c r="P221"/>
      <c r="Q221"/>
      <c r="R221"/>
      <c r="S221"/>
      <c r="T221"/>
      <c r="U221"/>
      <c r="V221"/>
      <c r="X221"/>
      <c r="Y221"/>
      <c r="Z221" s="209"/>
      <c r="AD221"/>
      <c r="AE221"/>
    </row>
    <row r="222" spans="1:31" s="27" customFormat="1" x14ac:dyDescent="0.25">
      <c r="A222"/>
      <c r="B222"/>
      <c r="C222"/>
      <c r="D222"/>
      <c r="E222"/>
      <c r="F222"/>
      <c r="G222"/>
      <c r="H222"/>
      <c r="I222"/>
      <c r="J222"/>
      <c r="L222"/>
      <c r="M222"/>
      <c r="N222"/>
      <c r="O222"/>
      <c r="P222"/>
      <c r="Q222"/>
      <c r="R222"/>
      <c r="S222"/>
      <c r="T222"/>
      <c r="U222"/>
      <c r="V222"/>
      <c r="X222"/>
      <c r="Y222"/>
      <c r="Z222" s="209"/>
      <c r="AD222"/>
      <c r="AE222"/>
    </row>
    <row r="223" spans="1:31" s="27" customFormat="1" x14ac:dyDescent="0.25">
      <c r="A223"/>
      <c r="B223"/>
      <c r="C223"/>
      <c r="D223"/>
      <c r="E223"/>
      <c r="F223"/>
      <c r="G223"/>
      <c r="H223"/>
      <c r="I223"/>
      <c r="J223"/>
      <c r="L223"/>
      <c r="M223"/>
      <c r="N223"/>
      <c r="O223"/>
      <c r="P223"/>
      <c r="Q223"/>
      <c r="R223"/>
      <c r="S223"/>
      <c r="T223"/>
      <c r="U223"/>
      <c r="V223"/>
      <c r="X223"/>
      <c r="Y223"/>
      <c r="Z223" s="209"/>
      <c r="AD223"/>
      <c r="AE223"/>
    </row>
    <row r="224" spans="1:31" s="27" customFormat="1" x14ac:dyDescent="0.25">
      <c r="A224"/>
      <c r="B224"/>
      <c r="C224"/>
      <c r="D224"/>
      <c r="E224"/>
      <c r="F224"/>
      <c r="G224"/>
      <c r="H224"/>
      <c r="I224"/>
      <c r="J224"/>
      <c r="L224"/>
      <c r="M224"/>
      <c r="N224"/>
      <c r="O224"/>
      <c r="P224"/>
      <c r="Q224"/>
      <c r="R224"/>
      <c r="S224"/>
      <c r="T224"/>
      <c r="U224"/>
      <c r="V224"/>
      <c r="X224"/>
      <c r="Y224"/>
      <c r="Z224" s="209"/>
      <c r="AD224"/>
      <c r="AE224"/>
    </row>
    <row r="225" spans="1:31" s="27" customFormat="1" x14ac:dyDescent="0.25">
      <c r="A225"/>
      <c r="B225"/>
      <c r="C225"/>
      <c r="D225"/>
      <c r="E225"/>
      <c r="F225"/>
      <c r="G225"/>
      <c r="H225"/>
      <c r="I225"/>
      <c r="J225"/>
      <c r="L225"/>
      <c r="M225"/>
      <c r="N225"/>
      <c r="O225"/>
      <c r="P225"/>
      <c r="Q225"/>
      <c r="R225"/>
      <c r="S225"/>
      <c r="T225"/>
      <c r="U225"/>
      <c r="V225"/>
      <c r="X225"/>
      <c r="Y225"/>
      <c r="Z225" s="209"/>
      <c r="AD225"/>
      <c r="AE225"/>
    </row>
    <row r="226" spans="1:31" s="27" customFormat="1" x14ac:dyDescent="0.25">
      <c r="A226"/>
      <c r="B226"/>
      <c r="C226"/>
      <c r="D226"/>
      <c r="E226"/>
      <c r="F226"/>
      <c r="G226"/>
      <c r="H226"/>
      <c r="I226"/>
      <c r="J226"/>
      <c r="L226"/>
      <c r="M226"/>
      <c r="N226"/>
      <c r="O226"/>
      <c r="P226"/>
      <c r="Q226"/>
      <c r="R226"/>
      <c r="S226"/>
      <c r="T226"/>
      <c r="U226"/>
      <c r="V226"/>
      <c r="X226"/>
      <c r="Y226"/>
      <c r="Z226" s="209"/>
      <c r="AD226"/>
      <c r="AE226"/>
    </row>
    <row r="227" spans="1:31" s="27" customFormat="1" x14ac:dyDescent="0.25">
      <c r="A227"/>
      <c r="B227"/>
      <c r="C227"/>
      <c r="D227"/>
      <c r="E227"/>
      <c r="F227"/>
      <c r="G227"/>
      <c r="H227"/>
      <c r="I227"/>
      <c r="J227"/>
      <c r="L227"/>
      <c r="M227"/>
      <c r="N227"/>
      <c r="O227"/>
      <c r="P227"/>
      <c r="Q227"/>
      <c r="R227"/>
      <c r="S227"/>
      <c r="T227"/>
      <c r="U227"/>
      <c r="V227"/>
      <c r="X227"/>
      <c r="Y227"/>
      <c r="Z227" s="209"/>
      <c r="AD227"/>
      <c r="AE227"/>
    </row>
    <row r="228" spans="1:31" s="27" customFormat="1" x14ac:dyDescent="0.25">
      <c r="A228"/>
      <c r="B228"/>
      <c r="C228"/>
      <c r="D228"/>
      <c r="E228"/>
      <c r="F228"/>
      <c r="G228"/>
      <c r="H228"/>
      <c r="I228"/>
      <c r="J228"/>
      <c r="L228"/>
      <c r="M228"/>
      <c r="N228"/>
      <c r="O228"/>
      <c r="P228"/>
      <c r="Q228"/>
      <c r="R228"/>
      <c r="S228"/>
      <c r="T228"/>
      <c r="U228"/>
      <c r="V228"/>
      <c r="X228"/>
      <c r="Y228"/>
      <c r="Z228" s="209"/>
      <c r="AD228"/>
      <c r="AE228"/>
    </row>
    <row r="229" spans="1:31" s="27" customFormat="1" x14ac:dyDescent="0.25">
      <c r="A229"/>
      <c r="B229"/>
      <c r="C229"/>
      <c r="D229"/>
      <c r="E229"/>
      <c r="F229"/>
      <c r="G229"/>
      <c r="H229"/>
      <c r="I229"/>
      <c r="J229"/>
      <c r="L229"/>
      <c r="M229"/>
      <c r="N229"/>
      <c r="O229"/>
      <c r="P229"/>
      <c r="Q229"/>
      <c r="R229"/>
      <c r="S229"/>
      <c r="T229"/>
      <c r="U229"/>
      <c r="V229"/>
      <c r="X229"/>
      <c r="Y229"/>
      <c r="Z229" s="209"/>
      <c r="AD229"/>
      <c r="AE229"/>
    </row>
    <row r="230" spans="1:31" s="27" customFormat="1" x14ac:dyDescent="0.25">
      <c r="A230"/>
      <c r="B230"/>
      <c r="C230"/>
      <c r="D230"/>
      <c r="E230"/>
      <c r="F230"/>
      <c r="G230"/>
      <c r="H230"/>
      <c r="I230"/>
      <c r="J230"/>
      <c r="L230"/>
      <c r="M230"/>
      <c r="N230"/>
      <c r="O230"/>
      <c r="P230"/>
      <c r="Q230"/>
      <c r="R230"/>
      <c r="S230"/>
      <c r="T230"/>
      <c r="U230"/>
      <c r="V230"/>
      <c r="X230"/>
      <c r="Y230"/>
      <c r="Z230" s="209"/>
      <c r="AD230"/>
      <c r="AE230"/>
    </row>
    <row r="231" spans="1:31" s="27" customFormat="1" x14ac:dyDescent="0.25">
      <c r="A231"/>
      <c r="B231"/>
      <c r="C231"/>
      <c r="D231"/>
      <c r="E231"/>
      <c r="F231"/>
      <c r="G231"/>
      <c r="H231"/>
      <c r="I231"/>
      <c r="J231"/>
      <c r="L231"/>
      <c r="M231"/>
      <c r="N231"/>
      <c r="O231"/>
      <c r="P231"/>
      <c r="Q231"/>
      <c r="R231"/>
      <c r="S231"/>
      <c r="T231"/>
      <c r="U231"/>
      <c r="V231"/>
      <c r="X231"/>
      <c r="Y231"/>
      <c r="Z231" s="209"/>
      <c r="AD231"/>
      <c r="AE231"/>
    </row>
    <row r="232" spans="1:31" s="27" customFormat="1" x14ac:dyDescent="0.25">
      <c r="A232"/>
      <c r="B232"/>
      <c r="C232"/>
      <c r="D232"/>
      <c r="E232"/>
      <c r="F232"/>
      <c r="G232"/>
      <c r="H232"/>
      <c r="I232"/>
      <c r="J232"/>
      <c r="L232"/>
      <c r="M232"/>
      <c r="N232"/>
      <c r="O232"/>
      <c r="P232"/>
      <c r="Q232"/>
      <c r="R232"/>
      <c r="S232"/>
      <c r="T232"/>
      <c r="U232"/>
      <c r="V232"/>
      <c r="X232"/>
      <c r="Y232"/>
      <c r="Z232" s="209"/>
      <c r="AD232"/>
      <c r="AE232"/>
    </row>
    <row r="233" spans="1:31" s="27" customFormat="1" x14ac:dyDescent="0.25">
      <c r="A233"/>
      <c r="B233"/>
      <c r="C233"/>
      <c r="D233"/>
      <c r="E233"/>
      <c r="F233"/>
      <c r="G233"/>
      <c r="H233"/>
      <c r="I233"/>
      <c r="J233"/>
      <c r="L233"/>
      <c r="M233"/>
      <c r="N233"/>
      <c r="O233"/>
      <c r="P233"/>
      <c r="Q233"/>
      <c r="R233"/>
      <c r="S233"/>
      <c r="T233"/>
      <c r="U233"/>
      <c r="V233"/>
      <c r="X233"/>
      <c r="Y233"/>
      <c r="Z233" s="209"/>
      <c r="AD233"/>
      <c r="AE233"/>
    </row>
    <row r="234" spans="1:31" s="27" customFormat="1" x14ac:dyDescent="0.25">
      <c r="A234"/>
      <c r="B234"/>
      <c r="C234"/>
      <c r="D234"/>
      <c r="E234"/>
      <c r="F234"/>
      <c r="G234"/>
      <c r="H234"/>
      <c r="I234"/>
      <c r="J234"/>
      <c r="L234"/>
      <c r="M234"/>
      <c r="N234"/>
      <c r="O234"/>
      <c r="P234"/>
      <c r="Q234"/>
      <c r="R234"/>
      <c r="S234"/>
      <c r="T234"/>
      <c r="U234"/>
      <c r="V234"/>
      <c r="X234"/>
      <c r="Y234"/>
      <c r="Z234" s="209"/>
      <c r="AD234"/>
      <c r="AE234"/>
    </row>
    <row r="235" spans="1:31" s="27" customFormat="1" x14ac:dyDescent="0.25">
      <c r="A235"/>
      <c r="B235"/>
      <c r="C235"/>
      <c r="D235"/>
      <c r="E235"/>
      <c r="F235"/>
      <c r="G235"/>
      <c r="H235"/>
      <c r="I235"/>
      <c r="J235"/>
      <c r="L235"/>
      <c r="M235"/>
      <c r="N235"/>
      <c r="O235"/>
      <c r="P235"/>
      <c r="Q235"/>
      <c r="R235"/>
      <c r="S235"/>
      <c r="T235"/>
      <c r="U235"/>
      <c r="V235"/>
      <c r="X235"/>
      <c r="Y235"/>
      <c r="Z235" s="209"/>
      <c r="AD235"/>
      <c r="AE235"/>
    </row>
    <row r="236" spans="1:31" s="27" customFormat="1" x14ac:dyDescent="0.25">
      <c r="A236"/>
      <c r="B236"/>
      <c r="C236"/>
      <c r="D236"/>
      <c r="E236"/>
      <c r="F236"/>
      <c r="G236"/>
      <c r="H236"/>
      <c r="I236"/>
      <c r="J236"/>
      <c r="L236"/>
      <c r="M236"/>
      <c r="N236"/>
      <c r="O236"/>
      <c r="P236"/>
      <c r="Q236"/>
      <c r="R236"/>
      <c r="S236"/>
      <c r="T236"/>
      <c r="U236"/>
      <c r="V236"/>
      <c r="X236"/>
      <c r="Y236"/>
      <c r="Z236" s="209"/>
      <c r="AD236"/>
      <c r="AE236"/>
    </row>
    <row r="237" spans="1:31" s="27" customFormat="1" x14ac:dyDescent="0.25">
      <c r="A237"/>
      <c r="B237"/>
      <c r="C237"/>
      <c r="D237"/>
      <c r="E237"/>
      <c r="F237"/>
      <c r="G237"/>
      <c r="H237"/>
      <c r="I237"/>
      <c r="J237"/>
      <c r="L237"/>
      <c r="M237"/>
      <c r="N237"/>
      <c r="O237"/>
      <c r="P237"/>
      <c r="Q237"/>
      <c r="R237"/>
      <c r="S237"/>
      <c r="T237"/>
      <c r="U237"/>
      <c r="V237"/>
      <c r="X237"/>
      <c r="Y237"/>
      <c r="Z237" s="209"/>
      <c r="AD237"/>
      <c r="AE237"/>
    </row>
    <row r="238" spans="1:31" s="27" customFormat="1" x14ac:dyDescent="0.25">
      <c r="A238"/>
      <c r="B238"/>
      <c r="C238"/>
      <c r="D238"/>
      <c r="E238"/>
      <c r="F238"/>
      <c r="G238"/>
      <c r="H238"/>
      <c r="I238"/>
      <c r="J238"/>
      <c r="L238"/>
      <c r="M238"/>
      <c r="N238"/>
      <c r="O238"/>
      <c r="P238"/>
      <c r="Q238"/>
      <c r="R238"/>
      <c r="S238"/>
      <c r="T238"/>
      <c r="U238"/>
      <c r="V238"/>
      <c r="X238"/>
      <c r="Y238"/>
      <c r="Z238" s="209"/>
      <c r="AD238"/>
      <c r="AE238"/>
    </row>
    <row r="239" spans="1:31" s="27" customFormat="1" x14ac:dyDescent="0.25">
      <c r="A239"/>
      <c r="B239"/>
      <c r="C239"/>
      <c r="D239"/>
      <c r="E239"/>
      <c r="F239"/>
      <c r="G239"/>
      <c r="H239"/>
      <c r="I239"/>
      <c r="J239"/>
      <c r="L239"/>
      <c r="M239"/>
      <c r="N239"/>
      <c r="O239"/>
      <c r="P239"/>
      <c r="Q239"/>
      <c r="R239"/>
      <c r="S239"/>
      <c r="T239"/>
      <c r="U239"/>
      <c r="V239"/>
      <c r="X239"/>
      <c r="Y239"/>
      <c r="Z239" s="209"/>
      <c r="AD239"/>
      <c r="AE239"/>
    </row>
    <row r="240" spans="1:31" s="27" customFormat="1" x14ac:dyDescent="0.25">
      <c r="A240"/>
      <c r="B240"/>
      <c r="C240"/>
      <c r="D240"/>
      <c r="E240"/>
      <c r="F240"/>
      <c r="G240"/>
      <c r="H240"/>
      <c r="I240"/>
      <c r="J240"/>
      <c r="L240"/>
      <c r="M240"/>
      <c r="N240"/>
      <c r="O240"/>
      <c r="P240"/>
      <c r="Q240"/>
      <c r="R240"/>
      <c r="S240"/>
      <c r="T240"/>
      <c r="U240"/>
      <c r="V240"/>
      <c r="X240"/>
      <c r="Y240"/>
      <c r="Z240" s="209"/>
      <c r="AD240"/>
      <c r="AE240"/>
    </row>
    <row r="241" spans="1:31" s="27" customFormat="1" x14ac:dyDescent="0.25">
      <c r="A241"/>
      <c r="B241"/>
      <c r="C241"/>
      <c r="D241"/>
      <c r="E241"/>
      <c r="F241"/>
      <c r="G241"/>
      <c r="H241"/>
      <c r="I241"/>
      <c r="J241"/>
      <c r="L241"/>
      <c r="M241"/>
      <c r="N241"/>
      <c r="O241"/>
      <c r="P241"/>
      <c r="Q241"/>
      <c r="R241"/>
      <c r="S241"/>
      <c r="T241"/>
      <c r="U241"/>
      <c r="V241"/>
      <c r="X241"/>
      <c r="Y241"/>
      <c r="Z241" s="209"/>
      <c r="AD241"/>
      <c r="AE241"/>
    </row>
    <row r="242" spans="1:31" s="27" customFormat="1" x14ac:dyDescent="0.25">
      <c r="A242"/>
      <c r="B242"/>
      <c r="C242"/>
      <c r="D242"/>
      <c r="E242"/>
      <c r="F242"/>
      <c r="G242"/>
      <c r="H242"/>
      <c r="I242"/>
      <c r="J242"/>
      <c r="L242"/>
      <c r="M242"/>
      <c r="N242"/>
      <c r="O242"/>
      <c r="P242"/>
      <c r="Q242"/>
      <c r="R242"/>
      <c r="S242"/>
      <c r="T242"/>
      <c r="U242"/>
      <c r="V242"/>
      <c r="X242"/>
      <c r="Y242"/>
      <c r="Z242" s="209"/>
      <c r="AD242"/>
      <c r="AE242"/>
    </row>
    <row r="243" spans="1:31" s="27" customFormat="1" x14ac:dyDescent="0.25">
      <c r="A243"/>
      <c r="B243"/>
      <c r="C243"/>
      <c r="D243"/>
      <c r="E243"/>
      <c r="F243"/>
      <c r="G243"/>
      <c r="H243"/>
      <c r="I243"/>
      <c r="J243"/>
      <c r="L243"/>
      <c r="M243"/>
      <c r="N243"/>
      <c r="O243"/>
      <c r="P243"/>
      <c r="Q243"/>
      <c r="R243"/>
      <c r="S243"/>
      <c r="T243"/>
      <c r="U243"/>
      <c r="V243"/>
      <c r="X243"/>
      <c r="Y243"/>
      <c r="Z243" s="209"/>
      <c r="AD243"/>
      <c r="AE243"/>
    </row>
    <row r="244" spans="1:31" s="27" customFormat="1" x14ac:dyDescent="0.25">
      <c r="A244"/>
      <c r="B244"/>
      <c r="C244"/>
      <c r="D244"/>
      <c r="E244"/>
      <c r="F244"/>
      <c r="G244"/>
      <c r="H244"/>
      <c r="I244"/>
      <c r="J244"/>
      <c r="L244"/>
      <c r="M244"/>
      <c r="N244"/>
      <c r="O244"/>
      <c r="P244"/>
      <c r="Q244"/>
      <c r="R244"/>
      <c r="S244"/>
      <c r="T244"/>
      <c r="U244"/>
      <c r="V244"/>
      <c r="X244"/>
      <c r="Y244"/>
      <c r="Z244" s="209"/>
      <c r="AD244"/>
      <c r="AE244"/>
    </row>
    <row r="245" spans="1:31" s="27" customFormat="1" x14ac:dyDescent="0.25">
      <c r="A245"/>
      <c r="B245"/>
      <c r="C245"/>
      <c r="D245"/>
      <c r="E245"/>
      <c r="F245"/>
      <c r="G245"/>
      <c r="H245"/>
      <c r="I245"/>
      <c r="J245"/>
      <c r="L245"/>
      <c r="M245"/>
      <c r="N245"/>
      <c r="O245"/>
      <c r="P245"/>
      <c r="Q245"/>
      <c r="R245"/>
      <c r="S245"/>
      <c r="T245"/>
      <c r="U245"/>
      <c r="V245"/>
      <c r="X245"/>
      <c r="Y245"/>
      <c r="Z245" s="209"/>
      <c r="AD245"/>
      <c r="AE245"/>
    </row>
    <row r="246" spans="1:31" s="27" customFormat="1" x14ac:dyDescent="0.25">
      <c r="A246"/>
      <c r="B246"/>
      <c r="C246"/>
      <c r="D246"/>
      <c r="E246"/>
      <c r="F246"/>
      <c r="G246"/>
      <c r="H246"/>
      <c r="I246"/>
      <c r="J246"/>
      <c r="L246"/>
      <c r="M246"/>
      <c r="N246"/>
      <c r="O246"/>
      <c r="P246"/>
      <c r="Q246"/>
      <c r="R246"/>
      <c r="S246"/>
      <c r="T246"/>
      <c r="U246"/>
      <c r="V246"/>
      <c r="X246"/>
      <c r="Y246"/>
      <c r="Z246" s="209"/>
      <c r="AD246"/>
      <c r="AE246"/>
    </row>
    <row r="247" spans="1:31" s="27" customFormat="1" x14ac:dyDescent="0.25">
      <c r="A247"/>
      <c r="B247"/>
      <c r="C247"/>
      <c r="D247"/>
      <c r="E247"/>
      <c r="F247"/>
      <c r="G247"/>
      <c r="H247"/>
      <c r="I247"/>
      <c r="J247"/>
      <c r="L247"/>
      <c r="M247"/>
      <c r="N247"/>
      <c r="O247"/>
      <c r="P247"/>
      <c r="Q247"/>
      <c r="R247"/>
      <c r="S247"/>
      <c r="T247"/>
      <c r="U247"/>
      <c r="V247"/>
      <c r="X247"/>
      <c r="Y247"/>
      <c r="Z247" s="209"/>
      <c r="AD247"/>
      <c r="AE247"/>
    </row>
    <row r="248" spans="1:31" s="27" customFormat="1" x14ac:dyDescent="0.25">
      <c r="A248"/>
      <c r="B248"/>
      <c r="C248"/>
      <c r="D248"/>
      <c r="E248"/>
      <c r="F248"/>
      <c r="G248"/>
      <c r="H248"/>
      <c r="I248"/>
      <c r="J248"/>
      <c r="L248"/>
      <c r="M248"/>
      <c r="N248"/>
      <c r="O248"/>
      <c r="P248"/>
      <c r="Q248"/>
      <c r="R248"/>
      <c r="S248"/>
      <c r="T248"/>
      <c r="U248"/>
      <c r="V248"/>
      <c r="X248"/>
      <c r="Y248"/>
      <c r="Z248" s="209"/>
      <c r="AD248"/>
      <c r="AE248"/>
    </row>
    <row r="249" spans="1:31" s="27" customFormat="1" x14ac:dyDescent="0.25">
      <c r="A249"/>
      <c r="B249"/>
      <c r="C249"/>
      <c r="D249"/>
      <c r="E249"/>
      <c r="F249"/>
      <c r="G249"/>
      <c r="H249"/>
      <c r="I249"/>
      <c r="J249"/>
      <c r="L249"/>
      <c r="M249"/>
      <c r="N249"/>
      <c r="O249"/>
      <c r="P249"/>
      <c r="Q249"/>
      <c r="R249"/>
      <c r="S249"/>
      <c r="T249"/>
      <c r="U249"/>
      <c r="V249"/>
      <c r="X249"/>
      <c r="Y249"/>
      <c r="Z249" s="209"/>
      <c r="AD249"/>
      <c r="AE249"/>
    </row>
    <row r="250" spans="1:31" s="27" customFormat="1" x14ac:dyDescent="0.25">
      <c r="A250"/>
      <c r="B250"/>
      <c r="C250"/>
      <c r="D250"/>
      <c r="E250"/>
      <c r="F250"/>
      <c r="G250"/>
      <c r="H250"/>
      <c r="I250"/>
      <c r="J250"/>
      <c r="L250"/>
      <c r="M250"/>
      <c r="N250"/>
      <c r="O250"/>
      <c r="P250"/>
      <c r="Q250"/>
      <c r="R250"/>
      <c r="S250"/>
      <c r="T250"/>
      <c r="U250"/>
      <c r="V250"/>
      <c r="X250"/>
      <c r="Y250"/>
      <c r="Z250" s="209"/>
      <c r="AD250"/>
      <c r="AE250"/>
    </row>
    <row r="251" spans="1:31" s="27" customFormat="1" x14ac:dyDescent="0.25">
      <c r="A251"/>
      <c r="B251"/>
      <c r="C251"/>
      <c r="D251"/>
      <c r="E251"/>
      <c r="F251"/>
      <c r="G251"/>
      <c r="H251"/>
      <c r="I251"/>
      <c r="J251"/>
      <c r="L251"/>
      <c r="M251"/>
      <c r="N251"/>
      <c r="O251"/>
      <c r="P251"/>
      <c r="Q251"/>
      <c r="R251"/>
      <c r="S251"/>
      <c r="T251"/>
      <c r="U251"/>
      <c r="V251"/>
      <c r="X251"/>
      <c r="Y251"/>
      <c r="Z251" s="209"/>
      <c r="AD251"/>
      <c r="AE251"/>
    </row>
    <row r="252" spans="1:31" s="27" customFormat="1" x14ac:dyDescent="0.25">
      <c r="A252"/>
      <c r="B252"/>
      <c r="C252"/>
      <c r="D252"/>
      <c r="E252"/>
      <c r="F252"/>
      <c r="G252"/>
      <c r="H252"/>
      <c r="I252"/>
      <c r="J252"/>
      <c r="L252"/>
      <c r="M252"/>
      <c r="N252"/>
      <c r="O252"/>
      <c r="P252"/>
      <c r="Q252"/>
      <c r="R252"/>
      <c r="S252"/>
      <c r="T252"/>
      <c r="U252"/>
      <c r="V252"/>
      <c r="X252"/>
      <c r="Y252"/>
      <c r="Z252" s="209"/>
      <c r="AD252"/>
      <c r="AE252"/>
    </row>
    <row r="253" spans="1:31" s="27" customFormat="1" x14ac:dyDescent="0.25">
      <c r="A253"/>
      <c r="B253"/>
      <c r="C253"/>
      <c r="D253"/>
      <c r="E253"/>
      <c r="F253"/>
      <c r="G253"/>
      <c r="H253"/>
      <c r="I253"/>
      <c r="J253"/>
      <c r="L253"/>
      <c r="M253"/>
      <c r="N253"/>
      <c r="O253"/>
      <c r="P253"/>
      <c r="Q253"/>
      <c r="R253"/>
      <c r="S253"/>
      <c r="T253"/>
      <c r="U253"/>
      <c r="V253"/>
      <c r="X253"/>
      <c r="Y253"/>
      <c r="Z253" s="209"/>
      <c r="AD253"/>
      <c r="AE253"/>
    </row>
    <row r="254" spans="1:31" s="27" customFormat="1" x14ac:dyDescent="0.25">
      <c r="A254"/>
      <c r="B254"/>
      <c r="C254"/>
      <c r="D254"/>
      <c r="E254"/>
      <c r="F254"/>
      <c r="G254"/>
      <c r="H254"/>
      <c r="I254"/>
      <c r="J254"/>
      <c r="L254"/>
      <c r="M254"/>
      <c r="N254"/>
      <c r="O254"/>
      <c r="P254"/>
      <c r="Q254"/>
      <c r="R254"/>
      <c r="S254"/>
      <c r="T254"/>
      <c r="U254"/>
      <c r="V254"/>
      <c r="X254"/>
      <c r="Y254"/>
      <c r="Z254" s="209"/>
      <c r="AD254"/>
      <c r="AE254"/>
    </row>
    <row r="255" spans="1:31" s="27" customFormat="1" x14ac:dyDescent="0.25">
      <c r="A255"/>
      <c r="B255"/>
      <c r="C255"/>
      <c r="D255"/>
      <c r="E255"/>
      <c r="F255"/>
      <c r="G255"/>
      <c r="H255"/>
      <c r="I255"/>
      <c r="J255"/>
      <c r="L255"/>
      <c r="M255"/>
      <c r="N255"/>
      <c r="O255"/>
      <c r="P255"/>
      <c r="Q255"/>
      <c r="R255"/>
      <c r="S255"/>
      <c r="T255"/>
      <c r="U255"/>
      <c r="V255"/>
      <c r="X255"/>
      <c r="Y255"/>
      <c r="Z255" s="209"/>
      <c r="AD255"/>
      <c r="AE255"/>
    </row>
    <row r="256" spans="1:31" s="27" customFormat="1" x14ac:dyDescent="0.25">
      <c r="A256"/>
      <c r="B256"/>
      <c r="C256"/>
      <c r="D256"/>
      <c r="E256"/>
      <c r="F256"/>
      <c r="G256"/>
      <c r="H256"/>
      <c r="I256"/>
      <c r="J256"/>
      <c r="L256"/>
      <c r="M256"/>
      <c r="N256"/>
      <c r="O256"/>
      <c r="P256"/>
      <c r="Q256"/>
      <c r="R256"/>
      <c r="S256"/>
      <c r="T256"/>
      <c r="U256"/>
      <c r="V256"/>
      <c r="X256"/>
      <c r="Y256"/>
      <c r="Z256" s="209"/>
      <c r="AD256"/>
      <c r="AE256"/>
    </row>
    <row r="257" spans="1:31" s="27" customFormat="1" x14ac:dyDescent="0.25">
      <c r="A257"/>
      <c r="B257"/>
      <c r="C257"/>
      <c r="D257"/>
      <c r="E257"/>
      <c r="F257"/>
      <c r="G257"/>
      <c r="H257"/>
      <c r="I257"/>
      <c r="J257"/>
      <c r="L257"/>
      <c r="M257"/>
      <c r="N257"/>
      <c r="O257"/>
      <c r="P257"/>
      <c r="Q257"/>
      <c r="R257"/>
      <c r="S257"/>
      <c r="T257"/>
      <c r="U257"/>
      <c r="V257"/>
      <c r="X257"/>
      <c r="Y257"/>
      <c r="Z257" s="209"/>
      <c r="AD257"/>
      <c r="AE257"/>
    </row>
    <row r="258" spans="1:31" s="27" customFormat="1" x14ac:dyDescent="0.25">
      <c r="A258"/>
      <c r="B258"/>
      <c r="C258"/>
      <c r="D258"/>
      <c r="E258"/>
      <c r="F258"/>
      <c r="G258"/>
      <c r="H258"/>
      <c r="I258"/>
      <c r="J258"/>
      <c r="L258"/>
      <c r="M258"/>
      <c r="N258"/>
      <c r="O258"/>
      <c r="P258"/>
      <c r="Q258"/>
      <c r="R258"/>
      <c r="S258"/>
      <c r="T258"/>
      <c r="U258"/>
      <c r="V258"/>
      <c r="X258"/>
      <c r="Y258"/>
      <c r="Z258" s="209"/>
      <c r="AD258"/>
      <c r="AE258"/>
    </row>
    <row r="259" spans="1:31" s="27" customFormat="1" x14ac:dyDescent="0.25">
      <c r="A259"/>
      <c r="B259"/>
      <c r="C259"/>
      <c r="D259"/>
      <c r="E259"/>
      <c r="F259"/>
      <c r="G259"/>
      <c r="H259"/>
      <c r="I259"/>
      <c r="J259"/>
      <c r="L259"/>
      <c r="M259"/>
      <c r="N259"/>
      <c r="O259"/>
      <c r="P259"/>
      <c r="Q259"/>
      <c r="R259"/>
      <c r="S259"/>
      <c r="T259"/>
      <c r="U259"/>
      <c r="V259"/>
      <c r="X259"/>
      <c r="Y259"/>
      <c r="Z259" s="209"/>
      <c r="AD259"/>
      <c r="AE259"/>
    </row>
    <row r="260" spans="1:31" s="27" customFormat="1" x14ac:dyDescent="0.25">
      <c r="A260"/>
      <c r="B260"/>
      <c r="C260"/>
      <c r="D260"/>
      <c r="E260"/>
      <c r="F260"/>
      <c r="G260"/>
      <c r="H260"/>
      <c r="I260"/>
      <c r="J260"/>
      <c r="L260"/>
      <c r="M260"/>
      <c r="N260"/>
      <c r="O260"/>
      <c r="P260"/>
      <c r="Q260"/>
      <c r="R260"/>
      <c r="S260"/>
      <c r="T260"/>
      <c r="U260"/>
      <c r="V260"/>
      <c r="X260"/>
      <c r="Y260"/>
      <c r="Z260" s="209"/>
      <c r="AD260"/>
      <c r="AE260"/>
    </row>
    <row r="261" spans="1:31" s="27" customFormat="1" x14ac:dyDescent="0.25">
      <c r="A261"/>
      <c r="B261"/>
      <c r="C261"/>
      <c r="D261"/>
      <c r="E261"/>
      <c r="F261"/>
      <c r="G261"/>
      <c r="H261"/>
      <c r="I261"/>
      <c r="J261"/>
      <c r="L261"/>
      <c r="M261"/>
      <c r="N261"/>
      <c r="O261"/>
      <c r="P261"/>
      <c r="Q261"/>
      <c r="R261"/>
      <c r="S261"/>
      <c r="T261"/>
      <c r="U261"/>
      <c r="V261"/>
      <c r="X261"/>
      <c r="Y261"/>
      <c r="Z261" s="209"/>
      <c r="AD261"/>
      <c r="AE261"/>
    </row>
    <row r="262" spans="1:31" s="27" customFormat="1" x14ac:dyDescent="0.25">
      <c r="A262"/>
      <c r="B262"/>
      <c r="C262"/>
      <c r="D262"/>
      <c r="E262"/>
      <c r="F262"/>
      <c r="G262"/>
      <c r="H262"/>
      <c r="I262"/>
      <c r="J262"/>
      <c r="L262"/>
      <c r="M262"/>
      <c r="N262"/>
      <c r="O262"/>
      <c r="P262"/>
      <c r="Q262"/>
      <c r="R262"/>
      <c r="S262"/>
      <c r="T262"/>
      <c r="U262"/>
      <c r="V262"/>
      <c r="X262"/>
      <c r="Y262"/>
      <c r="Z262" s="209"/>
      <c r="AD262"/>
      <c r="AE262"/>
    </row>
    <row r="263" spans="1:31" s="27" customFormat="1" x14ac:dyDescent="0.25">
      <c r="A263"/>
      <c r="B263"/>
      <c r="C263"/>
      <c r="D263"/>
      <c r="E263"/>
      <c r="F263"/>
      <c r="G263"/>
      <c r="H263"/>
      <c r="I263"/>
      <c r="J263"/>
      <c r="L263"/>
      <c r="M263"/>
      <c r="N263"/>
      <c r="O263"/>
      <c r="P263"/>
      <c r="Q263"/>
      <c r="R263"/>
      <c r="S263"/>
      <c r="T263"/>
      <c r="U263"/>
      <c r="V263"/>
      <c r="X263"/>
      <c r="Y263"/>
      <c r="Z263" s="209"/>
      <c r="AD263"/>
      <c r="AE263"/>
    </row>
    <row r="264" spans="1:31" s="27" customFormat="1" x14ac:dyDescent="0.25">
      <c r="A264"/>
      <c r="B264"/>
      <c r="C264"/>
      <c r="D264"/>
      <c r="E264"/>
      <c r="F264"/>
      <c r="G264"/>
      <c r="H264"/>
      <c r="I264"/>
      <c r="J264"/>
      <c r="L264"/>
      <c r="M264"/>
      <c r="N264"/>
      <c r="O264"/>
      <c r="P264"/>
      <c r="Q264"/>
      <c r="R264"/>
      <c r="S264"/>
      <c r="T264"/>
      <c r="U264"/>
      <c r="V264"/>
      <c r="X264"/>
      <c r="Y264"/>
      <c r="Z264" s="209"/>
      <c r="AD264"/>
      <c r="AE264"/>
    </row>
    <row r="265" spans="1:31" s="27" customFormat="1" x14ac:dyDescent="0.25">
      <c r="A265"/>
      <c r="B265"/>
      <c r="C265"/>
      <c r="D265"/>
      <c r="E265"/>
      <c r="F265"/>
      <c r="G265"/>
      <c r="H265"/>
      <c r="I265"/>
      <c r="J265"/>
      <c r="L265"/>
      <c r="M265"/>
      <c r="N265"/>
      <c r="O265"/>
      <c r="P265"/>
      <c r="Q265"/>
      <c r="R265"/>
      <c r="S265"/>
      <c r="T265"/>
      <c r="U265"/>
      <c r="V265"/>
      <c r="X265"/>
      <c r="Y265"/>
      <c r="Z265" s="209"/>
      <c r="AD265"/>
      <c r="AE265"/>
    </row>
    <row r="266" spans="1:31" s="27" customFormat="1" x14ac:dyDescent="0.25">
      <c r="A266"/>
      <c r="B266"/>
      <c r="C266"/>
      <c r="D266"/>
      <c r="E266"/>
      <c r="F266"/>
      <c r="G266"/>
      <c r="H266"/>
      <c r="I266"/>
      <c r="J266"/>
      <c r="L266"/>
      <c r="M266"/>
      <c r="N266"/>
      <c r="O266"/>
      <c r="P266"/>
      <c r="Q266"/>
      <c r="R266"/>
      <c r="S266"/>
      <c r="T266"/>
      <c r="U266"/>
      <c r="V266"/>
      <c r="X266"/>
      <c r="Y266"/>
      <c r="Z266" s="209"/>
      <c r="AD266"/>
      <c r="AE266"/>
    </row>
    <row r="267" spans="1:31" s="27" customFormat="1" x14ac:dyDescent="0.25">
      <c r="A267"/>
      <c r="B267"/>
      <c r="C267"/>
      <c r="D267"/>
      <c r="E267"/>
      <c r="F267"/>
      <c r="G267"/>
      <c r="H267"/>
      <c r="I267"/>
      <c r="J267"/>
      <c r="L267"/>
      <c r="M267"/>
      <c r="N267"/>
      <c r="O267"/>
      <c r="P267"/>
      <c r="Q267"/>
      <c r="R267"/>
      <c r="S267"/>
      <c r="T267"/>
      <c r="U267"/>
      <c r="V267"/>
      <c r="X267"/>
      <c r="Y267"/>
      <c r="Z267" s="209"/>
      <c r="AD267"/>
      <c r="AE267"/>
    </row>
    <row r="268" spans="1:31" s="27" customFormat="1" x14ac:dyDescent="0.25">
      <c r="A268"/>
      <c r="B268"/>
      <c r="C268"/>
      <c r="D268"/>
      <c r="E268"/>
      <c r="F268"/>
      <c r="G268"/>
      <c r="H268"/>
      <c r="I268"/>
      <c r="J268"/>
      <c r="L268"/>
      <c r="M268"/>
      <c r="N268"/>
      <c r="O268"/>
      <c r="P268"/>
      <c r="Q268"/>
      <c r="R268"/>
      <c r="S268"/>
      <c r="T268"/>
      <c r="U268"/>
      <c r="V268"/>
      <c r="X268"/>
      <c r="Y268"/>
      <c r="Z268" s="209"/>
      <c r="AD268"/>
      <c r="AE268"/>
    </row>
    <row r="269" spans="1:31" s="27" customFormat="1" x14ac:dyDescent="0.25">
      <c r="A269"/>
      <c r="B269"/>
      <c r="C269"/>
      <c r="D269"/>
      <c r="E269"/>
      <c r="F269"/>
      <c r="G269"/>
      <c r="H269"/>
      <c r="I269"/>
      <c r="J269"/>
      <c r="L269"/>
      <c r="M269"/>
      <c r="N269"/>
      <c r="O269"/>
      <c r="P269"/>
      <c r="Q269"/>
      <c r="R269"/>
      <c r="S269"/>
      <c r="T269"/>
      <c r="U269"/>
      <c r="V269"/>
      <c r="X269"/>
      <c r="Y269"/>
      <c r="Z269" s="209"/>
      <c r="AD269"/>
      <c r="AE269"/>
    </row>
    <row r="270" spans="1:31" s="27" customFormat="1" x14ac:dyDescent="0.25">
      <c r="A270"/>
      <c r="B270"/>
      <c r="C270"/>
      <c r="D270"/>
      <c r="E270"/>
      <c r="F270"/>
      <c r="G270"/>
      <c r="H270"/>
      <c r="I270"/>
      <c r="J270"/>
      <c r="L270"/>
      <c r="M270"/>
      <c r="N270"/>
      <c r="O270"/>
      <c r="P270"/>
      <c r="Q270"/>
      <c r="R270"/>
      <c r="S270"/>
      <c r="T270"/>
      <c r="U270"/>
      <c r="V270"/>
      <c r="X270"/>
      <c r="Y270"/>
      <c r="Z270" s="209"/>
      <c r="AD270"/>
      <c r="AE270"/>
    </row>
    <row r="271" spans="1:31" s="27" customFormat="1" x14ac:dyDescent="0.25">
      <c r="A271"/>
      <c r="B271"/>
      <c r="C271"/>
      <c r="D271"/>
      <c r="E271"/>
      <c r="F271"/>
      <c r="G271"/>
      <c r="H271"/>
      <c r="I271"/>
      <c r="J271"/>
      <c r="L271"/>
      <c r="M271"/>
      <c r="N271"/>
      <c r="O271"/>
      <c r="P271"/>
      <c r="Q271"/>
      <c r="R271"/>
      <c r="S271"/>
      <c r="T271"/>
      <c r="U271"/>
      <c r="V271"/>
      <c r="X271"/>
      <c r="Y271"/>
      <c r="Z271" s="209"/>
      <c r="AD271"/>
      <c r="AE271"/>
    </row>
    <row r="272" spans="1:31" s="27" customFormat="1" x14ac:dyDescent="0.25">
      <c r="A272"/>
      <c r="B272"/>
      <c r="C272"/>
      <c r="D272"/>
      <c r="E272"/>
      <c r="F272"/>
      <c r="G272"/>
      <c r="H272"/>
      <c r="I272"/>
      <c r="J272"/>
      <c r="L272"/>
      <c r="M272"/>
      <c r="N272"/>
      <c r="O272"/>
      <c r="P272"/>
      <c r="Q272"/>
      <c r="R272"/>
      <c r="S272"/>
      <c r="T272"/>
      <c r="U272"/>
      <c r="V272"/>
      <c r="X272"/>
      <c r="Y272"/>
      <c r="Z272" s="209"/>
      <c r="AD272"/>
      <c r="AE272"/>
    </row>
    <row r="273" spans="1:31" s="27" customFormat="1" x14ac:dyDescent="0.25">
      <c r="A273"/>
      <c r="B273"/>
      <c r="C273"/>
      <c r="D273"/>
      <c r="E273"/>
      <c r="F273"/>
      <c r="G273"/>
      <c r="H273"/>
      <c r="I273"/>
      <c r="J273"/>
      <c r="L273"/>
      <c r="M273"/>
      <c r="N273"/>
      <c r="O273"/>
      <c r="P273"/>
      <c r="Q273"/>
      <c r="R273"/>
      <c r="S273"/>
      <c r="T273"/>
      <c r="U273"/>
      <c r="V273"/>
      <c r="X273"/>
      <c r="Y273"/>
      <c r="Z273" s="209"/>
      <c r="AD273"/>
      <c r="AE273"/>
    </row>
    <row r="274" spans="1:31" s="27" customFormat="1" x14ac:dyDescent="0.25">
      <c r="A274"/>
      <c r="B274"/>
      <c r="C274"/>
      <c r="D274"/>
      <c r="E274"/>
      <c r="F274"/>
      <c r="G274"/>
      <c r="H274"/>
      <c r="I274"/>
      <c r="J274"/>
      <c r="L274"/>
      <c r="M274"/>
      <c r="N274"/>
      <c r="O274"/>
      <c r="P274"/>
      <c r="Q274"/>
      <c r="R274"/>
      <c r="S274"/>
      <c r="T274"/>
      <c r="U274"/>
      <c r="V274"/>
      <c r="X274"/>
      <c r="Y274"/>
      <c r="Z274" s="209"/>
      <c r="AD274"/>
      <c r="AE274"/>
    </row>
    <row r="275" spans="1:31" s="27" customFormat="1" x14ac:dyDescent="0.25">
      <c r="A275"/>
      <c r="B275"/>
      <c r="C275"/>
      <c r="D275"/>
      <c r="E275"/>
      <c r="F275"/>
      <c r="G275"/>
      <c r="H275"/>
      <c r="I275"/>
      <c r="J275"/>
      <c r="L275"/>
      <c r="M275"/>
      <c r="N275"/>
      <c r="O275"/>
      <c r="P275"/>
      <c r="Q275"/>
      <c r="R275"/>
      <c r="S275"/>
      <c r="T275"/>
      <c r="U275"/>
      <c r="V275"/>
      <c r="X275"/>
      <c r="Y275"/>
      <c r="Z275" s="209"/>
      <c r="AD275"/>
      <c r="AE275"/>
    </row>
    <row r="276" spans="1:31" s="27" customFormat="1" x14ac:dyDescent="0.25">
      <c r="A276"/>
      <c r="B276"/>
      <c r="C276"/>
      <c r="D276"/>
      <c r="E276"/>
      <c r="F276"/>
      <c r="G276"/>
      <c r="H276"/>
      <c r="I276"/>
      <c r="J276"/>
      <c r="L276"/>
      <c r="M276"/>
      <c r="N276"/>
      <c r="O276"/>
      <c r="P276"/>
      <c r="Q276"/>
      <c r="R276"/>
      <c r="S276"/>
      <c r="T276"/>
      <c r="U276"/>
      <c r="V276"/>
      <c r="X276"/>
      <c r="Y276"/>
      <c r="Z276" s="209"/>
      <c r="AD276"/>
      <c r="AE276"/>
    </row>
    <row r="277" spans="1:31" s="27" customFormat="1" x14ac:dyDescent="0.25">
      <c r="A277"/>
      <c r="B277"/>
      <c r="C277"/>
      <c r="D277"/>
      <c r="E277"/>
      <c r="F277"/>
      <c r="G277"/>
      <c r="H277"/>
      <c r="I277"/>
      <c r="J277"/>
      <c r="L277"/>
      <c r="M277"/>
      <c r="N277"/>
      <c r="O277"/>
      <c r="P277"/>
      <c r="Q277"/>
      <c r="R277"/>
      <c r="S277"/>
      <c r="T277"/>
      <c r="U277"/>
      <c r="V277"/>
      <c r="X277"/>
      <c r="Y277"/>
      <c r="Z277" s="209"/>
      <c r="AD277"/>
      <c r="AE277"/>
    </row>
    <row r="278" spans="1:31" s="27" customFormat="1" x14ac:dyDescent="0.25">
      <c r="A278"/>
      <c r="B278"/>
      <c r="C278"/>
      <c r="D278"/>
      <c r="E278"/>
      <c r="F278"/>
      <c r="G278"/>
      <c r="H278"/>
      <c r="I278"/>
      <c r="J278"/>
      <c r="L278"/>
      <c r="M278"/>
      <c r="N278"/>
      <c r="O278"/>
      <c r="P278"/>
      <c r="Q278"/>
      <c r="R278"/>
      <c r="S278"/>
      <c r="T278"/>
      <c r="U278"/>
      <c r="V278"/>
      <c r="X278"/>
      <c r="Y278"/>
      <c r="Z278" s="209"/>
      <c r="AD278"/>
      <c r="AE278"/>
    </row>
    <row r="279" spans="1:31" s="27" customFormat="1" x14ac:dyDescent="0.25">
      <c r="A279"/>
      <c r="B279"/>
      <c r="C279"/>
      <c r="D279"/>
      <c r="E279"/>
      <c r="F279"/>
      <c r="G279"/>
      <c r="H279"/>
      <c r="I279"/>
      <c r="J279"/>
      <c r="L279"/>
      <c r="M279"/>
      <c r="N279"/>
      <c r="O279"/>
      <c r="P279"/>
      <c r="Q279"/>
      <c r="R279"/>
      <c r="S279"/>
      <c r="T279"/>
      <c r="U279"/>
      <c r="V279"/>
      <c r="X279"/>
      <c r="Y279"/>
      <c r="Z279" s="209"/>
      <c r="AD279"/>
      <c r="AE279"/>
    </row>
    <row r="280" spans="1:31" s="27" customFormat="1" x14ac:dyDescent="0.25">
      <c r="A280"/>
      <c r="B280"/>
      <c r="C280"/>
      <c r="D280"/>
      <c r="E280"/>
      <c r="F280"/>
      <c r="G280"/>
      <c r="H280"/>
      <c r="I280"/>
      <c r="J280"/>
      <c r="L280"/>
      <c r="M280"/>
      <c r="N280"/>
      <c r="O280"/>
      <c r="P280"/>
      <c r="Q280"/>
      <c r="R280"/>
      <c r="S280"/>
      <c r="T280"/>
      <c r="U280"/>
      <c r="V280"/>
      <c r="X280"/>
      <c r="Y280"/>
      <c r="Z280" s="209"/>
      <c r="AD280"/>
      <c r="AE280"/>
    </row>
    <row r="281" spans="1:31" s="27" customFormat="1" x14ac:dyDescent="0.25">
      <c r="A281"/>
      <c r="B281"/>
      <c r="C281"/>
      <c r="D281"/>
      <c r="E281"/>
      <c r="F281"/>
      <c r="G281"/>
      <c r="H281"/>
      <c r="I281"/>
      <c r="J281"/>
      <c r="L281"/>
      <c r="M281"/>
      <c r="N281"/>
      <c r="O281"/>
      <c r="P281"/>
      <c r="Q281"/>
      <c r="R281"/>
      <c r="S281"/>
      <c r="T281"/>
      <c r="U281"/>
      <c r="V281"/>
      <c r="X281"/>
      <c r="Y281"/>
      <c r="Z281" s="209"/>
      <c r="AD281"/>
      <c r="AE281"/>
    </row>
    <row r="282" spans="1:31" s="27" customFormat="1" x14ac:dyDescent="0.25">
      <c r="A282"/>
      <c r="B282"/>
      <c r="C282"/>
      <c r="D282"/>
      <c r="E282"/>
      <c r="F282"/>
      <c r="G282"/>
      <c r="H282"/>
      <c r="I282"/>
      <c r="J282"/>
      <c r="L282"/>
      <c r="M282"/>
      <c r="N282"/>
      <c r="O282"/>
      <c r="P282"/>
      <c r="Q282"/>
      <c r="R282"/>
      <c r="S282"/>
      <c r="T282"/>
      <c r="U282"/>
      <c r="V282"/>
      <c r="X282"/>
      <c r="Y282"/>
      <c r="Z282" s="209"/>
      <c r="AD282"/>
      <c r="AE282"/>
    </row>
    <row r="283" spans="1:31" s="27" customFormat="1" x14ac:dyDescent="0.25">
      <c r="A283"/>
      <c r="B283"/>
      <c r="C283"/>
      <c r="D283"/>
      <c r="E283"/>
      <c r="F283"/>
      <c r="G283"/>
      <c r="H283"/>
      <c r="I283"/>
      <c r="J283"/>
      <c r="L283"/>
      <c r="M283"/>
      <c r="N283"/>
      <c r="O283"/>
      <c r="P283"/>
      <c r="Q283"/>
      <c r="R283"/>
      <c r="S283"/>
      <c r="T283"/>
      <c r="U283"/>
      <c r="V283"/>
      <c r="X283"/>
      <c r="Y283"/>
      <c r="Z283" s="209"/>
      <c r="AD283"/>
      <c r="AE283"/>
    </row>
    <row r="284" spans="1:31" s="27" customFormat="1" x14ac:dyDescent="0.25">
      <c r="A284"/>
      <c r="B284"/>
      <c r="C284"/>
      <c r="D284"/>
      <c r="E284"/>
      <c r="F284"/>
      <c r="G284"/>
      <c r="H284"/>
      <c r="I284"/>
      <c r="J284"/>
      <c r="L284"/>
      <c r="M284"/>
      <c r="N284"/>
      <c r="O284"/>
      <c r="P284"/>
      <c r="Q284"/>
      <c r="R284"/>
      <c r="S284"/>
      <c r="T284"/>
      <c r="U284"/>
      <c r="V284"/>
      <c r="X284"/>
      <c r="Y284"/>
      <c r="Z284" s="209"/>
      <c r="AD284"/>
      <c r="AE284"/>
    </row>
    <row r="285" spans="1:31" s="27" customFormat="1" x14ac:dyDescent="0.25">
      <c r="A285"/>
      <c r="B285"/>
      <c r="C285"/>
      <c r="D285"/>
      <c r="E285"/>
      <c r="F285"/>
      <c r="G285"/>
      <c r="H285"/>
      <c r="I285"/>
      <c r="J285"/>
      <c r="L285"/>
      <c r="M285"/>
      <c r="N285"/>
      <c r="O285"/>
      <c r="P285"/>
      <c r="Q285"/>
      <c r="R285"/>
      <c r="S285"/>
      <c r="T285"/>
      <c r="U285"/>
      <c r="V285"/>
      <c r="X285"/>
      <c r="Y285"/>
      <c r="Z285" s="209"/>
      <c r="AD285"/>
      <c r="AE285"/>
    </row>
    <row r="286" spans="1:31" s="27" customFormat="1" x14ac:dyDescent="0.25">
      <c r="A286"/>
      <c r="B286"/>
      <c r="C286"/>
      <c r="D286"/>
      <c r="E286"/>
      <c r="F286"/>
      <c r="G286"/>
      <c r="H286"/>
      <c r="I286"/>
      <c r="J286"/>
      <c r="L286"/>
      <c r="M286"/>
      <c r="N286"/>
      <c r="O286"/>
      <c r="P286"/>
      <c r="Q286"/>
      <c r="R286"/>
      <c r="S286"/>
      <c r="T286"/>
      <c r="U286"/>
      <c r="V286"/>
      <c r="X286"/>
      <c r="Y286"/>
      <c r="Z286" s="209"/>
      <c r="AD286"/>
      <c r="AE286"/>
    </row>
    <row r="287" spans="1:31" s="27" customFormat="1" x14ac:dyDescent="0.25">
      <c r="A287"/>
      <c r="B287"/>
      <c r="C287"/>
      <c r="D287"/>
      <c r="E287"/>
      <c r="F287"/>
      <c r="G287"/>
      <c r="H287"/>
      <c r="I287"/>
      <c r="J287"/>
      <c r="L287"/>
      <c r="M287"/>
      <c r="N287"/>
      <c r="O287"/>
      <c r="P287"/>
      <c r="Q287"/>
      <c r="R287"/>
      <c r="S287"/>
      <c r="T287"/>
      <c r="U287"/>
      <c r="V287"/>
      <c r="X287"/>
      <c r="Y287"/>
      <c r="Z287" s="209"/>
      <c r="AD287"/>
      <c r="AE287"/>
    </row>
    <row r="288" spans="1:31" s="27" customFormat="1" x14ac:dyDescent="0.25">
      <c r="A288"/>
      <c r="B288"/>
      <c r="C288"/>
      <c r="D288"/>
      <c r="E288"/>
      <c r="F288"/>
      <c r="G288"/>
      <c r="H288"/>
      <c r="I288"/>
      <c r="J288"/>
      <c r="L288"/>
      <c r="M288"/>
      <c r="N288"/>
      <c r="O288"/>
      <c r="P288"/>
      <c r="Q288"/>
      <c r="R288"/>
      <c r="S288"/>
      <c r="T288"/>
      <c r="U288"/>
      <c r="V288"/>
      <c r="X288"/>
      <c r="Y288"/>
      <c r="Z288" s="209"/>
      <c r="AD288"/>
      <c r="AE288"/>
    </row>
    <row r="289" spans="1:31" s="27" customFormat="1" x14ac:dyDescent="0.25">
      <c r="A289"/>
      <c r="B289"/>
      <c r="C289"/>
      <c r="D289"/>
      <c r="E289"/>
      <c r="F289"/>
      <c r="G289"/>
      <c r="H289"/>
      <c r="I289"/>
      <c r="J289"/>
      <c r="L289"/>
      <c r="M289"/>
      <c r="N289"/>
      <c r="O289"/>
      <c r="P289"/>
      <c r="Q289"/>
      <c r="R289"/>
      <c r="S289"/>
      <c r="T289"/>
      <c r="U289"/>
      <c r="V289"/>
      <c r="X289"/>
      <c r="Y289"/>
      <c r="Z289" s="209"/>
      <c r="AD289"/>
      <c r="AE289"/>
    </row>
    <row r="290" spans="1:31" s="27" customFormat="1" x14ac:dyDescent="0.25">
      <c r="A290"/>
      <c r="B290"/>
      <c r="C290"/>
      <c r="D290"/>
      <c r="E290"/>
      <c r="F290"/>
      <c r="G290"/>
      <c r="H290"/>
      <c r="I290"/>
      <c r="J290"/>
      <c r="L290"/>
      <c r="M290"/>
      <c r="N290"/>
      <c r="O290"/>
      <c r="P290"/>
      <c r="Q290"/>
      <c r="R290"/>
      <c r="S290"/>
      <c r="T290"/>
      <c r="U290"/>
      <c r="V290"/>
      <c r="X290"/>
      <c r="Y290"/>
      <c r="Z290" s="209"/>
      <c r="AD290"/>
      <c r="AE290"/>
    </row>
    <row r="291" spans="1:31" s="27" customFormat="1" x14ac:dyDescent="0.25">
      <c r="A291"/>
      <c r="B291"/>
      <c r="C291"/>
      <c r="D291"/>
      <c r="E291"/>
      <c r="F291"/>
      <c r="G291"/>
      <c r="H291"/>
      <c r="I291"/>
      <c r="J291"/>
      <c r="L291"/>
      <c r="M291"/>
      <c r="N291"/>
      <c r="O291"/>
      <c r="P291"/>
      <c r="Q291"/>
      <c r="R291"/>
      <c r="S291"/>
      <c r="T291"/>
      <c r="U291"/>
      <c r="V291"/>
      <c r="X291"/>
      <c r="Y291"/>
      <c r="Z291" s="209"/>
      <c r="AD291"/>
      <c r="AE291"/>
    </row>
    <row r="292" spans="1:31" s="27" customFormat="1" x14ac:dyDescent="0.25">
      <c r="A292"/>
      <c r="B292"/>
      <c r="C292"/>
      <c r="D292"/>
      <c r="E292"/>
      <c r="F292"/>
      <c r="G292"/>
      <c r="H292"/>
      <c r="I292"/>
      <c r="J292"/>
      <c r="L292"/>
      <c r="M292"/>
      <c r="N292"/>
      <c r="O292"/>
      <c r="P292"/>
      <c r="Q292"/>
      <c r="R292"/>
      <c r="S292"/>
      <c r="T292"/>
      <c r="U292"/>
      <c r="V292"/>
      <c r="X292"/>
      <c r="Y292"/>
      <c r="Z292" s="209"/>
      <c r="AD292"/>
      <c r="AE292"/>
    </row>
    <row r="293" spans="1:31" s="27" customFormat="1" x14ac:dyDescent="0.25">
      <c r="A293"/>
      <c r="B293"/>
      <c r="C293"/>
      <c r="D293"/>
      <c r="E293"/>
      <c r="F293"/>
      <c r="G293"/>
      <c r="H293"/>
      <c r="I293"/>
      <c r="J293"/>
      <c r="L293"/>
      <c r="M293"/>
      <c r="N293"/>
      <c r="O293"/>
      <c r="P293"/>
      <c r="Q293"/>
      <c r="R293"/>
      <c r="S293"/>
      <c r="T293"/>
      <c r="U293"/>
      <c r="V293"/>
      <c r="X293"/>
      <c r="Y293"/>
      <c r="Z293" s="209"/>
      <c r="AD293"/>
      <c r="AE293"/>
    </row>
    <row r="294" spans="1:31" s="27" customFormat="1" x14ac:dyDescent="0.25">
      <c r="A294"/>
      <c r="B294"/>
      <c r="C294"/>
      <c r="D294"/>
      <c r="E294"/>
      <c r="F294"/>
      <c r="G294"/>
      <c r="H294"/>
      <c r="I294"/>
      <c r="J294"/>
      <c r="L294"/>
      <c r="M294"/>
      <c r="N294"/>
      <c r="O294"/>
      <c r="P294"/>
      <c r="Q294"/>
      <c r="R294"/>
      <c r="S294"/>
      <c r="T294"/>
      <c r="U294"/>
      <c r="V294"/>
      <c r="X294"/>
      <c r="Y294"/>
      <c r="Z294" s="209"/>
      <c r="AD294"/>
      <c r="AE294"/>
    </row>
    <row r="295" spans="1:31" s="27" customFormat="1" x14ac:dyDescent="0.25">
      <c r="A295"/>
      <c r="B295"/>
      <c r="C295"/>
      <c r="D295"/>
      <c r="E295"/>
      <c r="F295"/>
      <c r="G295"/>
      <c r="H295"/>
      <c r="I295"/>
      <c r="J295"/>
      <c r="L295"/>
      <c r="M295"/>
      <c r="N295"/>
      <c r="O295"/>
      <c r="P295"/>
      <c r="Q295"/>
      <c r="R295"/>
      <c r="S295"/>
      <c r="T295"/>
      <c r="U295"/>
      <c r="V295"/>
      <c r="X295"/>
      <c r="Y295"/>
      <c r="Z295" s="209"/>
      <c r="AD295"/>
      <c r="AE295"/>
    </row>
    <row r="296" spans="1:31" s="27" customFormat="1" x14ac:dyDescent="0.25">
      <c r="A296"/>
      <c r="B296"/>
      <c r="C296"/>
      <c r="D296"/>
      <c r="E296"/>
      <c r="F296"/>
      <c r="G296"/>
      <c r="H296"/>
      <c r="I296"/>
      <c r="J296"/>
      <c r="L296"/>
      <c r="M296"/>
      <c r="N296"/>
      <c r="O296"/>
      <c r="P296"/>
      <c r="Q296"/>
      <c r="R296"/>
      <c r="S296"/>
      <c r="T296"/>
      <c r="U296"/>
      <c r="V296"/>
      <c r="X296"/>
      <c r="Y296"/>
      <c r="Z296" s="209"/>
      <c r="AD296"/>
      <c r="AE296"/>
    </row>
    <row r="297" spans="1:31" s="27" customFormat="1" x14ac:dyDescent="0.25">
      <c r="A297"/>
      <c r="B297"/>
      <c r="C297"/>
      <c r="D297"/>
      <c r="E297"/>
      <c r="F297"/>
      <c r="G297"/>
      <c r="H297"/>
      <c r="I297"/>
      <c r="J297"/>
      <c r="L297"/>
      <c r="M297"/>
      <c r="N297"/>
      <c r="O297"/>
      <c r="P297"/>
      <c r="Q297"/>
      <c r="R297"/>
      <c r="S297"/>
      <c r="T297"/>
      <c r="U297"/>
      <c r="V297"/>
      <c r="X297"/>
      <c r="Y297"/>
      <c r="Z297" s="209"/>
      <c r="AD297"/>
      <c r="AE297"/>
    </row>
    <row r="298" spans="1:31" s="27" customFormat="1" x14ac:dyDescent="0.25">
      <c r="A298"/>
      <c r="B298"/>
      <c r="C298"/>
      <c r="D298"/>
      <c r="E298"/>
      <c r="F298"/>
      <c r="G298"/>
      <c r="H298"/>
      <c r="I298"/>
      <c r="J298"/>
      <c r="L298"/>
      <c r="M298"/>
      <c r="N298"/>
      <c r="O298"/>
      <c r="P298"/>
      <c r="Q298"/>
      <c r="R298"/>
      <c r="S298"/>
      <c r="T298"/>
      <c r="U298"/>
      <c r="V298"/>
      <c r="X298"/>
      <c r="Y298"/>
      <c r="Z298" s="209"/>
      <c r="AD298"/>
      <c r="AE298"/>
    </row>
    <row r="299" spans="1:31" s="27" customFormat="1" x14ac:dyDescent="0.25">
      <c r="A299"/>
      <c r="B299"/>
      <c r="C299"/>
      <c r="D299"/>
      <c r="E299"/>
      <c r="F299"/>
      <c r="G299"/>
      <c r="H299"/>
      <c r="I299"/>
      <c r="J299"/>
      <c r="L299"/>
      <c r="M299"/>
      <c r="N299"/>
      <c r="O299"/>
      <c r="P299"/>
      <c r="Q299"/>
      <c r="R299"/>
      <c r="S299"/>
      <c r="T299"/>
      <c r="U299"/>
      <c r="V299"/>
      <c r="X299"/>
      <c r="Y299"/>
      <c r="Z299" s="209"/>
      <c r="AD299"/>
      <c r="AE299"/>
    </row>
    <row r="300" spans="1:31" s="27" customFormat="1" x14ac:dyDescent="0.25">
      <c r="A300"/>
      <c r="B300"/>
      <c r="C300"/>
      <c r="D300"/>
      <c r="E300"/>
      <c r="F300"/>
      <c r="G300"/>
      <c r="H300"/>
      <c r="I300"/>
      <c r="J300"/>
      <c r="L300"/>
      <c r="M300"/>
      <c r="N300"/>
      <c r="O300"/>
      <c r="P300"/>
      <c r="Q300"/>
      <c r="R300"/>
      <c r="S300"/>
      <c r="T300"/>
      <c r="U300"/>
      <c r="V300"/>
      <c r="X300"/>
      <c r="Y300"/>
      <c r="Z300" s="209"/>
      <c r="AD300"/>
      <c r="AE300"/>
    </row>
    <row r="301" spans="1:31" s="27" customFormat="1" x14ac:dyDescent="0.25">
      <c r="A301"/>
      <c r="B301"/>
      <c r="C301"/>
      <c r="D301"/>
      <c r="E301"/>
      <c r="F301"/>
      <c r="G301"/>
      <c r="H301"/>
      <c r="I301"/>
      <c r="J301"/>
      <c r="L301"/>
      <c r="M301"/>
      <c r="N301"/>
      <c r="O301"/>
      <c r="P301"/>
      <c r="Q301"/>
      <c r="R301"/>
      <c r="S301"/>
      <c r="T301"/>
      <c r="U301"/>
      <c r="V301"/>
      <c r="X301"/>
      <c r="Y301"/>
      <c r="Z301" s="209"/>
      <c r="AD301"/>
      <c r="AE301"/>
    </row>
    <row r="302" spans="1:31" s="27" customFormat="1" x14ac:dyDescent="0.25">
      <c r="A302"/>
      <c r="B302"/>
      <c r="C302"/>
      <c r="D302"/>
      <c r="E302"/>
      <c r="F302"/>
      <c r="G302"/>
      <c r="H302"/>
      <c r="I302"/>
      <c r="J302"/>
      <c r="L302"/>
      <c r="M302"/>
      <c r="N302"/>
      <c r="O302"/>
      <c r="P302"/>
      <c r="Q302"/>
      <c r="R302"/>
      <c r="S302"/>
      <c r="T302"/>
      <c r="U302"/>
      <c r="V302"/>
      <c r="X302"/>
      <c r="Y302"/>
      <c r="Z302" s="209"/>
      <c r="AD302"/>
      <c r="AE302"/>
    </row>
    <row r="303" spans="1:31" s="27" customFormat="1" x14ac:dyDescent="0.25">
      <c r="A303"/>
      <c r="B303"/>
      <c r="C303"/>
      <c r="D303"/>
      <c r="E303"/>
      <c r="F303"/>
      <c r="G303"/>
      <c r="H303"/>
      <c r="I303"/>
      <c r="J303"/>
      <c r="L303"/>
      <c r="M303"/>
      <c r="N303"/>
      <c r="O303"/>
      <c r="P303"/>
      <c r="Q303"/>
      <c r="R303"/>
      <c r="S303"/>
      <c r="T303"/>
      <c r="U303"/>
      <c r="V303"/>
      <c r="X303"/>
      <c r="Y303"/>
      <c r="Z303" s="209"/>
      <c r="AD303"/>
      <c r="AE303"/>
    </row>
    <row r="304" spans="1:31" s="27" customFormat="1" x14ac:dyDescent="0.25">
      <c r="A304"/>
      <c r="B304"/>
      <c r="C304"/>
      <c r="D304"/>
      <c r="E304"/>
      <c r="F304"/>
      <c r="G304"/>
      <c r="H304"/>
      <c r="I304"/>
      <c r="J304"/>
      <c r="L304"/>
      <c r="M304"/>
      <c r="N304"/>
      <c r="O304"/>
      <c r="P304"/>
      <c r="Q304"/>
      <c r="R304"/>
      <c r="S304"/>
      <c r="T304"/>
      <c r="U304"/>
      <c r="V304"/>
      <c r="X304"/>
      <c r="Y304"/>
      <c r="Z304" s="209"/>
      <c r="AD304"/>
      <c r="AE304"/>
    </row>
    <row r="305" spans="1:31" s="27" customFormat="1" x14ac:dyDescent="0.25">
      <c r="A305"/>
      <c r="B305"/>
      <c r="C305"/>
      <c r="D305"/>
      <c r="E305"/>
      <c r="F305"/>
      <c r="G305"/>
      <c r="H305"/>
      <c r="I305"/>
      <c r="J305"/>
      <c r="L305"/>
      <c r="M305"/>
      <c r="N305"/>
      <c r="O305"/>
      <c r="P305"/>
      <c r="Q305"/>
      <c r="R305"/>
      <c r="S305"/>
      <c r="T305"/>
      <c r="U305"/>
      <c r="V305"/>
      <c r="X305"/>
      <c r="Y305"/>
      <c r="Z305" s="209"/>
      <c r="AD305"/>
      <c r="AE305"/>
    </row>
    <row r="306" spans="1:31" s="27" customFormat="1" x14ac:dyDescent="0.25">
      <c r="A306"/>
      <c r="B306"/>
      <c r="C306"/>
      <c r="D306"/>
      <c r="E306"/>
      <c r="F306"/>
      <c r="G306"/>
      <c r="H306"/>
      <c r="I306"/>
      <c r="J306"/>
      <c r="L306"/>
      <c r="M306"/>
      <c r="N306"/>
      <c r="O306"/>
      <c r="P306"/>
      <c r="Q306"/>
      <c r="R306"/>
      <c r="S306"/>
      <c r="T306"/>
      <c r="U306"/>
      <c r="V306"/>
      <c r="X306"/>
      <c r="Y306"/>
      <c r="Z306" s="209"/>
      <c r="AD306"/>
      <c r="AE306"/>
    </row>
    <row r="307" spans="1:31" s="27" customFormat="1" x14ac:dyDescent="0.25">
      <c r="A307"/>
      <c r="B307"/>
      <c r="C307"/>
      <c r="D307"/>
      <c r="E307"/>
      <c r="F307"/>
      <c r="G307"/>
      <c r="H307"/>
      <c r="I307"/>
      <c r="J307"/>
      <c r="L307"/>
      <c r="M307"/>
      <c r="N307"/>
      <c r="O307"/>
      <c r="P307"/>
      <c r="Q307"/>
      <c r="R307"/>
      <c r="S307"/>
      <c r="T307"/>
      <c r="U307"/>
      <c r="V307"/>
      <c r="X307"/>
      <c r="Y307"/>
      <c r="Z307" s="209"/>
      <c r="AD307"/>
      <c r="AE307"/>
    </row>
    <row r="308" spans="1:31" s="27" customFormat="1" x14ac:dyDescent="0.25">
      <c r="A308"/>
      <c r="B308"/>
      <c r="C308"/>
      <c r="D308"/>
      <c r="E308"/>
      <c r="F308"/>
      <c r="G308"/>
      <c r="H308"/>
      <c r="I308"/>
      <c r="J308"/>
      <c r="L308"/>
      <c r="M308"/>
      <c r="N308"/>
      <c r="O308"/>
      <c r="P308"/>
      <c r="Q308"/>
      <c r="R308"/>
      <c r="S308"/>
      <c r="T308"/>
      <c r="U308"/>
      <c r="V308"/>
      <c r="X308"/>
      <c r="Y308"/>
      <c r="Z308" s="209"/>
      <c r="AD308"/>
      <c r="AE308"/>
    </row>
    <row r="309" spans="1:31" s="27" customFormat="1" x14ac:dyDescent="0.25">
      <c r="A309"/>
      <c r="B309"/>
      <c r="C309"/>
      <c r="D309"/>
      <c r="E309"/>
      <c r="F309"/>
      <c r="G309"/>
      <c r="H309"/>
      <c r="I309"/>
      <c r="J309"/>
      <c r="L309"/>
      <c r="M309"/>
      <c r="N309"/>
      <c r="O309"/>
      <c r="P309"/>
      <c r="Q309"/>
      <c r="R309"/>
      <c r="S309"/>
      <c r="T309"/>
      <c r="U309"/>
      <c r="V309"/>
      <c r="X309"/>
      <c r="Y309"/>
      <c r="Z309" s="209"/>
      <c r="AD309"/>
      <c r="AE309"/>
    </row>
    <row r="310" spans="1:31" s="27" customFormat="1" x14ac:dyDescent="0.25">
      <c r="A310"/>
      <c r="B310"/>
      <c r="C310"/>
      <c r="D310"/>
      <c r="E310"/>
      <c r="F310"/>
      <c r="G310"/>
      <c r="H310"/>
      <c r="I310"/>
      <c r="J310"/>
      <c r="L310"/>
      <c r="M310"/>
      <c r="N310"/>
      <c r="O310"/>
      <c r="P310"/>
      <c r="Q310"/>
      <c r="R310"/>
      <c r="S310"/>
      <c r="T310"/>
      <c r="U310"/>
      <c r="V310"/>
      <c r="X310"/>
      <c r="Y310"/>
      <c r="Z310" s="209"/>
      <c r="AD310"/>
      <c r="AE310"/>
    </row>
    <row r="311" spans="1:31" s="27" customFormat="1" x14ac:dyDescent="0.25">
      <c r="A311"/>
      <c r="B311"/>
      <c r="C311"/>
      <c r="D311"/>
      <c r="E311"/>
      <c r="F311"/>
      <c r="G311"/>
      <c r="H311"/>
      <c r="I311"/>
      <c r="J311"/>
      <c r="L311"/>
      <c r="M311"/>
      <c r="N311"/>
      <c r="O311"/>
      <c r="P311"/>
      <c r="Q311"/>
      <c r="R311"/>
      <c r="S311"/>
      <c r="T311"/>
      <c r="U311"/>
      <c r="V311"/>
      <c r="X311"/>
      <c r="Y311"/>
      <c r="Z311" s="209"/>
      <c r="AD311"/>
      <c r="AE311"/>
    </row>
    <row r="312" spans="1:31" s="27" customFormat="1" x14ac:dyDescent="0.25">
      <c r="A312"/>
      <c r="B312"/>
      <c r="C312"/>
      <c r="D312"/>
      <c r="E312"/>
      <c r="F312"/>
      <c r="G312"/>
      <c r="H312"/>
      <c r="I312"/>
      <c r="J312"/>
      <c r="L312"/>
      <c r="M312"/>
      <c r="N312"/>
      <c r="O312"/>
      <c r="P312"/>
      <c r="Q312"/>
      <c r="R312"/>
      <c r="S312"/>
      <c r="T312"/>
      <c r="U312"/>
      <c r="V312"/>
      <c r="X312"/>
      <c r="Y312"/>
      <c r="Z312" s="209"/>
      <c r="AD312"/>
      <c r="AE312"/>
    </row>
    <row r="313" spans="1:31" s="27" customFormat="1" x14ac:dyDescent="0.25">
      <c r="A313"/>
      <c r="B313"/>
      <c r="C313"/>
      <c r="D313"/>
      <c r="E313"/>
      <c r="F313"/>
      <c r="G313"/>
      <c r="H313"/>
      <c r="I313"/>
      <c r="J313"/>
      <c r="L313"/>
      <c r="M313"/>
      <c r="N313"/>
      <c r="O313"/>
      <c r="P313"/>
      <c r="Q313"/>
      <c r="R313"/>
      <c r="S313"/>
      <c r="T313"/>
      <c r="U313"/>
      <c r="V313"/>
      <c r="X313"/>
      <c r="Y313"/>
      <c r="Z313" s="209"/>
      <c r="AD313"/>
      <c r="AE313"/>
    </row>
    <row r="314" spans="1:31" s="27" customFormat="1" x14ac:dyDescent="0.25">
      <c r="A314"/>
      <c r="B314"/>
      <c r="C314"/>
      <c r="D314"/>
      <c r="E314"/>
      <c r="F314"/>
      <c r="G314"/>
      <c r="H314"/>
      <c r="I314"/>
      <c r="J314"/>
      <c r="L314"/>
      <c r="M314"/>
      <c r="N314"/>
      <c r="O314"/>
      <c r="P314"/>
      <c r="Q314"/>
      <c r="R314"/>
      <c r="S314"/>
      <c r="T314"/>
      <c r="U314"/>
      <c r="V314"/>
      <c r="X314"/>
      <c r="Y314"/>
      <c r="Z314" s="209"/>
      <c r="AD314"/>
      <c r="AE314"/>
    </row>
    <row r="315" spans="1:31" s="27" customFormat="1" x14ac:dyDescent="0.25">
      <c r="A315"/>
      <c r="B315"/>
      <c r="C315"/>
      <c r="D315"/>
      <c r="E315"/>
      <c r="F315"/>
      <c r="G315"/>
      <c r="H315"/>
      <c r="I315"/>
      <c r="J315"/>
      <c r="L315"/>
      <c r="M315"/>
      <c r="N315"/>
      <c r="O315"/>
      <c r="P315"/>
      <c r="Q315"/>
      <c r="R315"/>
      <c r="S315"/>
      <c r="T315"/>
      <c r="U315"/>
      <c r="V315"/>
      <c r="X315"/>
      <c r="Y315"/>
      <c r="Z315" s="209"/>
      <c r="AD315"/>
      <c r="AE315"/>
    </row>
    <row r="316" spans="1:31" s="27" customFormat="1" x14ac:dyDescent="0.25">
      <c r="A316"/>
      <c r="B316"/>
      <c r="C316"/>
      <c r="D316"/>
      <c r="E316"/>
      <c r="F316"/>
      <c r="G316"/>
      <c r="H316"/>
      <c r="I316"/>
      <c r="J316"/>
      <c r="L316"/>
      <c r="M316"/>
      <c r="N316"/>
      <c r="O316"/>
      <c r="P316"/>
      <c r="Q316"/>
      <c r="R316"/>
      <c r="S316"/>
      <c r="T316"/>
      <c r="U316"/>
      <c r="V316"/>
      <c r="X316"/>
      <c r="Y316"/>
      <c r="Z316" s="209"/>
      <c r="AD316"/>
      <c r="AE316"/>
    </row>
    <row r="317" spans="1:31" s="27" customFormat="1" x14ac:dyDescent="0.25">
      <c r="A317"/>
      <c r="B317"/>
      <c r="C317"/>
      <c r="D317"/>
      <c r="E317"/>
      <c r="F317"/>
      <c r="G317"/>
      <c r="H317"/>
      <c r="I317"/>
      <c r="J317"/>
      <c r="L317"/>
      <c r="M317"/>
      <c r="N317"/>
      <c r="O317"/>
      <c r="P317"/>
      <c r="Q317"/>
      <c r="R317"/>
      <c r="S317"/>
      <c r="T317"/>
      <c r="U317"/>
      <c r="V317"/>
      <c r="X317"/>
      <c r="Y317"/>
      <c r="Z317" s="209"/>
      <c r="AD317"/>
      <c r="AE317"/>
    </row>
    <row r="318" spans="1:31" s="27" customFormat="1" x14ac:dyDescent="0.25">
      <c r="A318"/>
      <c r="B318"/>
      <c r="C318"/>
      <c r="D318"/>
      <c r="E318"/>
      <c r="F318"/>
      <c r="G318"/>
      <c r="H318"/>
      <c r="I318"/>
      <c r="J318"/>
      <c r="L318"/>
      <c r="M318"/>
      <c r="N318"/>
      <c r="O318"/>
      <c r="P318"/>
      <c r="Q318"/>
      <c r="R318"/>
      <c r="S318"/>
      <c r="T318"/>
      <c r="U318"/>
      <c r="V318"/>
      <c r="X318"/>
      <c r="Y318"/>
      <c r="Z318" s="209"/>
      <c r="AD318"/>
      <c r="AE318"/>
    </row>
    <row r="319" spans="1:31" s="27" customFormat="1" x14ac:dyDescent="0.25">
      <c r="A319"/>
      <c r="B319"/>
      <c r="C319"/>
      <c r="D319"/>
      <c r="E319"/>
      <c r="F319"/>
      <c r="G319"/>
      <c r="H319"/>
      <c r="I319"/>
      <c r="J319"/>
      <c r="L319"/>
      <c r="M319"/>
      <c r="N319"/>
      <c r="O319"/>
      <c r="P319"/>
      <c r="Q319"/>
      <c r="R319"/>
      <c r="S319"/>
      <c r="T319"/>
      <c r="U319"/>
      <c r="V319"/>
      <c r="X319"/>
      <c r="Y319"/>
      <c r="Z319" s="209"/>
      <c r="AD319"/>
      <c r="AE319"/>
    </row>
    <row r="320" spans="1:31" s="27" customFormat="1" x14ac:dyDescent="0.25">
      <c r="A320"/>
      <c r="B320"/>
      <c r="C320"/>
      <c r="D320"/>
      <c r="E320"/>
      <c r="F320"/>
      <c r="G320"/>
      <c r="H320"/>
      <c r="I320"/>
      <c r="J320"/>
      <c r="L320"/>
      <c r="M320"/>
      <c r="N320"/>
      <c r="O320"/>
      <c r="P320"/>
      <c r="Q320"/>
      <c r="R320"/>
      <c r="S320"/>
      <c r="T320"/>
      <c r="U320"/>
      <c r="V320"/>
      <c r="X320"/>
      <c r="Y320"/>
      <c r="Z320" s="209"/>
      <c r="AD320"/>
      <c r="AE320"/>
    </row>
    <row r="321" spans="1:31" s="27" customFormat="1" x14ac:dyDescent="0.25">
      <c r="A321"/>
      <c r="B321"/>
      <c r="C321"/>
      <c r="D321"/>
      <c r="E321"/>
      <c r="F321"/>
      <c r="G321"/>
      <c r="H321"/>
      <c r="I321"/>
      <c r="J321"/>
      <c r="L321"/>
      <c r="M321"/>
      <c r="N321"/>
      <c r="O321"/>
      <c r="P321"/>
      <c r="Q321"/>
      <c r="R321"/>
      <c r="S321"/>
      <c r="T321"/>
      <c r="U321"/>
      <c r="V321"/>
      <c r="X321"/>
      <c r="Y321"/>
      <c r="Z321"/>
      <c r="AD321"/>
      <c r="AE321"/>
    </row>
    <row r="322" spans="1:31" s="27" customFormat="1" x14ac:dyDescent="0.25">
      <c r="A322"/>
      <c r="B322"/>
      <c r="C322"/>
      <c r="D322"/>
      <c r="E322"/>
      <c r="F322"/>
      <c r="G322"/>
      <c r="H322"/>
      <c r="I322"/>
      <c r="J322"/>
      <c r="L322"/>
      <c r="M322"/>
      <c r="N322"/>
      <c r="O322"/>
      <c r="P322"/>
      <c r="Q322"/>
      <c r="R322"/>
      <c r="S322"/>
      <c r="T322"/>
      <c r="U322"/>
      <c r="V322"/>
      <c r="X322"/>
      <c r="Y322"/>
      <c r="Z322"/>
      <c r="AD322"/>
      <c r="AE322"/>
    </row>
    <row r="323" spans="1:31" s="27" customFormat="1" x14ac:dyDescent="0.25">
      <c r="A323"/>
      <c r="B323"/>
      <c r="C323"/>
      <c r="D323"/>
      <c r="E323"/>
      <c r="F323"/>
      <c r="G323"/>
      <c r="H323"/>
      <c r="I323"/>
      <c r="J323"/>
      <c r="L323"/>
      <c r="M323"/>
      <c r="N323"/>
      <c r="O323"/>
      <c r="P323"/>
      <c r="Q323"/>
      <c r="R323"/>
      <c r="S323"/>
      <c r="T323"/>
      <c r="U323"/>
      <c r="V323"/>
      <c r="X323"/>
      <c r="Y323"/>
      <c r="Z323"/>
      <c r="AD323"/>
      <c r="AE323"/>
    </row>
    <row r="324" spans="1:31" s="27" customFormat="1" x14ac:dyDescent="0.25">
      <c r="A324"/>
      <c r="B324"/>
      <c r="C324"/>
      <c r="D324"/>
      <c r="E324"/>
      <c r="F324"/>
      <c r="G324"/>
      <c r="H324"/>
      <c r="I324"/>
      <c r="J324"/>
      <c r="L324"/>
      <c r="M324"/>
      <c r="N324"/>
      <c r="O324"/>
      <c r="P324"/>
      <c r="Q324"/>
      <c r="R324"/>
      <c r="S324"/>
      <c r="T324"/>
      <c r="U324"/>
      <c r="V324"/>
      <c r="X324"/>
      <c r="Y324"/>
      <c r="Z324"/>
      <c r="AD324"/>
      <c r="AE324"/>
    </row>
    <row r="325" spans="1:31" s="27" customFormat="1" x14ac:dyDescent="0.25">
      <c r="A325"/>
      <c r="B325"/>
      <c r="C325"/>
      <c r="D325"/>
      <c r="E325"/>
      <c r="F325"/>
      <c r="G325"/>
      <c r="H325"/>
      <c r="I325"/>
      <c r="J325"/>
      <c r="L325"/>
      <c r="M325"/>
      <c r="N325"/>
      <c r="O325"/>
      <c r="P325"/>
      <c r="Q325"/>
      <c r="R325"/>
      <c r="S325"/>
      <c r="T325"/>
      <c r="U325"/>
      <c r="V325"/>
      <c r="X325"/>
      <c r="Y325"/>
      <c r="Z325"/>
      <c r="AD325"/>
      <c r="AE325"/>
    </row>
    <row r="326" spans="1:31" s="27" customFormat="1" x14ac:dyDescent="0.25">
      <c r="A326"/>
      <c r="B326"/>
      <c r="C326"/>
      <c r="D326"/>
      <c r="E326"/>
      <c r="F326"/>
      <c r="G326"/>
      <c r="H326"/>
      <c r="I326"/>
      <c r="J326"/>
      <c r="L326"/>
      <c r="M326"/>
      <c r="N326"/>
      <c r="O326"/>
      <c r="P326"/>
      <c r="Q326"/>
      <c r="R326"/>
      <c r="S326"/>
      <c r="T326"/>
      <c r="U326"/>
      <c r="V326"/>
      <c r="X326"/>
      <c r="Y326"/>
      <c r="Z326"/>
      <c r="AD326"/>
      <c r="AE326"/>
    </row>
    <row r="327" spans="1:31" s="27" customFormat="1" x14ac:dyDescent="0.25">
      <c r="A327"/>
      <c r="B327"/>
      <c r="C327"/>
      <c r="D327"/>
      <c r="E327"/>
      <c r="F327"/>
      <c r="G327"/>
      <c r="H327"/>
      <c r="I327"/>
      <c r="J327"/>
      <c r="L327"/>
      <c r="M327"/>
      <c r="N327"/>
      <c r="O327"/>
      <c r="P327"/>
      <c r="Q327"/>
      <c r="R327"/>
      <c r="S327"/>
      <c r="T327"/>
      <c r="U327"/>
      <c r="V327"/>
      <c r="X327"/>
      <c r="Y327"/>
      <c r="Z327"/>
      <c r="AD327"/>
      <c r="AE327"/>
    </row>
    <row r="328" spans="1:31" s="27" customFormat="1" x14ac:dyDescent="0.25">
      <c r="A328"/>
      <c r="B328"/>
      <c r="C328"/>
      <c r="D328"/>
      <c r="E328"/>
      <c r="F328"/>
      <c r="G328"/>
      <c r="H328"/>
      <c r="I328"/>
      <c r="J328"/>
      <c r="L328"/>
      <c r="M328"/>
      <c r="N328"/>
      <c r="O328"/>
      <c r="P328"/>
      <c r="Q328"/>
      <c r="R328"/>
      <c r="S328"/>
      <c r="T328"/>
      <c r="U328"/>
      <c r="V328"/>
      <c r="X328"/>
      <c r="Y328"/>
      <c r="Z328"/>
      <c r="AD328"/>
      <c r="AE328"/>
    </row>
    <row r="329" spans="1:31" s="27" customFormat="1" x14ac:dyDescent="0.25">
      <c r="A329"/>
      <c r="B329"/>
      <c r="C329"/>
      <c r="D329"/>
      <c r="E329"/>
      <c r="F329"/>
      <c r="G329"/>
      <c r="H329"/>
      <c r="I329"/>
      <c r="J329"/>
      <c r="L329"/>
      <c r="M329"/>
      <c r="N329"/>
      <c r="O329"/>
      <c r="P329"/>
      <c r="Q329"/>
      <c r="R329"/>
      <c r="S329"/>
      <c r="T329"/>
      <c r="U329"/>
      <c r="V329"/>
      <c r="X329"/>
      <c r="Y329"/>
      <c r="Z329"/>
      <c r="AD329"/>
      <c r="AE329"/>
    </row>
    <row r="330" spans="1:31" s="27" customFormat="1" x14ac:dyDescent="0.25">
      <c r="A330"/>
      <c r="B330"/>
      <c r="C330"/>
      <c r="D330"/>
      <c r="E330"/>
      <c r="F330"/>
      <c r="G330"/>
      <c r="H330"/>
      <c r="I330"/>
      <c r="J330"/>
      <c r="L330"/>
      <c r="M330"/>
      <c r="N330"/>
      <c r="O330"/>
      <c r="P330"/>
      <c r="Q330"/>
      <c r="R330"/>
      <c r="S330"/>
      <c r="T330"/>
      <c r="U330"/>
      <c r="V330"/>
      <c r="X330"/>
      <c r="Y330"/>
      <c r="Z330"/>
      <c r="AD330"/>
      <c r="AE330"/>
    </row>
  </sheetData>
  <sheetProtection algorithmName="SHA-512" hashValue="WfyUnXfTv3irmrOW3hxnQJWkD7PiSLK9THxBsWUiPz305LTT7WwUrJcAaJ7pbo2ToJ4zg/t/vOY66L+HZauxMA==" saltValue="UWho9iWKsjj+Woq8bypKBA==" spinCount="100000" sheet="1" objects="1" scenarios="1"/>
  <mergeCells count="6">
    <mergeCell ref="A1:AC1"/>
    <mergeCell ref="B5:J5"/>
    <mergeCell ref="N5:V5"/>
    <mergeCell ref="N15:V15"/>
    <mergeCell ref="N16:V16"/>
    <mergeCell ref="A9:XFD9"/>
  </mergeCells>
  <conditionalFormatting sqref="N10:V10">
    <cfRule type="cellIs" dxfId="97" priority="4" operator="equal">
      <formula>$W$10</formula>
    </cfRule>
  </conditionalFormatting>
  <conditionalFormatting sqref="N11:V11">
    <cfRule type="cellIs" dxfId="96" priority="3" operator="equal">
      <formula>$W$11</formula>
    </cfRule>
  </conditionalFormatting>
  <conditionalFormatting sqref="N12:V12">
    <cfRule type="cellIs" dxfId="95" priority="1" operator="equal">
      <formula>$W$12</formula>
    </cfRule>
    <cfRule type="cellIs" dxfId="94" priority="2" operator="equal">
      <formula>$W$12</formula>
    </cfRule>
  </conditionalFormatting>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52273-DE25-4759-B37F-AF85C8AA79A3}">
  <sheetPr codeName="Feuil36">
    <tabColor rgb="FF002060"/>
  </sheetPr>
  <dimension ref="A1:AC121"/>
  <sheetViews>
    <sheetView topLeftCell="E1" zoomScale="85" zoomScaleNormal="85" workbookViewId="0">
      <selection activeCell="J11" sqref="J11"/>
    </sheetView>
  </sheetViews>
  <sheetFormatPr baseColWidth="10" defaultRowHeight="15" x14ac:dyDescent="0.25"/>
  <cols>
    <col min="1" max="1" width="16.7109375" style="191" bestFit="1" customWidth="1"/>
    <col min="2" max="10" width="12.7109375" style="27" bestFit="1" customWidth="1"/>
    <col min="11" max="11" width="11" style="27" bestFit="1" customWidth="1"/>
    <col min="12" max="12" width="5.5703125" customWidth="1"/>
    <col min="13" max="13" width="19.28515625" bestFit="1" customWidth="1"/>
    <col min="14" max="22" width="12.7109375" bestFit="1" customWidth="1"/>
    <col min="23" max="23" width="10.7109375" customWidth="1"/>
    <col min="26" max="26" width="17.7109375" customWidth="1"/>
    <col min="27" max="27" width="8.7109375" customWidth="1"/>
    <col min="28" max="28" width="10.7109375" customWidth="1"/>
    <col min="29" max="29" width="9.7109375" customWidth="1"/>
  </cols>
  <sheetData>
    <row r="1" spans="1:29" ht="23.25" x14ac:dyDescent="0.35">
      <c r="A1" s="373" t="str">
        <f>Mesures_Four!E27</f>
        <v>200°C</v>
      </c>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row>
    <row r="2" spans="1:29" x14ac:dyDescent="0.25">
      <c r="M2" s="211" t="s">
        <v>87</v>
      </c>
      <c r="N2" s="44">
        <f>_xlfn.XLOOKUP(INT(SUBSTITUTE(N6,"Connecteur ", "")),Mesures_Four!C40:C48,Mesures_Four!E40:E48)</f>
        <v>0</v>
      </c>
      <c r="O2" s="44">
        <f>_xlfn.XLOOKUP(INT(SUBSTITUTE(O6,"Connecteur ", "")),Mesures_Four!C40:C48,Mesures_Four!E40:E48)</f>
        <v>0</v>
      </c>
      <c r="P2" s="44">
        <f>_xlfn.XLOOKUP(INT(SUBSTITUTE(P6,"Connecteur ", "")),Mesures_Four!C40:C48,Mesures_Four!E40:E48)</f>
        <v>0</v>
      </c>
      <c r="Q2" s="44">
        <f>_xlfn.XLOOKUP(INT(SUBSTITUTE(Q6,"Connecteur ", "")),Mesures_Four!C40:C48,Mesures_Four!E40:E48)</f>
        <v>0</v>
      </c>
      <c r="R2" s="44">
        <f>_xlfn.XLOOKUP(INT(SUBSTITUTE(R6,"Connecteur ", "")),Mesures_Four!C40:C48,Mesures_Four!E40:E48)</f>
        <v>0</v>
      </c>
      <c r="S2" s="44">
        <f>_xlfn.XLOOKUP(INT(SUBSTITUTE(S6,"Connecteur ", "")),Mesures_Four!C40:C48,Mesures_Four!E40:E48)</f>
        <v>0</v>
      </c>
      <c r="T2" s="44">
        <f>_xlfn.XLOOKUP(INT(SUBSTITUTE(T6,"Connecteur ", "")),Mesures_Four!C40:C48,Mesures_Four!E40:E48)</f>
        <v>0</v>
      </c>
      <c r="U2" s="44">
        <f>_xlfn.XLOOKUP(INT(SUBSTITUTE(U6,"Connecteur ", "")),Mesures_Four!C40:C48,Mesures_Four!E40:E48)</f>
        <v>0</v>
      </c>
      <c r="V2" s="44">
        <f>_xlfn.XLOOKUP(INT(SUBSTITUTE(V6,"Connecteur ", "")),Mesures_Four!C40:C48,Mesures_Four!E40:E48)</f>
        <v>0</v>
      </c>
      <c r="W2" s="158"/>
      <c r="X2" s="158"/>
      <c r="Y2" s="158"/>
    </row>
    <row r="3" spans="1:29" x14ac:dyDescent="0.25">
      <c r="M3" s="211" t="s">
        <v>23</v>
      </c>
      <c r="N3" s="44" t="e" cm="1">
        <f t="array" ref="N3">_xlfn.XLOOKUP(INT(SUBSTITUTE(N6,"Connecteur ", "")),INT(Mesures_Four!B28:B36),Mesures_Four!E28:E36)</f>
        <v>#N/A</v>
      </c>
      <c r="O3" s="44" t="e" cm="1">
        <f t="array" ref="O3">_xlfn.XLOOKUP(INT(SUBSTITUTE(O6,"Connecteur ", "")),INT(Mesures_Four!B28:B36),Mesures_Four!E28:E36)</f>
        <v>#N/A</v>
      </c>
      <c r="P3" s="44" t="e" cm="1">
        <f t="array" ref="P3">_xlfn.XLOOKUP(INT(SUBSTITUTE(P6,"Connecteur ", "")),INT(Mesures_Four!B28:B36),Mesures_Four!E28:E36)</f>
        <v>#N/A</v>
      </c>
      <c r="Q3" s="44" t="e" cm="1">
        <f t="array" ref="Q3">_xlfn.XLOOKUP(INT(SUBSTITUTE(Q6,"Connecteur ", "")),INT(Mesures_Four!B28:B36),Mesures_Four!E28:E36)</f>
        <v>#N/A</v>
      </c>
      <c r="R3" s="44" t="e" cm="1">
        <f t="array" ref="R3">_xlfn.XLOOKUP(INT(SUBSTITUTE(R6,"Connecteur ", "")),INT(Mesures_Four!B28:B36),Mesures_Four!E28:E36)</f>
        <v>#N/A</v>
      </c>
      <c r="S3" s="44" t="e" cm="1">
        <f t="array" ref="S3">_xlfn.XLOOKUP(INT(SUBSTITUTE(S6,"Connecteur ", "")),INT(Mesures_Four!B28:B36),Mesures_Four!E28:E36)</f>
        <v>#N/A</v>
      </c>
      <c r="T3" s="44" t="e" cm="1">
        <f t="array" ref="T3">_xlfn.XLOOKUP(INT(SUBSTITUTE(T6,"Connecteur ", "")),INT(Mesures_Four!B28:B36),Mesures_Four!E28:E36)</f>
        <v>#N/A</v>
      </c>
      <c r="U3" s="44" t="e" cm="1">
        <f t="array" ref="U3">_xlfn.XLOOKUP(INT(SUBSTITUTE(U6,"Connecteur ", "")),INT(Mesures_Four!B28:B36),Mesures_Four!E28:E36)</f>
        <v>#N/A</v>
      </c>
      <c r="V3" s="44" t="e" cm="1">
        <f t="array" ref="V3">_xlfn.XLOOKUP(INT(SUBSTITUTE(V6,"Connecteur ", "")),INT(Mesures_Four!B28:B36),Mesures_Four!E28:E36)</f>
        <v>#N/A</v>
      </c>
      <c r="W3" s="158"/>
      <c r="X3" s="158"/>
      <c r="Y3" s="158"/>
    </row>
    <row r="4" spans="1:29" x14ac:dyDescent="0.25">
      <c r="M4" s="23"/>
      <c r="N4" s="210"/>
      <c r="O4" s="210"/>
      <c r="P4" s="210"/>
      <c r="Q4" s="210"/>
      <c r="R4" s="210"/>
      <c r="S4" s="210"/>
      <c r="T4" s="210"/>
      <c r="U4" s="210"/>
      <c r="V4" s="210"/>
      <c r="W4" s="158"/>
      <c r="X4" s="158"/>
      <c r="Y4" s="158"/>
    </row>
    <row r="5" spans="1:29" x14ac:dyDescent="0.25">
      <c r="A5" s="375" t="s">
        <v>329</v>
      </c>
      <c r="B5" s="375"/>
      <c r="C5" s="375"/>
      <c r="D5" s="375"/>
      <c r="E5" s="375"/>
      <c r="F5" s="375"/>
      <c r="G5" s="375"/>
      <c r="H5" s="375"/>
      <c r="I5" s="375"/>
      <c r="J5" s="375"/>
      <c r="M5" s="375" t="s">
        <v>88</v>
      </c>
      <c r="N5" s="375"/>
      <c r="O5" s="375"/>
      <c r="P5" s="375"/>
      <c r="Q5" s="375"/>
      <c r="R5" s="375"/>
      <c r="S5" s="375"/>
      <c r="T5" s="375"/>
      <c r="U5" s="375"/>
      <c r="V5" s="375"/>
      <c r="Z5" s="209"/>
    </row>
    <row r="6" spans="1:29" x14ac:dyDescent="0.25">
      <c r="A6" s="208" t="str" cm="1">
        <f t="array" ref="A6:J7">tab_transfert200[#All]</f>
        <v>Date/Heure</v>
      </c>
      <c r="B6" s="207" t="str">
        <v>Connecteur 1</v>
      </c>
      <c r="C6" s="207" t="str">
        <v>Connecteur 2</v>
      </c>
      <c r="D6" s="207" t="str">
        <v>Connecteur 3</v>
      </c>
      <c r="E6" s="207" t="str">
        <v>Connecteur 4</v>
      </c>
      <c r="F6" s="207" t="str">
        <v>Connecteur 5</v>
      </c>
      <c r="G6" s="207" t="str">
        <v>Connecteur 6</v>
      </c>
      <c r="H6" s="207" t="str">
        <v>Connecteur 7</v>
      </c>
      <c r="I6" s="207" t="str">
        <v>Connecteur 8</v>
      </c>
      <c r="J6" s="207" t="str">
        <v>Connecteur 9</v>
      </c>
      <c r="K6" s="207" t="s">
        <v>328</v>
      </c>
      <c r="N6" s="206" t="str" cm="1">
        <f t="array" ref="N6:V6">tab_transfert200[[#Headers],[Connecteur 1]:[Connecteur 9]]</f>
        <v>Connecteur 1</v>
      </c>
      <c r="O6" s="206" t="str">
        <v>Connecteur 2</v>
      </c>
      <c r="P6" s="206" t="str">
        <v>Connecteur 3</v>
      </c>
      <c r="Q6" s="206" t="str">
        <v>Connecteur 4</v>
      </c>
      <c r="R6" s="206" t="str">
        <v>Connecteur 5</v>
      </c>
      <c r="S6" s="206" t="str">
        <v>Connecteur 6</v>
      </c>
      <c r="T6" s="206" t="str">
        <v>Connecteur 7</v>
      </c>
      <c r="U6" s="206" t="str">
        <v>Connecteur 8</v>
      </c>
      <c r="V6" s="206" t="str">
        <v>Connecteur 9</v>
      </c>
      <c r="W6" s="206" t="str" cm="1">
        <f t="array" ref="W6:W7">tab_four200[[#All],[Consigne T°]]</f>
        <v>Consigne T°</v>
      </c>
      <c r="Z6" s="201" t="str" cm="1">
        <f t="array" ref="Z6:AC7">tab_four200[[#All],[Date/Heure]:[Pt Chaud]]</f>
        <v>Date/Heure</v>
      </c>
      <c r="AA6" s="201" t="str">
        <v>Pt Froid</v>
      </c>
      <c r="AB6" s="201" t="str">
        <v>Regulation</v>
      </c>
      <c r="AC6" s="201" t="str">
        <v>Pt Chaud</v>
      </c>
    </row>
    <row r="7" spans="1:29" ht="15" customHeight="1" x14ac:dyDescent="0.25">
      <c r="A7" s="23">
        <v>0</v>
      </c>
      <c r="B7">
        <v>0</v>
      </c>
      <c r="C7">
        <v>0</v>
      </c>
      <c r="D7">
        <v>0</v>
      </c>
      <c r="E7">
        <v>0</v>
      </c>
      <c r="F7">
        <v>0</v>
      </c>
      <c r="G7">
        <v>0</v>
      </c>
      <c r="H7">
        <v>0</v>
      </c>
      <c r="I7">
        <v>0</v>
      </c>
      <c r="J7">
        <v>0</v>
      </c>
      <c r="K7" s="204"/>
      <c r="M7" s="328" t="s">
        <v>327</v>
      </c>
      <c r="N7" s="205" t="e" cm="1">
        <f t="array" ref="N7:V7">tab_transfert200[[Connecteur 1]:[Connecteur 9]]+N2:V2+N3:V3</f>
        <v>#N/A</v>
      </c>
      <c r="O7" s="205" t="e">
        <v>#N/A</v>
      </c>
      <c r="P7" s="205" t="e">
        <v>#N/A</v>
      </c>
      <c r="Q7" s="205" t="e">
        <v>#N/A</v>
      </c>
      <c r="R7" s="205" t="e">
        <v>#N/A</v>
      </c>
      <c r="S7" s="205" t="e">
        <v>#N/A</v>
      </c>
      <c r="T7" s="205" t="e">
        <v>#N/A</v>
      </c>
      <c r="U7" s="205" t="e">
        <v>#N/A</v>
      </c>
      <c r="V7" s="205" t="e">
        <v>#N/A</v>
      </c>
      <c r="W7" s="202">
        <v>0</v>
      </c>
      <c r="Z7" s="23">
        <v>0</v>
      </c>
      <c r="AA7">
        <v>0</v>
      </c>
      <c r="AB7">
        <v>0</v>
      </c>
      <c r="AC7">
        <v>0</v>
      </c>
    </row>
    <row r="8" spans="1:29" ht="15" customHeight="1" x14ac:dyDescent="0.25">
      <c r="A8" s="23"/>
      <c r="B8"/>
      <c r="C8"/>
      <c r="D8"/>
      <c r="E8"/>
      <c r="F8"/>
      <c r="G8"/>
      <c r="H8"/>
      <c r="I8"/>
      <c r="J8"/>
      <c r="K8" s="204"/>
      <c r="M8" s="327" t="s">
        <v>326</v>
      </c>
      <c r="N8" s="203"/>
      <c r="O8" s="203"/>
      <c r="P8" s="203"/>
      <c r="Q8" s="203"/>
      <c r="R8" s="203"/>
      <c r="S8" s="203"/>
      <c r="T8" s="203"/>
      <c r="U8" s="203"/>
      <c r="V8" s="203"/>
      <c r="W8" s="323"/>
      <c r="Z8" s="23"/>
    </row>
    <row r="9" spans="1:29" s="377" customFormat="1" ht="15" customHeight="1" x14ac:dyDescent="0.25"/>
    <row r="10" spans="1:29" ht="15" customHeight="1" x14ac:dyDescent="0.25">
      <c r="A10" s="23"/>
      <c r="B10"/>
      <c r="C10"/>
      <c r="D10"/>
      <c r="E10"/>
      <c r="F10"/>
      <c r="G10"/>
      <c r="H10"/>
      <c r="I10"/>
      <c r="J10"/>
      <c r="K10" s="204"/>
      <c r="Z10" s="23"/>
    </row>
    <row r="11" spans="1:29" ht="15" customHeight="1" x14ac:dyDescent="0.25">
      <c r="A11" s="23"/>
      <c r="B11"/>
      <c r="C11"/>
      <c r="D11"/>
      <c r="E11"/>
      <c r="F11"/>
      <c r="G11"/>
      <c r="H11"/>
      <c r="I11"/>
      <c r="J11"/>
      <c r="K11" s="204"/>
      <c r="M11" s="91" t="s">
        <v>90</v>
      </c>
      <c r="N11" s="43" t="e">
        <f>MAX(tab_transfert200[Connecteur 1])+N$2+N$3</f>
        <v>#N/A</v>
      </c>
      <c r="O11" s="43" t="e">
        <f>MAX(tab_transfert200[Connecteur 2])+O$2+O$3</f>
        <v>#N/A</v>
      </c>
      <c r="P11" s="43" t="e">
        <f>MAX(tab_transfert200[Connecteur 3])+P$2+P$3</f>
        <v>#N/A</v>
      </c>
      <c r="Q11" s="43" t="e">
        <f>MAX(tab_transfert200[Connecteur 4])+Q$2+Q$3</f>
        <v>#N/A</v>
      </c>
      <c r="R11" s="43" t="e">
        <f>MAX(tab_transfert200[Connecteur 5])+R$2+R$3</f>
        <v>#N/A</v>
      </c>
      <c r="S11" s="43" t="e">
        <f>MAX(tab_transfert200[Connecteur 6])+S$2+S$3</f>
        <v>#N/A</v>
      </c>
      <c r="T11" s="43" t="e">
        <f>MAX(tab_transfert200[Connecteur 7])+T$2+T$3</f>
        <v>#N/A</v>
      </c>
      <c r="U11" s="43" t="e">
        <f>MAX(tab_transfert200[Connecteur 8])+U$2+U$3</f>
        <v>#N/A</v>
      </c>
      <c r="V11" s="43" t="e">
        <f>MAX(tab_transfert200[Connecteur 9])+V$2+V$3</f>
        <v>#N/A</v>
      </c>
      <c r="W11" s="200" t="e">
        <f>MAX(N11:V11)</f>
        <v>#N/A</v>
      </c>
      <c r="Z11" s="23"/>
      <c r="AA11" s="201" t="str" cm="1">
        <f t="array" ref="AA11:AC11">AA6:AC6</f>
        <v>Pt Froid</v>
      </c>
      <c r="AB11" s="201" t="str">
        <v>Regulation</v>
      </c>
      <c r="AC11" s="201" t="str">
        <v>Pt Chaud</v>
      </c>
    </row>
    <row r="12" spans="1:29" ht="15" customHeight="1" x14ac:dyDescent="0.25">
      <c r="A12" s="23"/>
      <c r="B12"/>
      <c r="C12"/>
      <c r="D12"/>
      <c r="E12"/>
      <c r="F12"/>
      <c r="G12"/>
      <c r="H12"/>
      <c r="I12"/>
      <c r="J12"/>
      <c r="K12" s="204"/>
      <c r="M12" s="199" t="s">
        <v>91</v>
      </c>
      <c r="N12" s="198" t="e">
        <f ca="1">MAX(OFFSET(INDEX(tab_transfert200[Connecteur 1],1),COUNT(tab_transfert200[Connecteur 1])-30,0,30))+N$2+N$3</f>
        <v>#REF!</v>
      </c>
      <c r="O12" s="198" t="e">
        <f ca="1">MAX(OFFSET(INDEX(tab_transfert200[Connecteur 2],1),COUNT(tab_transfert200[Connecteur 2])-30,0,30))+O$2+O$3</f>
        <v>#REF!</v>
      </c>
      <c r="P12" s="198" t="e">
        <f ca="1">MAX(OFFSET(INDEX(tab_transfert200[Connecteur 3],1),COUNT(tab_transfert200[Connecteur 3])-30,0,30))+P$2+P$3</f>
        <v>#REF!</v>
      </c>
      <c r="Q12" s="198" t="e">
        <f ca="1">MAX(OFFSET(INDEX(tab_transfert200[Connecteur 4],1),COUNT(tab_transfert200[Connecteur 4])-30,0,30))+Q$2+Q$3</f>
        <v>#REF!</v>
      </c>
      <c r="R12" s="198" t="e">
        <f ca="1">MAX(OFFSET(INDEX(tab_transfert200[Connecteur 5],1),COUNT(tab_transfert200[Connecteur 5])-30,0,30))+R$2+R$3</f>
        <v>#REF!</v>
      </c>
      <c r="S12" s="198" t="e">
        <f ca="1">MAX(OFFSET(INDEX(tab_transfert200[Connecteur 6],1),COUNT(tab_transfert200[Connecteur 6])-30,0,30))+S$2+S$3</f>
        <v>#REF!</v>
      </c>
      <c r="T12" s="198" t="e">
        <f ca="1">MAX(OFFSET(INDEX(tab_transfert200[Connecteur 7],1),COUNT(tab_transfert200[Connecteur 7])-30,0,30))+T$2+T$3</f>
        <v>#REF!</v>
      </c>
      <c r="U12" s="198" t="e">
        <f ca="1">MAX(OFFSET(INDEX(tab_transfert200[Connecteur 8],1),COUNT(tab_transfert200[Connecteur 8])-30,0,30))+U$2+U$3</f>
        <v>#REF!</v>
      </c>
      <c r="V12" s="198" t="e">
        <f ca="1">MAX(OFFSET(INDEX(tab_transfert200[Connecteur 9],1),COUNT(tab_transfert200[Connecteur 9])-30,0,30))+V$2+V$3</f>
        <v>#REF!</v>
      </c>
      <c r="W12" s="200" t="e">
        <f ca="1">MAX(N12:V12)</f>
        <v>#REF!</v>
      </c>
      <c r="Z12" s="197" t="s">
        <v>90</v>
      </c>
      <c r="AA12" s="43">
        <f>MAX(tab_four200[Pt Froid])</f>
        <v>0</v>
      </c>
      <c r="AB12" s="43">
        <f>MAX(tab_four200[Regulation])</f>
        <v>0</v>
      </c>
      <c r="AC12" s="43">
        <f>MAX(tab_four200[Pt Chaud])</f>
        <v>0</v>
      </c>
    </row>
    <row r="13" spans="1:29" ht="15" customHeight="1" x14ac:dyDescent="0.25">
      <c r="A13" s="23"/>
      <c r="B13"/>
      <c r="C13"/>
      <c r="D13"/>
      <c r="E13"/>
      <c r="F13"/>
      <c r="G13"/>
      <c r="H13"/>
      <c r="I13"/>
      <c r="J13"/>
      <c r="K13" s="204"/>
      <c r="M13" s="199" t="s">
        <v>93</v>
      </c>
      <c r="N13" s="198" t="e">
        <f ca="1">MIN(OFFSET(INDEX(tab_transfert200[Connecteur 1],1),COUNT(tab_transfert200[Connecteur 1])-30,0,30))+N$2+N$3</f>
        <v>#REF!</v>
      </c>
      <c r="O13" s="198" t="e">
        <f ca="1">MIN(OFFSET(INDEX(tab_transfert200[Connecteur 2],1),COUNT(tab_transfert200[Connecteur 2])-30,0,30))+O$2+O$3</f>
        <v>#REF!</v>
      </c>
      <c r="P13" s="198" t="e">
        <f ca="1">MIN(OFFSET(INDEX(tab_transfert200[Connecteur 3],1),COUNT(tab_transfert200[Connecteur 3])-30,0,30))+P$2+P$3</f>
        <v>#REF!</v>
      </c>
      <c r="Q13" s="198" t="e">
        <f ca="1">MIN(OFFSET(INDEX(tab_transfert200[Connecteur 4],1),COUNT(tab_transfert200[Connecteur 4])-30,0,30))+Q$2+Q$3</f>
        <v>#REF!</v>
      </c>
      <c r="R13" s="198" t="e">
        <f ca="1">MIN(OFFSET(INDEX(tab_transfert200[Connecteur 5],1),COUNT(tab_transfert200[Connecteur 5])-30,0,30))+R$2+R$3</f>
        <v>#REF!</v>
      </c>
      <c r="S13" s="198" t="e">
        <f ca="1">MIN(OFFSET(INDEX(tab_transfert200[Connecteur 6],1),COUNT(tab_transfert200[Connecteur 6])-30,0,30))+S$2+S$3</f>
        <v>#REF!</v>
      </c>
      <c r="T13" s="198" t="e">
        <f ca="1">MIN(OFFSET(INDEX(tab_transfert200[Connecteur 7],1),COUNT(tab_transfert200[Connecteur 7])-30,0,30))+T$2+T$3</f>
        <v>#REF!</v>
      </c>
      <c r="U13" s="198" t="e">
        <f ca="1">MIN(OFFSET(INDEX(tab_transfert200[Connecteur 8],1),COUNT(tab_transfert200[Connecteur 8])-30,0,30))+U$2+U$3</f>
        <v>#REF!</v>
      </c>
      <c r="V13" s="198" t="e">
        <f ca="1">MIN(OFFSET(INDEX(tab_transfert200[Connecteur 9],1),COUNT(tab_transfert200[Connecteur 9])-30,0,30))+V$2+V$3</f>
        <v>#REF!</v>
      </c>
      <c r="W13" s="200" t="e">
        <f ca="1">MIN(N13:V13)</f>
        <v>#REF!</v>
      </c>
      <c r="Z13" s="197" t="s">
        <v>91</v>
      </c>
      <c r="AA13" s="43" t="e">
        <f ca="1">MAX(OFFSET(INDEX(tab_four200[Pt Froid],1),COUNT(tab_four200[Pt Froid])-30,0,30))</f>
        <v>#REF!</v>
      </c>
      <c r="AB13" s="43" t="e">
        <f ca="1">MAX(OFFSET(INDEX(tab_four200[Regulation],1),COUNT(tab_four200[Regulation])-30,0,30))</f>
        <v>#REF!</v>
      </c>
      <c r="AC13" s="43" t="e">
        <f ca="1">MAX(OFFSET(INDEX(tab_four200[Pt Chaud],1),COUNT(tab_four200[Pt Chaud])-30,0,30))</f>
        <v>#REF!</v>
      </c>
    </row>
    <row r="14" spans="1:29" ht="15" customHeight="1" x14ac:dyDescent="0.25">
      <c r="A14" s="23"/>
      <c r="B14"/>
      <c r="C14"/>
      <c r="D14"/>
      <c r="E14"/>
      <c r="F14"/>
      <c r="G14"/>
      <c r="H14"/>
      <c r="I14"/>
      <c r="J14"/>
      <c r="K14" s="204"/>
      <c r="M14" s="199" t="s">
        <v>95</v>
      </c>
      <c r="N14" s="198" t="e">
        <f ca="1">AVERAGE(OFFSET(INDEX(tab_transfert200[Connecteur 1],1),COUNT(tab_transfert200[Connecteur 1])-30,0,30))+N$2+N$3</f>
        <v>#REF!</v>
      </c>
      <c r="O14" s="198" t="e">
        <f ca="1">AVERAGE(OFFSET(INDEX(tab_transfert200[Connecteur 2],1),COUNT(tab_transfert200[Connecteur 2])-30,0,30))+O$2+O$3</f>
        <v>#REF!</v>
      </c>
      <c r="P14" s="198" t="e">
        <f ca="1">AVERAGE(OFFSET(INDEX(tab_transfert200[Connecteur 3],1),COUNT(tab_transfert200[Connecteur 3])-30,0,30))+P$2+P$3</f>
        <v>#REF!</v>
      </c>
      <c r="Q14" s="198" t="e">
        <f ca="1">AVERAGE(OFFSET(INDEX(tab_transfert200[Connecteur 4],1),COUNT(tab_transfert200[Connecteur 4])-30,0,30))+Q$2+Q$3</f>
        <v>#REF!</v>
      </c>
      <c r="R14" s="198" t="e">
        <f ca="1">AVERAGE(OFFSET(INDEX(tab_transfert200[Connecteur 5],1),COUNT(tab_transfert200[Connecteur 5])-30,0,30))+R$2+R$3</f>
        <v>#REF!</v>
      </c>
      <c r="S14" s="198" t="e">
        <f ca="1">AVERAGE(OFFSET(INDEX(tab_transfert200[Connecteur 6],1),COUNT(tab_transfert200[Connecteur 6])-30,0,30))+S$2+S$3</f>
        <v>#REF!</v>
      </c>
      <c r="T14" s="198" t="e">
        <f ca="1">AVERAGE(OFFSET(INDEX(tab_transfert200[Connecteur 7],1),COUNT(tab_transfert200[Connecteur 7])-30,0,30))+T$2+T$3</f>
        <v>#REF!</v>
      </c>
      <c r="U14" s="198" t="e">
        <f ca="1">AVERAGE(OFFSET(INDEX(tab_transfert200[Connecteur 8],1),COUNT(tab_transfert200[Connecteur 8])-30,0,30))+U$2+U$3</f>
        <v>#REF!</v>
      </c>
      <c r="V14" s="198" t="e">
        <f ca="1">AVERAGE(OFFSET(INDEX(tab_transfert200[Connecteur 9],1),COUNT(tab_transfert200[Connecteur 9])-30,0,30))+V$2+V$3</f>
        <v>#REF!</v>
      </c>
      <c r="W14" s="27"/>
      <c r="Z14" s="197" t="s">
        <v>93</v>
      </c>
      <c r="AA14" s="43" t="e">
        <f ca="1">MIN(OFFSET(INDEX(tab_four200[Pt Froid],1),COUNT(tab_four200[Pt Froid])-30,0,30))</f>
        <v>#REF!</v>
      </c>
      <c r="AB14" s="43" t="e">
        <f ca="1">MIN(OFFSET(INDEX(tab_four200[Regulation],1),COUNT(tab_four200[Regulation])-30,0,30))</f>
        <v>#REF!</v>
      </c>
      <c r="AC14" s="43" t="e">
        <f ca="1">MIN(OFFSET(INDEX(tab_four200[Pt Chaud],1),COUNT(tab_four200[Pt Chaud])-30,0,30))</f>
        <v>#REF!</v>
      </c>
    </row>
    <row r="15" spans="1:29" ht="15" customHeight="1" x14ac:dyDescent="0.25">
      <c r="A15" s="23"/>
      <c r="B15"/>
      <c r="C15"/>
      <c r="D15"/>
      <c r="E15"/>
      <c r="F15"/>
      <c r="G15"/>
      <c r="H15"/>
      <c r="I15"/>
      <c r="J15"/>
      <c r="K15" s="204"/>
      <c r="M15" s="91" t="s">
        <v>96</v>
      </c>
      <c r="N15" s="43" t="e">
        <f ca="1">N12-N13</f>
        <v>#REF!</v>
      </c>
      <c r="O15" s="43" t="e">
        <f t="shared" ref="O15:V15" ca="1" si="0">O12-O13</f>
        <v>#REF!</v>
      </c>
      <c r="P15" s="43" t="e">
        <f t="shared" ca="1" si="0"/>
        <v>#REF!</v>
      </c>
      <c r="Q15" s="43" t="e">
        <f t="shared" ca="1" si="0"/>
        <v>#REF!</v>
      </c>
      <c r="R15" s="43" t="e">
        <f t="shared" ca="1" si="0"/>
        <v>#REF!</v>
      </c>
      <c r="S15" s="43" t="e">
        <f t="shared" ca="1" si="0"/>
        <v>#REF!</v>
      </c>
      <c r="T15" s="43" t="e">
        <f t="shared" ca="1" si="0"/>
        <v>#REF!</v>
      </c>
      <c r="U15" s="43" t="e">
        <f t="shared" ca="1" si="0"/>
        <v>#REF!</v>
      </c>
      <c r="V15" s="43" t="e">
        <f t="shared" ca="1" si="0"/>
        <v>#REF!</v>
      </c>
      <c r="W15" s="27"/>
      <c r="Z15" s="197" t="s">
        <v>95</v>
      </c>
      <c r="AA15" s="43" t="e">
        <f ca="1">AVERAGE(OFFSET(INDEX(tab_four200[Pt Froid],1),COUNT(tab_four200[Pt Froid])-30,0,30))</f>
        <v>#REF!</v>
      </c>
      <c r="AB15" s="43" t="e">
        <f ca="1">AVERAGE(OFFSET(INDEX(tab_four200[Regulation],1),COUNT(tab_four200[Regulation])-30,0,30))</f>
        <v>#REF!</v>
      </c>
      <c r="AC15" s="43" t="e">
        <f ca="1">AVERAGE(OFFSET(INDEX(tab_four200[Pt Chaud],1),COUNT(tab_four200[Pt Chaud])-30,0,30))</f>
        <v>#REF!</v>
      </c>
    </row>
    <row r="16" spans="1:29" ht="15" customHeight="1" x14ac:dyDescent="0.25">
      <c r="A16" s="23"/>
      <c r="B16"/>
      <c r="C16"/>
      <c r="D16"/>
      <c r="E16"/>
      <c r="F16"/>
      <c r="G16"/>
      <c r="H16"/>
      <c r="I16"/>
      <c r="J16"/>
      <c r="K16" s="204"/>
      <c r="M16" s="91" t="s">
        <v>97</v>
      </c>
      <c r="N16" s="376" t="e">
        <f ca="1">ABS(MAX(N12:V12) - MIN(N13:V13))</f>
        <v>#REF!</v>
      </c>
      <c r="O16" s="376"/>
      <c r="P16" s="376"/>
      <c r="Q16" s="376"/>
      <c r="R16" s="376"/>
      <c r="S16" s="376"/>
      <c r="T16" s="376"/>
      <c r="U16" s="376"/>
      <c r="V16" s="376"/>
      <c r="W16" s="44" t="e">
        <f ca="1">N16</f>
        <v>#REF!</v>
      </c>
      <c r="Z16" s="23"/>
    </row>
    <row r="17" spans="1:26" ht="15" customHeight="1" x14ac:dyDescent="0.25">
      <c r="A17" s="23"/>
      <c r="B17"/>
      <c r="C17"/>
      <c r="D17"/>
      <c r="E17"/>
      <c r="F17"/>
      <c r="G17"/>
      <c r="H17"/>
      <c r="I17"/>
      <c r="J17"/>
      <c r="K17" s="204"/>
      <c r="M17" s="91" t="s">
        <v>98</v>
      </c>
      <c r="N17" s="376" t="e">
        <f ca="1">AVERAGE(N14:V14)</f>
        <v>#REF!</v>
      </c>
      <c r="O17" s="376"/>
      <c r="P17" s="376"/>
      <c r="Q17" s="376"/>
      <c r="R17" s="376"/>
      <c r="S17" s="376"/>
      <c r="T17" s="376"/>
      <c r="U17" s="376"/>
      <c r="V17" s="376"/>
      <c r="W17" s="44" t="e">
        <f ca="1">N17</f>
        <v>#REF!</v>
      </c>
      <c r="Z17" s="23"/>
    </row>
    <row r="18" spans="1:26" ht="15" customHeight="1" x14ac:dyDescent="0.25">
      <c r="A18" s="23"/>
      <c r="B18"/>
      <c r="C18"/>
      <c r="D18"/>
      <c r="E18"/>
      <c r="F18"/>
      <c r="G18"/>
      <c r="H18"/>
      <c r="I18"/>
      <c r="J18"/>
      <c r="K18" s="204"/>
      <c r="M18" s="196" t="s">
        <v>325</v>
      </c>
      <c r="N18" s="35" t="str" cm="1">
        <f t="array" ref="N18:V18">tab_transfert200[[#Headers],[Connecteur 1]:[Connecteur 9]]</f>
        <v>Connecteur 1</v>
      </c>
      <c r="O18" s="35" t="str">
        <v>Connecteur 2</v>
      </c>
      <c r="P18" s="35" t="str">
        <v>Connecteur 3</v>
      </c>
      <c r="Q18" s="35" t="str">
        <v>Connecteur 4</v>
      </c>
      <c r="R18" s="35" t="str">
        <v>Connecteur 5</v>
      </c>
      <c r="S18" s="35" t="str">
        <v>Connecteur 6</v>
      </c>
      <c r="T18" s="35" t="str">
        <v>Connecteur 7</v>
      </c>
      <c r="U18" s="35" t="str">
        <v>Connecteur 8</v>
      </c>
      <c r="V18" s="35" t="str">
        <v>Connecteur 9</v>
      </c>
      <c r="W18" s="27"/>
      <c r="Z18" s="23"/>
    </row>
    <row r="19" spans="1:26" ht="15" customHeight="1" x14ac:dyDescent="0.25">
      <c r="A19" s="23"/>
      <c r="B19"/>
      <c r="C19"/>
      <c r="D19"/>
      <c r="E19"/>
      <c r="F19"/>
      <c r="G19"/>
      <c r="H19"/>
      <c r="I19"/>
      <c r="J19"/>
      <c r="K19" s="204"/>
      <c r="M19" s="193" t="s">
        <v>324</v>
      </c>
      <c r="N19" s="195" t="e">
        <f ca="1">_xlfn.STDEV.S(OFFSET(INDEX(tab_transfert200[Connecteur 1],1),COUNT(tab_transfert200[Connecteur 1])-30,0,30))</f>
        <v>#REF!</v>
      </c>
      <c r="O19" s="195" t="e">
        <f ca="1">_xlfn.STDEV.S(OFFSET(INDEX(tab_transfert200[Connecteur 2],1),COUNT(tab_transfert200[Connecteur 2])-30,0,30))</f>
        <v>#REF!</v>
      </c>
      <c r="P19" s="195" t="e">
        <f ca="1">_xlfn.STDEV.S(OFFSET(INDEX(tab_transfert200[Connecteur 3],1),COUNT(tab_transfert200[Connecteur 3])-30,0,30))</f>
        <v>#REF!</v>
      </c>
      <c r="Q19" s="195" t="e">
        <f ca="1">_xlfn.STDEV.S(OFFSET(INDEX(tab_transfert200[Connecteur 4],1),COUNT(tab_transfert200[Connecteur 4])-30,0,30))</f>
        <v>#REF!</v>
      </c>
      <c r="R19" s="195" t="e">
        <f ca="1">_xlfn.STDEV.S(OFFSET(INDEX(tab_transfert200[Connecteur 5],1),COUNT(tab_transfert200[Connecteur 5])-30,0,30))</f>
        <v>#REF!</v>
      </c>
      <c r="S19" s="195" t="e">
        <f ca="1">_xlfn.STDEV.S(OFFSET(INDEX(tab_transfert200[Connecteur 6],1),COUNT(tab_transfert200[Connecteur 6])-30,0,30))</f>
        <v>#REF!</v>
      </c>
      <c r="T19" s="195" t="e">
        <f ca="1">_xlfn.STDEV.S(OFFSET(INDEX(tab_transfert200[Connecteur 7],1),COUNT(tab_transfert200[Connecteur 7])-30,0,30))</f>
        <v>#REF!</v>
      </c>
      <c r="U19" s="195" t="e">
        <f ca="1">_xlfn.STDEV.S(OFFSET(INDEX(tab_transfert200[Connecteur 8],1),COUNT(tab_transfert200[Connecteur 8])-30,0,30))</f>
        <v>#REF!</v>
      </c>
      <c r="V19" s="195" t="e">
        <f ca="1">_xlfn.STDEV.S(OFFSET(INDEX(tab_transfert200[Connecteur 9],1),COUNT(tab_transfert200[Connecteur 9])-30,0,30))</f>
        <v>#REF!</v>
      </c>
      <c r="W19" s="194" t="e">
        <f ca="1">MAX(N19:V19)</f>
        <v>#REF!</v>
      </c>
      <c r="Z19" s="23"/>
    </row>
    <row r="20" spans="1:26" ht="15" customHeight="1" x14ac:dyDescent="0.25">
      <c r="A20" s="23"/>
      <c r="B20"/>
      <c r="C20"/>
      <c r="D20"/>
      <c r="E20"/>
      <c r="F20"/>
      <c r="G20"/>
      <c r="H20"/>
      <c r="I20"/>
      <c r="J20"/>
      <c r="K20" s="204"/>
      <c r="N20" s="27"/>
      <c r="O20" s="27"/>
      <c r="P20" s="27"/>
      <c r="Q20" s="27"/>
      <c r="R20" s="27"/>
      <c r="S20" s="27"/>
      <c r="T20" s="27"/>
      <c r="U20" s="27"/>
      <c r="V20" s="27"/>
      <c r="W20" s="27"/>
      <c r="Z20" s="23"/>
    </row>
    <row r="21" spans="1:26" ht="15" customHeight="1" x14ac:dyDescent="0.25">
      <c r="A21" s="23"/>
      <c r="B21"/>
      <c r="C21"/>
      <c r="D21"/>
      <c r="E21"/>
      <c r="F21"/>
      <c r="G21"/>
      <c r="H21"/>
      <c r="I21"/>
      <c r="J21"/>
      <c r="K21" s="204"/>
      <c r="M21" s="193" t="s">
        <v>323</v>
      </c>
      <c r="N21" s="192" t="e">
        <f ca="1">W12-(OFFSET(INDEX(tab_four200[Consigne T°],1),COUNT(tab_four200[Consigne T°])-30,0,1))</f>
        <v>#REF!</v>
      </c>
      <c r="O21" s="27"/>
      <c r="P21" s="27"/>
      <c r="Q21" s="27"/>
      <c r="R21" s="27"/>
      <c r="S21" s="27"/>
      <c r="T21" s="27"/>
      <c r="U21" s="27"/>
      <c r="V21" s="27"/>
      <c r="W21" s="27"/>
      <c r="Z21" s="23"/>
    </row>
    <row r="22" spans="1:26" ht="15" customHeight="1" x14ac:dyDescent="0.25">
      <c r="A22" s="23"/>
      <c r="B22"/>
      <c r="C22"/>
      <c r="D22"/>
      <c r="E22"/>
      <c r="F22"/>
      <c r="G22"/>
      <c r="H22"/>
      <c r="I22"/>
      <c r="J22"/>
      <c r="K22" s="204"/>
      <c r="M22" s="193" t="s">
        <v>322</v>
      </c>
      <c r="N22" s="192" t="e">
        <f ca="1">W13-(OFFSET(INDEX(tab_four200[Consigne T°],1),COUNT(tab_four200[Consigne T°])-30,0,1))</f>
        <v>#REF!</v>
      </c>
      <c r="O22" s="27"/>
      <c r="P22" s="27"/>
      <c r="Q22" s="27"/>
      <c r="R22" s="27"/>
      <c r="S22" s="27"/>
      <c r="T22" s="27"/>
      <c r="U22" s="27"/>
      <c r="V22" s="27"/>
      <c r="W22" s="27"/>
      <c r="Z22" s="23"/>
    </row>
    <row r="23" spans="1:26" ht="15" customHeight="1" x14ac:dyDescent="0.25">
      <c r="A23" s="23"/>
      <c r="B23"/>
      <c r="C23"/>
      <c r="D23"/>
      <c r="E23"/>
      <c r="F23"/>
      <c r="G23"/>
      <c r="H23"/>
      <c r="I23"/>
      <c r="J23"/>
      <c r="K23" s="204"/>
      <c r="N23" s="27"/>
      <c r="O23" s="27"/>
      <c r="P23" s="27"/>
      <c r="Q23" s="27"/>
      <c r="R23" s="27"/>
      <c r="S23" s="27"/>
      <c r="T23" s="27"/>
      <c r="U23" s="27"/>
      <c r="V23" s="27"/>
      <c r="W23" s="27"/>
      <c r="Z23" s="23"/>
    </row>
    <row r="24" spans="1:26" ht="15" customHeight="1" x14ac:dyDescent="0.25">
      <c r="A24" s="23"/>
      <c r="B24"/>
      <c r="C24"/>
      <c r="D24"/>
      <c r="E24"/>
      <c r="F24"/>
      <c r="G24"/>
      <c r="H24"/>
      <c r="I24"/>
      <c r="J24"/>
      <c r="K24" s="204"/>
      <c r="Z24" s="23"/>
    </row>
    <row r="25" spans="1:26" ht="15" customHeight="1" x14ac:dyDescent="0.25">
      <c r="A25" s="23"/>
      <c r="B25"/>
      <c r="C25"/>
      <c r="D25"/>
      <c r="E25"/>
      <c r="F25"/>
      <c r="G25"/>
      <c r="H25"/>
      <c r="I25"/>
      <c r="J25"/>
      <c r="K25" s="204"/>
      <c r="Z25" s="23"/>
    </row>
    <row r="26" spans="1:26" ht="15" customHeight="1" x14ac:dyDescent="0.25">
      <c r="A26" s="23"/>
      <c r="B26"/>
      <c r="C26"/>
      <c r="D26"/>
      <c r="E26"/>
      <c r="F26"/>
      <c r="G26"/>
      <c r="H26"/>
      <c r="I26"/>
      <c r="J26"/>
      <c r="K26" s="204"/>
      <c r="Z26" s="23"/>
    </row>
    <row r="27" spans="1:26" ht="15" customHeight="1" x14ac:dyDescent="0.25">
      <c r="A27" s="23"/>
      <c r="B27"/>
      <c r="C27"/>
      <c r="D27"/>
      <c r="E27"/>
      <c r="F27"/>
      <c r="G27"/>
      <c r="H27"/>
      <c r="I27"/>
      <c r="J27"/>
      <c r="K27" s="204"/>
      <c r="Z27" s="23"/>
    </row>
    <row r="28" spans="1:26" ht="15" customHeight="1" x14ac:dyDescent="0.25">
      <c r="A28" s="23"/>
      <c r="B28"/>
      <c r="C28"/>
      <c r="D28"/>
      <c r="E28"/>
      <c r="F28"/>
      <c r="G28"/>
      <c r="H28"/>
      <c r="I28"/>
      <c r="J28"/>
      <c r="K28" s="204"/>
      <c r="Z28" s="23"/>
    </row>
    <row r="29" spans="1:26" ht="15" customHeight="1" x14ac:dyDescent="0.25">
      <c r="A29" s="23"/>
      <c r="B29"/>
      <c r="C29"/>
      <c r="D29"/>
      <c r="E29"/>
      <c r="F29"/>
      <c r="G29"/>
      <c r="H29"/>
      <c r="I29"/>
      <c r="J29"/>
      <c r="K29" s="204"/>
      <c r="Z29" s="23"/>
    </row>
    <row r="30" spans="1:26" ht="15" customHeight="1" x14ac:dyDescent="0.25">
      <c r="A30" s="23"/>
      <c r="B30"/>
      <c r="C30"/>
      <c r="D30"/>
      <c r="E30"/>
      <c r="F30"/>
      <c r="G30"/>
      <c r="H30"/>
      <c r="I30"/>
      <c r="J30"/>
      <c r="K30" s="204"/>
      <c r="Z30" s="23"/>
    </row>
    <row r="31" spans="1:26" ht="15" customHeight="1" x14ac:dyDescent="0.25">
      <c r="A31" s="23"/>
      <c r="B31"/>
      <c r="C31"/>
      <c r="D31"/>
      <c r="E31"/>
      <c r="F31"/>
      <c r="G31"/>
      <c r="H31"/>
      <c r="I31"/>
      <c r="J31"/>
      <c r="K31" s="204"/>
      <c r="Z31" s="23"/>
    </row>
    <row r="32" spans="1:26" ht="15" customHeight="1" x14ac:dyDescent="0.25">
      <c r="A32" s="23"/>
      <c r="B32"/>
      <c r="C32"/>
      <c r="D32"/>
      <c r="E32"/>
      <c r="F32"/>
      <c r="G32"/>
      <c r="H32"/>
      <c r="I32"/>
      <c r="J32"/>
      <c r="K32" s="204"/>
      <c r="Z32" s="23"/>
    </row>
    <row r="33" spans="1:26" ht="15" customHeight="1" x14ac:dyDescent="0.25">
      <c r="A33" s="23"/>
      <c r="B33"/>
      <c r="C33"/>
      <c r="D33"/>
      <c r="E33"/>
      <c r="F33"/>
      <c r="G33"/>
      <c r="H33"/>
      <c r="I33"/>
      <c r="J33"/>
      <c r="K33" s="204"/>
      <c r="Z33" s="23"/>
    </row>
    <row r="34" spans="1:26" ht="15" customHeight="1" x14ac:dyDescent="0.25">
      <c r="A34" s="23"/>
      <c r="B34"/>
      <c r="C34"/>
      <c r="D34"/>
      <c r="E34"/>
      <c r="F34"/>
      <c r="G34"/>
      <c r="H34"/>
      <c r="I34"/>
      <c r="J34"/>
      <c r="K34" s="204"/>
      <c r="Z34" s="23"/>
    </row>
    <row r="35" spans="1:26" ht="15" customHeight="1" x14ac:dyDescent="0.25">
      <c r="A35" s="23"/>
      <c r="B35"/>
      <c r="C35"/>
      <c r="D35"/>
      <c r="E35"/>
      <c r="F35"/>
      <c r="G35"/>
      <c r="H35"/>
      <c r="I35"/>
      <c r="J35"/>
      <c r="K35" s="204"/>
      <c r="Z35" s="23"/>
    </row>
    <row r="36" spans="1:26" ht="15" customHeight="1" x14ac:dyDescent="0.25">
      <c r="A36" s="23"/>
      <c r="B36"/>
      <c r="C36"/>
      <c r="D36"/>
      <c r="E36"/>
      <c r="F36"/>
      <c r="G36"/>
      <c r="H36"/>
      <c r="I36"/>
      <c r="J36"/>
      <c r="K36" s="204"/>
      <c r="Z36" s="23"/>
    </row>
    <row r="37" spans="1:26" ht="15" customHeight="1" x14ac:dyDescent="0.25">
      <c r="A37" s="23"/>
      <c r="B37"/>
      <c r="C37"/>
      <c r="D37"/>
      <c r="E37"/>
      <c r="F37"/>
      <c r="G37"/>
      <c r="H37"/>
      <c r="I37"/>
      <c r="J37"/>
      <c r="K37" s="204"/>
      <c r="Z37" s="23"/>
    </row>
    <row r="38" spans="1:26" ht="15" customHeight="1" x14ac:dyDescent="0.25">
      <c r="A38" s="23"/>
      <c r="B38"/>
      <c r="C38"/>
      <c r="D38"/>
      <c r="E38"/>
      <c r="F38"/>
      <c r="G38"/>
      <c r="H38"/>
      <c r="I38"/>
      <c r="J38"/>
      <c r="K38" s="204"/>
      <c r="Z38" s="23"/>
    </row>
    <row r="39" spans="1:26" ht="15" customHeight="1" x14ac:dyDescent="0.25">
      <c r="A39" s="23"/>
      <c r="B39"/>
      <c r="C39"/>
      <c r="D39"/>
      <c r="E39"/>
      <c r="F39"/>
      <c r="G39"/>
      <c r="H39"/>
      <c r="I39"/>
      <c r="J39"/>
      <c r="K39" s="204"/>
      <c r="Z39" s="23"/>
    </row>
    <row r="40" spans="1:26" ht="15" customHeight="1" x14ac:dyDescent="0.25">
      <c r="A40" s="23"/>
      <c r="B40"/>
      <c r="C40"/>
      <c r="D40"/>
      <c r="E40"/>
      <c r="F40"/>
      <c r="G40"/>
      <c r="H40"/>
      <c r="I40"/>
      <c r="J40"/>
      <c r="K40" s="204"/>
      <c r="Z40" s="23"/>
    </row>
    <row r="41" spans="1:26" ht="15" customHeight="1" x14ac:dyDescent="0.25">
      <c r="A41" s="23"/>
      <c r="B41"/>
      <c r="C41"/>
      <c r="D41"/>
      <c r="E41"/>
      <c r="F41"/>
      <c r="G41"/>
      <c r="H41"/>
      <c r="I41"/>
      <c r="J41"/>
      <c r="K41" s="204"/>
      <c r="Z41" s="23"/>
    </row>
    <row r="42" spans="1:26" ht="15" customHeight="1" x14ac:dyDescent="0.25">
      <c r="A42" s="23"/>
      <c r="B42"/>
      <c r="C42"/>
      <c r="D42"/>
      <c r="E42"/>
      <c r="F42"/>
      <c r="G42"/>
      <c r="H42"/>
      <c r="I42"/>
      <c r="J42"/>
      <c r="K42" s="204"/>
      <c r="Z42" s="23"/>
    </row>
    <row r="43" spans="1:26" ht="15" customHeight="1" x14ac:dyDescent="0.25">
      <c r="A43" s="23"/>
      <c r="B43"/>
      <c r="C43"/>
      <c r="D43"/>
      <c r="E43"/>
      <c r="F43"/>
      <c r="G43"/>
      <c r="H43"/>
      <c r="I43"/>
      <c r="J43"/>
      <c r="K43" s="204"/>
      <c r="Z43" s="23"/>
    </row>
    <row r="44" spans="1:26" ht="15" customHeight="1" x14ac:dyDescent="0.25">
      <c r="A44" s="23"/>
      <c r="B44"/>
      <c r="C44"/>
      <c r="D44"/>
      <c r="E44"/>
      <c r="F44"/>
      <c r="G44"/>
      <c r="H44"/>
      <c r="I44"/>
      <c r="J44"/>
      <c r="K44" s="204"/>
      <c r="Z44" s="23"/>
    </row>
    <row r="45" spans="1:26" ht="15" customHeight="1" x14ac:dyDescent="0.25">
      <c r="A45" s="23"/>
      <c r="B45"/>
      <c r="C45"/>
      <c r="D45"/>
      <c r="E45"/>
      <c r="F45"/>
      <c r="G45"/>
      <c r="H45"/>
      <c r="I45"/>
      <c r="J45"/>
      <c r="K45" s="204"/>
      <c r="Z45" s="23"/>
    </row>
    <row r="46" spans="1:26" ht="15" customHeight="1" x14ac:dyDescent="0.25">
      <c r="A46" s="23"/>
      <c r="B46"/>
      <c r="C46"/>
      <c r="D46"/>
      <c r="E46"/>
      <c r="F46"/>
      <c r="G46"/>
      <c r="H46"/>
      <c r="I46"/>
      <c r="J46"/>
      <c r="K46" s="204"/>
      <c r="Z46" s="23"/>
    </row>
    <row r="47" spans="1:26" ht="15" customHeight="1" x14ac:dyDescent="0.25">
      <c r="A47" s="23"/>
      <c r="B47"/>
      <c r="C47"/>
      <c r="D47"/>
      <c r="E47"/>
      <c r="F47"/>
      <c r="G47"/>
      <c r="H47"/>
      <c r="I47"/>
      <c r="J47"/>
      <c r="K47" s="204"/>
      <c r="Z47" s="23"/>
    </row>
    <row r="48" spans="1:26" ht="15" customHeight="1" x14ac:dyDescent="0.25">
      <c r="A48" s="23"/>
      <c r="B48"/>
      <c r="C48"/>
      <c r="D48"/>
      <c r="E48"/>
      <c r="F48"/>
      <c r="G48"/>
      <c r="H48"/>
      <c r="I48"/>
      <c r="J48"/>
      <c r="K48" s="204"/>
      <c r="Z48" s="23"/>
    </row>
    <row r="49" spans="1:26" ht="15" customHeight="1" x14ac:dyDescent="0.25">
      <c r="A49" s="23"/>
      <c r="B49"/>
      <c r="C49"/>
      <c r="D49"/>
      <c r="E49"/>
      <c r="F49"/>
      <c r="G49"/>
      <c r="H49"/>
      <c r="I49"/>
      <c r="J49"/>
      <c r="K49" s="204"/>
      <c r="Z49" s="23"/>
    </row>
    <row r="50" spans="1:26" ht="15" customHeight="1" x14ac:dyDescent="0.25">
      <c r="A50" s="23"/>
      <c r="B50"/>
      <c r="C50"/>
      <c r="D50"/>
      <c r="E50"/>
      <c r="F50"/>
      <c r="G50"/>
      <c r="H50"/>
      <c r="I50"/>
      <c r="J50"/>
      <c r="K50" s="204"/>
      <c r="Z50" s="23"/>
    </row>
    <row r="51" spans="1:26" ht="15" customHeight="1" x14ac:dyDescent="0.25">
      <c r="A51" s="23"/>
      <c r="B51"/>
      <c r="C51"/>
      <c r="D51"/>
      <c r="E51"/>
      <c r="F51"/>
      <c r="G51"/>
      <c r="H51"/>
      <c r="I51"/>
      <c r="J51"/>
      <c r="K51" s="204"/>
      <c r="Z51" s="23"/>
    </row>
    <row r="52" spans="1:26" ht="15" customHeight="1" x14ac:dyDescent="0.25">
      <c r="A52" s="23"/>
      <c r="B52"/>
      <c r="C52"/>
      <c r="D52"/>
      <c r="E52"/>
      <c r="F52"/>
      <c r="G52"/>
      <c r="H52"/>
      <c r="I52"/>
      <c r="J52"/>
      <c r="K52" s="204"/>
      <c r="Z52" s="23"/>
    </row>
    <row r="53" spans="1:26" ht="15" customHeight="1" x14ac:dyDescent="0.25">
      <c r="A53" s="23"/>
      <c r="B53"/>
      <c r="C53"/>
      <c r="D53"/>
      <c r="E53"/>
      <c r="F53"/>
      <c r="G53"/>
      <c r="H53"/>
      <c r="I53"/>
      <c r="J53"/>
      <c r="K53" s="204"/>
      <c r="Z53" s="23"/>
    </row>
    <row r="54" spans="1:26" ht="15" customHeight="1" x14ac:dyDescent="0.25">
      <c r="A54" s="23"/>
      <c r="B54"/>
      <c r="C54"/>
      <c r="D54"/>
      <c r="E54"/>
      <c r="F54"/>
      <c r="G54"/>
      <c r="H54"/>
      <c r="I54"/>
      <c r="J54"/>
      <c r="K54" s="204"/>
      <c r="Z54" s="23"/>
    </row>
    <row r="55" spans="1:26" ht="15" customHeight="1" x14ac:dyDescent="0.25">
      <c r="A55" s="23"/>
      <c r="B55"/>
      <c r="C55"/>
      <c r="D55"/>
      <c r="E55"/>
      <c r="F55"/>
      <c r="G55"/>
      <c r="H55"/>
      <c r="I55"/>
      <c r="J55"/>
      <c r="K55" s="204"/>
      <c r="Z55" s="23"/>
    </row>
    <row r="56" spans="1:26" ht="15" customHeight="1" x14ac:dyDescent="0.25">
      <c r="A56" s="23"/>
      <c r="B56"/>
      <c r="C56"/>
      <c r="D56"/>
      <c r="E56"/>
      <c r="F56"/>
      <c r="G56"/>
      <c r="H56"/>
      <c r="I56"/>
      <c r="J56"/>
      <c r="K56" s="204"/>
      <c r="Z56" s="23"/>
    </row>
    <row r="57" spans="1:26" ht="15" customHeight="1" x14ac:dyDescent="0.25">
      <c r="A57" s="23"/>
      <c r="B57"/>
      <c r="C57"/>
      <c r="D57"/>
      <c r="E57"/>
      <c r="F57"/>
      <c r="G57"/>
      <c r="H57"/>
      <c r="I57"/>
      <c r="J57"/>
      <c r="K57" s="204"/>
      <c r="Z57" s="23"/>
    </row>
    <row r="58" spans="1:26" ht="15" customHeight="1" x14ac:dyDescent="0.25">
      <c r="A58" s="23"/>
      <c r="B58"/>
      <c r="C58"/>
      <c r="D58"/>
      <c r="E58"/>
      <c r="F58"/>
      <c r="G58"/>
      <c r="H58"/>
      <c r="I58"/>
      <c r="J58"/>
      <c r="K58" s="204"/>
      <c r="Z58" s="23"/>
    </row>
    <row r="59" spans="1:26" ht="15" customHeight="1" x14ac:dyDescent="0.25">
      <c r="A59" s="23"/>
      <c r="B59"/>
      <c r="C59"/>
      <c r="D59"/>
      <c r="E59"/>
      <c r="F59"/>
      <c r="G59"/>
      <c r="H59"/>
      <c r="I59"/>
      <c r="J59"/>
      <c r="K59" s="204"/>
      <c r="Z59" s="23"/>
    </row>
    <row r="60" spans="1:26" ht="15" customHeight="1" x14ac:dyDescent="0.25">
      <c r="A60" s="23"/>
      <c r="B60"/>
      <c r="C60"/>
      <c r="D60"/>
      <c r="E60"/>
      <c r="F60"/>
      <c r="G60"/>
      <c r="H60"/>
      <c r="I60"/>
      <c r="J60"/>
      <c r="K60" s="204"/>
      <c r="Z60" s="23"/>
    </row>
    <row r="61" spans="1:26" ht="15" customHeight="1" x14ac:dyDescent="0.25">
      <c r="A61" s="23"/>
      <c r="B61"/>
      <c r="C61"/>
      <c r="D61"/>
      <c r="E61"/>
      <c r="F61"/>
      <c r="G61"/>
      <c r="H61"/>
      <c r="I61"/>
      <c r="J61"/>
      <c r="K61" s="204"/>
      <c r="Z61" s="23"/>
    </row>
    <row r="62" spans="1:26" ht="15" customHeight="1" x14ac:dyDescent="0.25">
      <c r="A62" s="23"/>
      <c r="B62"/>
      <c r="C62"/>
      <c r="D62"/>
      <c r="E62"/>
      <c r="F62"/>
      <c r="G62"/>
      <c r="H62"/>
      <c r="I62"/>
      <c r="J62"/>
      <c r="K62" s="204"/>
      <c r="Z62" s="23"/>
    </row>
    <row r="63" spans="1:26" ht="15" customHeight="1" x14ac:dyDescent="0.25">
      <c r="A63" s="23"/>
      <c r="B63"/>
      <c r="C63"/>
      <c r="D63"/>
      <c r="E63"/>
      <c r="F63"/>
      <c r="G63"/>
      <c r="H63"/>
      <c r="I63"/>
      <c r="J63"/>
      <c r="K63" s="204"/>
      <c r="Z63" s="23"/>
    </row>
    <row r="64" spans="1:26" ht="15" customHeight="1" x14ac:dyDescent="0.25">
      <c r="A64" s="23"/>
      <c r="B64"/>
      <c r="C64"/>
      <c r="D64"/>
      <c r="E64"/>
      <c r="F64"/>
      <c r="G64"/>
      <c r="H64"/>
      <c r="I64"/>
      <c r="J64"/>
      <c r="K64" s="204"/>
      <c r="Z64" s="23"/>
    </row>
    <row r="65" spans="1:26" ht="15" customHeight="1" x14ac:dyDescent="0.25">
      <c r="A65" s="23"/>
      <c r="B65"/>
      <c r="C65"/>
      <c r="D65"/>
      <c r="E65"/>
      <c r="F65"/>
      <c r="G65"/>
      <c r="H65"/>
      <c r="I65"/>
      <c r="J65"/>
      <c r="K65" s="204"/>
      <c r="Z65" s="23"/>
    </row>
    <row r="66" spans="1:26" ht="15" customHeight="1" x14ac:dyDescent="0.25">
      <c r="A66" s="23"/>
      <c r="B66"/>
      <c r="C66"/>
      <c r="D66"/>
      <c r="E66"/>
      <c r="F66"/>
      <c r="G66"/>
      <c r="H66"/>
      <c r="I66"/>
      <c r="J66"/>
      <c r="K66" s="204"/>
      <c r="Z66" s="23"/>
    </row>
    <row r="67" spans="1:26" ht="15" customHeight="1" x14ac:dyDescent="0.25">
      <c r="A67" s="23"/>
      <c r="B67"/>
      <c r="C67"/>
      <c r="D67"/>
      <c r="E67"/>
      <c r="F67"/>
      <c r="G67"/>
      <c r="H67"/>
      <c r="I67"/>
      <c r="J67"/>
      <c r="K67" s="204"/>
      <c r="Z67" s="23"/>
    </row>
    <row r="68" spans="1:26" ht="15" customHeight="1" x14ac:dyDescent="0.25">
      <c r="A68" s="23"/>
      <c r="B68"/>
      <c r="C68"/>
      <c r="D68"/>
      <c r="E68"/>
      <c r="F68"/>
      <c r="G68"/>
      <c r="H68"/>
      <c r="I68"/>
      <c r="J68"/>
      <c r="K68" s="204"/>
      <c r="Z68" s="23"/>
    </row>
    <row r="69" spans="1:26" ht="15" customHeight="1" x14ac:dyDescent="0.25">
      <c r="A69" s="23"/>
      <c r="B69"/>
      <c r="C69"/>
      <c r="D69"/>
      <c r="E69"/>
      <c r="F69"/>
      <c r="G69"/>
      <c r="H69"/>
      <c r="I69"/>
      <c r="J69"/>
      <c r="K69" s="204"/>
      <c r="Z69" s="23"/>
    </row>
    <row r="70" spans="1:26" ht="15" customHeight="1" x14ac:dyDescent="0.25">
      <c r="A70" s="23"/>
      <c r="B70"/>
      <c r="C70"/>
      <c r="D70"/>
      <c r="E70"/>
      <c r="F70"/>
      <c r="G70"/>
      <c r="H70"/>
      <c r="I70"/>
      <c r="J70"/>
      <c r="K70" s="204"/>
      <c r="Z70" s="23"/>
    </row>
    <row r="71" spans="1:26" ht="15" customHeight="1" x14ac:dyDescent="0.25">
      <c r="A71" s="23"/>
      <c r="B71"/>
      <c r="C71"/>
      <c r="D71"/>
      <c r="E71"/>
      <c r="F71"/>
      <c r="G71"/>
      <c r="H71"/>
      <c r="I71"/>
      <c r="J71"/>
      <c r="K71" s="204"/>
      <c r="Z71" s="23"/>
    </row>
    <row r="72" spans="1:26" ht="15" customHeight="1" x14ac:dyDescent="0.25">
      <c r="A72" s="23"/>
      <c r="B72"/>
      <c r="C72"/>
      <c r="D72"/>
      <c r="E72"/>
      <c r="F72"/>
      <c r="G72"/>
      <c r="H72"/>
      <c r="I72"/>
      <c r="J72"/>
      <c r="K72" s="204"/>
      <c r="Z72" s="23"/>
    </row>
    <row r="73" spans="1:26" ht="15" customHeight="1" x14ac:dyDescent="0.25">
      <c r="A73" s="23"/>
      <c r="B73"/>
      <c r="C73"/>
      <c r="D73"/>
      <c r="E73"/>
      <c r="F73"/>
      <c r="G73"/>
      <c r="H73"/>
      <c r="I73"/>
      <c r="J73"/>
      <c r="K73" s="204"/>
      <c r="Z73" s="23"/>
    </row>
    <row r="74" spans="1:26" ht="15" customHeight="1" x14ac:dyDescent="0.25">
      <c r="A74" s="23"/>
      <c r="B74"/>
      <c r="C74"/>
      <c r="D74"/>
      <c r="E74"/>
      <c r="F74"/>
      <c r="G74"/>
      <c r="H74"/>
      <c r="I74"/>
      <c r="J74"/>
      <c r="K74" s="204"/>
      <c r="Z74" s="23"/>
    </row>
    <row r="75" spans="1:26" ht="15" customHeight="1" x14ac:dyDescent="0.25">
      <c r="A75" s="23"/>
      <c r="B75"/>
      <c r="C75"/>
      <c r="D75"/>
      <c r="E75"/>
      <c r="F75"/>
      <c r="G75"/>
      <c r="H75"/>
      <c r="I75"/>
      <c r="J75"/>
      <c r="K75" s="204"/>
      <c r="Z75" s="23"/>
    </row>
    <row r="76" spans="1:26" ht="15" customHeight="1" x14ac:dyDescent="0.25">
      <c r="A76" s="23"/>
      <c r="B76"/>
      <c r="C76"/>
      <c r="D76"/>
      <c r="E76"/>
      <c r="F76"/>
      <c r="G76"/>
      <c r="H76"/>
      <c r="I76"/>
      <c r="J76"/>
      <c r="K76" s="204"/>
      <c r="Z76" s="23"/>
    </row>
    <row r="77" spans="1:26" ht="15" customHeight="1" x14ac:dyDescent="0.25">
      <c r="A77" s="23"/>
      <c r="B77"/>
      <c r="C77"/>
      <c r="D77"/>
      <c r="E77"/>
      <c r="F77"/>
      <c r="G77"/>
      <c r="H77"/>
      <c r="I77"/>
      <c r="J77"/>
      <c r="K77" s="204"/>
      <c r="Z77" s="23"/>
    </row>
    <row r="78" spans="1:26" ht="15" customHeight="1" x14ac:dyDescent="0.25">
      <c r="A78" s="23"/>
      <c r="B78"/>
      <c r="C78"/>
      <c r="D78"/>
      <c r="E78"/>
      <c r="F78"/>
      <c r="G78"/>
      <c r="H78"/>
      <c r="I78"/>
      <c r="J78"/>
      <c r="K78" s="204"/>
      <c r="Z78" s="23"/>
    </row>
    <row r="79" spans="1:26" ht="15" customHeight="1" x14ac:dyDescent="0.25">
      <c r="A79" s="23"/>
      <c r="B79"/>
      <c r="C79"/>
      <c r="D79"/>
      <c r="E79"/>
      <c r="F79"/>
      <c r="G79"/>
      <c r="H79"/>
      <c r="I79"/>
      <c r="J79"/>
      <c r="K79" s="204"/>
      <c r="Z79" s="23"/>
    </row>
    <row r="80" spans="1:26" ht="15" customHeight="1" x14ac:dyDescent="0.25">
      <c r="A80" s="23"/>
      <c r="B80"/>
      <c r="C80"/>
      <c r="D80"/>
      <c r="E80"/>
      <c r="F80"/>
      <c r="G80"/>
      <c r="H80"/>
      <c r="I80"/>
      <c r="J80"/>
      <c r="K80" s="204"/>
      <c r="Z80" s="23"/>
    </row>
    <row r="81" spans="1:26" ht="15" customHeight="1" x14ac:dyDescent="0.25">
      <c r="A81" s="23"/>
      <c r="B81"/>
      <c r="C81"/>
      <c r="D81"/>
      <c r="E81"/>
      <c r="F81"/>
      <c r="G81"/>
      <c r="H81"/>
      <c r="I81"/>
      <c r="J81"/>
      <c r="K81" s="204"/>
      <c r="Z81" s="23"/>
    </row>
    <row r="82" spans="1:26" ht="15" customHeight="1" x14ac:dyDescent="0.25">
      <c r="A82" s="23"/>
      <c r="B82"/>
      <c r="C82"/>
      <c r="D82"/>
      <c r="E82"/>
      <c r="F82"/>
      <c r="G82"/>
      <c r="H82"/>
      <c r="I82"/>
      <c r="J82"/>
      <c r="K82" s="204"/>
      <c r="Z82" s="23"/>
    </row>
    <row r="83" spans="1:26" ht="15" customHeight="1" x14ac:dyDescent="0.25">
      <c r="A83" s="23"/>
      <c r="B83"/>
      <c r="C83"/>
      <c r="D83"/>
      <c r="E83"/>
      <c r="F83"/>
      <c r="G83"/>
      <c r="H83"/>
      <c r="I83"/>
      <c r="J83"/>
      <c r="K83" s="204"/>
      <c r="Z83" s="23"/>
    </row>
    <row r="84" spans="1:26" ht="15" customHeight="1" x14ac:dyDescent="0.25">
      <c r="A84" s="23"/>
      <c r="B84"/>
      <c r="C84"/>
      <c r="D84"/>
      <c r="E84"/>
      <c r="F84"/>
      <c r="G84"/>
      <c r="H84"/>
      <c r="I84"/>
      <c r="J84"/>
      <c r="K84" s="204"/>
      <c r="Z84" s="23"/>
    </row>
    <row r="85" spans="1:26" ht="15" customHeight="1" x14ac:dyDescent="0.25">
      <c r="A85" s="23"/>
      <c r="B85"/>
      <c r="C85"/>
      <c r="D85"/>
      <c r="E85"/>
      <c r="F85"/>
      <c r="G85"/>
      <c r="H85"/>
      <c r="I85"/>
      <c r="J85"/>
      <c r="K85" s="204"/>
      <c r="Z85" s="23"/>
    </row>
    <row r="86" spans="1:26" ht="15" customHeight="1" x14ac:dyDescent="0.25">
      <c r="A86" s="23"/>
      <c r="B86"/>
      <c r="C86"/>
      <c r="D86"/>
      <c r="E86"/>
      <c r="F86"/>
      <c r="G86"/>
      <c r="H86"/>
      <c r="I86"/>
      <c r="J86"/>
      <c r="K86" s="204"/>
      <c r="Z86" s="23"/>
    </row>
    <row r="87" spans="1:26" ht="15" customHeight="1" x14ac:dyDescent="0.25">
      <c r="A87" s="23"/>
      <c r="B87"/>
      <c r="C87"/>
      <c r="D87"/>
      <c r="E87"/>
      <c r="F87"/>
      <c r="G87"/>
      <c r="H87"/>
      <c r="I87"/>
      <c r="J87"/>
      <c r="K87" s="204"/>
      <c r="Z87" s="23"/>
    </row>
    <row r="88" spans="1:26" ht="15" customHeight="1" x14ac:dyDescent="0.25">
      <c r="A88" s="23"/>
      <c r="B88"/>
      <c r="C88"/>
      <c r="D88"/>
      <c r="E88"/>
      <c r="F88"/>
      <c r="G88"/>
      <c r="H88"/>
      <c r="I88"/>
      <c r="J88"/>
      <c r="K88" s="204"/>
      <c r="Z88" s="23"/>
    </row>
    <row r="89" spans="1:26" ht="15" customHeight="1" x14ac:dyDescent="0.25">
      <c r="A89" s="23"/>
      <c r="B89"/>
      <c r="C89"/>
      <c r="D89"/>
      <c r="E89"/>
      <c r="F89"/>
      <c r="G89"/>
      <c r="H89"/>
      <c r="I89"/>
      <c r="J89"/>
      <c r="K89" s="204"/>
      <c r="Z89" s="23"/>
    </row>
    <row r="90" spans="1:26" ht="15" customHeight="1" x14ac:dyDescent="0.25">
      <c r="A90" s="23"/>
      <c r="B90"/>
      <c r="C90"/>
      <c r="D90"/>
      <c r="E90"/>
      <c r="F90"/>
      <c r="G90"/>
      <c r="H90"/>
      <c r="I90"/>
      <c r="J90"/>
      <c r="K90" s="204"/>
      <c r="Z90" s="23"/>
    </row>
    <row r="91" spans="1:26" ht="15" customHeight="1" x14ac:dyDescent="0.25">
      <c r="A91" s="23"/>
      <c r="B91"/>
      <c r="C91"/>
      <c r="D91"/>
      <c r="E91"/>
      <c r="F91"/>
      <c r="G91"/>
      <c r="H91"/>
      <c r="I91"/>
      <c r="J91"/>
      <c r="K91" s="204"/>
      <c r="Z91" s="23"/>
    </row>
    <row r="92" spans="1:26" ht="15" customHeight="1" x14ac:dyDescent="0.25">
      <c r="A92" s="23"/>
      <c r="B92"/>
      <c r="C92"/>
      <c r="D92"/>
      <c r="E92"/>
      <c r="F92"/>
      <c r="G92"/>
      <c r="H92"/>
      <c r="I92"/>
      <c r="J92"/>
      <c r="K92" s="204"/>
      <c r="Z92" s="23"/>
    </row>
    <row r="93" spans="1:26" ht="15" customHeight="1" x14ac:dyDescent="0.25">
      <c r="A93" s="23"/>
      <c r="B93"/>
      <c r="C93"/>
      <c r="D93"/>
      <c r="E93"/>
      <c r="F93"/>
      <c r="G93"/>
      <c r="H93"/>
      <c r="I93"/>
      <c r="J93"/>
      <c r="K93" s="204"/>
      <c r="Z93" s="23"/>
    </row>
    <row r="94" spans="1:26" ht="15" customHeight="1" x14ac:dyDescent="0.25">
      <c r="A94" s="23"/>
      <c r="B94"/>
      <c r="C94"/>
      <c r="D94"/>
      <c r="E94"/>
      <c r="F94"/>
      <c r="G94"/>
      <c r="H94"/>
      <c r="I94"/>
      <c r="J94"/>
      <c r="K94" s="204"/>
      <c r="Z94" s="23"/>
    </row>
    <row r="95" spans="1:26" ht="15" customHeight="1" x14ac:dyDescent="0.25">
      <c r="A95" s="23"/>
      <c r="B95"/>
      <c r="C95"/>
      <c r="D95"/>
      <c r="E95"/>
      <c r="F95"/>
      <c r="G95"/>
      <c r="H95"/>
      <c r="I95"/>
      <c r="J95"/>
      <c r="K95" s="204"/>
      <c r="Z95" s="23"/>
    </row>
    <row r="96" spans="1:26" ht="15" customHeight="1" x14ac:dyDescent="0.25">
      <c r="A96" s="23"/>
      <c r="B96"/>
      <c r="C96"/>
      <c r="D96"/>
      <c r="E96"/>
      <c r="F96"/>
      <c r="G96"/>
      <c r="H96"/>
      <c r="I96"/>
      <c r="J96"/>
      <c r="K96" s="204"/>
      <c r="Z96" s="23"/>
    </row>
    <row r="97" spans="1:29" ht="15" customHeight="1" x14ac:dyDescent="0.25">
      <c r="A97" s="23"/>
      <c r="B97"/>
      <c r="C97"/>
      <c r="D97"/>
      <c r="E97"/>
      <c r="F97"/>
      <c r="G97"/>
      <c r="H97"/>
      <c r="I97"/>
      <c r="J97"/>
      <c r="K97" s="204"/>
      <c r="Z97" s="23"/>
    </row>
    <row r="98" spans="1:29" ht="15" customHeight="1" x14ac:dyDescent="0.25">
      <c r="A98" s="23"/>
      <c r="B98"/>
      <c r="C98"/>
      <c r="D98"/>
      <c r="E98"/>
      <c r="F98"/>
      <c r="G98"/>
      <c r="H98"/>
      <c r="I98"/>
      <c r="J98"/>
      <c r="K98" s="204"/>
      <c r="Z98" s="23"/>
    </row>
    <row r="99" spans="1:29" ht="14.45" customHeight="1" x14ac:dyDescent="0.25">
      <c r="A99" s="23"/>
      <c r="B99"/>
      <c r="C99"/>
      <c r="D99"/>
      <c r="E99"/>
      <c r="F99"/>
      <c r="G99"/>
      <c r="H99"/>
      <c r="I99"/>
      <c r="J99"/>
      <c r="K99" s="204"/>
      <c r="Z99" s="23"/>
    </row>
    <row r="100" spans="1:29" x14ac:dyDescent="0.25">
      <c r="A100" s="145"/>
      <c r="B100" s="145"/>
      <c r="C100" s="145"/>
      <c r="D100" s="145"/>
      <c r="E100" s="145"/>
      <c r="F100" s="145"/>
      <c r="G100" s="145"/>
      <c r="H100" s="145"/>
      <c r="I100" s="145"/>
      <c r="J100" s="145"/>
      <c r="K100" s="145"/>
      <c r="L100" s="145"/>
      <c r="X100" s="145"/>
      <c r="Y100" s="145"/>
      <c r="Z100" s="145"/>
      <c r="AA100" s="145"/>
      <c r="AB100" s="145"/>
      <c r="AC100" s="145"/>
    </row>
    <row r="101" spans="1:29" x14ac:dyDescent="0.25">
      <c r="A101" s="23"/>
      <c r="B101"/>
      <c r="C101"/>
      <c r="D101"/>
      <c r="E101"/>
      <c r="F101"/>
      <c r="G101"/>
      <c r="H101"/>
      <c r="I101"/>
      <c r="J101"/>
      <c r="X101" s="27"/>
    </row>
    <row r="102" spans="1:29" x14ac:dyDescent="0.25">
      <c r="A102" s="23"/>
      <c r="B102"/>
      <c r="C102"/>
      <c r="D102"/>
      <c r="E102"/>
      <c r="F102"/>
      <c r="G102"/>
      <c r="H102"/>
      <c r="I102"/>
      <c r="J102"/>
      <c r="X102" s="27"/>
    </row>
    <row r="103" spans="1:29" x14ac:dyDescent="0.25">
      <c r="A103" s="23"/>
      <c r="B103"/>
      <c r="C103"/>
      <c r="D103"/>
      <c r="E103"/>
      <c r="F103"/>
      <c r="G103"/>
      <c r="H103"/>
      <c r="I103"/>
      <c r="J103"/>
      <c r="X103" s="27"/>
    </row>
    <row r="104" spans="1:29" x14ac:dyDescent="0.25">
      <c r="A104" s="23"/>
      <c r="B104"/>
      <c r="C104"/>
      <c r="D104"/>
      <c r="E104"/>
      <c r="F104"/>
      <c r="G104"/>
      <c r="H104"/>
      <c r="I104"/>
      <c r="J104"/>
      <c r="X104" s="27"/>
    </row>
    <row r="105" spans="1:29" x14ac:dyDescent="0.25">
      <c r="A105" s="23"/>
      <c r="B105"/>
      <c r="C105"/>
      <c r="D105"/>
      <c r="E105"/>
      <c r="F105"/>
      <c r="G105"/>
      <c r="H105"/>
      <c r="I105"/>
      <c r="J105"/>
      <c r="X105" s="27"/>
    </row>
    <row r="106" spans="1:29" x14ac:dyDescent="0.25">
      <c r="A106" s="23"/>
      <c r="B106"/>
      <c r="C106"/>
      <c r="D106"/>
      <c r="E106"/>
      <c r="F106"/>
      <c r="G106"/>
      <c r="H106"/>
      <c r="I106"/>
      <c r="J106"/>
      <c r="X106" s="27"/>
    </row>
    <row r="107" spans="1:29" x14ac:dyDescent="0.25">
      <c r="A107" s="23"/>
      <c r="B107"/>
      <c r="C107"/>
      <c r="D107"/>
      <c r="E107"/>
      <c r="F107"/>
      <c r="G107"/>
      <c r="H107"/>
      <c r="I107"/>
      <c r="J107"/>
      <c r="X107" s="27"/>
      <c r="Z107" s="23"/>
    </row>
    <row r="108" spans="1:29" x14ac:dyDescent="0.25">
      <c r="A108" s="23"/>
      <c r="B108"/>
      <c r="C108"/>
      <c r="D108"/>
      <c r="E108"/>
      <c r="F108"/>
      <c r="G108"/>
      <c r="H108"/>
      <c r="I108"/>
      <c r="J108"/>
      <c r="X108" s="27"/>
      <c r="Z108" s="23"/>
    </row>
    <row r="109" spans="1:29" x14ac:dyDescent="0.25">
      <c r="A109" s="23"/>
      <c r="B109"/>
      <c r="C109"/>
      <c r="D109"/>
      <c r="E109"/>
      <c r="F109"/>
      <c r="G109"/>
      <c r="H109"/>
      <c r="I109"/>
      <c r="J109"/>
      <c r="X109" s="27"/>
      <c r="Z109" s="23"/>
    </row>
    <row r="110" spans="1:29" x14ac:dyDescent="0.25">
      <c r="X110" s="27"/>
      <c r="Z110" s="23"/>
    </row>
    <row r="111" spans="1:29" x14ac:dyDescent="0.25">
      <c r="Z111" s="23"/>
    </row>
    <row r="119" spans="8:8" x14ac:dyDescent="0.25">
      <c r="H119"/>
    </row>
    <row r="121" spans="8:8" x14ac:dyDescent="0.25">
      <c r="H121"/>
    </row>
  </sheetData>
  <sheetProtection algorithmName="SHA-512" hashValue="w6AsXNmmCUSNsxGbnNRuKSocRe1Getra0mPeFsCZ8djPIbPew0Kcsi8thyHvDlebRd6AW7plFApGfSDWEe4WcA==" saltValue="Ie4yr1hgu04mNp/DL04KdQ==" spinCount="100000" sheet="1" objects="1" scenarios="1"/>
  <mergeCells count="6">
    <mergeCell ref="A1:AC1"/>
    <mergeCell ref="A5:J5"/>
    <mergeCell ref="M5:V5"/>
    <mergeCell ref="N16:V16"/>
    <mergeCell ref="N17:V17"/>
    <mergeCell ref="A9:XFD9"/>
  </mergeCells>
  <conditionalFormatting sqref="N11:V11">
    <cfRule type="cellIs" dxfId="93" priority="6" operator="equal">
      <formula>$W$11</formula>
    </cfRule>
  </conditionalFormatting>
  <conditionalFormatting sqref="N12:V12">
    <cfRule type="cellIs" dxfId="92" priority="2" operator="equal">
      <formula>$W$12</formula>
    </cfRule>
    <cfRule type="cellIs" dxfId="91" priority="5" operator="equal">
      <formula>#REF!</formula>
    </cfRule>
  </conditionalFormatting>
  <conditionalFormatting sqref="N13:V13">
    <cfRule type="cellIs" dxfId="90" priority="1" operator="equal">
      <formula>$W$13</formula>
    </cfRule>
    <cfRule type="cellIs" dxfId="89" priority="3" operator="equal">
      <formula>#REF!</formula>
    </cfRule>
    <cfRule type="cellIs" dxfId="88" priority="4" operator="equal">
      <formula>#REF!</formula>
    </cfRule>
  </conditionalFormatting>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1D2B2-5905-483C-8D64-BE12F2FE8E88}">
  <sheetPr codeName="Feuil29">
    <tabColor rgb="FF002060"/>
  </sheetPr>
  <dimension ref="A1:AC189"/>
  <sheetViews>
    <sheetView zoomScaleNormal="100" workbookViewId="0">
      <selection activeCell="I12" sqref="I12"/>
    </sheetView>
  </sheetViews>
  <sheetFormatPr baseColWidth="10" defaultRowHeight="15" x14ac:dyDescent="0.25"/>
  <cols>
    <col min="1" max="1" width="16.7109375" bestFit="1" customWidth="1"/>
    <col min="2" max="10" width="12.7109375" bestFit="1" customWidth="1"/>
    <col min="11" max="11" width="11" bestFit="1" customWidth="1"/>
    <col min="12" max="12" width="5.5703125" customWidth="1"/>
    <col min="13" max="13" width="19.28515625" bestFit="1" customWidth="1"/>
    <col min="14" max="22" width="12.7109375" bestFit="1" customWidth="1"/>
    <col min="23" max="23" width="10.7109375" customWidth="1"/>
    <col min="26" max="26" width="17.7109375" customWidth="1"/>
    <col min="27" max="27" width="8.7109375" customWidth="1"/>
    <col min="28" max="28" width="10.7109375" customWidth="1"/>
    <col min="29" max="29" width="9.7109375" customWidth="1"/>
  </cols>
  <sheetData>
    <row r="1" spans="1:29" ht="23.25" x14ac:dyDescent="0.35">
      <c r="A1" s="373" t="str">
        <f>Mesures_Four!F27</f>
        <v>385°C</v>
      </c>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row>
    <row r="2" spans="1:29" x14ac:dyDescent="0.25">
      <c r="A2" s="191"/>
      <c r="B2" s="27"/>
      <c r="C2" s="27"/>
      <c r="D2" s="27"/>
      <c r="E2" s="27"/>
      <c r="F2" s="27"/>
      <c r="G2" s="27"/>
      <c r="H2" s="27"/>
      <c r="I2" s="27"/>
      <c r="J2" s="27"/>
      <c r="K2" s="27"/>
      <c r="M2" s="211" t="s">
        <v>87</v>
      </c>
      <c r="N2" s="44">
        <f>_xlfn.XLOOKUP(INT(SUBSTITUTE(N6,"Connecteur ", "")),Mesures_Four!C40:C48,Mesures_Four!F40:F48)</f>
        <v>0</v>
      </c>
      <c r="O2" s="44">
        <f>_xlfn.XLOOKUP(INT(SUBSTITUTE(O6,"Connecteur ", "")),Mesures_Four!C40:C48,Mesures_Four!F40:F48)</f>
        <v>0</v>
      </c>
      <c r="P2" s="44">
        <f>_xlfn.XLOOKUP(INT(SUBSTITUTE(P6,"Connecteur ", "")),Mesures_Four!C40:C48,Mesures_Four!F40:F48)</f>
        <v>0</v>
      </c>
      <c r="Q2" s="44">
        <f>_xlfn.XLOOKUP(INT(SUBSTITUTE(Q6,"Connecteur ", "")),Mesures_Four!C40:C48,Mesures_Four!F40:F48)</f>
        <v>0</v>
      </c>
      <c r="R2" s="44">
        <f>_xlfn.XLOOKUP(INT(SUBSTITUTE(R6,"Connecteur ", "")),Mesures_Four!C40:C48,Mesures_Four!F40:F48)</f>
        <v>0</v>
      </c>
      <c r="S2" s="44">
        <f>_xlfn.XLOOKUP(INT(SUBSTITUTE(S6,"Connecteur ", "")),Mesures_Four!C40:C48,Mesures_Four!F40:F48)</f>
        <v>0</v>
      </c>
      <c r="T2" s="44">
        <f>_xlfn.XLOOKUP(INT(SUBSTITUTE(T6,"Connecteur ", "")),Mesures_Four!C40:C48,Mesures_Four!F40:F48)</f>
        <v>0</v>
      </c>
      <c r="U2" s="44">
        <f>_xlfn.XLOOKUP(INT(SUBSTITUTE(U6,"Connecteur ", "")),Mesures_Four!C40:C48,Mesures_Four!F40:F48)</f>
        <v>0</v>
      </c>
      <c r="V2" s="44">
        <f>_xlfn.XLOOKUP(INT(SUBSTITUTE(V6,"Connecteur ", "")),Mesures_Four!C40:C48,Mesures_Four!F40:F48)</f>
        <v>0</v>
      </c>
      <c r="W2" s="158"/>
      <c r="X2" s="158"/>
      <c r="Y2" s="158"/>
    </row>
    <row r="3" spans="1:29" x14ac:dyDescent="0.25">
      <c r="A3" s="191"/>
      <c r="B3" s="27"/>
      <c r="C3" s="27"/>
      <c r="D3" s="27"/>
      <c r="E3" s="27"/>
      <c r="F3" s="27"/>
      <c r="G3" s="27"/>
      <c r="H3" s="27"/>
      <c r="I3" s="27"/>
      <c r="J3" s="27"/>
      <c r="K3" s="27"/>
      <c r="M3" s="211" t="s">
        <v>23</v>
      </c>
      <c r="N3" s="44" t="e" cm="1">
        <f t="array" ref="N3">_xlfn.XLOOKUP(INT(SUBSTITUTE(N6,"Connecteur ", "")),INT(Mesures_Four!B28:B36),Mesures_Four!F28:F36)</f>
        <v>#N/A</v>
      </c>
      <c r="O3" s="44" t="e" cm="1">
        <f t="array" ref="O3">_xlfn.XLOOKUP(INT(SUBSTITUTE(O6,"Connecteur ", "")),INT(Mesures_Four!B28:B36),Mesures_Four!F28:F36)</f>
        <v>#N/A</v>
      </c>
      <c r="P3" s="44" t="e" cm="1">
        <f t="array" ref="P3">_xlfn.XLOOKUP(INT(SUBSTITUTE(P6,"Connecteur ", "")),INT(Mesures_Four!B28:B36),Mesures_Four!F28:F36)</f>
        <v>#N/A</v>
      </c>
      <c r="Q3" s="44" t="e" cm="1">
        <f t="array" ref="Q3">_xlfn.XLOOKUP(INT(SUBSTITUTE(Q6,"Connecteur ", "")),INT(Mesures_Four!B28:B36),Mesures_Four!F28:F36)</f>
        <v>#N/A</v>
      </c>
      <c r="R3" s="44" t="e" cm="1">
        <f t="array" ref="R3">_xlfn.XLOOKUP(INT(SUBSTITUTE(R6,"Connecteur ", "")),INT(Mesures_Four!B28:B36),Mesures_Four!F28:F36)</f>
        <v>#N/A</v>
      </c>
      <c r="S3" s="44" t="e" cm="1">
        <f t="array" ref="S3">_xlfn.XLOOKUP(INT(SUBSTITUTE(S6,"Connecteur ", "")),INT(Mesures_Four!B28:B36),Mesures_Four!F28:F36)</f>
        <v>#N/A</v>
      </c>
      <c r="T3" s="44" t="e" cm="1">
        <f t="array" ref="T3">_xlfn.XLOOKUP(INT(SUBSTITUTE(T6,"Connecteur ", "")),INT(Mesures_Four!B28:B36),Mesures_Four!F28:F36)</f>
        <v>#N/A</v>
      </c>
      <c r="U3" s="44" t="e" cm="1">
        <f t="array" ref="U3">_xlfn.XLOOKUP(INT(SUBSTITUTE(U6,"Connecteur ", "")),INT(Mesures_Four!B28:B36),Mesures_Four!F28:F36)</f>
        <v>#N/A</v>
      </c>
      <c r="V3" s="44" t="e" cm="1">
        <f t="array" ref="V3">_xlfn.XLOOKUP(INT(SUBSTITUTE(V6,"Connecteur ", "")),INT(Mesures_Four!B28:B36),Mesures_Four!F28:F36)</f>
        <v>#N/A</v>
      </c>
      <c r="W3" s="158"/>
      <c r="X3" s="158"/>
      <c r="Y3" s="158"/>
    </row>
    <row r="4" spans="1:29" x14ac:dyDescent="0.25">
      <c r="A4" s="191"/>
      <c r="B4" s="27"/>
      <c r="C4" s="27"/>
      <c r="D4" s="27"/>
      <c r="E4" s="27"/>
      <c r="F4" s="27"/>
      <c r="G4" s="27"/>
      <c r="H4" s="27"/>
      <c r="I4" s="27"/>
      <c r="J4" s="27"/>
      <c r="K4" s="27"/>
      <c r="M4" s="23"/>
      <c r="N4" s="210"/>
      <c r="O4" s="210"/>
      <c r="P4" s="210"/>
      <c r="Q4" s="210"/>
      <c r="R4" s="210"/>
      <c r="S4" s="210"/>
      <c r="T4" s="210"/>
      <c r="U4" s="210"/>
      <c r="V4" s="210"/>
      <c r="W4" s="158"/>
      <c r="X4" s="158"/>
      <c r="Y4" s="158"/>
    </row>
    <row r="5" spans="1:29" x14ac:dyDescent="0.25">
      <c r="A5" s="375" t="s">
        <v>329</v>
      </c>
      <c r="B5" s="375"/>
      <c r="C5" s="375"/>
      <c r="D5" s="375"/>
      <c r="E5" s="375"/>
      <c r="F5" s="375"/>
      <c r="G5" s="375"/>
      <c r="H5" s="375"/>
      <c r="I5" s="375"/>
      <c r="J5" s="375"/>
      <c r="K5" s="27"/>
      <c r="M5" s="375" t="s">
        <v>88</v>
      </c>
      <c r="N5" s="375"/>
      <c r="O5" s="375"/>
      <c r="P5" s="375"/>
      <c r="Q5" s="375"/>
      <c r="R5" s="375"/>
      <c r="S5" s="375"/>
      <c r="T5" s="375"/>
      <c r="U5" s="375"/>
      <c r="V5" s="375"/>
      <c r="Z5" s="209"/>
    </row>
    <row r="6" spans="1:29" x14ac:dyDescent="0.25">
      <c r="A6" s="208" t="str" cm="1">
        <f t="array" ref="A6:J7">tab_transfert385[#All]</f>
        <v>Date/Heure</v>
      </c>
      <c r="B6" s="207" t="str">
        <v>Connecteur 1</v>
      </c>
      <c r="C6" s="207" t="str">
        <v>Connecteur 2</v>
      </c>
      <c r="D6" s="207" t="str">
        <v>Connecteur 3</v>
      </c>
      <c r="E6" s="207" t="str">
        <v>Connecteur 4</v>
      </c>
      <c r="F6" s="207" t="str">
        <v>Connecteur 5</v>
      </c>
      <c r="G6" s="207" t="str">
        <v>Connecteur 6</v>
      </c>
      <c r="H6" s="207" t="str">
        <v>Connecteur 7</v>
      </c>
      <c r="I6" s="207" t="str">
        <v>Connecteur 8</v>
      </c>
      <c r="J6" s="207" t="str">
        <v>Connecteur 9</v>
      </c>
      <c r="K6" s="207" t="s">
        <v>328</v>
      </c>
      <c r="N6" s="206" t="str" cm="1">
        <f t="array" ref="N6:V6">tab_transfert385[[#Headers],[Connecteur 1]:[Connecteur 9]]</f>
        <v>Connecteur 1</v>
      </c>
      <c r="O6" s="206" t="str">
        <v>Connecteur 2</v>
      </c>
      <c r="P6" s="206" t="str">
        <v>Connecteur 3</v>
      </c>
      <c r="Q6" s="206" t="str">
        <v>Connecteur 4</v>
      </c>
      <c r="R6" s="206" t="str">
        <v>Connecteur 5</v>
      </c>
      <c r="S6" s="206" t="str">
        <v>Connecteur 6</v>
      </c>
      <c r="T6" s="206" t="str">
        <v>Connecteur 7</v>
      </c>
      <c r="U6" s="206" t="str">
        <v>Connecteur 8</v>
      </c>
      <c r="V6" s="206" t="str">
        <v>Connecteur 9</v>
      </c>
      <c r="W6" s="206" t="str" cm="1">
        <f t="array" ref="W6:W7">tab_four385[[#All],[Consigne T°]]</f>
        <v>Consigne T°</v>
      </c>
      <c r="Z6" s="201" t="str" cm="1">
        <f t="array" ref="Z6:AC7">tab_four385[[#All],[Date/Heure]:[Pt Chaud]]</f>
        <v>Date/Heure</v>
      </c>
      <c r="AA6" s="201" t="str">
        <v>Pt Froid</v>
      </c>
      <c r="AB6" s="201" t="str">
        <v>Regulation</v>
      </c>
      <c r="AC6" s="201" t="str">
        <v>Pt Chaud</v>
      </c>
    </row>
    <row r="7" spans="1:29" ht="14.45" customHeight="1" x14ac:dyDescent="0.25">
      <c r="A7" s="23">
        <v>0</v>
      </c>
      <c r="B7">
        <v>0</v>
      </c>
      <c r="C7">
        <v>0</v>
      </c>
      <c r="D7">
        <v>0</v>
      </c>
      <c r="E7">
        <v>0</v>
      </c>
      <c r="F7">
        <v>0</v>
      </c>
      <c r="G7">
        <v>0</v>
      </c>
      <c r="H7">
        <v>0</v>
      </c>
      <c r="I7">
        <v>0</v>
      </c>
      <c r="J7">
        <v>0</v>
      </c>
      <c r="K7" s="204"/>
      <c r="M7" s="328" t="s">
        <v>327</v>
      </c>
      <c r="N7" s="205" t="e" cm="1">
        <f t="array" ref="N7:V7">tab_transfert385[[Connecteur 1]:[Connecteur 9]]+N2:V2+N3:V3</f>
        <v>#N/A</v>
      </c>
      <c r="O7" s="205" t="e">
        <v>#N/A</v>
      </c>
      <c r="P7" s="205" t="e">
        <v>#N/A</v>
      </c>
      <c r="Q7" s="205" t="e">
        <v>#N/A</v>
      </c>
      <c r="R7" s="205" t="e">
        <v>#N/A</v>
      </c>
      <c r="S7" s="205" t="e">
        <v>#N/A</v>
      </c>
      <c r="T7" s="205" t="e">
        <v>#N/A</v>
      </c>
      <c r="U7" s="205" t="e">
        <v>#N/A</v>
      </c>
      <c r="V7" s="205" t="e">
        <v>#N/A</v>
      </c>
      <c r="W7" s="202">
        <v>0</v>
      </c>
      <c r="Z7" s="23">
        <v>0</v>
      </c>
      <c r="AA7">
        <v>0</v>
      </c>
      <c r="AB7">
        <v>0</v>
      </c>
      <c r="AC7">
        <v>0</v>
      </c>
    </row>
    <row r="8" spans="1:29" ht="14.45" customHeight="1" x14ac:dyDescent="0.25">
      <c r="A8" s="23"/>
      <c r="K8" s="204"/>
      <c r="M8" s="327" t="s">
        <v>326</v>
      </c>
      <c r="N8" s="203"/>
      <c r="O8" s="203"/>
      <c r="P8" s="203"/>
      <c r="Q8" s="203"/>
      <c r="R8" s="203"/>
      <c r="S8" s="203"/>
      <c r="T8" s="203"/>
      <c r="U8" s="203"/>
      <c r="V8" s="203"/>
      <c r="W8" s="323"/>
      <c r="Z8" s="23"/>
    </row>
    <row r="9" spans="1:29" s="377" customFormat="1" ht="14.45" customHeight="1" x14ac:dyDescent="0.25"/>
    <row r="10" spans="1:29" ht="14.45" customHeight="1" x14ac:dyDescent="0.25">
      <c r="A10" s="23"/>
      <c r="K10" s="204"/>
      <c r="Z10" s="23"/>
    </row>
    <row r="11" spans="1:29" ht="14.45" customHeight="1" x14ac:dyDescent="0.25">
      <c r="A11" s="23"/>
      <c r="K11" s="204"/>
      <c r="M11" s="91" t="s">
        <v>90</v>
      </c>
      <c r="N11" s="43" t="e">
        <f>MAX(tab_transfert385[Connecteur 1])+N$2+N$3</f>
        <v>#N/A</v>
      </c>
      <c r="O11" s="43" t="e">
        <f>MAX(tab_transfert385[Connecteur 2])+O$2+O$3</f>
        <v>#N/A</v>
      </c>
      <c r="P11" s="43" t="e">
        <f>MAX(tab_transfert385[Connecteur 3])+P$2+P$3</f>
        <v>#N/A</v>
      </c>
      <c r="Q11" s="43" t="e">
        <f>MAX(tab_transfert385[Connecteur 4])+Q$2+Q$3</f>
        <v>#N/A</v>
      </c>
      <c r="R11" s="43" t="e">
        <f>MAX(tab_transfert385[Connecteur 5])+R$2+R$3</f>
        <v>#N/A</v>
      </c>
      <c r="S11" s="43" t="e">
        <f>MAX(tab_transfert385[Connecteur 6])+S$2+S$3</f>
        <v>#N/A</v>
      </c>
      <c r="T11" s="43" t="e">
        <f>MAX(tab_transfert385[Connecteur 7])+T$2+T$3</f>
        <v>#N/A</v>
      </c>
      <c r="U11" s="43" t="e">
        <f>MAX(tab_transfert385[Connecteur 8])+U$2+U$3</f>
        <v>#N/A</v>
      </c>
      <c r="V11" s="43" t="e">
        <f>MAX(tab_transfert385[Connecteur 9])+V$2+V$3</f>
        <v>#N/A</v>
      </c>
      <c r="W11" s="200" t="e">
        <f>MAX(N11:V11)</f>
        <v>#N/A</v>
      </c>
      <c r="Z11" s="23"/>
      <c r="AA11" s="201" t="str" cm="1">
        <f t="array" ref="AA11:AC11">AA6:AC6</f>
        <v>Pt Froid</v>
      </c>
      <c r="AB11" s="201" t="str">
        <v>Regulation</v>
      </c>
      <c r="AC11" s="201" t="str">
        <v>Pt Chaud</v>
      </c>
    </row>
    <row r="12" spans="1:29" ht="14.45" customHeight="1" x14ac:dyDescent="0.25">
      <c r="A12" s="23"/>
      <c r="K12" s="204"/>
      <c r="M12" s="199" t="s">
        <v>91</v>
      </c>
      <c r="N12" s="198" t="e">
        <f ca="1">MAX(OFFSET(INDEX(tab_transfert385[Connecteur 1],1),COUNT(tab_transfert385[Connecteur 1])-30,0,30))+N$2+N$3</f>
        <v>#REF!</v>
      </c>
      <c r="O12" s="198" t="e">
        <f ca="1">MAX(OFFSET(INDEX(tab_transfert385[Connecteur 2],1),COUNT(tab_transfert385[Connecteur 2])-30,0,30))+O$2+O$3</f>
        <v>#REF!</v>
      </c>
      <c r="P12" s="198" t="e">
        <f ca="1">MAX(OFFSET(INDEX(tab_transfert385[Connecteur 3],1),COUNT(tab_transfert385[Connecteur 3])-30,0,30))+P$2+P$3</f>
        <v>#REF!</v>
      </c>
      <c r="Q12" s="198" t="e">
        <f ca="1">MAX(OFFSET(INDEX(tab_transfert385[Connecteur 4],1),COUNT(tab_transfert385[Connecteur 4])-30,0,30))+Q$2+Q$3</f>
        <v>#REF!</v>
      </c>
      <c r="R12" s="198" t="e">
        <f ca="1">MAX(OFFSET(INDEX(tab_transfert385[Connecteur 5],1),COUNT(tab_transfert385[Connecteur 5])-30,0,30))+R$2+R$3</f>
        <v>#REF!</v>
      </c>
      <c r="S12" s="198" t="e">
        <f ca="1">MAX(OFFSET(INDEX(tab_transfert385[Connecteur 6],1),COUNT(tab_transfert385[Connecteur 6])-30,0,30))+S$2+S$3</f>
        <v>#REF!</v>
      </c>
      <c r="T12" s="198" t="e">
        <f ca="1">MAX(OFFSET(INDEX(tab_transfert385[Connecteur 7],1),COUNT(tab_transfert385[Connecteur 7])-30,0,30))+T$2+T$3</f>
        <v>#REF!</v>
      </c>
      <c r="U12" s="198" t="e">
        <f ca="1">MAX(OFFSET(INDEX(tab_transfert385[Connecteur 8],1),COUNT(tab_transfert385[Connecteur 8])-30,0,30))+U$2+U$3</f>
        <v>#REF!</v>
      </c>
      <c r="V12" s="198" t="e">
        <f ca="1">MAX(OFFSET(INDEX(tab_transfert385[Connecteur 9],1),COUNT(tab_transfert385[Connecteur 9])-30,0,30))+V$2+V$3</f>
        <v>#REF!</v>
      </c>
      <c r="W12" s="200" t="e">
        <f ca="1">MAX(N12:V12)</f>
        <v>#REF!</v>
      </c>
      <c r="Z12" s="197" t="s">
        <v>90</v>
      </c>
      <c r="AA12" s="43">
        <f>MAX(tab_four385[Pt Froid])</f>
        <v>0</v>
      </c>
      <c r="AB12" s="43">
        <f>MAX(tab_four385[Regulation])</f>
        <v>0</v>
      </c>
      <c r="AC12" s="43">
        <f>MAX(tab_four385[Pt Chaud])</f>
        <v>0</v>
      </c>
    </row>
    <row r="13" spans="1:29" ht="14.45" customHeight="1" x14ac:dyDescent="0.25">
      <c r="A13" s="23"/>
      <c r="K13" s="204"/>
      <c r="M13" s="199" t="s">
        <v>93</v>
      </c>
      <c r="N13" s="198" t="e">
        <f ca="1">MIN(OFFSET(INDEX(tab_transfert385[Connecteur 1],1),COUNT(tab_transfert385[Connecteur 1])-30,0,30))+N$2+N$3</f>
        <v>#REF!</v>
      </c>
      <c r="O13" s="198" t="e">
        <f ca="1">MIN(OFFSET(INDEX(tab_transfert385[Connecteur 2],1),COUNT(tab_transfert385[Connecteur 2])-30,0,30))+O$2+O$3</f>
        <v>#REF!</v>
      </c>
      <c r="P13" s="198" t="e">
        <f ca="1">MIN(OFFSET(INDEX(tab_transfert385[Connecteur 3],1),COUNT(tab_transfert385[Connecteur 3])-30,0,30))+P$2+P$3</f>
        <v>#REF!</v>
      </c>
      <c r="Q13" s="198" t="e">
        <f ca="1">MIN(OFFSET(INDEX(tab_transfert385[Connecteur 4],1),COUNT(tab_transfert385[Connecteur 4])-30,0,30))+Q$2+Q$3</f>
        <v>#REF!</v>
      </c>
      <c r="R13" s="198" t="e">
        <f ca="1">MIN(OFFSET(INDEX(tab_transfert385[Connecteur 5],1),COUNT(tab_transfert385[Connecteur 5])-30,0,30))+R$2+R$3</f>
        <v>#REF!</v>
      </c>
      <c r="S13" s="198" t="e">
        <f ca="1">MIN(OFFSET(INDEX(tab_transfert385[Connecteur 6],1),COUNT(tab_transfert385[Connecteur 6])-30,0,30))+S$2+S$3</f>
        <v>#REF!</v>
      </c>
      <c r="T13" s="198" t="e">
        <f ca="1">MIN(OFFSET(INDEX(tab_transfert385[Connecteur 7],1),COUNT(tab_transfert385[Connecteur 7])-30,0,30))+T$2+T$3</f>
        <v>#REF!</v>
      </c>
      <c r="U13" s="198" t="e">
        <f ca="1">MIN(OFFSET(INDEX(tab_transfert385[Connecteur 8],1),COUNT(tab_transfert385[Connecteur 8])-30,0,30))+U$2+U$3</f>
        <v>#REF!</v>
      </c>
      <c r="V13" s="198" t="e">
        <f ca="1">MIN(OFFSET(INDEX(tab_transfert385[Connecteur 9],1),COUNT(tab_transfert385[Connecteur 9])-30,0,30))+V$2+V$3</f>
        <v>#REF!</v>
      </c>
      <c r="W13" s="200" t="e">
        <f ca="1">MIN(N13:V13)</f>
        <v>#REF!</v>
      </c>
      <c r="Z13" s="197" t="s">
        <v>91</v>
      </c>
      <c r="AA13" s="43" t="e">
        <f ca="1">MAX(OFFSET(INDEX(tab_four385[Pt Froid],1),COUNT(tab_four385[Pt Froid])-30,0,30))</f>
        <v>#REF!</v>
      </c>
      <c r="AB13" s="43" t="e">
        <f ca="1">MAX(OFFSET(INDEX(tab_four385[Regulation],1),COUNT(tab_four385[Regulation])-30,0,30))</f>
        <v>#REF!</v>
      </c>
      <c r="AC13" s="43" t="e">
        <f ca="1">MAX(OFFSET(INDEX(tab_four385[Pt Chaud],1),COUNT(tab_four385[Pt Chaud])-30,0,30))</f>
        <v>#REF!</v>
      </c>
    </row>
    <row r="14" spans="1:29" ht="14.45" customHeight="1" x14ac:dyDescent="0.25">
      <c r="A14" s="23"/>
      <c r="K14" s="204"/>
      <c r="M14" s="199" t="s">
        <v>95</v>
      </c>
      <c r="N14" s="198" t="e">
        <f ca="1">AVERAGE(OFFSET(INDEX(tab_transfert385[Connecteur 1],1),COUNT(tab_transfert385[Connecteur 1])-30,0,30))+N$2+N$3</f>
        <v>#REF!</v>
      </c>
      <c r="O14" s="198" t="e">
        <f ca="1">AVERAGE(OFFSET(INDEX(tab_transfert385[Connecteur 2],1),COUNT(tab_transfert385[Connecteur 2])-30,0,30))+O$2+O$3</f>
        <v>#REF!</v>
      </c>
      <c r="P14" s="198" t="e">
        <f ca="1">AVERAGE(OFFSET(INDEX(tab_transfert385[Connecteur 3],1),COUNT(tab_transfert385[Connecteur 3])-30,0,30))+P$2+P$3</f>
        <v>#REF!</v>
      </c>
      <c r="Q14" s="198" t="e">
        <f ca="1">AVERAGE(OFFSET(INDEX(tab_transfert385[Connecteur 4],1),COUNT(tab_transfert385[Connecteur 4])-30,0,30))+Q$2+Q$3</f>
        <v>#REF!</v>
      </c>
      <c r="R14" s="198" t="e">
        <f ca="1">AVERAGE(OFFSET(INDEX(tab_transfert385[Connecteur 5],1),COUNT(tab_transfert385[Connecteur 5])-30,0,30))+R$2+R$3</f>
        <v>#REF!</v>
      </c>
      <c r="S14" s="198" t="e">
        <f ca="1">AVERAGE(OFFSET(INDEX(tab_transfert385[Connecteur 6],1),COUNT(tab_transfert385[Connecteur 6])-30,0,30))+S$2+S$3</f>
        <v>#REF!</v>
      </c>
      <c r="T14" s="198" t="e">
        <f ca="1">AVERAGE(OFFSET(INDEX(tab_transfert385[Connecteur 7],1),COUNT(tab_transfert385[Connecteur 7])-30,0,30))+T$2+T$3</f>
        <v>#REF!</v>
      </c>
      <c r="U14" s="198" t="e">
        <f ca="1">AVERAGE(OFFSET(INDEX(tab_transfert385[Connecteur 8],1),COUNT(tab_transfert385[Connecteur 8])-30,0,30))+U$2+U$3</f>
        <v>#REF!</v>
      </c>
      <c r="V14" s="198" t="e">
        <f ca="1">AVERAGE(OFFSET(INDEX(tab_transfert385[Connecteur 9],1),COUNT(tab_transfert385[Connecteur 9])-30,0,30))+V$2+V$3</f>
        <v>#REF!</v>
      </c>
      <c r="W14" s="27"/>
      <c r="Z14" s="197" t="s">
        <v>93</v>
      </c>
      <c r="AA14" s="43" t="e">
        <f ca="1">MIN(OFFSET(INDEX(tab_four385[Pt Froid],1),COUNT(tab_four385[Pt Froid])-30,0,30))</f>
        <v>#REF!</v>
      </c>
      <c r="AB14" s="43" t="e">
        <f ca="1">MIN(OFFSET(INDEX(tab_four385[Regulation],1),COUNT(tab_four385[Regulation])-30,0,30))</f>
        <v>#REF!</v>
      </c>
      <c r="AC14" s="43" t="e">
        <f ca="1">MIN(OFFSET(INDEX(tab_four385[Pt Chaud],1),COUNT(tab_four385[Pt Chaud])-30,0,30))</f>
        <v>#REF!</v>
      </c>
    </row>
    <row r="15" spans="1:29" ht="14.45" customHeight="1" x14ac:dyDescent="0.25">
      <c r="A15" s="23"/>
      <c r="K15" s="204"/>
      <c r="M15" s="91" t="s">
        <v>96</v>
      </c>
      <c r="N15" s="43" t="e">
        <f t="shared" ref="N15:V15" ca="1" si="0">N12-N13</f>
        <v>#REF!</v>
      </c>
      <c r="O15" s="43" t="e">
        <f t="shared" ca="1" si="0"/>
        <v>#REF!</v>
      </c>
      <c r="P15" s="43" t="e">
        <f t="shared" ca="1" si="0"/>
        <v>#REF!</v>
      </c>
      <c r="Q15" s="43" t="e">
        <f t="shared" ca="1" si="0"/>
        <v>#REF!</v>
      </c>
      <c r="R15" s="43" t="e">
        <f t="shared" ca="1" si="0"/>
        <v>#REF!</v>
      </c>
      <c r="S15" s="43" t="e">
        <f t="shared" ca="1" si="0"/>
        <v>#REF!</v>
      </c>
      <c r="T15" s="43" t="e">
        <f t="shared" ca="1" si="0"/>
        <v>#REF!</v>
      </c>
      <c r="U15" s="43" t="e">
        <f t="shared" ca="1" si="0"/>
        <v>#REF!</v>
      </c>
      <c r="V15" s="43" t="e">
        <f t="shared" ca="1" si="0"/>
        <v>#REF!</v>
      </c>
      <c r="W15" s="27"/>
      <c r="Z15" s="197" t="s">
        <v>95</v>
      </c>
      <c r="AA15" s="43" t="e">
        <f ca="1">AVERAGE(OFFSET(INDEX(tab_four385[Pt Froid],1),COUNT(tab_four385[Pt Froid])-30,0,30))</f>
        <v>#REF!</v>
      </c>
      <c r="AB15" s="43" t="e">
        <f ca="1">AVERAGE(OFFSET(INDEX(tab_four385[Regulation],1),COUNT(tab_four385[Regulation])-30,0,30))</f>
        <v>#REF!</v>
      </c>
      <c r="AC15" s="43" t="e">
        <f ca="1">AVERAGE(OFFSET(INDEX(tab_four385[Pt Chaud],1),COUNT(tab_four385[Pt Chaud])-30,0,30))</f>
        <v>#REF!</v>
      </c>
    </row>
    <row r="16" spans="1:29" ht="14.45" customHeight="1" x14ac:dyDescent="0.25">
      <c r="A16" s="23"/>
      <c r="K16" s="204"/>
      <c r="M16" s="91" t="s">
        <v>97</v>
      </c>
      <c r="N16" s="376" t="e">
        <f ca="1">ABS(MAX(N12:V12) - MIN(N13:V13))</f>
        <v>#REF!</v>
      </c>
      <c r="O16" s="376"/>
      <c r="P16" s="376"/>
      <c r="Q16" s="376"/>
      <c r="R16" s="376"/>
      <c r="S16" s="376"/>
      <c r="T16" s="376"/>
      <c r="U16" s="376"/>
      <c r="V16" s="376"/>
      <c r="W16" s="44" t="e">
        <f ca="1">N16</f>
        <v>#REF!</v>
      </c>
      <c r="Z16" s="23"/>
    </row>
    <row r="17" spans="1:26" ht="14.45" customHeight="1" x14ac:dyDescent="0.25">
      <c r="A17" s="23"/>
      <c r="K17" s="204"/>
      <c r="M17" s="91" t="s">
        <v>98</v>
      </c>
      <c r="N17" s="376" t="e">
        <f ca="1">AVERAGE(N14:V14)</f>
        <v>#REF!</v>
      </c>
      <c r="O17" s="376"/>
      <c r="P17" s="376"/>
      <c r="Q17" s="376"/>
      <c r="R17" s="376"/>
      <c r="S17" s="376"/>
      <c r="T17" s="376"/>
      <c r="U17" s="376"/>
      <c r="V17" s="376"/>
      <c r="W17" s="44" t="e">
        <f ca="1">N17</f>
        <v>#REF!</v>
      </c>
      <c r="Z17" s="23"/>
    </row>
    <row r="18" spans="1:26" ht="14.45" customHeight="1" x14ac:dyDescent="0.25">
      <c r="A18" s="23"/>
      <c r="K18" s="204"/>
      <c r="M18" s="196" t="s">
        <v>325</v>
      </c>
      <c r="N18" s="35" t="str" cm="1">
        <f t="array" ref="N18:V18">tab_transfert385[[#Headers],[Connecteur 1]:[Connecteur 9]]</f>
        <v>Connecteur 1</v>
      </c>
      <c r="O18" s="35" t="str">
        <v>Connecteur 2</v>
      </c>
      <c r="P18" s="35" t="str">
        <v>Connecteur 3</v>
      </c>
      <c r="Q18" s="35" t="str">
        <v>Connecteur 4</v>
      </c>
      <c r="R18" s="35" t="str">
        <v>Connecteur 5</v>
      </c>
      <c r="S18" s="35" t="str">
        <v>Connecteur 6</v>
      </c>
      <c r="T18" s="35" t="str">
        <v>Connecteur 7</v>
      </c>
      <c r="U18" s="35" t="str">
        <v>Connecteur 8</v>
      </c>
      <c r="V18" s="35" t="str">
        <v>Connecteur 9</v>
      </c>
      <c r="W18" s="27"/>
      <c r="Z18" s="23"/>
    </row>
    <row r="19" spans="1:26" ht="14.45" customHeight="1" x14ac:dyDescent="0.25">
      <c r="A19" s="23"/>
      <c r="K19" s="204"/>
      <c r="M19" s="193" t="s">
        <v>324</v>
      </c>
      <c r="N19" s="195" t="e">
        <f ca="1">_xlfn.STDEV.S(OFFSET(INDEX(tab_transfert385[Connecteur 1],1),COUNT(tab_transfert385[Connecteur 1])-30,0,30))</f>
        <v>#REF!</v>
      </c>
      <c r="O19" s="195" t="e">
        <f ca="1">_xlfn.STDEV.S(OFFSET(INDEX(tab_transfert385[Connecteur 2],1),COUNT(tab_transfert385[Connecteur 2])-30,0,30))</f>
        <v>#REF!</v>
      </c>
      <c r="P19" s="195" t="e">
        <f ca="1">_xlfn.STDEV.S(OFFSET(INDEX(tab_transfert385[Connecteur 3],1),COUNT(tab_transfert385[Connecteur 3])-30,0,30))</f>
        <v>#REF!</v>
      </c>
      <c r="Q19" s="195" t="e">
        <f ca="1">_xlfn.STDEV.S(OFFSET(INDEX(tab_transfert385[Connecteur 4],1),COUNT(tab_transfert385[Connecteur 4])-30,0,30))</f>
        <v>#REF!</v>
      </c>
      <c r="R19" s="195" t="e">
        <f ca="1">_xlfn.STDEV.S(OFFSET(INDEX(tab_transfert385[Connecteur 5],1),COUNT(tab_transfert385[Connecteur 5])-30,0,30))</f>
        <v>#REF!</v>
      </c>
      <c r="S19" s="195" t="e">
        <f ca="1">_xlfn.STDEV.S(OFFSET(INDEX(tab_transfert385[Connecteur 6],1),COUNT(tab_transfert385[Connecteur 6])-30,0,30))</f>
        <v>#REF!</v>
      </c>
      <c r="T19" s="195" t="e">
        <f ca="1">_xlfn.STDEV.S(OFFSET(INDEX(tab_transfert385[Connecteur 7],1),COUNT(tab_transfert385[Connecteur 7])-30,0,30))</f>
        <v>#REF!</v>
      </c>
      <c r="U19" s="195" t="e">
        <f ca="1">_xlfn.STDEV.S(OFFSET(INDEX(tab_transfert385[Connecteur 8],1),COUNT(tab_transfert385[Connecteur 8])-30,0,30))</f>
        <v>#REF!</v>
      </c>
      <c r="V19" s="195" t="e">
        <f ca="1">_xlfn.STDEV.S(OFFSET(INDEX(tab_transfert385[Connecteur 9],1),COUNT(tab_transfert385[Connecteur 9])-30,0,30))</f>
        <v>#REF!</v>
      </c>
      <c r="W19" s="194" t="e">
        <f ca="1">MAX(N19:V19)</f>
        <v>#REF!</v>
      </c>
      <c r="Z19" s="23"/>
    </row>
    <row r="20" spans="1:26" ht="14.45" customHeight="1" x14ac:dyDescent="0.25">
      <c r="A20" s="23"/>
      <c r="K20" s="204"/>
      <c r="N20" s="27"/>
      <c r="O20" s="27"/>
      <c r="P20" s="27"/>
      <c r="Q20" s="27"/>
      <c r="R20" s="27"/>
      <c r="S20" s="27"/>
      <c r="T20" s="27"/>
      <c r="U20" s="27"/>
      <c r="V20" s="27"/>
      <c r="W20" s="27"/>
      <c r="Z20" s="23"/>
    </row>
    <row r="21" spans="1:26" ht="14.45" customHeight="1" x14ac:dyDescent="0.25">
      <c r="A21" s="23"/>
      <c r="K21" s="204"/>
      <c r="M21" s="193" t="s">
        <v>323</v>
      </c>
      <c r="N21" s="192" t="e">
        <f ca="1">W12-(OFFSET(INDEX(tab_four385[Consigne T°],1),COUNT(tab_four385[Consigne T°])-29,0,1))</f>
        <v>#REF!</v>
      </c>
      <c r="O21" s="27"/>
      <c r="P21" s="27"/>
      <c r="Q21" s="27"/>
      <c r="R21" s="27"/>
      <c r="S21" s="27"/>
      <c r="T21" s="27"/>
      <c r="U21" s="27"/>
      <c r="V21" s="27"/>
      <c r="W21" s="27"/>
      <c r="Z21" s="23"/>
    </row>
    <row r="22" spans="1:26" ht="14.45" customHeight="1" x14ac:dyDescent="0.25">
      <c r="A22" s="23"/>
      <c r="K22" s="204"/>
      <c r="M22" s="193" t="s">
        <v>322</v>
      </c>
      <c r="N22" s="192" t="e">
        <f ca="1">W13-(OFFSET(INDEX(tab_four385[Consigne T°],1),COUNT(tab_four385[Consigne T°])-29,0,1))</f>
        <v>#REF!</v>
      </c>
      <c r="O22" s="27"/>
      <c r="P22" s="27"/>
      <c r="Q22" s="27"/>
      <c r="R22" s="27"/>
      <c r="S22" s="27"/>
      <c r="T22" s="27"/>
      <c r="U22" s="27"/>
      <c r="V22" s="27"/>
      <c r="W22" s="27"/>
      <c r="Z22" s="23"/>
    </row>
    <row r="23" spans="1:26" ht="14.45" customHeight="1" x14ac:dyDescent="0.25">
      <c r="A23" s="23"/>
      <c r="K23" s="204"/>
      <c r="Z23" s="23"/>
    </row>
    <row r="24" spans="1:26" ht="14.45" customHeight="1" x14ac:dyDescent="0.25">
      <c r="A24" s="23"/>
      <c r="K24" s="204"/>
      <c r="Z24" s="23"/>
    </row>
    <row r="25" spans="1:26" ht="14.45" customHeight="1" x14ac:dyDescent="0.25">
      <c r="A25" s="23"/>
      <c r="K25" s="204"/>
      <c r="Z25" s="23"/>
    </row>
    <row r="26" spans="1:26" ht="14.45" customHeight="1" x14ac:dyDescent="0.25">
      <c r="A26" s="23"/>
      <c r="K26" s="204"/>
      <c r="Z26" s="23"/>
    </row>
    <row r="27" spans="1:26" ht="14.45" customHeight="1" x14ac:dyDescent="0.25">
      <c r="A27" s="23"/>
      <c r="K27" s="204"/>
      <c r="Z27" s="23"/>
    </row>
    <row r="28" spans="1:26" ht="14.45" customHeight="1" x14ac:dyDescent="0.25">
      <c r="A28" s="23"/>
      <c r="K28" s="204"/>
      <c r="Z28" s="23"/>
    </row>
    <row r="29" spans="1:26" ht="14.45" customHeight="1" x14ac:dyDescent="0.25">
      <c r="A29" s="23"/>
      <c r="K29" s="204"/>
      <c r="Z29" s="23"/>
    </row>
    <row r="30" spans="1:26" ht="14.45" customHeight="1" x14ac:dyDescent="0.25">
      <c r="A30" s="23"/>
      <c r="K30" s="204"/>
      <c r="Z30" s="23"/>
    </row>
    <row r="31" spans="1:26" ht="14.45" customHeight="1" x14ac:dyDescent="0.25">
      <c r="A31" s="23"/>
      <c r="K31" s="204"/>
      <c r="Z31" s="23"/>
    </row>
    <row r="32" spans="1:26" ht="14.45" customHeight="1" x14ac:dyDescent="0.25">
      <c r="A32" s="23"/>
      <c r="K32" s="204"/>
      <c r="Z32" s="23"/>
    </row>
    <row r="33" spans="1:26" ht="14.45" customHeight="1" x14ac:dyDescent="0.25">
      <c r="A33" s="23"/>
      <c r="K33" s="204"/>
      <c r="Z33" s="23"/>
    </row>
    <row r="34" spans="1:26" ht="14.45" customHeight="1" x14ac:dyDescent="0.25">
      <c r="A34" s="23"/>
      <c r="K34" s="204"/>
      <c r="Z34" s="23"/>
    </row>
    <row r="35" spans="1:26" ht="14.45" customHeight="1" x14ac:dyDescent="0.25">
      <c r="A35" s="23"/>
      <c r="K35" s="204"/>
      <c r="Z35" s="23"/>
    </row>
    <row r="36" spans="1:26" ht="14.45" customHeight="1" x14ac:dyDescent="0.25">
      <c r="A36" s="23"/>
      <c r="K36" s="204"/>
      <c r="Z36" s="23"/>
    </row>
    <row r="37" spans="1:26" ht="14.45" customHeight="1" x14ac:dyDescent="0.25">
      <c r="A37" s="23"/>
      <c r="K37" s="204"/>
      <c r="Z37" s="23"/>
    </row>
    <row r="38" spans="1:26" ht="14.45" customHeight="1" x14ac:dyDescent="0.25">
      <c r="A38" s="23"/>
      <c r="K38" s="204"/>
      <c r="Z38" s="23"/>
    </row>
    <row r="39" spans="1:26" ht="14.45" customHeight="1" x14ac:dyDescent="0.25">
      <c r="A39" s="23"/>
      <c r="K39" s="204"/>
      <c r="Z39" s="23"/>
    </row>
    <row r="40" spans="1:26" ht="14.45" customHeight="1" x14ac:dyDescent="0.25">
      <c r="A40" s="23"/>
      <c r="K40" s="204"/>
      <c r="Z40" s="23"/>
    </row>
    <row r="41" spans="1:26" ht="14.45" customHeight="1" x14ac:dyDescent="0.25">
      <c r="A41" s="23"/>
      <c r="K41" s="204"/>
      <c r="Z41" s="23"/>
    </row>
    <row r="42" spans="1:26" ht="14.45" customHeight="1" x14ac:dyDescent="0.25">
      <c r="A42" s="23"/>
      <c r="K42" s="204"/>
      <c r="Z42" s="23"/>
    </row>
    <row r="43" spans="1:26" ht="14.45" customHeight="1" x14ac:dyDescent="0.25">
      <c r="A43" s="23"/>
      <c r="K43" s="204"/>
      <c r="Z43" s="23"/>
    </row>
    <row r="44" spans="1:26" ht="14.45" customHeight="1" x14ac:dyDescent="0.25">
      <c r="A44" s="23"/>
      <c r="K44" s="204"/>
      <c r="Z44" s="23"/>
    </row>
    <row r="45" spans="1:26" ht="14.45" customHeight="1" x14ac:dyDescent="0.25">
      <c r="A45" s="23"/>
      <c r="K45" s="204"/>
      <c r="Z45" s="23"/>
    </row>
    <row r="46" spans="1:26" ht="14.45" customHeight="1" x14ac:dyDescent="0.25">
      <c r="A46" s="23"/>
      <c r="K46" s="204"/>
      <c r="Z46" s="23"/>
    </row>
    <row r="47" spans="1:26" ht="14.45" customHeight="1" x14ac:dyDescent="0.25">
      <c r="A47" s="23"/>
      <c r="K47" s="204"/>
      <c r="Z47" s="23"/>
    </row>
    <row r="48" spans="1:26" ht="14.45" customHeight="1" x14ac:dyDescent="0.25">
      <c r="A48" s="23"/>
      <c r="K48" s="204"/>
      <c r="Z48" s="23"/>
    </row>
    <row r="49" spans="1:29" ht="14.45" customHeight="1" x14ac:dyDescent="0.25">
      <c r="A49" s="23"/>
      <c r="K49" s="204"/>
      <c r="Z49" s="23"/>
    </row>
    <row r="50" spans="1:29" ht="14.45" customHeight="1" x14ac:dyDescent="0.25">
      <c r="A50" s="23"/>
      <c r="K50" s="204"/>
      <c r="Z50" s="23"/>
    </row>
    <row r="51" spans="1:29" ht="14.45" customHeight="1" x14ac:dyDescent="0.25">
      <c r="A51" s="23"/>
      <c r="K51" s="204"/>
      <c r="Z51" s="23"/>
    </row>
    <row r="52" spans="1:29" ht="14.45" customHeight="1" x14ac:dyDescent="0.25">
      <c r="A52" s="23"/>
      <c r="K52" s="204"/>
      <c r="Z52" s="23"/>
    </row>
    <row r="53" spans="1:29" ht="14.45" customHeight="1" x14ac:dyDescent="0.25">
      <c r="A53" s="23"/>
      <c r="K53" s="204"/>
      <c r="Z53" s="23"/>
    </row>
    <row r="54" spans="1:29" ht="14.45" customHeight="1" x14ac:dyDescent="0.25">
      <c r="A54" s="23"/>
      <c r="K54" s="204"/>
      <c r="Z54" s="23"/>
    </row>
    <row r="55" spans="1:29" ht="14.45" customHeight="1" x14ac:dyDescent="0.25">
      <c r="A55" s="23"/>
      <c r="K55" s="204"/>
      <c r="Z55" s="23"/>
    </row>
    <row r="56" spans="1:29" ht="14.45" customHeight="1" x14ac:dyDescent="0.25">
      <c r="A56" s="23"/>
      <c r="K56" s="204"/>
      <c r="Z56" s="23"/>
    </row>
    <row r="57" spans="1:29" ht="14.45" customHeight="1" x14ac:dyDescent="0.25">
      <c r="A57" s="23"/>
      <c r="K57" s="204"/>
      <c r="Z57" s="23"/>
    </row>
    <row r="58" spans="1:29" ht="14.45" customHeight="1" x14ac:dyDescent="0.25">
      <c r="A58" s="23"/>
      <c r="K58" s="204"/>
      <c r="Z58" s="23"/>
    </row>
    <row r="59" spans="1:29" ht="14.45" customHeight="1" x14ac:dyDescent="0.25">
      <c r="A59" s="23"/>
      <c r="K59" s="204"/>
      <c r="Z59" s="23"/>
    </row>
    <row r="60" spans="1:29" ht="14.45" customHeight="1" x14ac:dyDescent="0.25">
      <c r="A60" s="23"/>
      <c r="K60" s="204"/>
      <c r="Z60" s="23"/>
    </row>
    <row r="61" spans="1:29" ht="14.45" customHeight="1" x14ac:dyDescent="0.25">
      <c r="A61" s="23"/>
      <c r="K61" s="204"/>
      <c r="Z61" s="23"/>
    </row>
    <row r="62" spans="1:29" ht="14.45" customHeight="1" x14ac:dyDescent="0.25">
      <c r="A62" s="23"/>
      <c r="K62" s="204"/>
      <c r="Z62" s="23"/>
    </row>
    <row r="63" spans="1:29" ht="14.45" customHeight="1" x14ac:dyDescent="0.25">
      <c r="A63" s="145"/>
      <c r="B63" s="145"/>
      <c r="C63" s="145"/>
      <c r="D63" s="145"/>
      <c r="E63" s="145"/>
      <c r="F63" s="145"/>
      <c r="G63" s="145"/>
      <c r="H63" s="145"/>
      <c r="I63" s="145"/>
      <c r="J63" s="145"/>
      <c r="K63" s="145"/>
      <c r="L63" s="145"/>
      <c r="X63" s="145"/>
      <c r="Y63" s="145"/>
      <c r="Z63" s="145"/>
      <c r="AA63" s="145"/>
      <c r="AB63" s="145"/>
      <c r="AC63" s="145"/>
    </row>
    <row r="64" spans="1:29" ht="14.45" customHeight="1" x14ac:dyDescent="0.25">
      <c r="X64" s="27"/>
    </row>
    <row r="65" spans="1:26" ht="14.45" customHeight="1" x14ac:dyDescent="0.25">
      <c r="X65" s="27"/>
    </row>
    <row r="66" spans="1:26" ht="14.45" customHeight="1" x14ac:dyDescent="0.25">
      <c r="X66" s="27"/>
    </row>
    <row r="67" spans="1:26" ht="14.45" customHeight="1" x14ac:dyDescent="0.25">
      <c r="X67" s="27"/>
    </row>
    <row r="68" spans="1:26" ht="14.45" customHeight="1" x14ac:dyDescent="0.25">
      <c r="X68" s="27"/>
    </row>
    <row r="69" spans="1:26" ht="14.45" customHeight="1" x14ac:dyDescent="0.25">
      <c r="X69" s="27"/>
    </row>
    <row r="70" spans="1:26" ht="14.45" customHeight="1" x14ac:dyDescent="0.25">
      <c r="X70" s="27"/>
      <c r="Z70" s="23"/>
    </row>
    <row r="71" spans="1:26" x14ac:dyDescent="0.25">
      <c r="X71" s="27"/>
    </row>
    <row r="72" spans="1:26" x14ac:dyDescent="0.25">
      <c r="X72" s="27"/>
    </row>
    <row r="73" spans="1:26" x14ac:dyDescent="0.25">
      <c r="X73" s="27"/>
    </row>
    <row r="76" spans="1:26" x14ac:dyDescent="0.25">
      <c r="A76" s="191"/>
      <c r="B76" s="27"/>
      <c r="C76" s="27"/>
      <c r="D76" s="27"/>
      <c r="E76" s="27"/>
      <c r="F76" s="27"/>
      <c r="G76" s="27"/>
      <c r="H76" s="27"/>
      <c r="I76" s="27"/>
      <c r="J76" s="27"/>
      <c r="K76" s="27"/>
    </row>
    <row r="77" spans="1:26" x14ac:dyDescent="0.25">
      <c r="A77" s="191"/>
      <c r="B77" s="27"/>
      <c r="C77" s="27"/>
      <c r="D77" s="27"/>
      <c r="E77" s="27"/>
      <c r="F77" s="27"/>
      <c r="G77" s="27"/>
      <c r="H77" s="27"/>
      <c r="I77" s="27"/>
      <c r="J77" s="27"/>
      <c r="K77" s="27"/>
    </row>
    <row r="78" spans="1:26" x14ac:dyDescent="0.25">
      <c r="A78" s="191"/>
      <c r="B78" s="27"/>
      <c r="C78" s="27"/>
      <c r="D78" s="27"/>
      <c r="E78" s="27"/>
      <c r="F78" s="27"/>
      <c r="G78" s="27"/>
      <c r="H78" s="27"/>
      <c r="I78" s="27"/>
      <c r="J78" s="27"/>
      <c r="K78" s="27"/>
    </row>
    <row r="79" spans="1:26" x14ac:dyDescent="0.25">
      <c r="A79" s="191"/>
      <c r="B79" s="27"/>
      <c r="C79" s="27"/>
      <c r="D79" s="27"/>
      <c r="E79" s="27"/>
      <c r="F79" s="27"/>
      <c r="G79" s="27"/>
      <c r="H79" s="27"/>
      <c r="I79" s="27"/>
      <c r="J79" s="27"/>
      <c r="K79" s="27"/>
    </row>
    <row r="80" spans="1:26" x14ac:dyDescent="0.25">
      <c r="A80" s="191"/>
      <c r="B80" s="27"/>
      <c r="C80" s="27"/>
      <c r="D80" s="27"/>
      <c r="E80" s="27"/>
      <c r="F80" s="27"/>
      <c r="G80" s="27"/>
      <c r="H80" s="27"/>
      <c r="I80" s="27"/>
      <c r="J80" s="27"/>
      <c r="K80" s="27"/>
    </row>
    <row r="81" spans="1:11" x14ac:dyDescent="0.25">
      <c r="A81" s="191"/>
      <c r="B81" s="27"/>
      <c r="C81" s="27"/>
      <c r="D81" s="27"/>
      <c r="E81" s="27"/>
      <c r="F81" s="27"/>
      <c r="G81" s="27"/>
      <c r="H81" s="27"/>
      <c r="I81" s="27"/>
      <c r="J81" s="27"/>
      <c r="K81" s="27"/>
    </row>
    <row r="82" spans="1:11" x14ac:dyDescent="0.25">
      <c r="A82" s="191"/>
      <c r="B82" s="27"/>
      <c r="C82" s="27"/>
      <c r="D82" s="27"/>
      <c r="E82" s="27"/>
      <c r="F82" s="27"/>
      <c r="G82" s="27"/>
      <c r="I82" s="27"/>
      <c r="J82" s="27"/>
      <c r="K82" s="27"/>
    </row>
    <row r="83" spans="1:11" x14ac:dyDescent="0.25">
      <c r="A83" s="191"/>
      <c r="B83" s="27"/>
      <c r="C83" s="27"/>
      <c r="D83" s="27"/>
      <c r="E83" s="27"/>
      <c r="F83" s="27"/>
      <c r="G83" s="27"/>
      <c r="H83" s="27"/>
      <c r="I83" s="27"/>
      <c r="J83" s="27"/>
      <c r="K83" s="27"/>
    </row>
    <row r="84" spans="1:11" x14ac:dyDescent="0.25">
      <c r="A84" s="191"/>
      <c r="B84" s="27"/>
      <c r="C84" s="27"/>
      <c r="D84" s="27"/>
      <c r="E84" s="27"/>
      <c r="F84" s="27"/>
      <c r="G84" s="27"/>
      <c r="I84" s="27"/>
      <c r="J84" s="27"/>
      <c r="K84" s="27"/>
    </row>
    <row r="85" spans="1:11" x14ac:dyDescent="0.25">
      <c r="A85" s="191"/>
      <c r="B85" s="27"/>
      <c r="C85" s="27"/>
      <c r="D85" s="27"/>
      <c r="E85" s="27"/>
      <c r="F85" s="27"/>
      <c r="G85" s="27"/>
      <c r="H85" s="27"/>
      <c r="I85" s="27"/>
      <c r="J85" s="27"/>
      <c r="K85" s="27"/>
    </row>
    <row r="86" spans="1:11" x14ac:dyDescent="0.25">
      <c r="A86" s="191"/>
      <c r="B86" s="27"/>
      <c r="C86" s="27"/>
      <c r="D86" s="27"/>
      <c r="E86" s="27"/>
      <c r="F86" s="27"/>
      <c r="G86" s="27"/>
      <c r="H86" s="27"/>
      <c r="I86" s="27"/>
      <c r="J86" s="27"/>
      <c r="K86" s="27"/>
    </row>
    <row r="87" spans="1:11" x14ac:dyDescent="0.25">
      <c r="A87" s="191"/>
      <c r="B87" s="27"/>
      <c r="C87" s="27"/>
      <c r="D87" s="27"/>
      <c r="E87" s="27"/>
      <c r="F87" s="27"/>
      <c r="G87" s="27"/>
      <c r="H87" s="27"/>
      <c r="I87" s="27"/>
      <c r="J87" s="27"/>
      <c r="K87" s="27"/>
    </row>
    <row r="88" spans="1:11" x14ac:dyDescent="0.25">
      <c r="A88" s="191"/>
      <c r="B88" s="27"/>
      <c r="C88" s="27"/>
      <c r="D88" s="27"/>
      <c r="E88" s="27"/>
      <c r="F88" s="27"/>
      <c r="G88" s="27"/>
      <c r="H88" s="27"/>
      <c r="I88" s="27"/>
      <c r="J88" s="27"/>
      <c r="K88" s="27"/>
    </row>
    <row r="89" spans="1:11" x14ac:dyDescent="0.25">
      <c r="A89" s="191"/>
      <c r="B89" s="27"/>
      <c r="C89" s="27"/>
      <c r="D89" s="27"/>
      <c r="E89" s="27"/>
      <c r="F89" s="27"/>
      <c r="G89" s="27"/>
      <c r="H89" s="27"/>
      <c r="I89" s="27"/>
      <c r="J89" s="27"/>
      <c r="K89" s="27"/>
    </row>
    <row r="90" spans="1:11" x14ac:dyDescent="0.25">
      <c r="A90" s="191"/>
      <c r="B90" s="27"/>
      <c r="C90" s="27"/>
      <c r="D90" s="27"/>
      <c r="E90" s="27"/>
      <c r="F90" s="27"/>
      <c r="G90" s="27"/>
      <c r="H90" s="27"/>
      <c r="I90" s="27"/>
      <c r="J90" s="27"/>
      <c r="K90" s="27"/>
    </row>
    <row r="91" spans="1:11" x14ac:dyDescent="0.25">
      <c r="A91" s="191"/>
      <c r="B91" s="27"/>
      <c r="C91" s="27"/>
      <c r="D91" s="27"/>
      <c r="E91" s="27"/>
      <c r="F91" s="27"/>
      <c r="G91" s="27"/>
      <c r="H91" s="27"/>
      <c r="I91" s="27"/>
      <c r="J91" s="27"/>
      <c r="K91" s="27"/>
    </row>
    <row r="92" spans="1:11" x14ac:dyDescent="0.25">
      <c r="A92" s="191"/>
      <c r="B92" s="27"/>
      <c r="C92" s="27"/>
      <c r="D92" s="27"/>
      <c r="E92" s="27"/>
      <c r="F92" s="27"/>
      <c r="G92" s="27"/>
      <c r="H92" s="27"/>
      <c r="I92" s="27"/>
      <c r="J92" s="27"/>
      <c r="K92" s="27"/>
    </row>
    <row r="93" spans="1:11" x14ac:dyDescent="0.25">
      <c r="A93" s="191"/>
      <c r="B93" s="27"/>
      <c r="C93" s="27"/>
      <c r="D93" s="27"/>
      <c r="E93" s="27"/>
      <c r="F93" s="27"/>
      <c r="G93" s="27"/>
      <c r="H93" s="27"/>
      <c r="I93" s="27"/>
      <c r="J93" s="27"/>
      <c r="K93" s="27"/>
    </row>
    <row r="94" spans="1:11" x14ac:dyDescent="0.25">
      <c r="A94" s="191"/>
      <c r="B94" s="27"/>
      <c r="C94" s="27"/>
      <c r="D94" s="27"/>
      <c r="E94" s="27"/>
      <c r="F94" s="27"/>
      <c r="G94" s="27"/>
      <c r="H94" s="27"/>
      <c r="I94" s="27"/>
      <c r="J94" s="27"/>
      <c r="K94" s="27"/>
    </row>
    <row r="95" spans="1:11" x14ac:dyDescent="0.25">
      <c r="A95" s="191"/>
      <c r="B95" s="27"/>
      <c r="C95" s="27"/>
      <c r="D95" s="27"/>
      <c r="E95" s="27"/>
      <c r="F95" s="27"/>
      <c r="G95" s="27"/>
      <c r="H95" s="27"/>
      <c r="I95" s="27"/>
      <c r="J95" s="27"/>
      <c r="K95" s="27"/>
    </row>
    <row r="96" spans="1:11" x14ac:dyDescent="0.25">
      <c r="A96" s="191"/>
      <c r="B96" s="27"/>
      <c r="C96" s="27"/>
      <c r="D96" s="27"/>
      <c r="E96" s="27"/>
      <c r="F96" s="27"/>
      <c r="G96" s="27"/>
      <c r="H96" s="27"/>
      <c r="I96" s="27"/>
      <c r="J96" s="27"/>
      <c r="K96" s="27"/>
    </row>
    <row r="97" spans="1:11" x14ac:dyDescent="0.25">
      <c r="A97" s="191"/>
      <c r="B97" s="27"/>
      <c r="C97" s="27"/>
      <c r="D97" s="27"/>
      <c r="E97" s="27"/>
      <c r="F97" s="27"/>
      <c r="G97" s="27"/>
      <c r="H97" s="27"/>
      <c r="I97" s="27"/>
      <c r="J97" s="27"/>
      <c r="K97" s="27"/>
    </row>
    <row r="98" spans="1:11" x14ac:dyDescent="0.25">
      <c r="A98" s="191"/>
      <c r="B98" s="27"/>
      <c r="C98" s="27"/>
      <c r="D98" s="27"/>
      <c r="E98" s="27"/>
      <c r="F98" s="27"/>
      <c r="G98" s="27"/>
      <c r="H98" s="27"/>
      <c r="I98" s="27"/>
      <c r="J98" s="27"/>
      <c r="K98" s="27"/>
    </row>
    <row r="99" spans="1:11" x14ac:dyDescent="0.25">
      <c r="A99" s="191"/>
      <c r="B99" s="27"/>
      <c r="C99" s="27"/>
      <c r="D99" s="27"/>
      <c r="E99" s="27"/>
      <c r="F99" s="27"/>
      <c r="G99" s="27"/>
      <c r="H99" s="27"/>
      <c r="I99" s="27"/>
      <c r="J99" s="27"/>
      <c r="K99" s="27"/>
    </row>
    <row r="100" spans="1:11" x14ac:dyDescent="0.25">
      <c r="A100" s="191"/>
      <c r="B100" s="27"/>
      <c r="C100" s="27"/>
      <c r="D100" s="27"/>
      <c r="E100" s="27"/>
      <c r="F100" s="27"/>
      <c r="G100" s="27"/>
      <c r="H100" s="27"/>
      <c r="I100" s="27"/>
      <c r="J100" s="27"/>
      <c r="K100" s="27"/>
    </row>
    <row r="101" spans="1:11" x14ac:dyDescent="0.25">
      <c r="A101" s="191"/>
      <c r="B101" s="27"/>
      <c r="C101" s="27"/>
      <c r="D101" s="27"/>
      <c r="E101" s="27"/>
      <c r="F101" s="27"/>
      <c r="G101" s="27"/>
      <c r="H101" s="27"/>
      <c r="I101" s="27"/>
      <c r="J101" s="27"/>
      <c r="K101" s="27"/>
    </row>
    <row r="102" spans="1:11" x14ac:dyDescent="0.25">
      <c r="A102" s="191"/>
      <c r="B102" s="27"/>
      <c r="C102" s="27"/>
      <c r="D102" s="27"/>
      <c r="E102" s="27"/>
      <c r="F102" s="27"/>
      <c r="G102" s="27"/>
      <c r="H102" s="27"/>
      <c r="I102" s="27"/>
      <c r="J102" s="27"/>
      <c r="K102" s="27"/>
    </row>
    <row r="103" spans="1:11" x14ac:dyDescent="0.25">
      <c r="A103" s="191"/>
      <c r="B103" s="27"/>
      <c r="C103" s="27"/>
      <c r="D103" s="27"/>
      <c r="E103" s="27"/>
      <c r="F103" s="27"/>
      <c r="G103" s="27"/>
      <c r="H103" s="27"/>
      <c r="I103" s="27"/>
      <c r="J103" s="27"/>
      <c r="K103" s="27"/>
    </row>
    <row r="104" spans="1:11" x14ac:dyDescent="0.25">
      <c r="A104" s="191"/>
      <c r="B104" s="27"/>
      <c r="C104" s="27"/>
      <c r="D104" s="27"/>
      <c r="E104" s="27"/>
      <c r="F104" s="27"/>
      <c r="G104" s="27"/>
      <c r="H104" s="27"/>
      <c r="I104" s="27"/>
      <c r="J104" s="27"/>
      <c r="K104" s="27"/>
    </row>
    <row r="105" spans="1:11" x14ac:dyDescent="0.25">
      <c r="A105" s="191"/>
      <c r="B105" s="27"/>
      <c r="C105" s="27"/>
      <c r="D105" s="27"/>
      <c r="E105" s="27"/>
      <c r="F105" s="27"/>
      <c r="G105" s="27"/>
      <c r="H105" s="27"/>
      <c r="I105" s="27"/>
      <c r="J105" s="27"/>
      <c r="K105" s="27"/>
    </row>
    <row r="106" spans="1:11" x14ac:dyDescent="0.25">
      <c r="A106" s="191"/>
      <c r="B106" s="27"/>
      <c r="C106" s="27"/>
      <c r="D106" s="27"/>
      <c r="E106" s="27"/>
      <c r="F106" s="27"/>
      <c r="G106" s="27"/>
      <c r="H106" s="27"/>
      <c r="I106" s="27"/>
      <c r="J106" s="27"/>
      <c r="K106" s="27"/>
    </row>
    <row r="107" spans="1:11" x14ac:dyDescent="0.25">
      <c r="A107" s="191"/>
      <c r="B107" s="27"/>
      <c r="C107" s="27"/>
      <c r="D107" s="27"/>
      <c r="E107" s="27"/>
      <c r="F107" s="27"/>
      <c r="G107" s="27"/>
      <c r="H107" s="27"/>
      <c r="I107" s="27"/>
      <c r="J107" s="27"/>
      <c r="K107" s="27"/>
    </row>
    <row r="108" spans="1:11" x14ac:dyDescent="0.25">
      <c r="A108" s="191"/>
      <c r="B108" s="27"/>
      <c r="C108" s="27"/>
      <c r="D108" s="27"/>
      <c r="E108" s="27"/>
      <c r="F108" s="27"/>
      <c r="G108" s="27"/>
      <c r="H108" s="27"/>
      <c r="I108" s="27"/>
      <c r="J108" s="27"/>
      <c r="K108" s="27"/>
    </row>
    <row r="109" spans="1:11" x14ac:dyDescent="0.25">
      <c r="A109" s="191"/>
      <c r="B109" s="27"/>
      <c r="C109" s="27"/>
      <c r="D109" s="27"/>
      <c r="E109" s="27"/>
      <c r="F109" s="27"/>
      <c r="G109" s="27"/>
      <c r="H109" s="27"/>
      <c r="I109" s="27"/>
      <c r="J109" s="27"/>
      <c r="K109" s="27"/>
    </row>
    <row r="110" spans="1:11" x14ac:dyDescent="0.25">
      <c r="A110" s="191"/>
      <c r="B110" s="27"/>
      <c r="C110" s="27"/>
      <c r="D110" s="27"/>
      <c r="E110" s="27"/>
      <c r="F110" s="27"/>
      <c r="G110" s="27"/>
      <c r="H110" s="27"/>
      <c r="I110" s="27"/>
      <c r="J110" s="27"/>
      <c r="K110" s="27"/>
    </row>
    <row r="111" spans="1:11" x14ac:dyDescent="0.25">
      <c r="A111" s="191"/>
      <c r="B111" s="27"/>
      <c r="C111" s="27"/>
      <c r="D111" s="27"/>
      <c r="E111" s="27"/>
      <c r="F111" s="27"/>
      <c r="G111" s="27"/>
      <c r="H111" s="27"/>
      <c r="I111" s="27"/>
      <c r="J111" s="27"/>
      <c r="K111" s="27"/>
    </row>
    <row r="112" spans="1:11" x14ac:dyDescent="0.25">
      <c r="A112" s="191"/>
      <c r="B112" s="27"/>
      <c r="C112" s="27"/>
      <c r="D112" s="27"/>
      <c r="E112" s="27"/>
      <c r="F112" s="27"/>
      <c r="G112" s="27"/>
      <c r="H112" s="27"/>
      <c r="I112" s="27"/>
      <c r="J112" s="27"/>
      <c r="K112" s="27"/>
    </row>
    <row r="113" spans="1:11" x14ac:dyDescent="0.25">
      <c r="A113" s="191"/>
      <c r="B113" s="27"/>
      <c r="C113" s="27"/>
      <c r="D113" s="27"/>
      <c r="E113" s="27"/>
      <c r="F113" s="27"/>
      <c r="G113" s="27"/>
      <c r="H113" s="27"/>
      <c r="I113" s="27"/>
      <c r="J113" s="27"/>
      <c r="K113" s="27"/>
    </row>
    <row r="114" spans="1:11" x14ac:dyDescent="0.25">
      <c r="A114" s="191"/>
      <c r="B114" s="27"/>
      <c r="C114" s="27"/>
      <c r="D114" s="27"/>
      <c r="E114" s="27"/>
      <c r="F114" s="27"/>
      <c r="G114" s="27"/>
      <c r="H114" s="27"/>
      <c r="I114" s="27"/>
      <c r="J114" s="27"/>
      <c r="K114" s="27"/>
    </row>
    <row r="115" spans="1:11" x14ac:dyDescent="0.25">
      <c r="A115" s="191"/>
      <c r="B115" s="27"/>
      <c r="C115" s="27"/>
      <c r="D115" s="27"/>
      <c r="E115" s="27"/>
      <c r="F115" s="27"/>
      <c r="G115" s="27"/>
      <c r="H115" s="27"/>
      <c r="I115" s="27"/>
      <c r="J115" s="27"/>
      <c r="K115" s="27"/>
    </row>
    <row r="116" spans="1:11" x14ac:dyDescent="0.25">
      <c r="A116" s="191"/>
      <c r="B116" s="27"/>
      <c r="C116" s="27"/>
      <c r="D116" s="27"/>
      <c r="E116" s="27"/>
      <c r="F116" s="27"/>
      <c r="G116" s="27"/>
      <c r="H116" s="27"/>
      <c r="I116" s="27"/>
      <c r="J116" s="27"/>
      <c r="K116" s="27"/>
    </row>
    <row r="117" spans="1:11" x14ac:dyDescent="0.25">
      <c r="A117" s="191"/>
      <c r="B117" s="27"/>
      <c r="C117" s="27"/>
      <c r="D117" s="27"/>
      <c r="E117" s="27"/>
      <c r="F117" s="27"/>
      <c r="G117" s="27"/>
      <c r="H117" s="27"/>
      <c r="I117" s="27"/>
      <c r="J117" s="27"/>
      <c r="K117" s="27"/>
    </row>
    <row r="118" spans="1:11" x14ac:dyDescent="0.25">
      <c r="A118" s="191"/>
      <c r="B118" s="27"/>
      <c r="C118" s="27"/>
      <c r="D118" s="27"/>
      <c r="E118" s="27"/>
      <c r="F118" s="27"/>
      <c r="G118" s="27"/>
      <c r="H118" s="27"/>
      <c r="I118" s="27"/>
      <c r="J118" s="27"/>
      <c r="K118" s="27"/>
    </row>
    <row r="119" spans="1:11" x14ac:dyDescent="0.25">
      <c r="A119" s="191"/>
      <c r="B119" s="27"/>
      <c r="C119" s="27"/>
      <c r="D119" s="27"/>
      <c r="E119" s="27"/>
      <c r="F119" s="27"/>
      <c r="G119" s="27"/>
      <c r="H119" s="27"/>
      <c r="I119" s="27"/>
      <c r="J119" s="27"/>
      <c r="K119" s="27"/>
    </row>
    <row r="120" spans="1:11" x14ac:dyDescent="0.25">
      <c r="A120" s="191"/>
      <c r="B120" s="27"/>
      <c r="C120" s="27"/>
      <c r="D120" s="27"/>
      <c r="E120" s="27"/>
      <c r="F120" s="27"/>
      <c r="G120" s="27"/>
      <c r="H120" s="27"/>
      <c r="I120" s="27"/>
      <c r="J120" s="27"/>
      <c r="K120" s="27"/>
    </row>
    <row r="121" spans="1:11" x14ac:dyDescent="0.25">
      <c r="A121" s="191"/>
      <c r="B121" s="27"/>
      <c r="C121" s="27"/>
      <c r="D121" s="27"/>
      <c r="E121" s="27"/>
      <c r="F121" s="27"/>
      <c r="G121" s="27"/>
      <c r="H121" s="27"/>
      <c r="I121" s="27"/>
      <c r="J121" s="27"/>
      <c r="K121" s="27"/>
    </row>
    <row r="122" spans="1:11" x14ac:dyDescent="0.25">
      <c r="A122" s="191"/>
      <c r="B122" s="27"/>
      <c r="C122" s="27"/>
      <c r="D122" s="27"/>
      <c r="E122" s="27"/>
      <c r="F122" s="27"/>
      <c r="G122" s="27"/>
      <c r="H122" s="27"/>
      <c r="I122" s="27"/>
      <c r="J122" s="27"/>
      <c r="K122" s="27"/>
    </row>
    <row r="123" spans="1:11" x14ac:dyDescent="0.25">
      <c r="A123" s="191"/>
      <c r="B123" s="27"/>
      <c r="C123" s="27"/>
      <c r="D123" s="27"/>
      <c r="E123" s="27"/>
      <c r="F123" s="27"/>
      <c r="G123" s="27"/>
      <c r="H123" s="27"/>
      <c r="I123" s="27"/>
      <c r="J123" s="27"/>
      <c r="K123" s="27"/>
    </row>
    <row r="124" spans="1:11" x14ac:dyDescent="0.25">
      <c r="A124" s="191"/>
      <c r="B124" s="27"/>
      <c r="C124" s="27"/>
      <c r="D124" s="27"/>
      <c r="E124" s="27"/>
      <c r="F124" s="27"/>
      <c r="G124" s="27"/>
      <c r="H124" s="27"/>
      <c r="I124" s="27"/>
      <c r="J124" s="27"/>
      <c r="K124" s="27"/>
    </row>
    <row r="125" spans="1:11" x14ac:dyDescent="0.25">
      <c r="A125" s="191"/>
      <c r="B125" s="27"/>
      <c r="C125" s="27"/>
      <c r="D125" s="27"/>
      <c r="E125" s="27"/>
      <c r="F125" s="27"/>
      <c r="G125" s="27"/>
      <c r="H125" s="27"/>
      <c r="I125" s="27"/>
      <c r="J125" s="27"/>
      <c r="K125" s="27"/>
    </row>
    <row r="126" spans="1:11" x14ac:dyDescent="0.25">
      <c r="A126" s="191"/>
      <c r="B126" s="27"/>
      <c r="C126" s="27"/>
      <c r="D126" s="27"/>
      <c r="E126" s="27"/>
      <c r="F126" s="27"/>
      <c r="G126" s="27"/>
      <c r="H126" s="27"/>
      <c r="I126" s="27"/>
      <c r="J126" s="27"/>
      <c r="K126" s="27"/>
    </row>
    <row r="127" spans="1:11" x14ac:dyDescent="0.25">
      <c r="A127" s="191"/>
      <c r="B127" s="27"/>
      <c r="C127" s="27"/>
      <c r="D127" s="27"/>
      <c r="E127" s="27"/>
      <c r="F127" s="27"/>
      <c r="G127" s="27"/>
      <c r="H127" s="27"/>
      <c r="I127" s="27"/>
      <c r="J127" s="27"/>
      <c r="K127" s="27"/>
    </row>
    <row r="128" spans="1:11" x14ac:dyDescent="0.25">
      <c r="A128" s="191"/>
      <c r="B128" s="27"/>
      <c r="C128" s="27"/>
      <c r="D128" s="27"/>
      <c r="E128" s="27"/>
      <c r="F128" s="27"/>
      <c r="G128" s="27"/>
      <c r="H128" s="27"/>
      <c r="I128" s="27"/>
      <c r="J128" s="27"/>
      <c r="K128" s="27"/>
    </row>
    <row r="129" spans="1:11" x14ac:dyDescent="0.25">
      <c r="A129" s="191"/>
      <c r="B129" s="27"/>
      <c r="C129" s="27"/>
      <c r="D129" s="27"/>
      <c r="E129" s="27"/>
      <c r="F129" s="27"/>
      <c r="G129" s="27"/>
      <c r="H129" s="27"/>
      <c r="I129" s="27"/>
      <c r="J129" s="27"/>
      <c r="K129" s="27"/>
    </row>
    <row r="130" spans="1:11" x14ac:dyDescent="0.25">
      <c r="A130" s="191"/>
      <c r="B130" s="27"/>
      <c r="C130" s="27"/>
      <c r="D130" s="27"/>
      <c r="E130" s="27"/>
      <c r="F130" s="27"/>
      <c r="G130" s="27"/>
      <c r="H130" s="27"/>
      <c r="I130" s="27"/>
      <c r="J130" s="27"/>
      <c r="K130" s="27"/>
    </row>
    <row r="131" spans="1:11" x14ac:dyDescent="0.25">
      <c r="A131" s="191"/>
      <c r="B131" s="27"/>
      <c r="C131" s="27"/>
      <c r="D131" s="27"/>
      <c r="E131" s="27"/>
      <c r="F131" s="27"/>
      <c r="G131" s="27"/>
      <c r="H131" s="27"/>
      <c r="I131" s="27"/>
      <c r="J131" s="27"/>
      <c r="K131" s="27"/>
    </row>
    <row r="132" spans="1:11" x14ac:dyDescent="0.25">
      <c r="A132" s="191"/>
      <c r="B132" s="27"/>
      <c r="C132" s="27"/>
      <c r="D132" s="27"/>
      <c r="E132" s="27"/>
      <c r="F132" s="27"/>
      <c r="G132" s="27"/>
      <c r="H132" s="27"/>
      <c r="I132" s="27"/>
      <c r="J132" s="27"/>
      <c r="K132" s="27"/>
    </row>
    <row r="133" spans="1:11" x14ac:dyDescent="0.25">
      <c r="A133" s="191"/>
      <c r="B133" s="27"/>
      <c r="C133" s="27"/>
      <c r="D133" s="27"/>
      <c r="E133" s="27"/>
      <c r="F133" s="27"/>
      <c r="G133" s="27"/>
      <c r="H133" s="27"/>
      <c r="I133" s="27"/>
      <c r="J133" s="27"/>
      <c r="K133" s="27"/>
    </row>
    <row r="134" spans="1:11" x14ac:dyDescent="0.25">
      <c r="A134" s="191"/>
      <c r="B134" s="27"/>
      <c r="C134" s="27"/>
      <c r="D134" s="27"/>
      <c r="E134" s="27"/>
      <c r="F134" s="27"/>
      <c r="G134" s="27"/>
      <c r="H134" s="27"/>
      <c r="I134" s="27"/>
      <c r="J134" s="27"/>
      <c r="K134" s="27"/>
    </row>
    <row r="135" spans="1:11" x14ac:dyDescent="0.25">
      <c r="A135" s="191"/>
      <c r="B135" s="27"/>
      <c r="C135" s="27"/>
      <c r="D135" s="27"/>
      <c r="E135" s="27"/>
      <c r="F135" s="27"/>
      <c r="G135" s="27"/>
      <c r="H135" s="27"/>
      <c r="I135" s="27"/>
      <c r="J135" s="27"/>
      <c r="K135" s="27"/>
    </row>
    <row r="136" spans="1:11" x14ac:dyDescent="0.25">
      <c r="A136" s="191"/>
      <c r="B136" s="27"/>
      <c r="C136" s="27"/>
      <c r="D136" s="27"/>
      <c r="E136" s="27"/>
      <c r="F136" s="27"/>
      <c r="G136" s="27"/>
      <c r="H136" s="27"/>
      <c r="I136" s="27"/>
      <c r="J136" s="27"/>
      <c r="K136" s="27"/>
    </row>
    <row r="137" spans="1:11" x14ac:dyDescent="0.25">
      <c r="A137" s="191"/>
      <c r="B137" s="27"/>
      <c r="C137" s="27"/>
      <c r="D137" s="27"/>
      <c r="E137" s="27"/>
      <c r="F137" s="27"/>
      <c r="G137" s="27"/>
      <c r="H137" s="27"/>
      <c r="I137" s="27"/>
      <c r="J137" s="27"/>
      <c r="K137" s="27"/>
    </row>
    <row r="138" spans="1:11" x14ac:dyDescent="0.25">
      <c r="A138" s="191"/>
      <c r="B138" s="27"/>
      <c r="C138" s="27"/>
      <c r="D138" s="27"/>
      <c r="E138" s="27"/>
      <c r="F138" s="27"/>
      <c r="G138" s="27"/>
      <c r="H138" s="27"/>
      <c r="I138" s="27"/>
      <c r="J138" s="27"/>
      <c r="K138" s="27"/>
    </row>
    <row r="139" spans="1:11" x14ac:dyDescent="0.25">
      <c r="A139" s="191"/>
      <c r="B139" s="27"/>
      <c r="C139" s="27"/>
      <c r="D139" s="27"/>
      <c r="E139" s="27"/>
      <c r="F139" s="27"/>
      <c r="G139" s="27"/>
      <c r="H139" s="27"/>
      <c r="I139" s="27"/>
      <c r="J139" s="27"/>
      <c r="K139" s="27"/>
    </row>
    <row r="140" spans="1:11" x14ac:dyDescent="0.25">
      <c r="A140" s="191"/>
      <c r="B140" s="27"/>
      <c r="C140" s="27"/>
      <c r="D140" s="27"/>
      <c r="E140" s="27"/>
      <c r="F140" s="27"/>
      <c r="G140" s="27"/>
      <c r="H140" s="27"/>
      <c r="I140" s="27"/>
      <c r="J140" s="27"/>
      <c r="K140" s="27"/>
    </row>
    <row r="141" spans="1:11" x14ac:dyDescent="0.25">
      <c r="A141" s="191"/>
      <c r="B141" s="27"/>
      <c r="C141" s="27"/>
      <c r="D141" s="27"/>
      <c r="E141" s="27"/>
      <c r="F141" s="27"/>
      <c r="G141" s="27"/>
      <c r="H141" s="27"/>
      <c r="I141" s="27"/>
      <c r="J141" s="27"/>
      <c r="K141" s="27"/>
    </row>
    <row r="142" spans="1:11" x14ac:dyDescent="0.25">
      <c r="A142" s="191"/>
      <c r="B142" s="27"/>
      <c r="C142" s="27"/>
      <c r="D142" s="27"/>
      <c r="E142" s="27"/>
      <c r="F142" s="27"/>
      <c r="G142" s="27"/>
      <c r="H142" s="27"/>
      <c r="I142" s="27"/>
      <c r="J142" s="27"/>
      <c r="K142" s="27"/>
    </row>
    <row r="143" spans="1:11" x14ac:dyDescent="0.25">
      <c r="A143" s="191"/>
      <c r="B143" s="27"/>
      <c r="C143" s="27"/>
      <c r="D143" s="27"/>
      <c r="E143" s="27"/>
      <c r="F143" s="27"/>
      <c r="G143" s="27"/>
      <c r="H143" s="27"/>
      <c r="I143" s="27"/>
      <c r="J143" s="27"/>
      <c r="K143" s="27"/>
    </row>
    <row r="144" spans="1:11" x14ac:dyDescent="0.25">
      <c r="A144" s="191"/>
      <c r="B144" s="27"/>
      <c r="C144" s="27"/>
      <c r="D144" s="27"/>
      <c r="E144" s="27"/>
      <c r="F144" s="27"/>
      <c r="G144" s="27"/>
      <c r="H144" s="27"/>
      <c r="I144" s="27"/>
      <c r="J144" s="27"/>
      <c r="K144" s="27"/>
    </row>
    <row r="145" spans="1:11" x14ac:dyDescent="0.25">
      <c r="A145" s="191"/>
      <c r="B145" s="27"/>
      <c r="C145" s="27"/>
      <c r="D145" s="27"/>
      <c r="E145" s="27"/>
      <c r="F145" s="27"/>
      <c r="G145" s="27"/>
      <c r="H145" s="27"/>
      <c r="I145" s="27"/>
      <c r="J145" s="27"/>
      <c r="K145" s="27"/>
    </row>
    <row r="146" spans="1:11" x14ac:dyDescent="0.25">
      <c r="A146" s="191"/>
      <c r="B146" s="27"/>
      <c r="C146" s="27"/>
      <c r="D146" s="27"/>
      <c r="E146" s="27"/>
      <c r="F146" s="27"/>
      <c r="G146" s="27"/>
      <c r="H146" s="27"/>
      <c r="I146" s="27"/>
      <c r="J146" s="27"/>
      <c r="K146" s="27"/>
    </row>
    <row r="147" spans="1:11" x14ac:dyDescent="0.25">
      <c r="A147" s="191"/>
      <c r="B147" s="27"/>
      <c r="C147" s="27"/>
      <c r="D147" s="27"/>
      <c r="E147" s="27"/>
      <c r="F147" s="27"/>
      <c r="G147" s="27"/>
      <c r="H147" s="27"/>
      <c r="I147" s="27"/>
      <c r="J147" s="27"/>
      <c r="K147" s="27"/>
    </row>
    <row r="148" spans="1:11" x14ac:dyDescent="0.25">
      <c r="A148" s="191"/>
      <c r="B148" s="27"/>
      <c r="C148" s="27"/>
      <c r="D148" s="27"/>
      <c r="E148" s="27"/>
      <c r="F148" s="27"/>
      <c r="G148" s="27"/>
      <c r="H148" s="27"/>
      <c r="I148" s="27"/>
      <c r="J148" s="27"/>
      <c r="K148" s="27"/>
    </row>
    <row r="149" spans="1:11" x14ac:dyDescent="0.25">
      <c r="A149" s="191"/>
      <c r="B149" s="27"/>
      <c r="C149" s="27"/>
      <c r="D149" s="27"/>
      <c r="E149" s="27"/>
      <c r="F149" s="27"/>
      <c r="G149" s="27"/>
      <c r="H149" s="27"/>
      <c r="I149" s="27"/>
      <c r="J149" s="27"/>
      <c r="K149" s="27"/>
    </row>
    <row r="150" spans="1:11" x14ac:dyDescent="0.25">
      <c r="A150" s="191"/>
      <c r="B150" s="27"/>
      <c r="C150" s="27"/>
      <c r="D150" s="27"/>
      <c r="E150" s="27"/>
      <c r="F150" s="27"/>
      <c r="G150" s="27"/>
      <c r="H150" s="27"/>
      <c r="I150" s="27"/>
      <c r="J150" s="27"/>
      <c r="K150" s="27"/>
    </row>
    <row r="151" spans="1:11" x14ac:dyDescent="0.25">
      <c r="A151" s="191"/>
      <c r="B151" s="27"/>
      <c r="C151" s="27"/>
      <c r="D151" s="27"/>
      <c r="E151" s="27"/>
      <c r="F151" s="27"/>
      <c r="G151" s="27"/>
      <c r="H151" s="27"/>
      <c r="I151" s="27"/>
      <c r="J151" s="27"/>
      <c r="K151" s="27"/>
    </row>
    <row r="152" spans="1:11" x14ac:dyDescent="0.25">
      <c r="A152" s="191"/>
      <c r="B152" s="27"/>
      <c r="C152" s="27"/>
      <c r="D152" s="27"/>
      <c r="E152" s="27"/>
      <c r="F152" s="27"/>
      <c r="G152" s="27"/>
      <c r="H152" s="27"/>
      <c r="I152" s="27"/>
      <c r="J152" s="27"/>
      <c r="K152" s="27"/>
    </row>
    <row r="153" spans="1:11" x14ac:dyDescent="0.25">
      <c r="A153" s="191"/>
      <c r="B153" s="27"/>
      <c r="C153" s="27"/>
      <c r="D153" s="27"/>
      <c r="E153" s="27"/>
      <c r="F153" s="27"/>
      <c r="G153" s="27"/>
      <c r="H153" s="27"/>
      <c r="I153" s="27"/>
      <c r="J153" s="27"/>
      <c r="K153" s="27"/>
    </row>
    <row r="154" spans="1:11" x14ac:dyDescent="0.25">
      <c r="A154" s="191"/>
      <c r="B154" s="27"/>
      <c r="C154" s="27"/>
      <c r="D154" s="27"/>
      <c r="E154" s="27"/>
      <c r="F154" s="27"/>
      <c r="G154" s="27"/>
      <c r="H154" s="27"/>
      <c r="I154" s="27"/>
      <c r="J154" s="27"/>
      <c r="K154" s="27"/>
    </row>
    <row r="155" spans="1:11" x14ac:dyDescent="0.25">
      <c r="A155" s="191"/>
      <c r="B155" s="27"/>
      <c r="C155" s="27"/>
      <c r="D155" s="27"/>
      <c r="E155" s="27"/>
      <c r="F155" s="27"/>
      <c r="G155" s="27"/>
      <c r="H155" s="27"/>
      <c r="I155" s="27"/>
      <c r="J155" s="27"/>
      <c r="K155" s="27"/>
    </row>
    <row r="156" spans="1:11" x14ac:dyDescent="0.25">
      <c r="A156" s="191"/>
      <c r="B156" s="27"/>
      <c r="C156" s="27"/>
      <c r="D156" s="27"/>
      <c r="E156" s="27"/>
      <c r="F156" s="27"/>
      <c r="G156" s="27"/>
      <c r="H156" s="27"/>
      <c r="I156" s="27"/>
      <c r="J156" s="27"/>
      <c r="K156" s="27"/>
    </row>
    <row r="157" spans="1:11" x14ac:dyDescent="0.25">
      <c r="A157" s="191"/>
      <c r="B157" s="27"/>
      <c r="C157" s="27"/>
      <c r="D157" s="27"/>
      <c r="E157" s="27"/>
      <c r="F157" s="27"/>
      <c r="G157" s="27"/>
      <c r="H157" s="27"/>
      <c r="I157" s="27"/>
      <c r="J157" s="27"/>
      <c r="K157" s="27"/>
    </row>
    <row r="158" spans="1:11" x14ac:dyDescent="0.25">
      <c r="A158" s="191"/>
      <c r="B158" s="27"/>
      <c r="C158" s="27"/>
      <c r="D158" s="27"/>
      <c r="E158" s="27"/>
      <c r="F158" s="27"/>
      <c r="G158" s="27"/>
      <c r="H158" s="27"/>
      <c r="I158" s="27"/>
      <c r="J158" s="27"/>
      <c r="K158" s="27"/>
    </row>
    <row r="159" spans="1:11" x14ac:dyDescent="0.25">
      <c r="A159" s="191"/>
      <c r="B159" s="27"/>
      <c r="C159" s="27"/>
      <c r="D159" s="27"/>
      <c r="E159" s="27"/>
      <c r="F159" s="27"/>
      <c r="G159" s="27"/>
      <c r="H159" s="27"/>
      <c r="I159" s="27"/>
      <c r="J159" s="27"/>
      <c r="K159" s="27"/>
    </row>
    <row r="160" spans="1:11" x14ac:dyDescent="0.25">
      <c r="A160" s="191"/>
      <c r="B160" s="27"/>
      <c r="C160" s="27"/>
      <c r="D160" s="27"/>
      <c r="E160" s="27"/>
      <c r="F160" s="27"/>
      <c r="G160" s="27"/>
      <c r="H160" s="27"/>
      <c r="I160" s="27"/>
      <c r="J160" s="27"/>
      <c r="K160" s="27"/>
    </row>
    <row r="161" spans="1:11" x14ac:dyDescent="0.25">
      <c r="A161" s="191"/>
      <c r="B161" s="27"/>
      <c r="C161" s="27"/>
      <c r="D161" s="27"/>
      <c r="E161" s="27"/>
      <c r="F161" s="27"/>
      <c r="G161" s="27"/>
      <c r="H161" s="27"/>
      <c r="I161" s="27"/>
      <c r="J161" s="27"/>
      <c r="K161" s="27"/>
    </row>
    <row r="162" spans="1:11" x14ac:dyDescent="0.25">
      <c r="A162" s="191"/>
      <c r="B162" s="27"/>
      <c r="C162" s="27"/>
      <c r="D162" s="27"/>
      <c r="E162" s="27"/>
      <c r="F162" s="27"/>
      <c r="G162" s="27"/>
      <c r="H162" s="27"/>
      <c r="I162" s="27"/>
      <c r="J162" s="27"/>
      <c r="K162" s="27"/>
    </row>
    <row r="163" spans="1:11" x14ac:dyDescent="0.25">
      <c r="A163" s="191"/>
      <c r="B163" s="27"/>
      <c r="C163" s="27"/>
      <c r="D163" s="27"/>
      <c r="E163" s="27"/>
      <c r="F163" s="27"/>
      <c r="G163" s="27"/>
      <c r="H163" s="27"/>
      <c r="I163" s="27"/>
      <c r="J163" s="27"/>
      <c r="K163" s="27"/>
    </row>
    <row r="164" spans="1:11" x14ac:dyDescent="0.25">
      <c r="A164" s="191"/>
      <c r="B164" s="27"/>
      <c r="C164" s="27"/>
      <c r="D164" s="27"/>
      <c r="E164" s="27"/>
      <c r="F164" s="27"/>
      <c r="G164" s="27"/>
      <c r="H164" s="27"/>
      <c r="I164" s="27"/>
      <c r="J164" s="27"/>
      <c r="K164" s="27"/>
    </row>
    <row r="165" spans="1:11" x14ac:dyDescent="0.25">
      <c r="A165" s="191"/>
      <c r="B165" s="27"/>
      <c r="C165" s="27"/>
      <c r="D165" s="27"/>
      <c r="E165" s="27"/>
      <c r="F165" s="27"/>
      <c r="G165" s="27"/>
      <c r="H165" s="27"/>
      <c r="I165" s="27"/>
      <c r="J165" s="27"/>
      <c r="K165" s="27"/>
    </row>
    <row r="166" spans="1:11" x14ac:dyDescent="0.25">
      <c r="A166" s="191"/>
      <c r="B166" s="27"/>
      <c r="C166" s="27"/>
      <c r="D166" s="27"/>
      <c r="E166" s="27"/>
      <c r="F166" s="27"/>
      <c r="G166" s="27"/>
      <c r="H166" s="27"/>
      <c r="I166" s="27"/>
      <c r="J166" s="27"/>
      <c r="K166" s="27"/>
    </row>
    <row r="167" spans="1:11" x14ac:dyDescent="0.25">
      <c r="A167" s="191"/>
      <c r="B167" s="27"/>
      <c r="C167" s="27"/>
      <c r="D167" s="27"/>
      <c r="E167" s="27"/>
      <c r="F167" s="27"/>
      <c r="G167" s="27"/>
      <c r="H167" s="27"/>
      <c r="I167" s="27"/>
      <c r="J167" s="27"/>
      <c r="K167" s="27"/>
    </row>
    <row r="168" spans="1:11" x14ac:dyDescent="0.25">
      <c r="A168" s="191"/>
      <c r="B168" s="27"/>
      <c r="C168" s="27"/>
      <c r="D168" s="27"/>
      <c r="E168" s="27"/>
      <c r="F168" s="27"/>
      <c r="G168" s="27"/>
      <c r="H168" s="27"/>
      <c r="I168" s="27"/>
      <c r="J168" s="27"/>
      <c r="K168" s="27"/>
    </row>
    <row r="169" spans="1:11" x14ac:dyDescent="0.25">
      <c r="A169" s="191"/>
      <c r="B169" s="27"/>
      <c r="C169" s="27"/>
      <c r="D169" s="27"/>
      <c r="E169" s="27"/>
      <c r="F169" s="27"/>
      <c r="G169" s="27"/>
      <c r="H169" s="27"/>
      <c r="I169" s="27"/>
      <c r="J169" s="27"/>
      <c r="K169" s="27"/>
    </row>
    <row r="170" spans="1:11" x14ac:dyDescent="0.25">
      <c r="A170" s="191"/>
      <c r="B170" s="27"/>
      <c r="C170" s="27"/>
      <c r="D170" s="27"/>
      <c r="E170" s="27"/>
      <c r="F170" s="27"/>
      <c r="G170" s="27"/>
      <c r="H170" s="27"/>
      <c r="I170" s="27"/>
      <c r="J170" s="27"/>
      <c r="K170" s="27"/>
    </row>
    <row r="171" spans="1:11" x14ac:dyDescent="0.25">
      <c r="A171" s="191"/>
      <c r="B171" s="27"/>
      <c r="C171" s="27"/>
      <c r="D171" s="27"/>
      <c r="E171" s="27"/>
      <c r="F171" s="27"/>
      <c r="G171" s="27"/>
      <c r="H171" s="27"/>
      <c r="I171" s="27"/>
      <c r="J171" s="27"/>
      <c r="K171" s="27"/>
    </row>
    <row r="172" spans="1:11" x14ac:dyDescent="0.25">
      <c r="A172" s="191"/>
      <c r="B172" s="27"/>
      <c r="C172" s="27"/>
      <c r="D172" s="27"/>
      <c r="E172" s="27"/>
      <c r="F172" s="27"/>
      <c r="G172" s="27"/>
      <c r="H172" s="27"/>
      <c r="I172" s="27"/>
      <c r="J172" s="27"/>
      <c r="K172" s="27"/>
    </row>
    <row r="173" spans="1:11" x14ac:dyDescent="0.25">
      <c r="A173" s="191"/>
      <c r="B173" s="27"/>
      <c r="C173" s="27"/>
      <c r="D173" s="27"/>
      <c r="E173" s="27"/>
      <c r="F173" s="27"/>
      <c r="G173" s="27"/>
      <c r="H173" s="27"/>
      <c r="I173" s="27"/>
      <c r="J173" s="27"/>
      <c r="K173" s="27"/>
    </row>
    <row r="174" spans="1:11" x14ac:dyDescent="0.25">
      <c r="A174" s="191"/>
      <c r="B174" s="27"/>
      <c r="C174" s="27"/>
      <c r="D174" s="27"/>
      <c r="E174" s="27"/>
      <c r="F174" s="27"/>
      <c r="G174" s="27"/>
      <c r="H174" s="27"/>
      <c r="I174" s="27"/>
      <c r="J174" s="27"/>
      <c r="K174" s="27"/>
    </row>
    <row r="175" spans="1:11" x14ac:dyDescent="0.25">
      <c r="A175" s="191"/>
      <c r="B175" s="27"/>
      <c r="C175" s="27"/>
      <c r="D175" s="27"/>
      <c r="E175" s="27"/>
      <c r="F175" s="27"/>
      <c r="G175" s="27"/>
      <c r="H175" s="27"/>
      <c r="I175" s="27"/>
      <c r="J175" s="27"/>
      <c r="K175" s="27"/>
    </row>
    <row r="176" spans="1:11" x14ac:dyDescent="0.25">
      <c r="A176" s="191"/>
      <c r="B176" s="27"/>
      <c r="C176" s="27"/>
      <c r="D176" s="27"/>
      <c r="E176" s="27"/>
      <c r="F176" s="27"/>
      <c r="G176" s="27"/>
      <c r="H176" s="27"/>
      <c r="I176" s="27"/>
      <c r="J176" s="27"/>
      <c r="K176" s="27"/>
    </row>
    <row r="177" spans="1:11" x14ac:dyDescent="0.25">
      <c r="A177" s="191"/>
      <c r="B177" s="27"/>
      <c r="C177" s="27"/>
      <c r="D177" s="27"/>
      <c r="E177" s="27"/>
      <c r="F177" s="27"/>
      <c r="G177" s="27"/>
      <c r="H177" s="27"/>
      <c r="I177" s="27"/>
      <c r="J177" s="27"/>
      <c r="K177" s="27"/>
    </row>
    <row r="178" spans="1:11" x14ac:dyDescent="0.25">
      <c r="A178" s="191"/>
      <c r="B178" s="27"/>
      <c r="C178" s="27"/>
      <c r="D178" s="27"/>
      <c r="E178" s="27"/>
      <c r="F178" s="27"/>
      <c r="G178" s="27"/>
      <c r="H178" s="27"/>
      <c r="I178" s="27"/>
      <c r="J178" s="27"/>
      <c r="K178" s="27"/>
    </row>
    <row r="179" spans="1:11" x14ac:dyDescent="0.25">
      <c r="A179" s="191"/>
      <c r="B179" s="27"/>
      <c r="C179" s="27"/>
      <c r="D179" s="27"/>
      <c r="E179" s="27"/>
      <c r="F179" s="27"/>
      <c r="G179" s="27"/>
      <c r="H179" s="27"/>
      <c r="I179" s="27"/>
      <c r="J179" s="27"/>
      <c r="K179" s="27"/>
    </row>
    <row r="180" spans="1:11" x14ac:dyDescent="0.25">
      <c r="A180" s="191"/>
      <c r="B180" s="27"/>
      <c r="C180" s="27"/>
      <c r="D180" s="27"/>
      <c r="E180" s="27"/>
      <c r="F180" s="27"/>
      <c r="G180" s="27"/>
      <c r="H180" s="27"/>
      <c r="I180" s="27"/>
      <c r="J180" s="27"/>
      <c r="K180" s="27"/>
    </row>
    <row r="181" spans="1:11" x14ac:dyDescent="0.25">
      <c r="A181" s="191"/>
      <c r="B181" s="27"/>
      <c r="C181" s="27"/>
      <c r="D181" s="27"/>
      <c r="E181" s="27"/>
      <c r="F181" s="27"/>
      <c r="G181" s="27"/>
      <c r="H181" s="27"/>
      <c r="I181" s="27"/>
      <c r="J181" s="27"/>
      <c r="K181" s="27"/>
    </row>
    <row r="182" spans="1:11" x14ac:dyDescent="0.25">
      <c r="A182" s="191"/>
      <c r="B182" s="27"/>
      <c r="C182" s="27"/>
      <c r="D182" s="27"/>
      <c r="E182" s="27"/>
      <c r="F182" s="27"/>
      <c r="G182" s="27"/>
      <c r="H182" s="27"/>
      <c r="I182" s="27"/>
      <c r="J182" s="27"/>
      <c r="K182" s="27"/>
    </row>
    <row r="183" spans="1:11" x14ac:dyDescent="0.25">
      <c r="A183" s="191"/>
      <c r="B183" s="27"/>
      <c r="C183" s="27"/>
      <c r="D183" s="27"/>
      <c r="E183" s="27"/>
      <c r="F183" s="27"/>
      <c r="G183" s="27"/>
      <c r="H183" s="27"/>
      <c r="I183" s="27"/>
      <c r="J183" s="27"/>
      <c r="K183" s="27"/>
    </row>
    <row r="184" spans="1:11" x14ac:dyDescent="0.25">
      <c r="A184" s="191"/>
      <c r="B184" s="27"/>
      <c r="C184" s="27"/>
      <c r="D184" s="27"/>
      <c r="E184" s="27"/>
      <c r="F184" s="27"/>
      <c r="G184" s="27"/>
      <c r="H184" s="27"/>
      <c r="I184" s="27"/>
      <c r="J184" s="27"/>
      <c r="K184" s="27"/>
    </row>
    <row r="185" spans="1:11" x14ac:dyDescent="0.25">
      <c r="A185" s="191"/>
      <c r="B185" s="27"/>
      <c r="C185" s="27"/>
      <c r="D185" s="27"/>
      <c r="E185" s="27"/>
      <c r="F185" s="27"/>
      <c r="G185" s="27"/>
      <c r="H185" s="27"/>
      <c r="I185" s="27"/>
      <c r="J185" s="27"/>
      <c r="K185" s="27"/>
    </row>
    <row r="186" spans="1:11" x14ac:dyDescent="0.25">
      <c r="A186" s="191"/>
      <c r="B186" s="27"/>
      <c r="C186" s="27"/>
      <c r="D186" s="27"/>
      <c r="E186" s="27"/>
      <c r="F186" s="27"/>
      <c r="G186" s="27"/>
      <c r="H186" s="27"/>
      <c r="I186" s="27"/>
      <c r="J186" s="27"/>
      <c r="K186" s="27"/>
    </row>
    <row r="187" spans="1:11" x14ac:dyDescent="0.25">
      <c r="A187" s="191"/>
      <c r="B187" s="27"/>
      <c r="C187" s="27"/>
      <c r="D187" s="27"/>
      <c r="E187" s="27"/>
      <c r="F187" s="27"/>
      <c r="G187" s="27"/>
      <c r="H187" s="27"/>
      <c r="I187" s="27"/>
      <c r="J187" s="27"/>
      <c r="K187" s="27"/>
    </row>
    <row r="188" spans="1:11" x14ac:dyDescent="0.25">
      <c r="A188" s="191"/>
      <c r="B188" s="27"/>
      <c r="C188" s="27"/>
      <c r="D188" s="27"/>
      <c r="E188" s="27"/>
      <c r="F188" s="27"/>
      <c r="G188" s="27"/>
      <c r="H188" s="27"/>
      <c r="I188" s="27"/>
      <c r="J188" s="27"/>
      <c r="K188" s="27"/>
    </row>
    <row r="189" spans="1:11" x14ac:dyDescent="0.25">
      <c r="A189" s="191"/>
      <c r="B189" s="27"/>
      <c r="C189" s="27"/>
      <c r="D189" s="27"/>
      <c r="E189" s="27"/>
      <c r="F189" s="27"/>
      <c r="G189" s="27"/>
      <c r="H189" s="27"/>
      <c r="I189" s="27"/>
      <c r="J189" s="27"/>
      <c r="K189" s="27"/>
    </row>
  </sheetData>
  <sheetProtection algorithmName="SHA-512" hashValue="nr4TAWxjCIc7lQDT1ucAl93dtzkwQc7CpmUId//XaaC71aORxZO4yIX4N11/wqdBFPzEQS7tDts5vtD1mSqroQ==" saltValue="dvzwiDhxZmtglkfh5Kc6xw==" spinCount="100000" sheet="1" objects="1" scenarios="1"/>
  <mergeCells count="6">
    <mergeCell ref="N17:V17"/>
    <mergeCell ref="A5:J5"/>
    <mergeCell ref="M5:V5"/>
    <mergeCell ref="N16:V16"/>
    <mergeCell ref="A1:AC1"/>
    <mergeCell ref="A9:XFD9"/>
  </mergeCells>
  <conditionalFormatting sqref="N11:V11">
    <cfRule type="cellIs" dxfId="87" priority="6" operator="equal">
      <formula>$W$11</formula>
    </cfRule>
  </conditionalFormatting>
  <conditionalFormatting sqref="N12:V12">
    <cfRule type="cellIs" dxfId="86" priority="2" operator="equal">
      <formula>$W$12</formula>
    </cfRule>
    <cfRule type="cellIs" dxfId="85" priority="5" operator="equal">
      <formula>#REF!</formula>
    </cfRule>
  </conditionalFormatting>
  <conditionalFormatting sqref="N13:V13">
    <cfRule type="cellIs" dxfId="84" priority="1" operator="equal">
      <formula>$W$13</formula>
    </cfRule>
    <cfRule type="cellIs" dxfId="83" priority="3" operator="equal">
      <formula>#REF!</formula>
    </cfRule>
    <cfRule type="cellIs" dxfId="82" priority="4" operator="equal">
      <formula>#REF!</formula>
    </cfRule>
  </conditionalFormatting>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FA894B-C6D8-4D62-8C25-29E8415BEBB7}">
  <sheetPr codeName="Feuil37">
    <tabColor rgb="FF002060"/>
  </sheetPr>
  <dimension ref="A1:AC77"/>
  <sheetViews>
    <sheetView topLeftCell="A2" zoomScale="85" zoomScaleNormal="85" workbookViewId="0">
      <selection activeCell="H14" sqref="H14"/>
    </sheetView>
  </sheetViews>
  <sheetFormatPr baseColWidth="10" defaultRowHeight="15" x14ac:dyDescent="0.25"/>
  <cols>
    <col min="1" max="1" width="16.7109375" style="27" bestFit="1" customWidth="1"/>
    <col min="2" max="10" width="12.7109375" style="27" bestFit="1" customWidth="1"/>
    <col min="11" max="11" width="11" style="27" bestFit="1" customWidth="1"/>
    <col min="12" max="12" width="5.5703125" customWidth="1"/>
    <col min="13" max="13" width="19.28515625" bestFit="1" customWidth="1"/>
    <col min="14" max="22" width="12.7109375" style="134" bestFit="1" customWidth="1"/>
    <col min="23" max="23" width="10.7109375" style="134" customWidth="1"/>
    <col min="26" max="26" width="17.7109375" style="27" customWidth="1"/>
    <col min="27" max="27" width="8.7109375" style="27" customWidth="1"/>
    <col min="28" max="28" width="10.7109375" style="27" customWidth="1"/>
    <col min="29" max="29" width="9.7109375" style="27" customWidth="1"/>
  </cols>
  <sheetData>
    <row r="1" spans="1:29" ht="23.25" x14ac:dyDescent="0.35">
      <c r="A1" s="378" t="str">
        <f>Mesures_Four!G27</f>
        <v>535°C</v>
      </c>
      <c r="B1" s="379"/>
      <c r="C1" s="379"/>
      <c r="D1" s="379"/>
      <c r="E1" s="379"/>
      <c r="F1" s="379"/>
      <c r="G1" s="379"/>
      <c r="H1" s="379"/>
      <c r="I1" s="379"/>
      <c r="J1" s="379"/>
      <c r="K1" s="379"/>
      <c r="L1" s="379"/>
      <c r="M1" s="379"/>
      <c r="N1" s="379"/>
      <c r="O1" s="379"/>
      <c r="P1" s="379"/>
      <c r="Q1" s="379"/>
      <c r="R1" s="379"/>
      <c r="S1" s="379"/>
      <c r="T1" s="379"/>
      <c r="U1" s="379"/>
      <c r="V1" s="379"/>
      <c r="W1" s="379"/>
      <c r="X1" s="379"/>
      <c r="Y1" s="379"/>
      <c r="Z1" s="379"/>
      <c r="AA1" s="379"/>
      <c r="AB1" s="379"/>
      <c r="AC1" s="379"/>
    </row>
    <row r="2" spans="1:29" x14ac:dyDescent="0.25">
      <c r="A2" s="145"/>
      <c r="B2" s="134"/>
      <c r="C2" s="134"/>
      <c r="D2" s="134"/>
      <c r="E2" s="134"/>
      <c r="F2" s="134"/>
      <c r="G2" s="134"/>
      <c r="H2" s="134"/>
      <c r="I2" s="134"/>
      <c r="J2" s="134"/>
      <c r="M2" s="211" t="s">
        <v>87</v>
      </c>
      <c r="N2" s="44">
        <f>_xlfn.XLOOKUP(INT(SUBSTITUTE(N6,"Connecteur ", "")),Mesures_Four!C40:C48,Mesures_Four!G40:G48)</f>
        <v>0</v>
      </c>
      <c r="O2" s="44">
        <f>_xlfn.XLOOKUP(INT(SUBSTITUTE(O6,"Connecteur ", "")),Mesures_Four!C40:C48,Mesures_Four!G40:G48)</f>
        <v>0</v>
      </c>
      <c r="P2" s="44">
        <f>_xlfn.XLOOKUP(INT(SUBSTITUTE(P6,"Connecteur ", "")),Mesures_Four!C40:C48,Mesures_Four!G40:G48)</f>
        <v>0</v>
      </c>
      <c r="Q2" s="44">
        <f>_xlfn.XLOOKUP(INT(SUBSTITUTE(Q6,"Connecteur ", "")),Mesures_Four!C40:C48,Mesures_Four!G40:G48)</f>
        <v>0</v>
      </c>
      <c r="R2" s="44">
        <f>_xlfn.XLOOKUP(INT(SUBSTITUTE(R6,"Connecteur ", "")),Mesures_Four!C40:C48,Mesures_Four!G40:G48)</f>
        <v>0</v>
      </c>
      <c r="S2" s="44">
        <f>_xlfn.XLOOKUP(INT(SUBSTITUTE(S6,"Connecteur ", "")),Mesures_Four!C40:C48,Mesures_Four!G40:G48)</f>
        <v>0</v>
      </c>
      <c r="T2" s="44">
        <f>_xlfn.XLOOKUP(INT(SUBSTITUTE(T6,"Connecteur ", "")),Mesures_Four!C40:C48,Mesures_Four!G40:G48)</f>
        <v>0</v>
      </c>
      <c r="U2" s="44">
        <f>_xlfn.XLOOKUP(INT(SUBSTITUTE(U6,"Connecteur ", "")),Mesures_Four!C40:C48,Mesures_Four!G40:G48)</f>
        <v>0</v>
      </c>
      <c r="V2" s="44">
        <f>_xlfn.XLOOKUP(INT(SUBSTITUTE(V6,"Connecteur ", "")),Mesures_Four!C40:C48,Mesures_Four!G40:G48)</f>
        <v>0</v>
      </c>
      <c r="W2" s="210"/>
      <c r="X2" s="210"/>
      <c r="Y2" s="158"/>
    </row>
    <row r="3" spans="1:29" x14ac:dyDescent="0.25">
      <c r="B3" s="134"/>
      <c r="C3" s="134"/>
      <c r="D3" s="134"/>
      <c r="E3" s="134"/>
      <c r="F3" s="134"/>
      <c r="G3" s="134"/>
      <c r="H3" s="134"/>
      <c r="I3" s="134"/>
      <c r="J3" s="134"/>
      <c r="M3" s="211" t="s">
        <v>23</v>
      </c>
      <c r="N3" s="44" t="e" cm="1">
        <f t="array" ref="N3">_xlfn.XLOOKUP(INT(SUBSTITUTE(N6,"Connecteur ", "")),INT(Mesures_Four!B28:B36),Mesures_Four!G28:G36)</f>
        <v>#N/A</v>
      </c>
      <c r="O3" s="44" t="e" cm="1">
        <f t="array" ref="O3">_xlfn.XLOOKUP(INT(SUBSTITUTE(O6,"Connecteur ", "")),INT(Mesures_Four!B28:B36),Mesures_Four!G28:G36)</f>
        <v>#N/A</v>
      </c>
      <c r="P3" s="44" t="e" cm="1">
        <f t="array" ref="P3">_xlfn.XLOOKUP(INT(SUBSTITUTE(P6,"Connecteur ", "")),INT(Mesures_Four!B28:B36),Mesures_Four!G28:G36)</f>
        <v>#N/A</v>
      </c>
      <c r="Q3" s="44" t="e" cm="1">
        <f t="array" ref="Q3">_xlfn.XLOOKUP(INT(SUBSTITUTE(Q6,"Connecteur ", "")),INT(Mesures_Four!B28:B36),Mesures_Four!G28:G36)</f>
        <v>#N/A</v>
      </c>
      <c r="R3" s="44" t="e" cm="1">
        <f t="array" ref="R3">_xlfn.XLOOKUP(INT(SUBSTITUTE(R6,"Connecteur ", "")),INT(Mesures_Four!B28:B36),Mesures_Four!G28:G36)</f>
        <v>#N/A</v>
      </c>
      <c r="S3" s="44" t="e" cm="1">
        <f t="array" ref="S3">_xlfn.XLOOKUP(INT(SUBSTITUTE(S6,"Connecteur ", "")),INT(Mesures_Four!B28:B36),Mesures_Four!G28:G36)</f>
        <v>#N/A</v>
      </c>
      <c r="T3" s="44" t="e" cm="1">
        <f t="array" ref="T3">_xlfn.XLOOKUP(INT(SUBSTITUTE(T6,"Connecteur ", "")),INT(Mesures_Four!B28:B36),Mesures_Four!G28:G36)</f>
        <v>#N/A</v>
      </c>
      <c r="U3" s="44" t="e" cm="1">
        <f t="array" ref="U3">_xlfn.XLOOKUP(INT(SUBSTITUTE(U6,"Connecteur ", "")),INT(Mesures_Four!B28:B36),Mesures_Four!G28:G36)</f>
        <v>#N/A</v>
      </c>
      <c r="V3" s="44" t="e" cm="1">
        <f t="array" ref="V3">_xlfn.XLOOKUP(INT(SUBSTITUTE(V6,"Connecteur ", "")),INT(Mesures_Four!B28:B36),Mesures_Four!G28:G36)</f>
        <v>#N/A</v>
      </c>
      <c r="W3" s="210"/>
      <c r="X3" s="158"/>
      <c r="Y3" s="158"/>
    </row>
    <row r="4" spans="1:29" x14ac:dyDescent="0.25">
      <c r="B4" s="134"/>
      <c r="C4" s="134"/>
      <c r="D4" s="134"/>
      <c r="E4" s="134"/>
      <c r="F4" s="134"/>
      <c r="G4" s="134"/>
      <c r="H4" s="134"/>
      <c r="I4" s="134"/>
      <c r="J4" s="134"/>
      <c r="M4" s="23"/>
      <c r="N4" s="210"/>
      <c r="O4" s="210"/>
      <c r="P4" s="210"/>
      <c r="Q4" s="210"/>
      <c r="R4" s="210"/>
      <c r="S4" s="210"/>
      <c r="T4" s="210"/>
      <c r="U4" s="210"/>
      <c r="V4" s="210"/>
      <c r="W4" s="210"/>
      <c r="X4" s="158"/>
      <c r="Y4" s="158"/>
    </row>
    <row r="5" spans="1:29" x14ac:dyDescent="0.25">
      <c r="A5" s="375" t="s">
        <v>329</v>
      </c>
      <c r="B5" s="375"/>
      <c r="C5" s="375"/>
      <c r="D5" s="375"/>
      <c r="E5" s="375"/>
      <c r="F5" s="375"/>
      <c r="G5" s="375"/>
      <c r="H5" s="375"/>
      <c r="I5" s="375"/>
      <c r="J5" s="375"/>
      <c r="M5" s="375" t="s">
        <v>88</v>
      </c>
      <c r="N5" s="375"/>
      <c r="O5" s="375"/>
      <c r="P5" s="375"/>
      <c r="Q5" s="375"/>
      <c r="R5" s="375"/>
      <c r="S5" s="375"/>
      <c r="T5" s="375"/>
      <c r="U5" s="375"/>
      <c r="V5" s="375"/>
      <c r="AA5"/>
      <c r="AB5"/>
      <c r="AC5"/>
    </row>
    <row r="6" spans="1:29" x14ac:dyDescent="0.25">
      <c r="A6" s="214" t="str" cm="1">
        <f t="array" ref="A6:J7">tab_transfert535[#All]</f>
        <v>Date/Heure</v>
      </c>
      <c r="B6" s="201" t="str">
        <v>Connecteur 1</v>
      </c>
      <c r="C6" s="201" t="str">
        <v>Connecteur 2</v>
      </c>
      <c r="D6" s="201" t="str">
        <v>Connecteur 3</v>
      </c>
      <c r="E6" s="201" t="str">
        <v>Connecteur 4</v>
      </c>
      <c r="F6" s="201" t="str">
        <v>Connecteur 5</v>
      </c>
      <c r="G6" s="201" t="str">
        <v>Connecteur 6</v>
      </c>
      <c r="H6" s="201" t="str">
        <v>Connecteur 7</v>
      </c>
      <c r="I6" s="201" t="str">
        <v>Connecteur 8</v>
      </c>
      <c r="J6" s="201" t="str">
        <v>Connecteur 9</v>
      </c>
      <c r="K6" s="201" t="s">
        <v>328</v>
      </c>
      <c r="M6" s="27"/>
      <c r="N6" s="201" t="str" cm="1">
        <f t="array" ref="N6:V6">tab_transfert535[[#Headers],[Connecteur 1]:[Connecteur 9]]</f>
        <v>Connecteur 1</v>
      </c>
      <c r="O6" s="215" t="str">
        <v>Connecteur 2</v>
      </c>
      <c r="P6" s="215" t="str">
        <v>Connecteur 3</v>
      </c>
      <c r="Q6" s="215" t="str">
        <v>Connecteur 4</v>
      </c>
      <c r="R6" s="215" t="str">
        <v>Connecteur 5</v>
      </c>
      <c r="S6" s="215" t="str">
        <v>Connecteur 6</v>
      </c>
      <c r="T6" s="215" t="str">
        <v>Connecteur 7</v>
      </c>
      <c r="U6" s="215" t="str">
        <v>Connecteur 8</v>
      </c>
      <c r="V6" s="215" t="str">
        <v>Connecteur 9</v>
      </c>
      <c r="W6" s="201" t="str" cm="1">
        <f t="array" ref="W6:W7">tab_four535[[#All],[Consigne T°]]</f>
        <v>Consigne T°</v>
      </c>
      <c r="Z6" s="201" t="str" cm="1">
        <f t="array" ref="Z6:AC7">tab_four535[[#All],[Date/Heure]:[Pt Chaud]]</f>
        <v>Date/Heure</v>
      </c>
      <c r="AA6" s="201" t="str">
        <v>Pt Froid</v>
      </c>
      <c r="AB6" s="201" t="str">
        <v>Regulation</v>
      </c>
      <c r="AC6" s="201" t="str">
        <v>Pt Chaud</v>
      </c>
    </row>
    <row r="7" spans="1:29" ht="14.45" customHeight="1" x14ac:dyDescent="0.25">
      <c r="A7" s="23">
        <v>0</v>
      </c>
      <c r="B7">
        <v>0</v>
      </c>
      <c r="C7">
        <v>0</v>
      </c>
      <c r="D7">
        <v>0</v>
      </c>
      <c r="E7">
        <v>0</v>
      </c>
      <c r="F7">
        <v>0</v>
      </c>
      <c r="G7">
        <v>0</v>
      </c>
      <c r="H7">
        <v>0</v>
      </c>
      <c r="I7">
        <v>0</v>
      </c>
      <c r="J7">
        <v>0</v>
      </c>
      <c r="K7" s="216"/>
      <c r="M7" s="328" t="s">
        <v>327</v>
      </c>
      <c r="N7" s="205" t="e" cm="1">
        <f t="array" ref="N7:V7">tab_transfert535[[Connecteur 1]:[Connecteur 9]]+N2:V2+N3:V3</f>
        <v>#N/A</v>
      </c>
      <c r="O7" s="205" t="e">
        <v>#N/A</v>
      </c>
      <c r="P7" s="205" t="e">
        <v>#N/A</v>
      </c>
      <c r="Q7" s="205" t="e">
        <v>#N/A</v>
      </c>
      <c r="R7" s="205" t="e">
        <v>#N/A</v>
      </c>
      <c r="S7" s="205" t="e">
        <v>#N/A</v>
      </c>
      <c r="T7" s="205" t="e">
        <v>#N/A</v>
      </c>
      <c r="U7" s="205" t="e">
        <v>#N/A</v>
      </c>
      <c r="V7" s="205" t="e">
        <v>#N/A</v>
      </c>
      <c r="W7" s="213">
        <v>0</v>
      </c>
      <c r="Z7" s="23">
        <v>0</v>
      </c>
      <c r="AA7">
        <v>0</v>
      </c>
      <c r="AB7">
        <v>0</v>
      </c>
      <c r="AC7">
        <v>0</v>
      </c>
    </row>
    <row r="8" spans="1:29" ht="14.45" customHeight="1" x14ac:dyDescent="0.25">
      <c r="A8" s="23"/>
      <c r="B8"/>
      <c r="C8"/>
      <c r="D8"/>
      <c r="E8"/>
      <c r="F8"/>
      <c r="G8"/>
      <c r="H8"/>
      <c r="I8"/>
      <c r="J8"/>
      <c r="K8" s="216"/>
      <c r="M8" s="327" t="s">
        <v>326</v>
      </c>
      <c r="N8" s="203"/>
      <c r="O8" s="203"/>
      <c r="P8" s="203"/>
      <c r="Q8" s="203"/>
      <c r="R8" s="203"/>
      <c r="S8" s="203"/>
      <c r="T8" s="203"/>
      <c r="U8" s="203"/>
      <c r="V8" s="203"/>
      <c r="W8" s="203"/>
      <c r="Z8" s="23"/>
      <c r="AA8"/>
      <c r="AB8"/>
      <c r="AC8"/>
    </row>
    <row r="9" spans="1:29" s="377" customFormat="1" ht="14.45" customHeight="1" x14ac:dyDescent="0.25"/>
    <row r="10" spans="1:29" ht="14.45" customHeight="1" x14ac:dyDescent="0.25">
      <c r="A10" s="23"/>
      <c r="B10"/>
      <c r="C10"/>
      <c r="D10"/>
      <c r="E10"/>
      <c r="F10"/>
      <c r="G10"/>
      <c r="H10"/>
      <c r="I10"/>
      <c r="J10"/>
      <c r="K10" s="216"/>
      <c r="M10" s="145"/>
      <c r="N10" s="145"/>
      <c r="O10" s="145"/>
      <c r="P10" s="145"/>
      <c r="Q10" s="145"/>
      <c r="R10" s="145"/>
      <c r="S10" s="145"/>
      <c r="T10" s="145"/>
      <c r="U10" s="145"/>
      <c r="V10" s="145"/>
      <c r="W10" s="145"/>
      <c r="Z10" s="23"/>
      <c r="AA10"/>
      <c r="AB10"/>
      <c r="AC10"/>
    </row>
    <row r="11" spans="1:29" ht="14.45" customHeight="1" x14ac:dyDescent="0.25">
      <c r="A11" s="23"/>
      <c r="B11"/>
      <c r="C11"/>
      <c r="D11"/>
      <c r="E11"/>
      <c r="F11"/>
      <c r="G11"/>
      <c r="H11"/>
      <c r="I11"/>
      <c r="J11"/>
      <c r="K11" s="216"/>
      <c r="M11" s="91" t="s">
        <v>90</v>
      </c>
      <c r="N11" s="217" t="e">
        <f>MAX(tab_transfert535[Connecteur 1])+N$2+N$3</f>
        <v>#N/A</v>
      </c>
      <c r="O11" s="217" t="e">
        <f>MAX(tab_transfert535[Connecteur 2])+O$2+O$3</f>
        <v>#N/A</v>
      </c>
      <c r="P11" s="217" t="e">
        <f>MAX(tab_transfert535[Connecteur 3])+P$2+P$3</f>
        <v>#N/A</v>
      </c>
      <c r="Q11" s="217" t="e">
        <f>MAX(tab_transfert535[Connecteur 4])+Q$2+Q$3</f>
        <v>#N/A</v>
      </c>
      <c r="R11" s="217" t="e">
        <f>MAX(tab_transfert535[Connecteur 5])+R$2+R$3</f>
        <v>#N/A</v>
      </c>
      <c r="S11" s="217" t="e">
        <f>MAX(tab_transfert535[Connecteur 6])+S$2+S$3</f>
        <v>#N/A</v>
      </c>
      <c r="T11" s="217" t="e">
        <f>MAX(tab_transfert535[Connecteur 7])+T$2+T$3</f>
        <v>#N/A</v>
      </c>
      <c r="U11" s="217" t="e">
        <f>MAX(tab_transfert535[Connecteur 8])+U$2+U$3</f>
        <v>#N/A</v>
      </c>
      <c r="V11" s="217" t="e">
        <f>MAX(tab_transfert535[Connecteur 9])+V$2+V$3</f>
        <v>#N/A</v>
      </c>
      <c r="W11" s="200" t="e">
        <f>MAX(N11:V11)</f>
        <v>#N/A</v>
      </c>
      <c r="AA11" s="201" t="str" cm="1">
        <f t="array" ref="AA11:AC11">AA6:AC6</f>
        <v>Pt Froid</v>
      </c>
      <c r="AB11" s="201" t="str">
        <v>Regulation</v>
      </c>
      <c r="AC11" s="201" t="str">
        <v>Pt Chaud</v>
      </c>
    </row>
    <row r="12" spans="1:29" ht="14.45" customHeight="1" x14ac:dyDescent="0.25">
      <c r="A12" s="23"/>
      <c r="B12"/>
      <c r="C12"/>
      <c r="D12"/>
      <c r="E12"/>
      <c r="F12"/>
      <c r="G12"/>
      <c r="H12"/>
      <c r="I12"/>
      <c r="J12"/>
      <c r="K12" s="216"/>
      <c r="M12" s="91" t="s">
        <v>91</v>
      </c>
      <c r="N12" s="217" t="e">
        <f ca="1">MAX(OFFSET(INDEX(tab_transfert535[Connecteur 1],1),COUNT(tab_transfert535[Connecteur 1])-30,0,30))+N$2+N$3</f>
        <v>#REF!</v>
      </c>
      <c r="O12" s="217" t="e">
        <f ca="1">MAX(OFFSET(INDEX(tab_transfert535[Connecteur 2],1),COUNT(tab_transfert535[Connecteur 2])-30,0,30))+O$2+O$3</f>
        <v>#REF!</v>
      </c>
      <c r="P12" s="217" t="e">
        <f ca="1">MAX(OFFSET(INDEX(tab_transfert535[Connecteur 3],1),COUNT(tab_transfert535[Connecteur 3])-30,0,30))+P$2+P$3</f>
        <v>#REF!</v>
      </c>
      <c r="Q12" s="217" t="e">
        <f ca="1">MAX(OFFSET(INDEX(tab_transfert535[Connecteur 4],1),COUNT(tab_transfert535[Connecteur 4])-30,0,30))+Q$2+Q$3</f>
        <v>#REF!</v>
      </c>
      <c r="R12" s="217" t="e">
        <f ca="1">MAX(OFFSET(INDEX(tab_transfert535[Connecteur 5],1),COUNT(tab_transfert535[Connecteur 5])-30,0,30))+R$2+R$3</f>
        <v>#REF!</v>
      </c>
      <c r="S12" s="217" t="e">
        <f ca="1">MAX(OFFSET(INDEX(tab_transfert535[Connecteur 6],1),COUNT(tab_transfert535[Connecteur 6])-30,0,30))+S$2+S$3</f>
        <v>#REF!</v>
      </c>
      <c r="T12" s="217" t="e">
        <f ca="1">MAX(OFFSET(INDEX(tab_transfert535[Connecteur 7],1),COUNT(tab_transfert535[Connecteur 7])-30,0,30))+T$2+T$3</f>
        <v>#REF!</v>
      </c>
      <c r="U12" s="217" t="e">
        <f ca="1">MAX(OFFSET(INDEX(tab_transfert535[Connecteur 8],1),COUNT(tab_transfert535[Connecteur 8])-30,0,30))+U$2+U$3</f>
        <v>#REF!</v>
      </c>
      <c r="V12" s="217" t="e">
        <f ca="1">MAX(OFFSET(INDEX(tab_transfert535[Connecteur 9],1),COUNT(tab_transfert535[Connecteur 9])-30,0,30))+V$2+V$3</f>
        <v>#REF!</v>
      </c>
      <c r="W12" s="200" t="e">
        <f ca="1">MAX(N12:V12)</f>
        <v>#REF!</v>
      </c>
      <c r="Z12" s="197" t="s">
        <v>90</v>
      </c>
      <c r="AA12" s="43">
        <f>MAX(tab_four535[Pt Froid])</f>
        <v>0</v>
      </c>
      <c r="AB12" s="43">
        <f>MAX(tab_four535[Regulation])</f>
        <v>0</v>
      </c>
      <c r="AC12" s="43">
        <f>MAX(tab_four535[Pt Chaud])</f>
        <v>0</v>
      </c>
    </row>
    <row r="13" spans="1:29" ht="14.45" customHeight="1" x14ac:dyDescent="0.25">
      <c r="A13" s="23"/>
      <c r="B13"/>
      <c r="C13"/>
      <c r="D13"/>
      <c r="E13"/>
      <c r="F13"/>
      <c r="G13"/>
      <c r="H13"/>
      <c r="I13"/>
      <c r="J13"/>
      <c r="K13" s="216"/>
      <c r="M13" s="91" t="s">
        <v>93</v>
      </c>
      <c r="N13" s="217" t="e">
        <f ca="1">MIN(OFFSET(INDEX(tab_transfert535[Connecteur 1],1),COUNT(tab_transfert535[Connecteur 1])-30,0,30))+N$2+N$3</f>
        <v>#REF!</v>
      </c>
      <c r="O13" s="217" t="e">
        <f ca="1">MIN(OFFSET(INDEX(tab_transfert535[Connecteur 2],1),COUNT(tab_transfert535[Connecteur 2])-30,0,30))+O$2+O$3</f>
        <v>#REF!</v>
      </c>
      <c r="P13" s="217" t="e">
        <f ca="1">MIN(OFFSET(INDEX(tab_transfert535[Connecteur 3],1),COUNT(tab_transfert535[Connecteur 3])-30,0,30))+P$2+P$3</f>
        <v>#REF!</v>
      </c>
      <c r="Q13" s="217" t="e">
        <f ca="1">MIN(OFFSET(INDEX(tab_transfert535[Connecteur 4],1),COUNT(tab_transfert535[Connecteur 4])-30,0,30))+Q$2+Q$3</f>
        <v>#REF!</v>
      </c>
      <c r="R13" s="217" t="e">
        <f ca="1">MIN(OFFSET(INDEX(tab_transfert535[Connecteur 5],1),COUNT(tab_transfert535[Connecteur 5])-30,0,30))+R$2+R$3</f>
        <v>#REF!</v>
      </c>
      <c r="S13" s="217" t="e">
        <f ca="1">MIN(OFFSET(INDEX(tab_transfert535[Connecteur 6],1),COUNT(tab_transfert535[Connecteur 6])-30,0,30))+S$2+S$3</f>
        <v>#REF!</v>
      </c>
      <c r="T13" s="217" t="e">
        <f ca="1">MIN(OFFSET(INDEX(tab_transfert535[Connecteur 7],1),COUNT(tab_transfert535[Connecteur 7])-30,0,30))+T$2+T$3</f>
        <v>#REF!</v>
      </c>
      <c r="U13" s="217" t="e">
        <f ca="1">MIN(OFFSET(INDEX(tab_transfert535[Connecteur 8],1),COUNT(tab_transfert535[Connecteur 8])-30,0,30))+U$2+U$3</f>
        <v>#REF!</v>
      </c>
      <c r="V13" s="217" t="e">
        <f ca="1">MIN(OFFSET(INDEX(tab_transfert535[Connecteur 9],1),COUNT(tab_transfert535[Connecteur 9])-30,0,30))+V$2+V$3</f>
        <v>#REF!</v>
      </c>
      <c r="W13" s="200" t="e">
        <f ca="1">MIN(N13:V13)</f>
        <v>#REF!</v>
      </c>
      <c r="Z13" s="197" t="s">
        <v>91</v>
      </c>
      <c r="AA13" s="43" t="e">
        <f ca="1">MAX(OFFSET(INDEX(tab_four535[Pt Froid],1),COUNT(tab_four535[Pt Froid])-30,0,30))</f>
        <v>#REF!</v>
      </c>
      <c r="AB13" s="43" t="e">
        <f ca="1">MAX(OFFSET(INDEX(tab_four535[Regulation],1),COUNT(tab_four535[Regulation])-30,0,30))</f>
        <v>#REF!</v>
      </c>
      <c r="AC13" s="43" t="e">
        <f ca="1">MAX(OFFSET(INDEX(tab_four535[Pt Chaud],1),COUNT(tab_four535[Pt Chaud])-30,0,30))</f>
        <v>#REF!</v>
      </c>
    </row>
    <row r="14" spans="1:29" ht="14.45" customHeight="1" x14ac:dyDescent="0.25">
      <c r="A14" s="23"/>
      <c r="B14"/>
      <c r="C14"/>
      <c r="D14"/>
      <c r="E14"/>
      <c r="F14"/>
      <c r="G14"/>
      <c r="H14"/>
      <c r="I14"/>
      <c r="J14"/>
      <c r="K14" s="216"/>
      <c r="M14" s="91" t="s">
        <v>95</v>
      </c>
      <c r="N14" s="217" t="e">
        <f ca="1">AVERAGE(OFFSET(INDEX(tab_transfert535[Connecteur 1],1),COUNT(tab_transfert535[Connecteur 1])-30,0,30))+N$2+N$3</f>
        <v>#REF!</v>
      </c>
      <c r="O14" s="217" t="e">
        <f ca="1">AVERAGE(OFFSET(INDEX(tab_transfert535[Connecteur 2],1),COUNT(tab_transfert535[Connecteur 2])-30,0,30))+O$2+O$3</f>
        <v>#REF!</v>
      </c>
      <c r="P14" s="217" t="e">
        <f ca="1">AVERAGE(OFFSET(INDEX(tab_transfert535[Connecteur 3],1),COUNT(tab_transfert535[Connecteur 3])-30,0,30))+P$2+P$3</f>
        <v>#REF!</v>
      </c>
      <c r="Q14" s="217" t="e">
        <f ca="1">AVERAGE(OFFSET(INDEX(tab_transfert535[Connecteur 4],1),COUNT(tab_transfert535[Connecteur 4])-30,0,30))+Q$2+Q$3</f>
        <v>#REF!</v>
      </c>
      <c r="R14" s="217" t="e">
        <f ca="1">AVERAGE(OFFSET(INDEX(tab_transfert535[Connecteur 5],1),COUNT(tab_transfert535[Connecteur 5])-30,0,30))+R$2+R$3</f>
        <v>#REF!</v>
      </c>
      <c r="S14" s="217" t="e">
        <f ca="1">AVERAGE(OFFSET(INDEX(tab_transfert535[Connecteur 6],1),COUNT(tab_transfert535[Connecteur 6])-30,0,30))+S$2+S$3</f>
        <v>#REF!</v>
      </c>
      <c r="T14" s="217" t="e">
        <f ca="1">AVERAGE(OFFSET(INDEX(tab_transfert535[Connecteur 7],1),COUNT(tab_transfert535[Connecteur 7])-30,0,30))+T$2+T$3</f>
        <v>#REF!</v>
      </c>
      <c r="U14" s="217" t="e">
        <f ca="1">AVERAGE(OFFSET(INDEX(tab_transfert535[Connecteur 8],1),COUNT(tab_transfert535[Connecteur 8])-30,0,30))+U$2+U$3</f>
        <v>#REF!</v>
      </c>
      <c r="V14" s="217" t="e">
        <f ca="1">AVERAGE(OFFSET(INDEX(tab_transfert535[Connecteur 9],1),COUNT(tab_transfert535[Connecteur 9])-30,0,30))+V$2+V$3</f>
        <v>#REF!</v>
      </c>
      <c r="Z14" s="197" t="s">
        <v>93</v>
      </c>
      <c r="AA14" s="43" t="e">
        <f ca="1">MIN(OFFSET(INDEX(tab_four535[Pt Froid],1),COUNT(tab_four535[Pt Froid])-30,0,30))</f>
        <v>#REF!</v>
      </c>
      <c r="AB14" s="43" t="e">
        <f ca="1">MIN(OFFSET(INDEX(tab_four535[Regulation],1),COUNT(tab_four535[Regulation])-30,0,30))</f>
        <v>#REF!</v>
      </c>
      <c r="AC14" s="43" t="e">
        <f ca="1">MIN(OFFSET(INDEX(tab_four535[Pt Chaud],1),COUNT(tab_four535[Pt Chaud])-30,0,30))</f>
        <v>#REF!</v>
      </c>
    </row>
    <row r="15" spans="1:29" ht="14.45" customHeight="1" x14ac:dyDescent="0.25">
      <c r="A15" s="23"/>
      <c r="B15"/>
      <c r="C15"/>
      <c r="D15"/>
      <c r="E15"/>
      <c r="F15"/>
      <c r="G15"/>
      <c r="H15"/>
      <c r="I15"/>
      <c r="J15"/>
      <c r="K15" s="216"/>
      <c r="M15" s="91" t="s">
        <v>96</v>
      </c>
      <c r="N15" s="217" t="e">
        <f ca="1">N12-N13</f>
        <v>#REF!</v>
      </c>
      <c r="O15" s="217" t="e">
        <f t="shared" ref="O15:V15" ca="1" si="0">O12-O13</f>
        <v>#REF!</v>
      </c>
      <c r="P15" s="217" t="e">
        <f t="shared" ca="1" si="0"/>
        <v>#REF!</v>
      </c>
      <c r="Q15" s="217" t="e">
        <f t="shared" ca="1" si="0"/>
        <v>#REF!</v>
      </c>
      <c r="R15" s="217" t="e">
        <f t="shared" ca="1" si="0"/>
        <v>#REF!</v>
      </c>
      <c r="S15" s="217" t="e">
        <f t="shared" ca="1" si="0"/>
        <v>#REF!</v>
      </c>
      <c r="T15" s="217" t="e">
        <f t="shared" ca="1" si="0"/>
        <v>#REF!</v>
      </c>
      <c r="U15" s="217" t="e">
        <f t="shared" ca="1" si="0"/>
        <v>#REF!</v>
      </c>
      <c r="V15" s="217" t="e">
        <f t="shared" ca="1" si="0"/>
        <v>#REF!</v>
      </c>
      <c r="Z15" s="197" t="s">
        <v>95</v>
      </c>
      <c r="AA15" s="43" t="e">
        <f ca="1">AVERAGE(OFFSET(INDEX(tab_four535[Pt Froid],1),COUNT(tab_four535[Pt Froid])-30,0,30))</f>
        <v>#REF!</v>
      </c>
      <c r="AB15" s="43" t="e">
        <f ca="1">AVERAGE(OFFSET(INDEX(tab_four535[Regulation],1),COUNT(tab_four535[Regulation])-30,0,30))</f>
        <v>#REF!</v>
      </c>
      <c r="AC15" s="43" t="e">
        <f ca="1">AVERAGE(OFFSET(INDEX(tab_four535[Pt Chaud],1),COUNT(tab_four535[Pt Chaud])-30,0,30))</f>
        <v>#REF!</v>
      </c>
    </row>
    <row r="16" spans="1:29" ht="14.45" customHeight="1" x14ac:dyDescent="0.25">
      <c r="A16" s="23"/>
      <c r="B16"/>
      <c r="C16"/>
      <c r="D16"/>
      <c r="E16"/>
      <c r="F16"/>
      <c r="G16"/>
      <c r="H16"/>
      <c r="I16"/>
      <c r="J16"/>
      <c r="K16" s="216"/>
      <c r="M16" s="91" t="s">
        <v>97</v>
      </c>
      <c r="N16" s="376" t="e">
        <f ca="1">ABS(MAX(N12:V12) - MIN(N13:V13))</f>
        <v>#REF!</v>
      </c>
      <c r="O16" s="376"/>
      <c r="P16" s="376"/>
      <c r="Q16" s="376"/>
      <c r="R16" s="376"/>
      <c r="S16" s="376"/>
      <c r="T16" s="376"/>
      <c r="U16" s="376"/>
      <c r="V16" s="376"/>
      <c r="W16" s="134" t="e">
        <f ca="1">N16</f>
        <v>#REF!</v>
      </c>
      <c r="Z16" s="23"/>
      <c r="AA16"/>
      <c r="AB16"/>
      <c r="AC16"/>
    </row>
    <row r="17" spans="1:29" ht="14.45" customHeight="1" x14ac:dyDescent="0.25">
      <c r="A17" s="23"/>
      <c r="B17"/>
      <c r="C17"/>
      <c r="D17"/>
      <c r="E17"/>
      <c r="F17"/>
      <c r="G17"/>
      <c r="H17"/>
      <c r="I17"/>
      <c r="J17"/>
      <c r="K17" s="216"/>
      <c r="M17" s="91" t="s">
        <v>98</v>
      </c>
      <c r="N17" s="376" t="e">
        <f ca="1">AVERAGE(N14:V14)</f>
        <v>#REF!</v>
      </c>
      <c r="O17" s="376"/>
      <c r="P17" s="376"/>
      <c r="Q17" s="376"/>
      <c r="R17" s="376"/>
      <c r="S17" s="376"/>
      <c r="T17" s="376"/>
      <c r="U17" s="376"/>
      <c r="V17" s="376"/>
      <c r="W17" s="134" t="e">
        <f ca="1">N17</f>
        <v>#REF!</v>
      </c>
      <c r="Z17" s="23"/>
      <c r="AA17"/>
      <c r="AB17"/>
      <c r="AC17"/>
    </row>
    <row r="18" spans="1:29" ht="14.45" customHeight="1" x14ac:dyDescent="0.25">
      <c r="A18" s="23"/>
      <c r="B18"/>
      <c r="C18"/>
      <c r="D18"/>
      <c r="E18"/>
      <c r="F18"/>
      <c r="G18"/>
      <c r="H18"/>
      <c r="I18"/>
      <c r="J18"/>
      <c r="K18" s="216"/>
      <c r="M18" s="196" t="s">
        <v>325</v>
      </c>
      <c r="N18" s="43" t="str" cm="1">
        <f t="array" ref="N18:V18">tab_transfert535[[#Headers],[Connecteur 1]:[Connecteur 9]]</f>
        <v>Connecteur 1</v>
      </c>
      <c r="O18" s="43" t="str">
        <v>Connecteur 2</v>
      </c>
      <c r="P18" s="43" t="str">
        <v>Connecteur 3</v>
      </c>
      <c r="Q18" s="43" t="str">
        <v>Connecteur 4</v>
      </c>
      <c r="R18" s="43" t="str">
        <v>Connecteur 5</v>
      </c>
      <c r="S18" s="43" t="str">
        <v>Connecteur 6</v>
      </c>
      <c r="T18" s="43" t="str">
        <v>Connecteur 7</v>
      </c>
      <c r="U18" s="43" t="str">
        <v>Connecteur 8</v>
      </c>
      <c r="V18" s="43" t="str">
        <v>Connecteur 9</v>
      </c>
      <c r="Z18" s="23"/>
      <c r="AA18"/>
      <c r="AB18"/>
      <c r="AC18"/>
    </row>
    <row r="19" spans="1:29" ht="14.45" customHeight="1" x14ac:dyDescent="0.25">
      <c r="A19" s="23"/>
      <c r="B19"/>
      <c r="C19"/>
      <c r="D19"/>
      <c r="E19"/>
      <c r="F19"/>
      <c r="G19"/>
      <c r="H19"/>
      <c r="I19"/>
      <c r="J19"/>
      <c r="K19" s="216"/>
      <c r="M19" s="193" t="s">
        <v>324</v>
      </c>
      <c r="N19" s="218" t="e">
        <f ca="1">_xlfn.STDEV.S(OFFSET(INDEX(tab_transfert535[Connecteur 1],1),COUNT(tab_transfert535[Connecteur 1])-30,0,30))</f>
        <v>#REF!</v>
      </c>
      <c r="O19" s="218" t="e">
        <f ca="1">_xlfn.STDEV.S(OFFSET(INDEX(tab_transfert535[Connecteur 2],1),COUNT(tab_transfert535[Connecteur 2])-30,0,30))</f>
        <v>#REF!</v>
      </c>
      <c r="P19" s="218" t="e">
        <f ca="1">_xlfn.STDEV.S(OFFSET(INDEX(tab_transfert535[Connecteur 3],1),COUNT(tab_transfert535[Connecteur 3])-30,0,30))</f>
        <v>#REF!</v>
      </c>
      <c r="Q19" s="218" t="e">
        <f ca="1">_xlfn.STDEV.S(OFFSET(INDEX(tab_transfert535[Connecteur 4],1),COUNT(tab_transfert535[Connecteur 4])-30,0,30))</f>
        <v>#REF!</v>
      </c>
      <c r="R19" s="218" t="e">
        <f ca="1">_xlfn.STDEV.S(OFFSET(INDEX(tab_transfert535[Connecteur 5],1),COUNT(tab_transfert535[Connecteur 5])-30,0,30))</f>
        <v>#REF!</v>
      </c>
      <c r="S19" s="218" t="e">
        <f ca="1">_xlfn.STDEV.S(OFFSET(INDEX(tab_transfert535[Connecteur 6],1),COUNT(tab_transfert535[Connecteur 6])-30,0,30))</f>
        <v>#REF!</v>
      </c>
      <c r="T19" s="218" t="e">
        <f ca="1">_xlfn.STDEV.S(OFFSET(INDEX(tab_transfert535[Connecteur 7],1),COUNT(tab_transfert535[Connecteur 7])-30,0,30))</f>
        <v>#REF!</v>
      </c>
      <c r="U19" s="218" t="e">
        <f ca="1">_xlfn.STDEV.S(OFFSET(INDEX(tab_transfert535[Connecteur 8],1),COUNT(tab_transfert535[Connecteur 8])-30,0,30))</f>
        <v>#REF!</v>
      </c>
      <c r="V19" s="218" t="e">
        <f ca="1">_xlfn.STDEV.S(OFFSET(INDEX(tab_transfert535[Connecteur 9],1),COUNT(tab_transfert535[Connecteur 9])-30,0,30))</f>
        <v>#REF!</v>
      </c>
      <c r="W19" s="194" t="e">
        <f ca="1">MAX(N19:V19)</f>
        <v>#REF!</v>
      </c>
      <c r="Z19" s="23"/>
      <c r="AA19"/>
      <c r="AB19"/>
      <c r="AC19"/>
    </row>
    <row r="20" spans="1:29" ht="14.45" customHeight="1" x14ac:dyDescent="0.25">
      <c r="A20" s="23"/>
      <c r="B20"/>
      <c r="C20"/>
      <c r="D20"/>
      <c r="E20"/>
      <c r="F20"/>
      <c r="G20"/>
      <c r="H20"/>
      <c r="I20"/>
      <c r="J20"/>
      <c r="K20" s="216"/>
      <c r="Z20" s="23"/>
      <c r="AA20"/>
      <c r="AB20"/>
      <c r="AC20"/>
    </row>
    <row r="21" spans="1:29" ht="14.45" customHeight="1" x14ac:dyDescent="0.25">
      <c r="A21" s="23"/>
      <c r="B21"/>
      <c r="C21"/>
      <c r="D21"/>
      <c r="E21"/>
      <c r="F21"/>
      <c r="G21"/>
      <c r="H21"/>
      <c r="I21"/>
      <c r="J21"/>
      <c r="K21" s="216"/>
      <c r="M21" s="193" t="s">
        <v>323</v>
      </c>
      <c r="N21" s="192" t="e">
        <f ca="1">W12-(OFFSET(INDEX(tab_four535[Consigne T°],1),COUNT(tab_four535[Consigne T°])-30,0,1))</f>
        <v>#REF!</v>
      </c>
      <c r="Z21" s="23"/>
      <c r="AA21"/>
      <c r="AB21"/>
      <c r="AC21"/>
    </row>
    <row r="22" spans="1:29" ht="14.45" customHeight="1" x14ac:dyDescent="0.25">
      <c r="A22" s="23"/>
      <c r="B22"/>
      <c r="C22"/>
      <c r="D22"/>
      <c r="E22"/>
      <c r="F22"/>
      <c r="G22"/>
      <c r="H22"/>
      <c r="I22"/>
      <c r="J22"/>
      <c r="K22" s="216"/>
      <c r="M22" s="193" t="s">
        <v>322</v>
      </c>
      <c r="N22" s="192" t="e">
        <f ca="1">W13-(OFFSET(INDEX(tab_four535[Consigne T°],1),COUNT(tab_four535[Consigne T°])-30,0,1))</f>
        <v>#REF!</v>
      </c>
      <c r="Z22" s="23"/>
      <c r="AA22"/>
      <c r="AB22"/>
      <c r="AC22"/>
    </row>
    <row r="23" spans="1:29" ht="14.45" customHeight="1" x14ac:dyDescent="0.25">
      <c r="A23" s="23"/>
      <c r="B23"/>
      <c r="C23"/>
      <c r="D23"/>
      <c r="E23"/>
      <c r="F23"/>
      <c r="G23"/>
      <c r="H23"/>
      <c r="I23"/>
      <c r="J23"/>
      <c r="K23" s="216"/>
      <c r="Z23" s="23"/>
      <c r="AA23"/>
      <c r="AB23"/>
      <c r="AC23"/>
    </row>
    <row r="24" spans="1:29" ht="14.45" customHeight="1" x14ac:dyDescent="0.25">
      <c r="A24" s="23"/>
      <c r="B24"/>
      <c r="C24"/>
      <c r="D24"/>
      <c r="E24"/>
      <c r="F24"/>
      <c r="G24"/>
      <c r="H24"/>
      <c r="I24"/>
      <c r="J24"/>
      <c r="K24" s="216"/>
      <c r="Z24" s="23"/>
      <c r="AA24"/>
      <c r="AB24"/>
      <c r="AC24"/>
    </row>
    <row r="25" spans="1:29" ht="14.45" customHeight="1" x14ac:dyDescent="0.25">
      <c r="A25" s="23"/>
      <c r="B25"/>
      <c r="C25"/>
      <c r="D25"/>
      <c r="E25"/>
      <c r="F25"/>
      <c r="G25"/>
      <c r="H25"/>
      <c r="I25"/>
      <c r="J25"/>
      <c r="K25" s="216"/>
      <c r="Z25" s="23"/>
      <c r="AA25"/>
      <c r="AB25"/>
      <c r="AC25"/>
    </row>
    <row r="26" spans="1:29" ht="14.45" customHeight="1" x14ac:dyDescent="0.25">
      <c r="A26" s="23"/>
      <c r="B26"/>
      <c r="C26"/>
      <c r="D26"/>
      <c r="E26"/>
      <c r="F26"/>
      <c r="G26"/>
      <c r="H26"/>
      <c r="I26"/>
      <c r="J26"/>
      <c r="K26" s="216"/>
      <c r="Z26" s="23"/>
      <c r="AA26"/>
      <c r="AB26"/>
      <c r="AC26"/>
    </row>
    <row r="27" spans="1:29" ht="14.45" customHeight="1" x14ac:dyDescent="0.25">
      <c r="A27" s="23"/>
      <c r="B27"/>
      <c r="C27"/>
      <c r="D27"/>
      <c r="E27"/>
      <c r="F27"/>
      <c r="G27"/>
      <c r="H27"/>
      <c r="I27"/>
      <c r="J27"/>
      <c r="K27" s="216"/>
      <c r="Z27" s="23"/>
      <c r="AA27"/>
      <c r="AB27"/>
      <c r="AC27"/>
    </row>
    <row r="28" spans="1:29" ht="14.45" customHeight="1" x14ac:dyDescent="0.25">
      <c r="A28" s="23"/>
      <c r="B28"/>
      <c r="C28"/>
      <c r="D28"/>
      <c r="E28"/>
      <c r="F28"/>
      <c r="G28"/>
      <c r="H28"/>
      <c r="I28"/>
      <c r="J28"/>
      <c r="K28" s="216"/>
      <c r="Z28" s="23"/>
      <c r="AA28"/>
      <c r="AB28"/>
      <c r="AC28"/>
    </row>
    <row r="29" spans="1:29" ht="14.45" customHeight="1" x14ac:dyDescent="0.25">
      <c r="A29" s="23"/>
      <c r="B29"/>
      <c r="C29"/>
      <c r="D29"/>
      <c r="E29"/>
      <c r="F29"/>
      <c r="G29"/>
      <c r="H29"/>
      <c r="I29"/>
      <c r="J29"/>
      <c r="K29" s="216"/>
      <c r="Z29" s="23"/>
      <c r="AA29"/>
      <c r="AB29"/>
      <c r="AC29"/>
    </row>
    <row r="30" spans="1:29" ht="14.45" customHeight="1" x14ac:dyDescent="0.25">
      <c r="A30" s="23"/>
      <c r="B30"/>
      <c r="C30"/>
      <c r="D30"/>
      <c r="E30"/>
      <c r="F30"/>
      <c r="G30"/>
      <c r="H30"/>
      <c r="I30"/>
      <c r="J30"/>
      <c r="K30" s="216"/>
      <c r="Z30" s="23"/>
      <c r="AA30"/>
      <c r="AB30"/>
      <c r="AC30"/>
    </row>
    <row r="31" spans="1:29" ht="14.45" customHeight="1" x14ac:dyDescent="0.25">
      <c r="A31" s="23"/>
      <c r="B31"/>
      <c r="C31"/>
      <c r="D31"/>
      <c r="E31"/>
      <c r="F31"/>
      <c r="G31"/>
      <c r="H31"/>
      <c r="I31"/>
      <c r="J31"/>
      <c r="K31" s="216"/>
      <c r="Z31" s="23"/>
      <c r="AA31"/>
      <c r="AB31"/>
      <c r="AC31"/>
    </row>
    <row r="32" spans="1:29" ht="14.45" customHeight="1" x14ac:dyDescent="0.25">
      <c r="A32" s="23"/>
      <c r="B32"/>
      <c r="C32"/>
      <c r="D32"/>
      <c r="E32"/>
      <c r="F32"/>
      <c r="G32"/>
      <c r="H32"/>
      <c r="I32"/>
      <c r="J32"/>
      <c r="K32" s="216"/>
      <c r="Z32" s="23"/>
      <c r="AA32"/>
      <c r="AB32"/>
      <c r="AC32"/>
    </row>
    <row r="33" spans="1:29" ht="14.45" customHeight="1" x14ac:dyDescent="0.25">
      <c r="A33" s="23"/>
      <c r="B33"/>
      <c r="C33"/>
      <c r="D33"/>
      <c r="E33"/>
      <c r="F33"/>
      <c r="G33"/>
      <c r="H33"/>
      <c r="I33"/>
      <c r="J33"/>
      <c r="K33" s="216"/>
      <c r="Z33" s="23"/>
      <c r="AA33"/>
      <c r="AB33"/>
      <c r="AC33"/>
    </row>
    <row r="34" spans="1:29" ht="14.45" customHeight="1" x14ac:dyDescent="0.25">
      <c r="A34" s="23"/>
      <c r="B34"/>
      <c r="C34"/>
      <c r="D34"/>
      <c r="E34"/>
      <c r="F34"/>
      <c r="G34"/>
      <c r="H34"/>
      <c r="I34"/>
      <c r="J34"/>
      <c r="K34" s="216"/>
      <c r="Z34" s="23"/>
      <c r="AA34"/>
      <c r="AB34"/>
      <c r="AC34"/>
    </row>
    <row r="35" spans="1:29" ht="14.45" customHeight="1" x14ac:dyDescent="0.25">
      <c r="A35" s="23"/>
      <c r="B35"/>
      <c r="C35"/>
      <c r="D35"/>
      <c r="E35"/>
      <c r="F35"/>
      <c r="G35"/>
      <c r="H35"/>
      <c r="I35"/>
      <c r="J35"/>
      <c r="K35" s="216"/>
      <c r="Z35" s="23"/>
      <c r="AA35"/>
      <c r="AB35"/>
      <c r="AC35"/>
    </row>
    <row r="36" spans="1:29" ht="14.45" customHeight="1" x14ac:dyDescent="0.25">
      <c r="A36" s="23"/>
      <c r="B36"/>
      <c r="C36"/>
      <c r="D36"/>
      <c r="E36"/>
      <c r="F36"/>
      <c r="G36"/>
      <c r="H36"/>
      <c r="I36"/>
      <c r="J36"/>
      <c r="K36" s="216"/>
      <c r="Z36" s="23"/>
      <c r="AA36"/>
      <c r="AB36"/>
      <c r="AC36"/>
    </row>
    <row r="37" spans="1:29" ht="14.45" customHeight="1" x14ac:dyDescent="0.25">
      <c r="A37" s="23"/>
      <c r="B37"/>
      <c r="C37"/>
      <c r="D37"/>
      <c r="E37"/>
      <c r="F37"/>
      <c r="G37"/>
      <c r="H37"/>
      <c r="I37"/>
      <c r="J37"/>
      <c r="K37" s="216"/>
      <c r="Z37" s="23"/>
      <c r="AA37"/>
      <c r="AB37"/>
      <c r="AC37"/>
    </row>
    <row r="38" spans="1:29" ht="14.45" customHeight="1" x14ac:dyDescent="0.25">
      <c r="A38" s="23"/>
      <c r="B38"/>
      <c r="C38"/>
      <c r="D38"/>
      <c r="E38"/>
      <c r="F38"/>
      <c r="G38"/>
      <c r="H38"/>
      <c r="I38"/>
      <c r="J38"/>
      <c r="K38" s="216"/>
      <c r="Z38" s="23"/>
      <c r="AA38"/>
      <c r="AB38"/>
      <c r="AC38"/>
    </row>
    <row r="39" spans="1:29" ht="14.45" customHeight="1" x14ac:dyDescent="0.25">
      <c r="A39" s="23"/>
      <c r="B39"/>
      <c r="C39"/>
      <c r="D39"/>
      <c r="E39"/>
      <c r="F39"/>
      <c r="G39"/>
      <c r="H39"/>
      <c r="I39"/>
      <c r="J39"/>
      <c r="K39" s="216"/>
      <c r="Z39" s="23"/>
      <c r="AA39"/>
      <c r="AB39"/>
      <c r="AC39"/>
    </row>
    <row r="40" spans="1:29" ht="14.45" customHeight="1" x14ac:dyDescent="0.25">
      <c r="A40" s="23"/>
      <c r="B40"/>
      <c r="C40"/>
      <c r="D40"/>
      <c r="E40"/>
      <c r="F40"/>
      <c r="G40"/>
      <c r="H40"/>
      <c r="I40"/>
      <c r="J40"/>
      <c r="K40" s="216"/>
      <c r="Z40" s="23"/>
      <c r="AA40"/>
      <c r="AB40"/>
      <c r="AC40"/>
    </row>
    <row r="41" spans="1:29" ht="14.45" customHeight="1" x14ac:dyDescent="0.25">
      <c r="A41" s="23"/>
      <c r="B41"/>
      <c r="C41"/>
      <c r="D41"/>
      <c r="E41"/>
      <c r="F41"/>
      <c r="G41"/>
      <c r="H41"/>
      <c r="I41"/>
      <c r="J41"/>
      <c r="K41" s="216"/>
      <c r="Z41" s="23"/>
      <c r="AA41"/>
      <c r="AB41"/>
      <c r="AC41"/>
    </row>
    <row r="42" spans="1:29" ht="14.45" customHeight="1" x14ac:dyDescent="0.25">
      <c r="A42" s="23"/>
      <c r="B42"/>
      <c r="C42"/>
      <c r="D42"/>
      <c r="E42"/>
      <c r="F42"/>
      <c r="G42"/>
      <c r="H42"/>
      <c r="I42"/>
      <c r="J42"/>
      <c r="K42" s="216"/>
      <c r="Z42" s="23"/>
      <c r="AA42"/>
      <c r="AB42"/>
      <c r="AC42"/>
    </row>
    <row r="43" spans="1:29" ht="14.45" customHeight="1" x14ac:dyDescent="0.25">
      <c r="A43" s="23"/>
      <c r="B43"/>
      <c r="C43"/>
      <c r="D43"/>
      <c r="E43"/>
      <c r="F43"/>
      <c r="G43"/>
      <c r="H43"/>
      <c r="I43"/>
      <c r="J43"/>
      <c r="K43" s="216"/>
      <c r="Z43" s="23"/>
      <c r="AA43"/>
      <c r="AB43"/>
      <c r="AC43"/>
    </row>
    <row r="44" spans="1:29" ht="14.45" customHeight="1" x14ac:dyDescent="0.25">
      <c r="A44" s="23"/>
      <c r="B44"/>
      <c r="C44"/>
      <c r="D44"/>
      <c r="E44"/>
      <c r="F44"/>
      <c r="G44"/>
      <c r="H44"/>
      <c r="I44"/>
      <c r="J44"/>
      <c r="K44" s="216"/>
      <c r="Z44" s="23"/>
      <c r="AA44"/>
      <c r="AB44"/>
      <c r="AC44"/>
    </row>
    <row r="45" spans="1:29" ht="14.45" customHeight="1" x14ac:dyDescent="0.25">
      <c r="A45" s="23"/>
      <c r="B45"/>
      <c r="C45"/>
      <c r="D45"/>
      <c r="E45"/>
      <c r="F45"/>
      <c r="G45"/>
      <c r="H45"/>
      <c r="I45"/>
      <c r="J45"/>
      <c r="K45" s="216"/>
      <c r="Z45" s="23"/>
      <c r="AA45"/>
      <c r="AB45"/>
      <c r="AC45"/>
    </row>
    <row r="46" spans="1:29" ht="14.45" customHeight="1" x14ac:dyDescent="0.25">
      <c r="A46" s="23"/>
      <c r="B46"/>
      <c r="C46"/>
      <c r="D46"/>
      <c r="E46"/>
      <c r="F46"/>
      <c r="G46"/>
      <c r="H46"/>
      <c r="I46"/>
      <c r="J46"/>
      <c r="K46" s="216"/>
      <c r="Z46" s="23"/>
      <c r="AA46"/>
      <c r="AB46"/>
      <c r="AC46"/>
    </row>
    <row r="47" spans="1:29" ht="14.45" customHeight="1" x14ac:dyDescent="0.25">
      <c r="A47" s="23"/>
      <c r="B47"/>
      <c r="C47"/>
      <c r="D47"/>
      <c r="E47"/>
      <c r="F47"/>
      <c r="G47"/>
      <c r="H47"/>
      <c r="I47"/>
      <c r="J47"/>
      <c r="K47" s="216"/>
      <c r="Z47" s="23"/>
      <c r="AA47"/>
      <c r="AB47"/>
      <c r="AC47"/>
    </row>
    <row r="48" spans="1:29" ht="14.45" customHeight="1" x14ac:dyDescent="0.25">
      <c r="A48" s="23"/>
      <c r="B48"/>
      <c r="C48"/>
      <c r="D48"/>
      <c r="E48"/>
      <c r="F48"/>
      <c r="G48"/>
      <c r="H48"/>
      <c r="I48"/>
      <c r="J48"/>
      <c r="K48" s="216"/>
      <c r="Z48" s="23"/>
      <c r="AA48"/>
      <c r="AB48"/>
      <c r="AC48"/>
    </row>
    <row r="49" spans="1:29" ht="14.45" customHeight="1" x14ac:dyDescent="0.25">
      <c r="A49" s="23"/>
      <c r="B49"/>
      <c r="C49"/>
      <c r="D49"/>
      <c r="E49"/>
      <c r="F49"/>
      <c r="G49"/>
      <c r="H49"/>
      <c r="I49"/>
      <c r="J49"/>
      <c r="K49" s="216"/>
      <c r="Z49" s="23"/>
      <c r="AA49"/>
      <c r="AB49"/>
      <c r="AC49"/>
    </row>
    <row r="50" spans="1:29" ht="14.45" customHeight="1" x14ac:dyDescent="0.25">
      <c r="A50" s="23"/>
      <c r="B50"/>
      <c r="C50"/>
      <c r="D50"/>
      <c r="E50"/>
      <c r="F50"/>
      <c r="G50"/>
      <c r="H50"/>
      <c r="I50"/>
      <c r="J50"/>
      <c r="K50" s="216"/>
      <c r="Z50" s="23"/>
      <c r="AA50"/>
      <c r="AB50"/>
      <c r="AC50"/>
    </row>
    <row r="51" spans="1:29" ht="14.45" customHeight="1" x14ac:dyDescent="0.25">
      <c r="A51" s="23"/>
      <c r="B51"/>
      <c r="C51"/>
      <c r="D51"/>
      <c r="E51"/>
      <c r="F51"/>
      <c r="G51"/>
      <c r="H51"/>
      <c r="I51"/>
      <c r="J51"/>
      <c r="K51" s="216"/>
      <c r="Z51" s="23"/>
      <c r="AA51"/>
      <c r="AB51"/>
      <c r="AC51"/>
    </row>
    <row r="52" spans="1:29" ht="14.45" customHeight="1" x14ac:dyDescent="0.25">
      <c r="A52" s="23"/>
      <c r="B52"/>
      <c r="C52"/>
      <c r="D52"/>
      <c r="E52"/>
      <c r="F52"/>
      <c r="G52"/>
      <c r="H52"/>
      <c r="I52"/>
      <c r="J52"/>
      <c r="K52" s="216"/>
      <c r="Z52" s="23"/>
      <c r="AA52"/>
      <c r="AB52"/>
      <c r="AC52"/>
    </row>
    <row r="53" spans="1:29" ht="14.45" customHeight="1" x14ac:dyDescent="0.25">
      <c r="A53" s="23"/>
      <c r="B53"/>
      <c r="C53"/>
      <c r="D53"/>
      <c r="E53"/>
      <c r="F53"/>
      <c r="G53"/>
      <c r="H53"/>
      <c r="I53"/>
      <c r="J53"/>
      <c r="K53" s="216"/>
      <c r="Z53" s="23"/>
      <c r="AA53"/>
      <c r="AB53"/>
      <c r="AC53"/>
    </row>
    <row r="54" spans="1:29" ht="14.45" customHeight="1" x14ac:dyDescent="0.25">
      <c r="A54" s="23"/>
      <c r="B54"/>
      <c r="C54"/>
      <c r="D54"/>
      <c r="E54"/>
      <c r="F54"/>
      <c r="G54"/>
      <c r="H54"/>
      <c r="I54"/>
      <c r="J54"/>
      <c r="K54" s="216"/>
      <c r="Z54" s="23"/>
      <c r="AA54"/>
      <c r="AB54"/>
      <c r="AC54"/>
    </row>
    <row r="55" spans="1:29" ht="14.45" customHeight="1" x14ac:dyDescent="0.25">
      <c r="A55" s="23"/>
      <c r="B55"/>
      <c r="C55"/>
      <c r="D55"/>
      <c r="E55"/>
      <c r="F55"/>
      <c r="G55"/>
      <c r="H55"/>
      <c r="I55"/>
      <c r="J55"/>
      <c r="K55" s="216"/>
      <c r="Z55" s="23"/>
      <c r="AA55"/>
      <c r="AB55"/>
      <c r="AC55"/>
    </row>
    <row r="56" spans="1:29" ht="14.45" customHeight="1" x14ac:dyDescent="0.25">
      <c r="A56" s="23"/>
      <c r="B56"/>
      <c r="C56"/>
      <c r="D56"/>
      <c r="E56"/>
      <c r="F56"/>
      <c r="G56"/>
      <c r="H56"/>
      <c r="I56"/>
      <c r="J56"/>
      <c r="K56" s="216"/>
      <c r="Z56" s="23"/>
      <c r="AA56"/>
      <c r="AB56"/>
      <c r="AC56"/>
    </row>
    <row r="57" spans="1:29" ht="14.45" customHeight="1" x14ac:dyDescent="0.25">
      <c r="A57" s="23"/>
      <c r="B57"/>
      <c r="C57"/>
      <c r="D57"/>
      <c r="E57"/>
      <c r="F57"/>
      <c r="G57"/>
      <c r="H57"/>
      <c r="I57"/>
      <c r="J57"/>
      <c r="K57" s="216"/>
      <c r="Z57" s="23"/>
      <c r="AA57"/>
      <c r="AB57"/>
      <c r="AC57"/>
    </row>
    <row r="58" spans="1:29" ht="14.45" customHeight="1" x14ac:dyDescent="0.25">
      <c r="A58" s="23"/>
      <c r="B58"/>
      <c r="C58"/>
      <c r="D58"/>
      <c r="E58"/>
      <c r="F58"/>
      <c r="G58"/>
      <c r="H58"/>
      <c r="I58"/>
      <c r="J58"/>
      <c r="K58" s="216"/>
      <c r="Z58" s="23"/>
      <c r="AA58"/>
      <c r="AB58"/>
      <c r="AC58"/>
    </row>
    <row r="59" spans="1:29" ht="14.45" customHeight="1" x14ac:dyDescent="0.25">
      <c r="A59" s="23"/>
      <c r="B59"/>
      <c r="C59"/>
      <c r="D59"/>
      <c r="E59"/>
      <c r="F59"/>
      <c r="G59"/>
      <c r="H59"/>
      <c r="I59"/>
      <c r="J59"/>
      <c r="K59" s="216"/>
      <c r="Z59" s="23"/>
      <c r="AA59"/>
      <c r="AB59"/>
      <c r="AC59"/>
    </row>
    <row r="60" spans="1:29" ht="14.45" customHeight="1" x14ac:dyDescent="0.25">
      <c r="A60" s="23"/>
      <c r="B60"/>
      <c r="C60"/>
      <c r="D60"/>
      <c r="E60"/>
      <c r="F60"/>
      <c r="G60"/>
      <c r="H60"/>
      <c r="I60"/>
      <c r="J60"/>
      <c r="K60" s="216"/>
      <c r="Z60" s="23"/>
      <c r="AA60"/>
      <c r="AB60"/>
      <c r="AC60"/>
    </row>
    <row r="61" spans="1:29" ht="14.45" customHeight="1" x14ac:dyDescent="0.25">
      <c r="A61" s="23"/>
      <c r="B61"/>
      <c r="C61"/>
      <c r="D61"/>
      <c r="E61"/>
      <c r="F61"/>
      <c r="G61"/>
      <c r="H61"/>
      <c r="I61"/>
      <c r="J61"/>
      <c r="K61" s="216"/>
      <c r="Z61" s="23"/>
      <c r="AA61"/>
      <c r="AB61"/>
      <c r="AC61"/>
    </row>
    <row r="62" spans="1:29" ht="14.45" customHeight="1" x14ac:dyDescent="0.25">
      <c r="A62" s="23"/>
      <c r="B62"/>
      <c r="C62"/>
      <c r="D62"/>
      <c r="E62"/>
      <c r="F62"/>
      <c r="G62"/>
      <c r="H62"/>
      <c r="I62"/>
      <c r="J62"/>
      <c r="K62" s="216"/>
      <c r="Z62" s="23"/>
      <c r="AA62"/>
      <c r="AB62"/>
      <c r="AC62"/>
    </row>
    <row r="63" spans="1:29" ht="14.45" customHeight="1" x14ac:dyDescent="0.25">
      <c r="A63" s="23"/>
      <c r="B63"/>
      <c r="C63"/>
      <c r="D63"/>
      <c r="E63"/>
      <c r="F63"/>
      <c r="G63"/>
      <c r="H63"/>
      <c r="I63"/>
      <c r="J63"/>
      <c r="K63" s="216"/>
      <c r="Z63" s="23"/>
      <c r="AA63"/>
      <c r="AB63"/>
      <c r="AC63"/>
    </row>
    <row r="64" spans="1:29" ht="14.45" customHeight="1" x14ac:dyDescent="0.25">
      <c r="A64" s="23"/>
      <c r="B64"/>
      <c r="C64"/>
      <c r="D64"/>
      <c r="E64"/>
      <c r="F64"/>
      <c r="G64"/>
      <c r="H64"/>
      <c r="I64"/>
      <c r="J64"/>
      <c r="K64" s="216"/>
      <c r="Z64" s="23"/>
      <c r="AA64"/>
      <c r="AB64"/>
      <c r="AC64"/>
    </row>
    <row r="65" spans="1:29" ht="14.45" customHeight="1" x14ac:dyDescent="0.25">
      <c r="A65" s="23"/>
      <c r="B65"/>
      <c r="C65"/>
      <c r="D65"/>
      <c r="E65"/>
      <c r="F65"/>
      <c r="G65"/>
      <c r="H65"/>
      <c r="I65"/>
      <c r="J65"/>
      <c r="K65" s="216"/>
      <c r="Z65" s="23"/>
      <c r="AA65"/>
      <c r="AB65"/>
      <c r="AC65"/>
    </row>
    <row r="66" spans="1:29" ht="14.45" customHeight="1" x14ac:dyDescent="0.25">
      <c r="A66" s="145"/>
      <c r="B66" s="145"/>
      <c r="C66" s="145"/>
      <c r="D66" s="145"/>
      <c r="E66" s="145"/>
      <c r="F66" s="145"/>
      <c r="G66" s="145"/>
      <c r="H66" s="145"/>
      <c r="I66" s="145"/>
      <c r="J66" s="145"/>
      <c r="K66" s="145"/>
      <c r="L66" s="145"/>
      <c r="X66" s="145"/>
      <c r="Y66" s="145"/>
      <c r="Z66" s="145"/>
      <c r="AA66" s="145"/>
      <c r="AB66" s="145"/>
      <c r="AC66" s="145"/>
    </row>
    <row r="67" spans="1:29" ht="14.45" customHeight="1" x14ac:dyDescent="0.25">
      <c r="A67" s="145"/>
      <c r="B67" s="145"/>
      <c r="C67" s="145"/>
      <c r="D67" s="145"/>
      <c r="E67" s="145"/>
      <c r="F67" s="145"/>
      <c r="G67" s="145"/>
      <c r="H67" s="145"/>
      <c r="I67" s="145"/>
      <c r="J67" s="145"/>
      <c r="K67" s="145"/>
      <c r="L67" s="145"/>
      <c r="X67" s="145"/>
      <c r="Y67" s="145"/>
    </row>
    <row r="68" spans="1:29" ht="14.45" customHeight="1" x14ac:dyDescent="0.25">
      <c r="A68" s="23"/>
      <c r="B68"/>
      <c r="C68"/>
      <c r="D68"/>
      <c r="E68"/>
      <c r="F68"/>
      <c r="G68"/>
      <c r="H68"/>
      <c r="I68"/>
      <c r="J68"/>
      <c r="K68" s="204"/>
    </row>
    <row r="69" spans="1:29" ht="14.45" customHeight="1" x14ac:dyDescent="0.25">
      <c r="A69" s="23"/>
      <c r="B69"/>
      <c r="C69"/>
      <c r="D69"/>
      <c r="E69"/>
      <c r="F69"/>
      <c r="G69"/>
      <c r="H69"/>
      <c r="I69"/>
      <c r="J69"/>
    </row>
    <row r="70" spans="1:29" ht="14.45" customHeight="1" x14ac:dyDescent="0.25">
      <c r="A70" s="23"/>
      <c r="B70"/>
      <c r="C70"/>
      <c r="D70"/>
      <c r="E70"/>
      <c r="F70"/>
      <c r="G70"/>
      <c r="H70"/>
      <c r="I70"/>
      <c r="J70"/>
    </row>
    <row r="71" spans="1:29" ht="14.45" customHeight="1" x14ac:dyDescent="0.25">
      <c r="A71" s="23"/>
      <c r="B71"/>
      <c r="C71"/>
      <c r="D71"/>
      <c r="E71"/>
      <c r="F71"/>
      <c r="G71"/>
      <c r="H71"/>
      <c r="I71"/>
      <c r="J71"/>
    </row>
    <row r="72" spans="1:29" ht="14.45" customHeight="1" x14ac:dyDescent="0.25">
      <c r="A72" s="23"/>
      <c r="B72"/>
      <c r="C72"/>
      <c r="D72"/>
      <c r="E72"/>
      <c r="F72"/>
      <c r="G72"/>
      <c r="H72"/>
      <c r="I72"/>
      <c r="J72"/>
    </row>
    <row r="73" spans="1:29" ht="14.45" customHeight="1" x14ac:dyDescent="0.25">
      <c r="A73" s="23"/>
      <c r="B73"/>
      <c r="C73"/>
      <c r="D73"/>
      <c r="E73"/>
      <c r="F73"/>
      <c r="G73"/>
      <c r="H73"/>
      <c r="I73"/>
      <c r="J73"/>
    </row>
    <row r="74" spans="1:29" x14ac:dyDescent="0.25">
      <c r="A74" s="23"/>
      <c r="B74"/>
      <c r="C74"/>
      <c r="D74"/>
      <c r="E74"/>
      <c r="F74"/>
      <c r="G74"/>
      <c r="H74"/>
      <c r="I74"/>
      <c r="J74"/>
    </row>
    <row r="76" spans="1:29" x14ac:dyDescent="0.25">
      <c r="J76"/>
    </row>
    <row r="77" spans="1:29" x14ac:dyDescent="0.25">
      <c r="J77"/>
    </row>
  </sheetData>
  <sheetProtection algorithmName="SHA-512" hashValue="JLg0kmKvTWkogZjNzD0msQD9uw/nPJJZivcNSXuhFGWbT4aPwstbzYPDmyf7G2QI9AtHxUpygWORXGW4VHHyrg==" saltValue="kByRTlwgvtdK75d3OGMt0g==" spinCount="100000" sheet="1" objects="1" scenarios="1"/>
  <mergeCells count="6">
    <mergeCell ref="A1:AC1"/>
    <mergeCell ref="A5:J5"/>
    <mergeCell ref="M5:V5"/>
    <mergeCell ref="N16:V16"/>
    <mergeCell ref="N17:V17"/>
    <mergeCell ref="A9:XFD9"/>
  </mergeCells>
  <conditionalFormatting sqref="N11:V11">
    <cfRule type="cellIs" dxfId="81" priority="6" operator="equal">
      <formula>#REF!</formula>
    </cfRule>
  </conditionalFormatting>
  <conditionalFormatting sqref="N12:V12">
    <cfRule type="cellIs" dxfId="80" priority="2" operator="equal">
      <formula>$W$12</formula>
    </cfRule>
    <cfRule type="cellIs" dxfId="79" priority="5" operator="equal">
      <formula>#REF!</formula>
    </cfRule>
  </conditionalFormatting>
  <conditionalFormatting sqref="N13:V13">
    <cfRule type="cellIs" dxfId="78" priority="1" operator="equal">
      <formula>$W$13</formula>
    </cfRule>
    <cfRule type="cellIs" dxfId="77" priority="3" operator="equal">
      <formula>#REF!</formula>
    </cfRule>
    <cfRule type="cellIs" dxfId="76" priority="4" operator="equal">
      <formula>#REF!</formula>
    </cfRule>
  </conditionalFormatting>
  <conditionalFormatting sqref="N11:V11">
    <cfRule type="cellIs" dxfId="75" priority="7" operator="equal">
      <formula>$W$11</formula>
    </cfRule>
  </conditionalFormatting>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56FE7-4BDB-438D-8C7E-F04F1E8D3AA3}">
  <sheetPr codeName="Four_PV">
    <tabColor rgb="FF002060"/>
    <pageSetUpPr fitToPage="1"/>
  </sheetPr>
  <dimension ref="A1:K615"/>
  <sheetViews>
    <sheetView view="pageBreakPreview" topLeftCell="A573" zoomScale="70" zoomScaleNormal="70" zoomScaleSheetLayoutView="70" zoomScalePageLayoutView="85" workbookViewId="0">
      <selection activeCell="E88" sqref="E88"/>
    </sheetView>
  </sheetViews>
  <sheetFormatPr baseColWidth="10" defaultRowHeight="15" x14ac:dyDescent="0.25"/>
  <cols>
    <col min="1" max="1" width="8.28515625" customWidth="1"/>
    <col min="2" max="2" width="21.28515625" customWidth="1"/>
    <col min="3" max="4" width="25.7109375" customWidth="1"/>
    <col min="5" max="5" width="31" bestFit="1" customWidth="1"/>
    <col min="6" max="6" width="30.5703125" bestFit="1" customWidth="1"/>
    <col min="7" max="7" width="25.7109375" customWidth="1"/>
    <col min="8" max="8" width="20.7109375" customWidth="1"/>
    <col min="9" max="9" width="15.7109375" customWidth="1"/>
  </cols>
  <sheetData>
    <row r="1" spans="2:9" ht="15" customHeight="1" x14ac:dyDescent="0.25"/>
    <row r="5" spans="2:9" ht="26.25" x14ac:dyDescent="0.4">
      <c r="B5" s="380" t="s">
        <v>330</v>
      </c>
      <c r="C5" s="380"/>
      <c r="D5" s="380"/>
      <c r="E5" s="380"/>
      <c r="F5" s="380"/>
      <c r="G5" s="380"/>
      <c r="H5" s="220"/>
      <c r="I5" s="219"/>
    </row>
    <row r="6" spans="2:9" ht="15.75" customHeight="1" x14ac:dyDescent="0.4">
      <c r="B6" s="219"/>
      <c r="C6" s="219"/>
      <c r="D6" s="219"/>
      <c r="E6" s="219"/>
      <c r="F6" s="219"/>
      <c r="G6" s="219"/>
    </row>
    <row r="7" spans="2:9" ht="15.75" customHeight="1" x14ac:dyDescent="0.25"/>
    <row r="8" spans="2:9" ht="21" x14ac:dyDescent="0.25">
      <c r="C8" s="381" t="s">
        <v>138</v>
      </c>
      <c r="D8" s="381"/>
      <c r="E8" s="382" t="str">
        <f>IF(D11&lt;&gt;"",+D11,"")</f>
        <v/>
      </c>
      <c r="F8" s="382"/>
    </row>
    <row r="9" spans="2:9" ht="15.75" customHeight="1" x14ac:dyDescent="0.25">
      <c r="C9" s="89"/>
      <c r="D9" s="89"/>
      <c r="E9" s="90"/>
      <c r="F9" s="90"/>
    </row>
    <row r="10" spans="2:9" ht="15.75" customHeight="1" x14ac:dyDescent="0.25"/>
    <row r="11" spans="2:9" ht="15.75" x14ac:dyDescent="0.25">
      <c r="C11" s="221" t="s">
        <v>331</v>
      </c>
      <c r="D11" s="222" t="str">
        <f>IF(+Mesures_Four!B6&lt;&gt;"",Mesures_Four!B6,"")</f>
        <v/>
      </c>
      <c r="F11" s="223" t="s">
        <v>332</v>
      </c>
      <c r="G11" s="97" t="s">
        <v>333</v>
      </c>
    </row>
    <row r="12" spans="2:9" ht="15.75" x14ac:dyDescent="0.25">
      <c r="C12" s="96" t="s">
        <v>334</v>
      </c>
      <c r="D12" s="224" t="str">
        <f>IF(ISTEXT(Mesures_Four!B7),Mesures_Four!B7,"")</f>
        <v/>
      </c>
      <c r="F12" t="s">
        <v>335</v>
      </c>
      <c r="G12" s="225" t="str">
        <f>IF(Mesures_Four!B5="","",Mesures_Four!B5)</f>
        <v/>
      </c>
    </row>
    <row r="13" spans="2:9" ht="15.75" x14ac:dyDescent="0.25">
      <c r="C13" s="96"/>
      <c r="D13" s="224" t="str">
        <f>IF(ISTEXT(Mesures_Four!B8),Mesures_Four!B8,"")</f>
        <v/>
      </c>
    </row>
    <row r="14" spans="2:9" ht="15.75" x14ac:dyDescent="0.25">
      <c r="C14" s="96"/>
      <c r="D14" s="224" t="str">
        <f>IF(ISTEXT(Mesures_Four!B9),Mesures_Four!B9,"")</f>
        <v/>
      </c>
    </row>
    <row r="15" spans="2:9" ht="15.75" x14ac:dyDescent="0.25">
      <c r="C15" s="96"/>
      <c r="D15" s="97"/>
      <c r="F15" s="96" t="s">
        <v>336</v>
      </c>
      <c r="G15" s="226" t="str">
        <f>IF(ISTEXT(Mesures_Four!B12),Mesures_Four!B12,"")</f>
        <v/>
      </c>
    </row>
    <row r="16" spans="2:9" ht="15.75" x14ac:dyDescent="0.25">
      <c r="C16" s="96"/>
      <c r="D16" s="97"/>
    </row>
    <row r="17" spans="1:9" ht="15.75" x14ac:dyDescent="0.25">
      <c r="C17" s="221" t="s">
        <v>337</v>
      </c>
      <c r="D17" s="222" t="str">
        <f>IF(+Mesures_Four!B11&lt;&gt;"",Mesures_Four!B11,"")</f>
        <v/>
      </c>
    </row>
    <row r="18" spans="1:9" ht="15.75" x14ac:dyDescent="0.25">
      <c r="C18" s="96" t="s">
        <v>338</v>
      </c>
      <c r="D18" s="224" t="str">
        <f>IF(ISTEXT(Mesures_Four!B10),Mesures_Four!B10,"")</f>
        <v/>
      </c>
    </row>
    <row r="19" spans="1:9" ht="15.75" x14ac:dyDescent="0.25">
      <c r="C19" s="96"/>
      <c r="D19" s="97"/>
    </row>
    <row r="20" spans="1:9" ht="15.75" x14ac:dyDescent="0.25">
      <c r="C20" s="96"/>
      <c r="D20" s="97"/>
    </row>
    <row r="21" spans="1:9" ht="15.75" x14ac:dyDescent="0.25">
      <c r="C21" s="96"/>
      <c r="D21" s="97"/>
    </row>
    <row r="22" spans="1:9" ht="15.75" x14ac:dyDescent="0.25">
      <c r="C22" s="96"/>
      <c r="D22" s="97"/>
    </row>
    <row r="23" spans="1:9" ht="15.75" x14ac:dyDescent="0.25">
      <c r="C23" s="96"/>
      <c r="D23" s="97"/>
    </row>
    <row r="24" spans="1:9" ht="15.75" x14ac:dyDescent="0.25">
      <c r="C24" s="96"/>
      <c r="D24" s="97"/>
    </row>
    <row r="25" spans="1:9" ht="15.75" x14ac:dyDescent="0.25">
      <c r="C25" s="96"/>
      <c r="D25" s="97"/>
    </row>
    <row r="26" spans="1:9" ht="15.75" x14ac:dyDescent="0.25">
      <c r="C26" s="96"/>
      <c r="D26" s="97"/>
    </row>
    <row r="27" spans="1:9" ht="15.75" x14ac:dyDescent="0.25">
      <c r="C27" s="96"/>
      <c r="D27" s="97"/>
    </row>
    <row r="28" spans="1:9" ht="15.75" x14ac:dyDescent="0.25">
      <c r="C28" s="96"/>
      <c r="D28" s="97"/>
    </row>
    <row r="29" spans="1:9" ht="15.75" x14ac:dyDescent="0.25">
      <c r="C29" s="96"/>
      <c r="D29" s="97"/>
    </row>
    <row r="30" spans="1:9" ht="18.75" customHeight="1" x14ac:dyDescent="0.25">
      <c r="A30" s="383" t="s">
        <v>339</v>
      </c>
      <c r="B30" s="383"/>
      <c r="C30" s="383"/>
      <c r="D30" s="383"/>
      <c r="E30" s="383"/>
      <c r="F30" s="383"/>
      <c r="G30" s="383"/>
      <c r="H30" s="383"/>
      <c r="I30" s="383"/>
    </row>
    <row r="31" spans="1:9" ht="15.75" customHeight="1" x14ac:dyDescent="0.25">
      <c r="A31" s="383"/>
      <c r="B31" s="383"/>
      <c r="C31" s="383"/>
      <c r="D31" s="383"/>
      <c r="E31" s="383"/>
      <c r="F31" s="383"/>
      <c r="G31" s="383"/>
      <c r="H31" s="383"/>
      <c r="I31" s="383"/>
    </row>
    <row r="32" spans="1:9" ht="15" customHeight="1" x14ac:dyDescent="0.25">
      <c r="A32" s="383"/>
      <c r="B32" s="383"/>
      <c r="C32" s="383"/>
      <c r="D32" s="383"/>
      <c r="E32" s="383"/>
      <c r="F32" s="383"/>
      <c r="G32" s="383"/>
      <c r="H32" s="383"/>
      <c r="I32" s="383"/>
    </row>
    <row r="33" spans="1:9" ht="15" customHeight="1" x14ac:dyDescent="0.25">
      <c r="A33" s="383"/>
      <c r="B33" s="383"/>
      <c r="C33" s="383"/>
      <c r="D33" s="383"/>
      <c r="E33" s="383"/>
      <c r="F33" s="383"/>
      <c r="G33" s="383"/>
      <c r="H33" s="383"/>
      <c r="I33" s="383"/>
    </row>
    <row r="34" spans="1:9" ht="15" customHeight="1" x14ac:dyDescent="0.25">
      <c r="A34" s="383"/>
      <c r="B34" s="383"/>
      <c r="C34" s="383"/>
      <c r="D34" s="383"/>
      <c r="E34" s="383"/>
      <c r="F34" s="383"/>
      <c r="G34" s="383"/>
      <c r="H34" s="383"/>
      <c r="I34" s="383"/>
    </row>
    <row r="35" spans="1:9" ht="15" customHeight="1" x14ac:dyDescent="0.25">
      <c r="A35" s="383"/>
      <c r="B35" s="383"/>
      <c r="C35" s="383"/>
      <c r="D35" s="383"/>
      <c r="E35" s="383"/>
      <c r="F35" s="383"/>
      <c r="G35" s="383"/>
      <c r="H35" s="383"/>
      <c r="I35" s="383"/>
    </row>
    <row r="36" spans="1:9" ht="15" customHeight="1" x14ac:dyDescent="0.25">
      <c r="A36" s="383"/>
      <c r="B36" s="383"/>
      <c r="C36" s="383"/>
      <c r="D36" s="383"/>
      <c r="E36" s="383"/>
      <c r="F36" s="383"/>
      <c r="G36" s="383"/>
      <c r="H36" s="383"/>
      <c r="I36" s="383"/>
    </row>
    <row r="37" spans="1:9" ht="15" customHeight="1" x14ac:dyDescent="0.25">
      <c r="A37" s="383"/>
      <c r="B37" s="383"/>
      <c r="C37" s="383"/>
      <c r="D37" s="383"/>
      <c r="E37" s="383"/>
      <c r="F37" s="383"/>
      <c r="G37" s="383"/>
      <c r="H37" s="383"/>
      <c r="I37" s="383"/>
    </row>
    <row r="38" spans="1:9" ht="15" customHeight="1" x14ac:dyDescent="0.25">
      <c r="A38" s="383"/>
      <c r="B38" s="383"/>
      <c r="C38" s="383"/>
      <c r="D38" s="383"/>
      <c r="E38" s="383"/>
      <c r="F38" s="383"/>
      <c r="G38" s="383"/>
      <c r="H38" s="383"/>
      <c r="I38" s="383"/>
    </row>
    <row r="39" spans="1:9" ht="15" customHeight="1" x14ac:dyDescent="0.25">
      <c r="A39" s="383"/>
      <c r="B39" s="383"/>
      <c r="C39" s="383"/>
      <c r="D39" s="383"/>
      <c r="E39" s="383"/>
      <c r="F39" s="383"/>
      <c r="G39" s="383"/>
      <c r="H39" s="383"/>
      <c r="I39" s="383"/>
    </row>
    <row r="40" spans="1:9" ht="15" customHeight="1" x14ac:dyDescent="0.25">
      <c r="A40" s="383"/>
      <c r="B40" s="383"/>
      <c r="C40" s="383"/>
      <c r="D40" s="383"/>
      <c r="E40" s="383"/>
      <c r="F40" s="383"/>
      <c r="G40" s="383"/>
      <c r="H40" s="383"/>
      <c r="I40" s="383"/>
    </row>
    <row r="41" spans="1:9" ht="15" customHeight="1" x14ac:dyDescent="0.25">
      <c r="A41" s="383"/>
      <c r="B41" s="383"/>
      <c r="C41" s="383"/>
      <c r="D41" s="383"/>
      <c r="E41" s="383"/>
      <c r="F41" s="383"/>
      <c r="G41" s="383"/>
      <c r="H41" s="383"/>
      <c r="I41" s="383"/>
    </row>
    <row r="42" spans="1:9" ht="15" customHeight="1" x14ac:dyDescent="0.25">
      <c r="A42" s="383"/>
      <c r="B42" s="383"/>
      <c r="C42" s="383"/>
      <c r="D42" s="383"/>
      <c r="E42" s="383"/>
      <c r="F42" s="383"/>
      <c r="G42" s="383"/>
      <c r="H42" s="383"/>
      <c r="I42" s="383"/>
    </row>
    <row r="43" spans="1:9" ht="15" customHeight="1" x14ac:dyDescent="0.25">
      <c r="A43" s="383"/>
      <c r="B43" s="383"/>
      <c r="C43" s="383"/>
      <c r="D43" s="383"/>
      <c r="E43" s="383"/>
      <c r="F43" s="383"/>
      <c r="G43" s="383"/>
      <c r="H43" s="383"/>
      <c r="I43" s="383"/>
    </row>
    <row r="44" spans="1:9" ht="15" customHeight="1" x14ac:dyDescent="0.25">
      <c r="A44" s="383"/>
      <c r="B44" s="383"/>
      <c r="C44" s="383"/>
      <c r="D44" s="383"/>
      <c r="E44" s="383"/>
      <c r="F44" s="383"/>
      <c r="G44" s="383"/>
      <c r="H44" s="383"/>
      <c r="I44" s="383"/>
    </row>
    <row r="45" spans="1:9" ht="15" customHeight="1" x14ac:dyDescent="0.25">
      <c r="A45" s="383"/>
      <c r="B45" s="383"/>
      <c r="C45" s="383"/>
      <c r="D45" s="383"/>
      <c r="E45" s="383"/>
      <c r="F45" s="383"/>
      <c r="G45" s="383"/>
      <c r="H45" s="383"/>
      <c r="I45" s="383"/>
    </row>
    <row r="46" spans="1:9" ht="15" customHeight="1" x14ac:dyDescent="0.25">
      <c r="A46" s="383"/>
      <c r="B46" s="383"/>
      <c r="C46" s="383"/>
      <c r="D46" s="383"/>
      <c r="E46" s="383"/>
      <c r="F46" s="383"/>
      <c r="G46" s="383"/>
      <c r="H46" s="383"/>
      <c r="I46" s="383"/>
    </row>
    <row r="47" spans="1:9" ht="15" customHeight="1" x14ac:dyDescent="0.25">
      <c r="A47" s="383"/>
      <c r="B47" s="383"/>
      <c r="C47" s="383"/>
      <c r="D47" s="383"/>
      <c r="E47" s="383"/>
      <c r="F47" s="383"/>
      <c r="G47" s="383"/>
      <c r="H47" s="383"/>
      <c r="I47" s="383"/>
    </row>
    <row r="48" spans="1:9" ht="15" customHeight="1" x14ac:dyDescent="0.25">
      <c r="C48" s="165"/>
      <c r="D48" s="165"/>
      <c r="E48" s="165"/>
      <c r="F48" s="165"/>
      <c r="G48" s="165"/>
    </row>
    <row r="49" spans="2:7" ht="15" customHeight="1" x14ac:dyDescent="0.25">
      <c r="C49" s="165"/>
      <c r="D49" s="165"/>
      <c r="E49" s="165"/>
      <c r="F49" s="165"/>
      <c r="G49" s="165"/>
    </row>
    <row r="50" spans="2:7" ht="15" customHeight="1" x14ac:dyDescent="0.25">
      <c r="C50" s="165"/>
      <c r="D50" s="165"/>
      <c r="E50" s="165"/>
      <c r="F50" s="165"/>
      <c r="G50" s="165"/>
    </row>
    <row r="51" spans="2:7" ht="15" customHeight="1" x14ac:dyDescent="0.25">
      <c r="C51" s="165"/>
      <c r="D51" s="165"/>
      <c r="E51" s="165"/>
      <c r="F51" s="165"/>
      <c r="G51" s="165"/>
    </row>
    <row r="52" spans="2:7" ht="15" customHeight="1" x14ac:dyDescent="0.25">
      <c r="C52" s="165"/>
      <c r="D52" s="165"/>
      <c r="E52" s="165"/>
      <c r="F52" s="165"/>
      <c r="G52" s="165"/>
    </row>
    <row r="53" spans="2:7" ht="15" customHeight="1" x14ac:dyDescent="0.25">
      <c r="B53" s="163" t="s">
        <v>249</v>
      </c>
      <c r="C53" s="164"/>
      <c r="E53" s="165"/>
      <c r="F53" s="165"/>
      <c r="G53" s="165"/>
    </row>
    <row r="54" spans="2:7" ht="15" customHeight="1" x14ac:dyDescent="0.25">
      <c r="C54" s="165"/>
      <c r="D54" s="165"/>
      <c r="E54" s="165"/>
      <c r="F54" s="165"/>
      <c r="G54" s="165"/>
    </row>
    <row r="55" spans="2:7" ht="18.75" x14ac:dyDescent="0.25">
      <c r="B55" s="384" t="s">
        <v>250</v>
      </c>
      <c r="C55" s="384"/>
      <c r="D55" s="165"/>
      <c r="E55" s="165"/>
      <c r="F55" s="166" t="s">
        <v>251</v>
      </c>
      <c r="G55" s="165"/>
    </row>
    <row r="56" spans="2:7" ht="15" customHeight="1" x14ac:dyDescent="0.25">
      <c r="B56" s="383" t="s">
        <v>252</v>
      </c>
      <c r="C56" s="383"/>
      <c r="D56" s="157" t="s">
        <v>340</v>
      </c>
      <c r="E56" s="165"/>
      <c r="F56" s="165" t="s">
        <v>254</v>
      </c>
      <c r="G56" s="165" t="s">
        <v>341</v>
      </c>
    </row>
    <row r="57" spans="2:7" ht="15" customHeight="1" x14ac:dyDescent="0.25">
      <c r="B57" s="383" t="s">
        <v>255</v>
      </c>
      <c r="C57" s="383"/>
      <c r="D57" s="157" t="s">
        <v>342</v>
      </c>
      <c r="E57" s="165"/>
      <c r="F57" s="165" t="s">
        <v>257</v>
      </c>
      <c r="G57" s="165" t="s">
        <v>343</v>
      </c>
    </row>
    <row r="58" spans="2:7" ht="15" customHeight="1" x14ac:dyDescent="0.25">
      <c r="B58" s="383" t="s">
        <v>258</v>
      </c>
      <c r="C58" s="383"/>
      <c r="D58" s="157" t="s">
        <v>344</v>
      </c>
      <c r="E58" s="165"/>
      <c r="F58" s="165" t="s">
        <v>260</v>
      </c>
      <c r="G58" s="165" t="s">
        <v>345</v>
      </c>
    </row>
    <row r="59" spans="2:7" ht="15" customHeight="1" x14ac:dyDescent="0.25">
      <c r="B59" s="383" t="s">
        <v>261</v>
      </c>
      <c r="C59" s="383"/>
      <c r="D59" s="157" t="s">
        <v>346</v>
      </c>
      <c r="E59" s="165"/>
      <c r="F59" s="165"/>
      <c r="G59" s="165"/>
    </row>
    <row r="60" spans="2:7" ht="15" customHeight="1" x14ac:dyDescent="0.25">
      <c r="B60" s="383" t="s">
        <v>262</v>
      </c>
      <c r="C60" s="383"/>
      <c r="D60" s="167">
        <v>42634</v>
      </c>
      <c r="E60" s="165"/>
      <c r="F60" s="165"/>
      <c r="G60" s="165"/>
    </row>
    <row r="61" spans="2:7" ht="15" customHeight="1" x14ac:dyDescent="0.25">
      <c r="B61" s="383" t="s">
        <v>263</v>
      </c>
      <c r="C61" s="383"/>
      <c r="D61" s="157" t="s">
        <v>347</v>
      </c>
      <c r="E61" s="165"/>
      <c r="F61" s="165"/>
      <c r="G61" s="165"/>
    </row>
    <row r="62" spans="2:7" ht="15" customHeight="1" x14ac:dyDescent="0.25">
      <c r="B62" s="383" t="s">
        <v>265</v>
      </c>
      <c r="C62" s="383"/>
      <c r="D62" s="157" t="s">
        <v>266</v>
      </c>
      <c r="E62" s="165"/>
      <c r="F62" s="165"/>
      <c r="G62" s="165"/>
    </row>
    <row r="63" spans="2:7" ht="15" customHeight="1" x14ac:dyDescent="0.25">
      <c r="B63" s="383" t="s">
        <v>267</v>
      </c>
      <c r="C63" s="383"/>
      <c r="D63" s="157" t="s">
        <v>348</v>
      </c>
      <c r="E63" s="165"/>
      <c r="F63" s="165"/>
      <c r="G63" s="165"/>
    </row>
    <row r="64" spans="2:7" ht="15" customHeight="1" x14ac:dyDescent="0.25">
      <c r="D64" s="165"/>
      <c r="E64" s="165"/>
      <c r="F64" s="165"/>
      <c r="G64" s="165"/>
    </row>
    <row r="65" spans="2:7" ht="15" customHeight="1" x14ac:dyDescent="0.25">
      <c r="B65" s="165"/>
      <c r="C65" s="165"/>
      <c r="D65" s="165"/>
      <c r="E65" s="165"/>
      <c r="F65" s="165"/>
      <c r="G65" s="165"/>
    </row>
    <row r="66" spans="2:7" ht="15" customHeight="1" x14ac:dyDescent="0.25">
      <c r="B66" s="165"/>
      <c r="C66" s="165"/>
      <c r="D66" s="165"/>
      <c r="E66" s="165"/>
      <c r="F66" s="165"/>
      <c r="G66" s="165"/>
    </row>
    <row r="67" spans="2:7" ht="15" customHeight="1" x14ac:dyDescent="0.25">
      <c r="B67" s="165"/>
      <c r="C67" s="165"/>
      <c r="D67" s="165"/>
      <c r="E67" s="165"/>
      <c r="F67" s="165"/>
      <c r="G67" s="165"/>
    </row>
    <row r="68" spans="2:7" ht="15" customHeight="1" x14ac:dyDescent="0.25">
      <c r="B68" s="165"/>
      <c r="C68" s="165"/>
      <c r="D68" s="165"/>
      <c r="E68" s="165"/>
      <c r="F68" s="165"/>
      <c r="G68" s="165"/>
    </row>
    <row r="69" spans="2:7" ht="15" customHeight="1" x14ac:dyDescent="0.25">
      <c r="C69" s="157"/>
      <c r="D69" s="157"/>
      <c r="E69" s="165"/>
      <c r="F69" s="157"/>
      <c r="G69" s="157"/>
    </row>
    <row r="70" spans="2:7" ht="18.75" x14ac:dyDescent="0.25">
      <c r="B70" s="227" t="s">
        <v>268</v>
      </c>
    </row>
    <row r="72" spans="2:7" ht="15" customHeight="1" x14ac:dyDescent="0.25">
      <c r="B72" s="88" t="s">
        <v>349</v>
      </c>
      <c r="D72" s="228"/>
      <c r="E72" s="228"/>
    </row>
    <row r="73" spans="2:7" x14ac:dyDescent="0.25">
      <c r="C73" s="229" t="s">
        <v>350</v>
      </c>
      <c r="D73" s="169" t="str">
        <f>Mesures_Four!C53</f>
        <v>JO1854/1C</v>
      </c>
      <c r="E73" s="170">
        <f>Mesures_Four!E53</f>
        <v>42901</v>
      </c>
    </row>
    <row r="74" spans="2:7" x14ac:dyDescent="0.25">
      <c r="C74" s="168" t="s">
        <v>351</v>
      </c>
      <c r="D74" s="169" t="str">
        <f>Mesures_Four!C54</f>
        <v>CF26299-A-001</v>
      </c>
      <c r="E74" s="170">
        <f>Mesures_Four!E54</f>
        <v>44785</v>
      </c>
    </row>
    <row r="75" spans="2:7" x14ac:dyDescent="0.25">
      <c r="C75" s="168" t="s">
        <v>269</v>
      </c>
      <c r="D75" s="169" t="str">
        <f>Mesures_Four!C55</f>
        <v>CF27160-A-001</v>
      </c>
      <c r="E75" s="170">
        <f>Mesures_Four!E55</f>
        <v>44865</v>
      </c>
    </row>
    <row r="76" spans="2:7" x14ac:dyDescent="0.25">
      <c r="C76" s="88"/>
      <c r="D76" s="88"/>
      <c r="E76" s="88"/>
    </row>
    <row r="77" spans="2:7" x14ac:dyDescent="0.25">
      <c r="B77" s="88" t="s">
        <v>352</v>
      </c>
      <c r="D77" s="88"/>
      <c r="E77" s="88"/>
    </row>
    <row r="78" spans="2:7" x14ac:dyDescent="0.25">
      <c r="C78" s="88"/>
      <c r="D78" s="88"/>
      <c r="E78" s="88"/>
    </row>
    <row r="79" spans="2:7" x14ac:dyDescent="0.25">
      <c r="C79" s="88"/>
      <c r="D79" s="88"/>
      <c r="E79" s="88"/>
    </row>
    <row r="80" spans="2:7" x14ac:dyDescent="0.25">
      <c r="B80" s="171" t="s">
        <v>271</v>
      </c>
      <c r="D80" s="88"/>
      <c r="E80" s="88"/>
    </row>
    <row r="81" spans="2:5" x14ac:dyDescent="0.25">
      <c r="B81" s="172" t="s">
        <v>272</v>
      </c>
      <c r="C81" s="172">
        <v>1500</v>
      </c>
      <c r="D81" s="88"/>
      <c r="E81" s="88"/>
    </row>
    <row r="82" spans="2:5" x14ac:dyDescent="0.25">
      <c r="B82" s="172" t="s">
        <v>273</v>
      </c>
      <c r="C82" s="173">
        <v>1500</v>
      </c>
      <c r="D82" s="88"/>
      <c r="E82" s="88"/>
    </row>
    <row r="83" spans="2:5" x14ac:dyDescent="0.25">
      <c r="B83" s="172" t="s">
        <v>274</v>
      </c>
      <c r="C83" s="172">
        <v>3500</v>
      </c>
      <c r="D83" s="88"/>
      <c r="E83" s="88"/>
    </row>
    <row r="84" spans="2:5" x14ac:dyDescent="0.25">
      <c r="B84" s="173" t="s">
        <v>275</v>
      </c>
      <c r="C84" s="172">
        <f>+C81*C82*C83*10^-6</f>
        <v>7875</v>
      </c>
      <c r="D84" s="88"/>
      <c r="E84" s="88"/>
    </row>
    <row r="85" spans="2:5" x14ac:dyDescent="0.25">
      <c r="B85" s="88"/>
      <c r="D85" s="88"/>
      <c r="E85" s="88"/>
    </row>
    <row r="86" spans="2:5" x14ac:dyDescent="0.25">
      <c r="B86" s="171" t="s">
        <v>276</v>
      </c>
      <c r="D86" s="88"/>
      <c r="E86" s="88"/>
    </row>
    <row r="87" spans="2:5" x14ac:dyDescent="0.25">
      <c r="B87" s="172" t="s">
        <v>272</v>
      </c>
      <c r="C87" s="172">
        <v>1100</v>
      </c>
      <c r="D87" s="88"/>
      <c r="E87" s="88"/>
    </row>
    <row r="88" spans="2:5" x14ac:dyDescent="0.25">
      <c r="B88" s="172" t="s">
        <v>273</v>
      </c>
      <c r="C88" s="172">
        <v>1100</v>
      </c>
      <c r="D88" s="88"/>
      <c r="E88" s="88"/>
    </row>
    <row r="89" spans="2:5" x14ac:dyDescent="0.25">
      <c r="B89" s="172" t="s">
        <v>274</v>
      </c>
      <c r="C89" s="172">
        <v>3400</v>
      </c>
      <c r="D89" s="88"/>
      <c r="E89" s="88"/>
    </row>
    <row r="90" spans="2:5" x14ac:dyDescent="0.25">
      <c r="B90" s="173" t="s">
        <v>275</v>
      </c>
      <c r="C90" s="172">
        <f>+C87*C88*C89*10^-6</f>
        <v>4114</v>
      </c>
      <c r="D90" s="88"/>
      <c r="E90" s="88"/>
    </row>
    <row r="91" spans="2:5" x14ac:dyDescent="0.25">
      <c r="C91" s="88"/>
      <c r="D91" s="88"/>
      <c r="E91" s="88"/>
    </row>
    <row r="92" spans="2:5" x14ac:dyDescent="0.25">
      <c r="C92" s="88"/>
    </row>
    <row r="93" spans="2:5" x14ac:dyDescent="0.25">
      <c r="C93" s="88"/>
    </row>
    <row r="94" spans="2:5" x14ac:dyDescent="0.25">
      <c r="C94" s="88"/>
    </row>
    <row r="98" spans="2:9" ht="18.75" x14ac:dyDescent="0.3">
      <c r="B98" s="230" t="s">
        <v>353</v>
      </c>
    </row>
    <row r="100" spans="2:9" ht="18.75" x14ac:dyDescent="0.3">
      <c r="C100" s="231" t="s">
        <v>354</v>
      </c>
      <c r="F100" s="231" t="s">
        <v>355</v>
      </c>
    </row>
    <row r="102" spans="2:9" x14ac:dyDescent="0.25">
      <c r="C102" s="232" t="s">
        <v>252</v>
      </c>
      <c r="D102" s="98" t="s">
        <v>356</v>
      </c>
      <c r="E102" s="98"/>
      <c r="F102" s="233" t="s">
        <v>357</v>
      </c>
      <c r="G102" s="98" t="s">
        <v>358</v>
      </c>
    </row>
    <row r="103" spans="2:9" x14ac:dyDescent="0.25">
      <c r="C103" s="232" t="s">
        <v>359</v>
      </c>
      <c r="D103" s="234" t="s">
        <v>360</v>
      </c>
      <c r="E103" s="98"/>
      <c r="F103" s="233" t="s">
        <v>361</v>
      </c>
      <c r="G103" s="98" t="s">
        <v>183</v>
      </c>
    </row>
    <row r="104" spans="2:9" x14ac:dyDescent="0.25">
      <c r="C104" s="232" t="s">
        <v>362</v>
      </c>
      <c r="D104" s="98" t="s">
        <v>363</v>
      </c>
      <c r="E104" s="98"/>
      <c r="F104" s="233" t="s">
        <v>364</v>
      </c>
      <c r="G104" s="235" t="str">
        <f>IF(+Mesures_Four!C16&lt;&gt;"",Mesures_Four!C16,"")</f>
        <v>PL1707000191-0817-PL3 Z19</v>
      </c>
    </row>
    <row r="105" spans="2:9" x14ac:dyDescent="0.25">
      <c r="C105" s="236" t="s">
        <v>365</v>
      </c>
      <c r="D105" s="98">
        <v>9</v>
      </c>
      <c r="F105" s="233" t="s">
        <v>366</v>
      </c>
      <c r="G105" s="237" t="str">
        <f>IF(+Mesures_Four!D16&lt;&gt;"",Mesures_Four!D16,"CC MANQUANT")</f>
        <v>CC MANQUANT</v>
      </c>
    </row>
    <row r="106" spans="2:9" x14ac:dyDescent="0.25">
      <c r="C106" s="232" t="s">
        <v>258</v>
      </c>
      <c r="D106" s="98" t="s">
        <v>367</v>
      </c>
      <c r="E106" s="98" t="str">
        <f>IF(+Mesures_Four!C18&lt;&gt;"","sonde TUS deuxième lot","")</f>
        <v/>
      </c>
      <c r="F106" s="233" t="s">
        <v>368</v>
      </c>
      <c r="G106" s="238" t="str">
        <f>IF(+Mesures_Four!E16&lt;&gt;"",Mesures_Four!E16,"")</f>
        <v/>
      </c>
    </row>
    <row r="107" spans="2:9" x14ac:dyDescent="0.25">
      <c r="C107" s="232" t="s">
        <v>369</v>
      </c>
      <c r="D107" s="225" t="str">
        <f>IF(+Mesures_Four!C17&lt;&gt;"",Mesures_Four!C17,"N°SERIE MANQUANT")</f>
        <v>N°SERIE MANQUANT</v>
      </c>
      <c r="E107" s="225" t="str">
        <f>IF(+Mesures_Four!C18&lt;&gt;"",Mesures_Four!C18,"")</f>
        <v/>
      </c>
      <c r="F107" s="233" t="s">
        <v>370</v>
      </c>
      <c r="G107" s="98">
        <v>3</v>
      </c>
      <c r="I107" s="107"/>
    </row>
    <row r="108" spans="2:9" x14ac:dyDescent="0.25">
      <c r="C108" s="232" t="s">
        <v>366</v>
      </c>
      <c r="D108" s="237" t="str">
        <f>IF(+Mesures_Four!D17&lt;&gt;"",Mesures_Four!D17,"CC MANQUANT")</f>
        <v>CC MANQUANT</v>
      </c>
      <c r="E108" s="237" t="str">
        <f>IF(+Mesures_Four!D18&lt;&gt;"",Mesures_Four!D18,"")</f>
        <v/>
      </c>
      <c r="F108" s="239" t="s">
        <v>371</v>
      </c>
      <c r="G108" s="240" t="str">
        <f>+IF(G106&lt;&gt;"",EDATE(G106,G107),"")</f>
        <v/>
      </c>
    </row>
    <row r="109" spans="2:9" x14ac:dyDescent="0.25">
      <c r="C109" s="232" t="s">
        <v>368</v>
      </c>
      <c r="D109" s="238" t="str">
        <f>IF(+Mesures_Four!E17&lt;&gt;"",Mesures_Four!E17,"")</f>
        <v/>
      </c>
      <c r="E109" s="238" t="str">
        <f>IF(+Mesures_Four!E18&lt;&gt;"",Mesures_Four!E18,"")</f>
        <v/>
      </c>
    </row>
    <row r="110" spans="2:9" x14ac:dyDescent="0.25">
      <c r="C110" s="232" t="s">
        <v>372</v>
      </c>
      <c r="D110" s="238" t="str">
        <f>IF(+Mesures_Four!F17&lt;&gt;"",Mesures_Four!F17,"")</f>
        <v/>
      </c>
      <c r="E110" s="238" t="str">
        <f>IF(+Mesures_Four!F18&lt;&gt;"",Mesures_Four!F18,"")</f>
        <v/>
      </c>
    </row>
    <row r="111" spans="2:9" x14ac:dyDescent="0.25">
      <c r="C111" s="232" t="s">
        <v>373</v>
      </c>
      <c r="D111" s="98">
        <v>3</v>
      </c>
      <c r="E111" s="98" t="str">
        <f>IF(+Mesures_Four!C18&lt;&gt;"","3","")</f>
        <v/>
      </c>
    </row>
    <row r="112" spans="2:9" x14ac:dyDescent="0.25">
      <c r="C112" s="232" t="s">
        <v>374</v>
      </c>
      <c r="D112" s="240" t="str">
        <f>IF(D110&lt;&gt;"",EDATE(D110,D111),"")</f>
        <v/>
      </c>
      <c r="E112" s="240" t="str">
        <f>IF(E110&lt;&gt;"",EDATE(E110,E111),"")</f>
        <v/>
      </c>
    </row>
    <row r="113" spans="2:8" x14ac:dyDescent="0.25">
      <c r="C113" s="232"/>
    </row>
    <row r="114" spans="2:8" x14ac:dyDescent="0.25">
      <c r="E114" s="241"/>
      <c r="F114" s="241"/>
      <c r="G114" s="241"/>
    </row>
    <row r="115" spans="2:8" x14ac:dyDescent="0.25">
      <c r="B115" s="242" t="s">
        <v>375</v>
      </c>
      <c r="D115" s="241"/>
      <c r="E115" s="241"/>
      <c r="F115" s="241"/>
      <c r="G115" s="241"/>
    </row>
    <row r="116" spans="2:8" x14ac:dyDescent="0.25">
      <c r="B116" s="385" t="str">
        <f>IF(+Mesures_Four!B58&lt;&gt;"",Mesures_Four!B58,"")</f>
        <v/>
      </c>
      <c r="C116" s="385"/>
      <c r="D116" s="385"/>
      <c r="E116" s="385"/>
      <c r="F116" s="385"/>
      <c r="G116" s="385"/>
      <c r="H116" s="385"/>
    </row>
    <row r="117" spans="2:8" x14ac:dyDescent="0.25">
      <c r="B117" s="385"/>
      <c r="C117" s="385"/>
      <c r="D117" s="385"/>
      <c r="E117" s="385"/>
      <c r="F117" s="385"/>
      <c r="G117" s="385"/>
      <c r="H117" s="385"/>
    </row>
    <row r="119" spans="2:8" ht="18.75" customHeight="1" x14ac:dyDescent="0.3">
      <c r="B119" s="230" t="s">
        <v>376</v>
      </c>
    </row>
    <row r="120" spans="2:8" ht="15" customHeight="1" x14ac:dyDescent="0.25"/>
    <row r="121" spans="2:8" ht="15" customHeight="1" x14ac:dyDescent="0.25">
      <c r="B121" s="386" t="s">
        <v>377</v>
      </c>
      <c r="C121" s="386"/>
      <c r="D121" s="386"/>
      <c r="E121" s="386"/>
      <c r="F121" s="386"/>
      <c r="G121" s="386"/>
      <c r="H121" s="386"/>
    </row>
    <row r="122" spans="2:8" ht="15" customHeight="1" x14ac:dyDescent="0.25">
      <c r="B122" s="386"/>
      <c r="C122" s="386"/>
      <c r="D122" s="386"/>
      <c r="E122" s="386"/>
      <c r="F122" s="386"/>
      <c r="G122" s="386"/>
      <c r="H122" s="386"/>
    </row>
    <row r="123" spans="2:8" ht="15" customHeight="1" x14ac:dyDescent="0.25">
      <c r="B123" s="386"/>
      <c r="C123" s="386"/>
      <c r="D123" s="386"/>
      <c r="E123" s="386"/>
      <c r="F123" s="386"/>
      <c r="G123" s="386"/>
      <c r="H123" s="386"/>
    </row>
    <row r="124" spans="2:8" ht="15" customHeight="1" x14ac:dyDescent="0.25">
      <c r="B124" s="386"/>
      <c r="C124" s="386"/>
      <c r="D124" s="386"/>
      <c r="E124" s="386"/>
      <c r="F124" s="386"/>
      <c r="G124" s="386"/>
      <c r="H124" s="386"/>
    </row>
    <row r="125" spans="2:8" ht="15" customHeight="1" x14ac:dyDescent="0.25">
      <c r="B125" s="386"/>
      <c r="C125" s="386"/>
      <c r="D125" s="386"/>
      <c r="E125" s="386"/>
      <c r="F125" s="386"/>
      <c r="G125" s="386"/>
      <c r="H125" s="386"/>
    </row>
    <row r="126" spans="2:8" ht="15" customHeight="1" x14ac:dyDescent="0.25">
      <c r="B126" s="386"/>
      <c r="C126" s="386"/>
      <c r="D126" s="386"/>
      <c r="E126" s="386"/>
      <c r="F126" s="386"/>
      <c r="G126" s="386"/>
      <c r="H126" s="386"/>
    </row>
    <row r="127" spans="2:8" ht="15" customHeight="1" x14ac:dyDescent="0.25">
      <c r="B127" s="386"/>
      <c r="C127" s="386"/>
      <c r="D127" s="386"/>
      <c r="E127" s="386"/>
      <c r="F127" s="386"/>
      <c r="G127" s="386"/>
      <c r="H127" s="386"/>
    </row>
    <row r="128" spans="2:8" ht="15" customHeight="1" x14ac:dyDescent="0.25">
      <c r="B128" s="386"/>
      <c r="C128" s="386"/>
      <c r="D128" s="386"/>
      <c r="E128" s="386"/>
      <c r="F128" s="386"/>
      <c r="G128" s="386"/>
      <c r="H128" s="386"/>
    </row>
    <row r="129" spans="2:8" ht="15" customHeight="1" x14ac:dyDescent="0.25">
      <c r="B129" s="386"/>
      <c r="C129" s="386"/>
      <c r="D129" s="386"/>
      <c r="E129" s="386"/>
      <c r="F129" s="386"/>
      <c r="G129" s="386"/>
      <c r="H129" s="386"/>
    </row>
    <row r="130" spans="2:8" ht="15" customHeight="1" x14ac:dyDescent="0.25">
      <c r="B130" s="386"/>
      <c r="C130" s="386"/>
      <c r="D130" s="386"/>
      <c r="E130" s="386"/>
      <c r="F130" s="386"/>
      <c r="G130" s="386"/>
      <c r="H130" s="386"/>
    </row>
    <row r="131" spans="2:8" ht="15" customHeight="1" x14ac:dyDescent="0.25">
      <c r="B131" s="386"/>
      <c r="C131" s="386"/>
      <c r="D131" s="386"/>
      <c r="E131" s="386"/>
      <c r="F131" s="386"/>
      <c r="G131" s="386"/>
      <c r="H131" s="386"/>
    </row>
    <row r="132" spans="2:8" ht="15" customHeight="1" x14ac:dyDescent="0.25">
      <c r="B132" s="386"/>
      <c r="C132" s="386"/>
      <c r="D132" s="386"/>
      <c r="E132" s="386"/>
      <c r="F132" s="386"/>
      <c r="G132" s="386"/>
      <c r="H132" s="386"/>
    </row>
    <row r="133" spans="2:8" ht="15" customHeight="1" x14ac:dyDescent="0.25">
      <c r="B133" s="386"/>
      <c r="C133" s="386"/>
      <c r="D133" s="386"/>
      <c r="E133" s="386"/>
      <c r="F133" s="386"/>
      <c r="G133" s="386"/>
      <c r="H133" s="386"/>
    </row>
    <row r="134" spans="2:8" ht="15" customHeight="1" x14ac:dyDescent="0.25">
      <c r="B134" s="386"/>
      <c r="C134" s="386"/>
      <c r="D134" s="386"/>
      <c r="E134" s="386"/>
      <c r="F134" s="386"/>
      <c r="G134" s="386"/>
      <c r="H134" s="386"/>
    </row>
    <row r="135" spans="2:8" ht="15" customHeight="1" x14ac:dyDescent="0.25">
      <c r="B135" s="386"/>
      <c r="C135" s="386"/>
      <c r="D135" s="386"/>
      <c r="E135" s="386"/>
      <c r="F135" s="386"/>
      <c r="G135" s="386"/>
      <c r="H135" s="386"/>
    </row>
    <row r="136" spans="2:8" ht="15" customHeight="1" x14ac:dyDescent="0.25">
      <c r="B136" s="243"/>
      <c r="C136" s="243"/>
      <c r="D136" s="243"/>
      <c r="E136" s="243"/>
      <c r="F136" s="243"/>
      <c r="G136" s="243"/>
      <c r="H136" s="243"/>
    </row>
    <row r="137" spans="2:8" ht="15" customHeight="1" x14ac:dyDescent="0.25">
      <c r="B137" s="243"/>
      <c r="C137" s="243"/>
      <c r="D137" s="243"/>
      <c r="E137" s="243"/>
      <c r="F137" s="243"/>
      <c r="G137" s="243"/>
      <c r="H137" s="243"/>
    </row>
    <row r="138" spans="2:8" x14ac:dyDescent="0.25">
      <c r="C138" s="228"/>
      <c r="D138" s="228"/>
      <c r="E138" s="228"/>
      <c r="F138" s="228"/>
      <c r="G138" s="228"/>
    </row>
    <row r="142" spans="2:8" ht="18.75" x14ac:dyDescent="0.3">
      <c r="B142" s="230" t="s">
        <v>378</v>
      </c>
    </row>
    <row r="146" spans="2:4" x14ac:dyDescent="0.25">
      <c r="B146" s="35" t="s">
        <v>379</v>
      </c>
      <c r="C146" s="244" t="s">
        <v>380</v>
      </c>
      <c r="D146" s="244" t="s">
        <v>381</v>
      </c>
    </row>
    <row r="147" spans="2:4" x14ac:dyDescent="0.25">
      <c r="B147" s="35" t="str">
        <f>SUBSTITUTE(Mesures_Four!A28,"Emplacement ","")</f>
        <v>1</v>
      </c>
      <c r="C147" s="314">
        <f>Mesures_Four!B28</f>
        <v>0</v>
      </c>
      <c r="D147" s="315">
        <f>Mesures_Four!C28</f>
        <v>0</v>
      </c>
    </row>
    <row r="148" spans="2:4" x14ac:dyDescent="0.25">
      <c r="B148" s="35" t="str">
        <f>SUBSTITUTE(Mesures_Four!A29,"Emplacement ","")</f>
        <v>2</v>
      </c>
      <c r="C148" s="314">
        <f>Mesures_Four!B29</f>
        <v>0</v>
      </c>
      <c r="D148" s="315">
        <f>Mesures_Four!C29</f>
        <v>0</v>
      </c>
    </row>
    <row r="149" spans="2:4" x14ac:dyDescent="0.25">
      <c r="B149" s="35" t="str">
        <f>SUBSTITUTE(Mesures_Four!A30,"Emplacement ","")</f>
        <v>3</v>
      </c>
      <c r="C149" s="314">
        <f>Mesures_Four!B30</f>
        <v>0</v>
      </c>
      <c r="D149" s="315">
        <f>Mesures_Four!C30</f>
        <v>0</v>
      </c>
    </row>
    <row r="150" spans="2:4" x14ac:dyDescent="0.25">
      <c r="B150" s="35" t="str">
        <f>SUBSTITUTE(Mesures_Four!A31,"Emplacement ","")</f>
        <v>4</v>
      </c>
      <c r="C150" s="314">
        <f>Mesures_Four!B31</f>
        <v>0</v>
      </c>
      <c r="D150" s="315">
        <f>Mesures_Four!C31</f>
        <v>0</v>
      </c>
    </row>
    <row r="151" spans="2:4" x14ac:dyDescent="0.25">
      <c r="B151" s="35" t="str">
        <f>SUBSTITUTE(Mesures_Four!A32,"Emplacement ","")</f>
        <v>5</v>
      </c>
      <c r="C151" s="314">
        <f>Mesures_Four!B32</f>
        <v>0</v>
      </c>
      <c r="D151" s="315">
        <f>Mesures_Four!C32</f>
        <v>0</v>
      </c>
    </row>
    <row r="152" spans="2:4" x14ac:dyDescent="0.25">
      <c r="B152" s="35" t="str">
        <f>SUBSTITUTE(Mesures_Four!A33,"Emplacement ","")</f>
        <v>6</v>
      </c>
      <c r="C152" s="314">
        <f>Mesures_Four!B33</f>
        <v>0</v>
      </c>
      <c r="D152" s="315">
        <f>Mesures_Four!C33</f>
        <v>0</v>
      </c>
    </row>
    <row r="153" spans="2:4" x14ac:dyDescent="0.25">
      <c r="B153" s="35" t="str">
        <f>SUBSTITUTE(Mesures_Four!A34,"Emplacement ","")</f>
        <v>7</v>
      </c>
      <c r="C153" s="314">
        <f>Mesures_Four!B34</f>
        <v>0</v>
      </c>
      <c r="D153" s="315">
        <f>Mesures_Four!C34</f>
        <v>0</v>
      </c>
    </row>
    <row r="154" spans="2:4" x14ac:dyDescent="0.25">
      <c r="B154" s="35" t="str">
        <f>SUBSTITUTE(Mesures_Four!A35,"Emplacement ","")</f>
        <v>8</v>
      </c>
      <c r="C154" s="314">
        <f>Mesures_Four!B35</f>
        <v>0</v>
      </c>
      <c r="D154" s="315">
        <f>Mesures_Four!C35</f>
        <v>0</v>
      </c>
    </row>
    <row r="155" spans="2:4" x14ac:dyDescent="0.25">
      <c r="B155" s="35" t="str">
        <f>SUBSTITUTE(Mesures_Four!A36,"Emplacement ","")</f>
        <v>9</v>
      </c>
      <c r="C155" s="314">
        <f>Mesures_Four!B36</f>
        <v>0</v>
      </c>
      <c r="D155" s="315">
        <f>Mesures_Four!C36</f>
        <v>0</v>
      </c>
    </row>
    <row r="178" spans="2:6" ht="18.75" x14ac:dyDescent="0.3">
      <c r="B178" s="230" t="str">
        <f>_xlfn.CONCAT("6- Résultats et exploitations des résultats à ",B181)</f>
        <v>6- Résultats et exploitations des résultats à 80°C</v>
      </c>
    </row>
    <row r="180" spans="2:6" x14ac:dyDescent="0.25">
      <c r="B180" s="245" t="s">
        <v>237</v>
      </c>
      <c r="C180" s="245" t="s">
        <v>382</v>
      </c>
      <c r="E180" s="245" t="s">
        <v>383</v>
      </c>
      <c r="F180" s="245" t="s">
        <v>384</v>
      </c>
    </row>
    <row r="181" spans="2:6" x14ac:dyDescent="0.25">
      <c r="B181" s="246" t="str">
        <f>Mesures_Four!D27</f>
        <v>80°C</v>
      </c>
      <c r="C181" s="247" t="str">
        <f>_xlfn.CONCAT("± ",Mesures_Four!F21,"°C")</f>
        <v>± 3°C</v>
      </c>
      <c r="E181" s="246" t="s">
        <v>385</v>
      </c>
      <c r="F181" s="129">
        <f>Mesures_Four!C21</f>
        <v>-0.6</v>
      </c>
    </row>
    <row r="182" spans="2:6" x14ac:dyDescent="0.25">
      <c r="E182" s="246" t="s">
        <v>386</v>
      </c>
      <c r="F182" s="129">
        <f>Mesures_Four!D21</f>
        <v>-0.27</v>
      </c>
    </row>
    <row r="183" spans="2:6" x14ac:dyDescent="0.25">
      <c r="B183" s="245" t="s">
        <v>387</v>
      </c>
      <c r="C183" s="245" t="s">
        <v>388</v>
      </c>
      <c r="E183" s="246" t="s">
        <v>389</v>
      </c>
      <c r="F183" s="129">
        <f>Mesures_Four!E21</f>
        <v>0.5</v>
      </c>
    </row>
    <row r="184" spans="2:6" x14ac:dyDescent="0.25">
      <c r="B184" s="248">
        <f>INDEX(tab_four80[Date/Heure],1)</f>
        <v>0</v>
      </c>
      <c r="C184" s="248">
        <f ca="1">OFFSET(INDEX(tab_four80[Date/Heure],1),COUNTA(tab_four80[Date/Heure])+COUNTBLANK(tab_four80[Date/Heure])-1,0,1)</f>
        <v>0</v>
      </c>
    </row>
    <row r="186" spans="2:6" ht="18.75" x14ac:dyDescent="0.3">
      <c r="B186" s="230" t="s">
        <v>390</v>
      </c>
    </row>
    <row r="188" spans="2:6" x14ac:dyDescent="0.25">
      <c r="C188" s="245" t="s">
        <v>391</v>
      </c>
      <c r="D188" s="245" t="s">
        <v>392</v>
      </c>
      <c r="E188" s="245" t="s">
        <v>393</v>
      </c>
      <c r="F188" s="245" t="s">
        <v>394</v>
      </c>
    </row>
    <row r="189" spans="2:6" x14ac:dyDescent="0.25">
      <c r="C189" s="246" t="s">
        <v>395</v>
      </c>
      <c r="D189" s="249" t="e">
        <f ca="1">'80°C'!AB12</f>
        <v>#REF!</v>
      </c>
      <c r="E189" s="249" t="e">
        <f ca="1">'80°C'!AB13</f>
        <v>#REF!</v>
      </c>
      <c r="F189" s="249" t="e">
        <f ca="1">'80°C'!AB14</f>
        <v>#REF!</v>
      </c>
    </row>
    <row r="190" spans="2:6" x14ac:dyDescent="0.25">
      <c r="C190" s="246" t="s">
        <v>396</v>
      </c>
      <c r="D190" s="249" t="e">
        <f ca="1">'80°C'!AC12</f>
        <v>#REF!</v>
      </c>
      <c r="E190" s="249" t="e">
        <f ca="1">'80°C'!AC13</f>
        <v>#REF!</v>
      </c>
      <c r="F190" s="249" t="e">
        <f ca="1">'80°C'!AC14</f>
        <v>#REF!</v>
      </c>
    </row>
    <row r="191" spans="2:6" x14ac:dyDescent="0.25">
      <c r="C191" s="246" t="s">
        <v>397</v>
      </c>
      <c r="D191" s="249" t="e">
        <f ca="1">'80°C'!AA12</f>
        <v>#REF!</v>
      </c>
      <c r="E191" s="249" t="e">
        <f ca="1">'80°C'!AA13</f>
        <v>#REF!</v>
      </c>
      <c r="F191" s="249" t="e">
        <f ca="1">'80°C'!AA14</f>
        <v>#REF!</v>
      </c>
    </row>
    <row r="193" spans="2:5" ht="18.75" x14ac:dyDescent="0.3">
      <c r="B193" s="230" t="s">
        <v>398</v>
      </c>
    </row>
    <row r="195" spans="2:5" x14ac:dyDescent="0.25">
      <c r="B195" s="387" t="s">
        <v>294</v>
      </c>
      <c r="C195" s="387"/>
      <c r="D195" s="245" t="s">
        <v>399</v>
      </c>
      <c r="E195" s="245" t="s">
        <v>400</v>
      </c>
    </row>
    <row r="196" spans="2:5" x14ac:dyDescent="0.25">
      <c r="B196" s="388" t="s">
        <v>401</v>
      </c>
      <c r="C196" s="388"/>
      <c r="D196" s="250" t="str">
        <f>B181</f>
        <v>80°C</v>
      </c>
      <c r="E196" s="250" t="s">
        <v>200</v>
      </c>
    </row>
    <row r="197" spans="2:5" x14ac:dyDescent="0.25">
      <c r="B197" s="388" t="s">
        <v>201</v>
      </c>
      <c r="C197" s="388"/>
      <c r="D197" s="250" t="str">
        <f>B181</f>
        <v>80°C</v>
      </c>
      <c r="E197" s="250" t="s">
        <v>200</v>
      </c>
    </row>
    <row r="198" spans="2:5" x14ac:dyDescent="0.25">
      <c r="B198" s="388" t="s">
        <v>402</v>
      </c>
      <c r="C198" s="388"/>
      <c r="D198" s="249" t="e">
        <f>'80°C'!W10</f>
        <v>#N/A</v>
      </c>
      <c r="E198" s="251" t="e">
        <f>VLOOKUP(SUBSTITUTE(HLOOKUP(D198,'80°C'!$N10:$V$17,8,FALSE),"Connecteur ",""),Mesures_Four!B28:C36,2,FALSE)</f>
        <v>#N/A</v>
      </c>
    </row>
    <row r="199" spans="2:5" ht="30" customHeight="1" x14ac:dyDescent="0.25">
      <c r="B199" s="395" t="s">
        <v>403</v>
      </c>
      <c r="C199" s="395"/>
      <c r="D199" s="249" t="e">
        <f ca="1">'80°C'!W11</f>
        <v>#REF!</v>
      </c>
      <c r="E199" s="251" t="e">
        <f ca="1">VLOOKUP(SUBSTITUTE(HLOOKUP(D199,'80°C'!$N11:$V$17,7,FALSE),"Connecteur ",""),Mesures_Four!B28:C36,2,FALSE)</f>
        <v>#REF!</v>
      </c>
    </row>
    <row r="200" spans="2:5" ht="30" customHeight="1" x14ac:dyDescent="0.25">
      <c r="B200" s="395" t="s">
        <v>404</v>
      </c>
      <c r="C200" s="395"/>
      <c r="D200" s="249" t="e">
        <f ca="1">'80°C'!W12</f>
        <v>#REF!</v>
      </c>
      <c r="E200" s="251" t="e">
        <f ca="1">VLOOKUP(SUBSTITUTE(HLOOKUP(D200,'80°C'!$N12:$V$17,6,FALSE),"Connecteur ",""),Mesures_Four!B28:C36,2,FALSE)</f>
        <v>#REF!</v>
      </c>
    </row>
    <row r="201" spans="2:5" ht="30" customHeight="1" x14ac:dyDescent="0.25">
      <c r="B201" s="395" t="s">
        <v>405</v>
      </c>
      <c r="C201" s="395"/>
      <c r="D201" s="249" t="e">
        <f ca="1">'80°C'!W16</f>
        <v>#REF!</v>
      </c>
      <c r="E201" s="250" t="s">
        <v>200</v>
      </c>
    </row>
    <row r="209" spans="2:8" ht="18.75" x14ac:dyDescent="0.3">
      <c r="B209" s="230" t="s">
        <v>406</v>
      </c>
    </row>
    <row r="210" spans="2:8" ht="18.75" x14ac:dyDescent="0.3">
      <c r="B210" s="230"/>
    </row>
    <row r="211" spans="2:8" x14ac:dyDescent="0.25">
      <c r="B211" s="396" t="s">
        <v>407</v>
      </c>
      <c r="C211" s="396" t="s">
        <v>400</v>
      </c>
      <c r="D211" s="387" t="s">
        <v>408</v>
      </c>
      <c r="E211" s="387"/>
      <c r="F211" s="387"/>
      <c r="G211" s="387"/>
      <c r="H211" s="245" t="s">
        <v>327</v>
      </c>
    </row>
    <row r="212" spans="2:8" x14ac:dyDescent="0.25">
      <c r="B212" s="397"/>
      <c r="C212" s="397"/>
      <c r="D212" s="246" t="s">
        <v>409</v>
      </c>
      <c r="E212" s="246" t="s">
        <v>410</v>
      </c>
      <c r="F212" s="246" t="s">
        <v>211</v>
      </c>
      <c r="G212" s="246" t="s">
        <v>212</v>
      </c>
      <c r="H212" s="246" t="s">
        <v>411</v>
      </c>
    </row>
    <row r="213" spans="2:8" x14ac:dyDescent="0.25">
      <c r="B213" s="252" t="s">
        <v>412</v>
      </c>
      <c r="C213" s="246" t="e">
        <f>VLOOKUP($B213,$C$147:$D$155,2,FALSE)</f>
        <v>#N/A</v>
      </c>
      <c r="D213" s="249" t="e">
        <f ca="1">'80°C'!N11</f>
        <v>#REF!</v>
      </c>
      <c r="E213" s="249" t="e">
        <f ca="1">'80°C'!N12</f>
        <v>#REF!</v>
      </c>
      <c r="F213" s="249" t="e">
        <f ca="1">'80°C'!N13</f>
        <v>#REF!</v>
      </c>
      <c r="G213" s="249" t="e">
        <f t="shared" ref="G213:G221" ca="1" si="0">D213-E213</f>
        <v>#REF!</v>
      </c>
      <c r="H213" s="249" t="e">
        <f>'80°C'!N10</f>
        <v>#N/A</v>
      </c>
    </row>
    <row r="214" spans="2:8" x14ac:dyDescent="0.25">
      <c r="B214" s="252" t="s">
        <v>413</v>
      </c>
      <c r="C214" s="246" t="e">
        <f t="shared" ref="C214:C221" si="1">VLOOKUP($B214,$C$147:$D$155,2,FALSE)</f>
        <v>#N/A</v>
      </c>
      <c r="D214" s="249" t="e">
        <f ca="1">'80°C'!O11</f>
        <v>#REF!</v>
      </c>
      <c r="E214" s="249" t="e">
        <f ca="1">'80°C'!O12</f>
        <v>#REF!</v>
      </c>
      <c r="F214" s="249" t="e">
        <f ca="1">'80°C'!O13</f>
        <v>#REF!</v>
      </c>
      <c r="G214" s="249" t="e">
        <f t="shared" ca="1" si="0"/>
        <v>#REF!</v>
      </c>
      <c r="H214" s="249" t="e">
        <f>'80°C'!O10</f>
        <v>#N/A</v>
      </c>
    </row>
    <row r="215" spans="2:8" x14ac:dyDescent="0.25">
      <c r="B215" s="252" t="s">
        <v>414</v>
      </c>
      <c r="C215" s="246" t="e">
        <f t="shared" si="1"/>
        <v>#N/A</v>
      </c>
      <c r="D215" s="249" t="e">
        <f ca="1">'80°C'!P11</f>
        <v>#REF!</v>
      </c>
      <c r="E215" s="249" t="e">
        <f ca="1">'80°C'!P12</f>
        <v>#REF!</v>
      </c>
      <c r="F215" s="249" t="e">
        <f ca="1">'80°C'!P13</f>
        <v>#REF!</v>
      </c>
      <c r="G215" s="249" t="e">
        <f t="shared" ca="1" si="0"/>
        <v>#REF!</v>
      </c>
      <c r="H215" s="249" t="e">
        <f>'80°C'!P10</f>
        <v>#N/A</v>
      </c>
    </row>
    <row r="216" spans="2:8" x14ac:dyDescent="0.25">
      <c r="B216" s="252" t="s">
        <v>415</v>
      </c>
      <c r="C216" s="246" t="e">
        <f t="shared" si="1"/>
        <v>#N/A</v>
      </c>
      <c r="D216" s="249" t="e">
        <f ca="1">'80°C'!Q11</f>
        <v>#REF!</v>
      </c>
      <c r="E216" s="249" t="e">
        <f ca="1">'80°C'!Q12</f>
        <v>#REF!</v>
      </c>
      <c r="F216" s="249" t="e">
        <f ca="1">'80°C'!Q13</f>
        <v>#REF!</v>
      </c>
      <c r="G216" s="249" t="e">
        <f t="shared" ca="1" si="0"/>
        <v>#REF!</v>
      </c>
      <c r="H216" s="249" t="e">
        <f>'80°C'!Q10</f>
        <v>#N/A</v>
      </c>
    </row>
    <row r="217" spans="2:8" x14ac:dyDescent="0.25">
      <c r="B217" s="252" t="s">
        <v>416</v>
      </c>
      <c r="C217" s="246" t="e">
        <f t="shared" si="1"/>
        <v>#N/A</v>
      </c>
      <c r="D217" s="249" t="e">
        <f ca="1">'80°C'!R11</f>
        <v>#REF!</v>
      </c>
      <c r="E217" s="249" t="e">
        <f ca="1">'80°C'!R12</f>
        <v>#REF!</v>
      </c>
      <c r="F217" s="249" t="e">
        <f ca="1">'80°C'!R13</f>
        <v>#REF!</v>
      </c>
      <c r="G217" s="249" t="e">
        <f t="shared" ca="1" si="0"/>
        <v>#REF!</v>
      </c>
      <c r="H217" s="249" t="e">
        <f>'80°C'!R10</f>
        <v>#N/A</v>
      </c>
    </row>
    <row r="218" spans="2:8" x14ac:dyDescent="0.25">
      <c r="B218" s="252" t="s">
        <v>417</v>
      </c>
      <c r="C218" s="246" t="e">
        <f t="shared" si="1"/>
        <v>#N/A</v>
      </c>
      <c r="D218" s="249" t="e">
        <f ca="1">'80°C'!S11</f>
        <v>#REF!</v>
      </c>
      <c r="E218" s="249" t="e">
        <f ca="1">'80°C'!S12</f>
        <v>#REF!</v>
      </c>
      <c r="F218" s="249" t="e">
        <f ca="1">'80°C'!S13</f>
        <v>#REF!</v>
      </c>
      <c r="G218" s="249" t="e">
        <f t="shared" ca="1" si="0"/>
        <v>#REF!</v>
      </c>
      <c r="H218" s="249" t="e">
        <f>'80°C'!S10</f>
        <v>#N/A</v>
      </c>
    </row>
    <row r="219" spans="2:8" x14ac:dyDescent="0.25">
      <c r="B219" s="252" t="s">
        <v>418</v>
      </c>
      <c r="C219" s="246" t="e">
        <f t="shared" si="1"/>
        <v>#N/A</v>
      </c>
      <c r="D219" s="249" t="e">
        <f ca="1">'80°C'!T11</f>
        <v>#REF!</v>
      </c>
      <c r="E219" s="249" t="e">
        <f ca="1">'80°C'!T12</f>
        <v>#REF!</v>
      </c>
      <c r="F219" s="249" t="e">
        <f ca="1">'80°C'!T13</f>
        <v>#REF!</v>
      </c>
      <c r="G219" s="249" t="e">
        <f t="shared" ca="1" si="0"/>
        <v>#REF!</v>
      </c>
      <c r="H219" s="249" t="e">
        <f>'80°C'!T10</f>
        <v>#N/A</v>
      </c>
    </row>
    <row r="220" spans="2:8" x14ac:dyDescent="0.25">
      <c r="B220" s="252" t="s">
        <v>419</v>
      </c>
      <c r="C220" s="246" t="e">
        <f t="shared" si="1"/>
        <v>#N/A</v>
      </c>
      <c r="D220" s="249" t="e">
        <f ca="1">'80°C'!U11</f>
        <v>#REF!</v>
      </c>
      <c r="E220" s="249" t="e">
        <f ca="1">'80°C'!U12</f>
        <v>#REF!</v>
      </c>
      <c r="F220" s="249" t="e">
        <f ca="1">'80°C'!U13</f>
        <v>#REF!</v>
      </c>
      <c r="G220" s="249" t="e">
        <f t="shared" ca="1" si="0"/>
        <v>#REF!</v>
      </c>
      <c r="H220" s="249" t="e">
        <f>'80°C'!U10</f>
        <v>#N/A</v>
      </c>
    </row>
    <row r="221" spans="2:8" x14ac:dyDescent="0.25">
      <c r="B221" s="252" t="s">
        <v>420</v>
      </c>
      <c r="C221" s="246" t="e">
        <f t="shared" si="1"/>
        <v>#N/A</v>
      </c>
      <c r="D221" s="249" t="e">
        <f ca="1">'80°C'!V11</f>
        <v>#REF!</v>
      </c>
      <c r="E221" s="249" t="e">
        <f ca="1">'80°C'!V12</f>
        <v>#REF!</v>
      </c>
      <c r="F221" s="249" t="e">
        <f ca="1">'80°C'!V13</f>
        <v>#REF!</v>
      </c>
      <c r="G221" s="249" t="e">
        <f t="shared" ca="1" si="0"/>
        <v>#REF!</v>
      </c>
      <c r="H221" s="249" t="e">
        <f>'80°C'!V10</f>
        <v>#N/A</v>
      </c>
    </row>
    <row r="223" spans="2:8" ht="18.75" x14ac:dyDescent="0.3">
      <c r="B223" s="230" t="s">
        <v>421</v>
      </c>
    </row>
    <row r="252" spans="2:6" ht="18.75" x14ac:dyDescent="0.3">
      <c r="B252" s="230" t="s">
        <v>422</v>
      </c>
    </row>
    <row r="253" spans="2:6" ht="18.75" x14ac:dyDescent="0.3">
      <c r="B253" s="230"/>
      <c r="C253" s="389" t="s">
        <v>423</v>
      </c>
      <c r="D253" s="389"/>
      <c r="E253" s="389"/>
      <c r="F253" s="389"/>
    </row>
    <row r="254" spans="2:6" ht="28.9" customHeight="1" x14ac:dyDescent="0.25">
      <c r="C254" s="390" t="str">
        <f>_xlfn.CONCAT("Dépassement de la consigne durant la phase de montée ou de maintien en température (&gt; ",B181,")")</f>
        <v>Dépassement de la consigne durant la phase de montée ou de maintien en température (&gt; 80°C)</v>
      </c>
      <c r="D254" s="390"/>
      <c r="E254" s="391" t="e">
        <f>IF('80°C'!W10-Mesures_Four!B21&gt;0,'80°C'!W10-Mesures_Four!B21,"PAS DE DÉPASSEMENT")</f>
        <v>#N/A</v>
      </c>
      <c r="F254" s="392"/>
    </row>
    <row r="255" spans="2:6" ht="18.75" x14ac:dyDescent="0.3">
      <c r="B255" s="230"/>
      <c r="C255" s="393" t="str">
        <f>_xlfn.CONCAT("Dépassement supérieur à la tolérance maximale (",C181,")")</f>
        <v>Dépassement supérieur à la tolérance maximale (± 3°C)</v>
      </c>
      <c r="D255" s="393"/>
      <c r="E255" s="394" t="e">
        <f>IF(OR(E254="PAS DE DÉPASSEMENT",E254&lt;=Mesures_Four!F21),"NON","OUI")</f>
        <v>#N/A</v>
      </c>
      <c r="F255" s="394"/>
    </row>
    <row r="257" spans="2:7" x14ac:dyDescent="0.25">
      <c r="C257" s="389" t="s">
        <v>424</v>
      </c>
      <c r="D257" s="389"/>
      <c r="E257" s="389"/>
      <c r="F257" s="389"/>
    </row>
    <row r="258" spans="2:7" ht="28.9" customHeight="1" x14ac:dyDescent="0.25">
      <c r="C258" s="390" t="s">
        <v>425</v>
      </c>
      <c r="D258" s="390"/>
      <c r="E258" s="391" t="e">
        <f ca="1">'80°C'!N21</f>
        <v>#REF!</v>
      </c>
      <c r="F258" s="391"/>
    </row>
    <row r="259" spans="2:7" ht="28.9" customHeight="1" x14ac:dyDescent="0.25">
      <c r="C259" s="390" t="s">
        <v>426</v>
      </c>
      <c r="D259" s="390"/>
      <c r="E259" s="391" t="e">
        <f ca="1">'80°C'!N20</f>
        <v>#REF!</v>
      </c>
      <c r="F259" s="391"/>
    </row>
    <row r="260" spans="2:7" x14ac:dyDescent="0.25">
      <c r="C260" s="399" t="s">
        <v>427</v>
      </c>
      <c r="D260" s="399"/>
      <c r="E260" s="404" t="e">
        <f ca="1">'80°C'!N15</f>
        <v>#REF!</v>
      </c>
      <c r="F260" s="405"/>
    </row>
    <row r="261" spans="2:7" x14ac:dyDescent="0.25">
      <c r="C261" s="399" t="s">
        <v>428</v>
      </c>
      <c r="D261" s="399"/>
      <c r="E261" s="400">
        <f>Mesures_Four!G21</f>
        <v>6</v>
      </c>
      <c r="F261" s="400"/>
    </row>
    <row r="262" spans="2:7" x14ac:dyDescent="0.25">
      <c r="C262" s="393" t="s">
        <v>429</v>
      </c>
      <c r="D262" s="393"/>
      <c r="E262" s="401" t="e">
        <f ca="1">IF(AND(ABS(E258)&lt;=E261/2,(ABS(E259)&lt;=E261/2)),"CONFORME","NON CONFORME")</f>
        <v>#REF!</v>
      </c>
      <c r="F262" s="401"/>
    </row>
    <row r="264" spans="2:7" x14ac:dyDescent="0.25">
      <c r="C264" s="387" t="s">
        <v>430</v>
      </c>
      <c r="D264" s="387"/>
      <c r="E264" s="245" t="s">
        <v>389</v>
      </c>
      <c r="F264" s="245" t="s">
        <v>386</v>
      </c>
    </row>
    <row r="265" spans="2:7" ht="28.9" customHeight="1" x14ac:dyDescent="0.25">
      <c r="B265" s="253" t="s">
        <v>431</v>
      </c>
      <c r="C265" s="402" t="s">
        <v>432</v>
      </c>
      <c r="D265" s="403"/>
      <c r="E265" s="153" t="e">
        <f ca="1">IF(ABS(E258)&lt;Mesures_Four!F21/2,"OUI","NON")</f>
        <v>#REF!</v>
      </c>
      <c r="F265" s="153" t="e">
        <f ca="1">IF(ABS(E259)&lt;Mesures_Four!F21/2,"OUI","NON")</f>
        <v>#REF!</v>
      </c>
    </row>
    <row r="266" spans="2:7" ht="28.9" customHeight="1" x14ac:dyDescent="0.25">
      <c r="B266" s="410" t="s">
        <v>433</v>
      </c>
      <c r="C266" s="402" t="s">
        <v>434</v>
      </c>
      <c r="D266" s="403"/>
      <c r="E266" s="153" t="e">
        <f ca="1">IF(ABS('80°C'!AA13-'80°C'!W12)&lt;1.1,"OUI","NON")</f>
        <v>#REF!</v>
      </c>
      <c r="F266" s="153" t="s">
        <v>200</v>
      </c>
    </row>
    <row r="267" spans="2:7" ht="28.9" customHeight="1" x14ac:dyDescent="0.25">
      <c r="B267" s="410"/>
      <c r="C267" s="402" t="s">
        <v>435</v>
      </c>
      <c r="D267" s="403"/>
      <c r="E267" s="153" t="s">
        <v>200</v>
      </c>
      <c r="F267" s="153" t="e">
        <f ca="1">IF(ABS('80°C'!AC12-'80°C'!W11)&lt;1.1,"OUI","NON")</f>
        <v>#REF!</v>
      </c>
    </row>
    <row r="268" spans="2:7" ht="28.9" customHeight="1" x14ac:dyDescent="0.25">
      <c r="C268" s="411" t="s">
        <v>436</v>
      </c>
      <c r="D268" s="411"/>
      <c r="E268" s="153" t="e">
        <f ca="1">IF(E265="OUI","NON",IF(E266="OUI","NON","OUI"))</f>
        <v>#REF!</v>
      </c>
      <c r="F268" s="153" t="e">
        <f ca="1">IF(F265="OUI","NON",IF(F267="OUI","NON","OUI"))</f>
        <v>#REF!</v>
      </c>
    </row>
    <row r="269" spans="2:7" x14ac:dyDescent="0.25">
      <c r="C269" s="206"/>
      <c r="D269" s="206"/>
    </row>
    <row r="270" spans="2:7" ht="18.75" x14ac:dyDescent="0.25">
      <c r="B270" s="412" t="str">
        <f>_xlfn.CONCAT("A ",B181,", avec une consigne à ",B181,", le four est ")</f>
        <v xml:space="preserve">A 80°C, avec une consigne à 80°C, le four est </v>
      </c>
      <c r="C270" s="412"/>
      <c r="D270" s="412"/>
      <c r="E270" s="254" t="e">
        <f ca="1">IF(AND(E255="NON",E262="CONFORME"),"CONFORME","NON CONFORME")</f>
        <v>#N/A</v>
      </c>
      <c r="F270" s="398" t="str">
        <f>_xlfn.CONCAT("à la tolérance requise de ± ",Mesures_Four!F21,"°C")</f>
        <v>à la tolérance requise de ± 3°C</v>
      </c>
      <c r="G270" s="398"/>
    </row>
    <row r="278" spans="2:6" ht="18.75" x14ac:dyDescent="0.3">
      <c r="B278" s="230" t="str">
        <f>_xlfn.CONCAT("6- Résultats et exploitations des résultats à ",B281)</f>
        <v>6- Résultats et exploitations des résultats à 200°C</v>
      </c>
    </row>
    <row r="280" spans="2:6" x14ac:dyDescent="0.25">
      <c r="B280" s="245" t="s">
        <v>237</v>
      </c>
      <c r="C280" s="245" t="s">
        <v>382</v>
      </c>
      <c r="E280" s="245" t="s">
        <v>383</v>
      </c>
      <c r="F280" s="245" t="s">
        <v>384</v>
      </c>
    </row>
    <row r="281" spans="2:6" x14ac:dyDescent="0.25">
      <c r="B281" s="246" t="str">
        <f>Mesures_Four!E27</f>
        <v>200°C</v>
      </c>
      <c r="C281" s="247" t="str">
        <f>_xlfn.CONCAT("± ",Mesures_Four!F22,"°C")</f>
        <v>± 3°C</v>
      </c>
      <c r="E281" s="246" t="s">
        <v>385</v>
      </c>
      <c r="F281" s="129">
        <f>Mesures_Four!C22</f>
        <v>-0.6</v>
      </c>
    </row>
    <row r="282" spans="2:6" x14ac:dyDescent="0.25">
      <c r="E282" s="246" t="s">
        <v>386</v>
      </c>
      <c r="F282" s="129">
        <f>Mesures_Four!D22</f>
        <v>-0.27</v>
      </c>
    </row>
    <row r="283" spans="2:6" x14ac:dyDescent="0.25">
      <c r="B283" s="245" t="s">
        <v>387</v>
      </c>
      <c r="C283" s="245" t="s">
        <v>388</v>
      </c>
      <c r="E283" s="246" t="s">
        <v>389</v>
      </c>
      <c r="F283" s="129">
        <f>Mesures_Four!E22</f>
        <v>0.5</v>
      </c>
    </row>
    <row r="284" spans="2:6" x14ac:dyDescent="0.25">
      <c r="B284" s="248">
        <f>INDEX(tab_four200[Date/Heure],1)</f>
        <v>0</v>
      </c>
      <c r="C284" s="248">
        <f ca="1">OFFSET(INDEX(tab_four200[Date/Heure],1),COUNTA(tab_four200[Date/Heure])+COUNTBLANK(tab_four200[Date/Heure])-1,0,1)</f>
        <v>0</v>
      </c>
    </row>
    <row r="286" spans="2:6" ht="18.75" x14ac:dyDescent="0.3">
      <c r="B286" s="230" t="s">
        <v>390</v>
      </c>
    </row>
    <row r="288" spans="2:6" x14ac:dyDescent="0.25">
      <c r="C288" s="245" t="s">
        <v>391</v>
      </c>
      <c r="D288" s="245" t="s">
        <v>392</v>
      </c>
      <c r="E288" s="245" t="s">
        <v>393</v>
      </c>
      <c r="F288" s="245" t="s">
        <v>394</v>
      </c>
    </row>
    <row r="289" spans="2:6" x14ac:dyDescent="0.25">
      <c r="C289" s="246" t="s">
        <v>395</v>
      </c>
      <c r="D289" s="249" t="e">
        <f ca="1">'200°C'!AB13</f>
        <v>#REF!</v>
      </c>
      <c r="E289" s="249" t="e">
        <f ca="1">'200°C'!AB14</f>
        <v>#REF!</v>
      </c>
      <c r="F289" s="249" t="e">
        <f ca="1">'200°C'!AB15</f>
        <v>#REF!</v>
      </c>
    </row>
    <row r="290" spans="2:6" x14ac:dyDescent="0.25">
      <c r="C290" s="246" t="s">
        <v>396</v>
      </c>
      <c r="D290" s="249" t="e">
        <f ca="1">'200°C'!AC13</f>
        <v>#REF!</v>
      </c>
      <c r="E290" s="249" t="e">
        <f ca="1">'200°C'!AC14</f>
        <v>#REF!</v>
      </c>
      <c r="F290" s="249" t="e">
        <f ca="1">'200°C'!AC15</f>
        <v>#REF!</v>
      </c>
    </row>
    <row r="291" spans="2:6" x14ac:dyDescent="0.25">
      <c r="C291" s="246" t="s">
        <v>397</v>
      </c>
      <c r="D291" s="249" t="e">
        <f ca="1">'200°C'!AA13</f>
        <v>#REF!</v>
      </c>
      <c r="E291" s="249" t="e">
        <f ca="1">'200°C'!AA14</f>
        <v>#REF!</v>
      </c>
      <c r="F291" s="249" t="e">
        <f ca="1">'200°C'!AA15</f>
        <v>#REF!</v>
      </c>
    </row>
    <row r="293" spans="2:6" ht="18.75" x14ac:dyDescent="0.3">
      <c r="B293" s="230" t="s">
        <v>398</v>
      </c>
    </row>
    <row r="295" spans="2:6" x14ac:dyDescent="0.25">
      <c r="B295" s="406" t="s">
        <v>294</v>
      </c>
      <c r="C295" s="407"/>
      <c r="D295" s="245" t="s">
        <v>399</v>
      </c>
      <c r="E295" s="245" t="s">
        <v>400</v>
      </c>
    </row>
    <row r="296" spans="2:6" x14ac:dyDescent="0.25">
      <c r="B296" s="408" t="s">
        <v>401</v>
      </c>
      <c r="C296" s="409"/>
      <c r="D296" s="250" t="str">
        <f>B281</f>
        <v>200°C</v>
      </c>
      <c r="E296" s="250" t="s">
        <v>200</v>
      </c>
    </row>
    <row r="297" spans="2:6" x14ac:dyDescent="0.25">
      <c r="B297" s="408" t="s">
        <v>201</v>
      </c>
      <c r="C297" s="409"/>
      <c r="D297" s="250" t="str">
        <f>B281</f>
        <v>200°C</v>
      </c>
      <c r="E297" s="250" t="s">
        <v>200</v>
      </c>
    </row>
    <row r="298" spans="2:6" x14ac:dyDescent="0.25">
      <c r="B298" s="408" t="s">
        <v>402</v>
      </c>
      <c r="C298" s="409"/>
      <c r="D298" s="249" t="e">
        <f>'200°C'!W11</f>
        <v>#N/A</v>
      </c>
      <c r="E298" s="251" t="e">
        <f>VLOOKUP(SUBSTITUTE(HLOOKUP(D298,'200°C'!$N11:$V$18,8,FALSE),"Connecteur ",""),Mesures_Four!B28:C36,2,FALSE)</f>
        <v>#N/A</v>
      </c>
    </row>
    <row r="299" spans="2:6" ht="30" customHeight="1" x14ac:dyDescent="0.25">
      <c r="B299" s="402" t="s">
        <v>403</v>
      </c>
      <c r="C299" s="403"/>
      <c r="D299" s="249" t="e">
        <f ca="1">'200°C'!W12</f>
        <v>#REF!</v>
      </c>
      <c r="E299" s="251" t="e">
        <f ca="1">VLOOKUP(SUBSTITUTE(HLOOKUP(D299,'200°C'!$N12:$V$18,7,FALSE),"Connecteur ",""),Mesures_Four!B28:C36,2,FALSE)</f>
        <v>#REF!</v>
      </c>
    </row>
    <row r="300" spans="2:6" ht="30" customHeight="1" x14ac:dyDescent="0.25">
      <c r="B300" s="402" t="s">
        <v>404</v>
      </c>
      <c r="C300" s="403"/>
      <c r="D300" s="249" t="e">
        <f ca="1">'200°C'!W13</f>
        <v>#REF!</v>
      </c>
      <c r="E300" s="251" t="e">
        <f ca="1">VLOOKUP(SUBSTITUTE(HLOOKUP(D300,'200°C'!$N13:$V$18,6,FALSE),"Connecteur ",""),Mesures_Four!B28:C36,2,FALSE)</f>
        <v>#REF!</v>
      </c>
    </row>
    <row r="301" spans="2:6" ht="30" customHeight="1" x14ac:dyDescent="0.25">
      <c r="B301" s="402" t="s">
        <v>405</v>
      </c>
      <c r="C301" s="403"/>
      <c r="D301" s="249" t="e">
        <f ca="1">'200°C'!W17</f>
        <v>#REF!</v>
      </c>
      <c r="E301" s="250" t="s">
        <v>200</v>
      </c>
    </row>
    <row r="308" spans="2:8" ht="18.75" x14ac:dyDescent="0.3">
      <c r="B308" s="230" t="s">
        <v>406</v>
      </c>
    </row>
    <row r="309" spans="2:8" ht="18.75" x14ac:dyDescent="0.3">
      <c r="B309" s="230"/>
    </row>
    <row r="310" spans="2:8" x14ac:dyDescent="0.25">
      <c r="B310" s="387" t="s">
        <v>407</v>
      </c>
      <c r="C310" s="387" t="s">
        <v>400</v>
      </c>
      <c r="D310" s="406" t="s">
        <v>408</v>
      </c>
      <c r="E310" s="414"/>
      <c r="F310" s="414"/>
      <c r="G310" s="407"/>
      <c r="H310" s="245" t="s">
        <v>327</v>
      </c>
    </row>
    <row r="311" spans="2:8" x14ac:dyDescent="0.25">
      <c r="B311" s="387"/>
      <c r="C311" s="387"/>
      <c r="D311" s="246" t="s">
        <v>409</v>
      </c>
      <c r="E311" s="246" t="s">
        <v>410</v>
      </c>
      <c r="F311" s="246" t="s">
        <v>211</v>
      </c>
      <c r="G311" s="246" t="s">
        <v>212</v>
      </c>
      <c r="H311" s="246" t="s">
        <v>411</v>
      </c>
    </row>
    <row r="312" spans="2:8" x14ac:dyDescent="0.25">
      <c r="B312" s="252" t="s">
        <v>412</v>
      </c>
      <c r="C312" s="246" t="e">
        <f>VLOOKUP($B312,$C$147:$D$155,2,FALSE)</f>
        <v>#N/A</v>
      </c>
      <c r="D312" s="249" t="e">
        <f ca="1">'200°C'!$N$12</f>
        <v>#REF!</v>
      </c>
      <c r="E312" s="249" t="e">
        <f ca="1">'200°C'!$N$13</f>
        <v>#REF!</v>
      </c>
      <c r="F312" s="249" t="e">
        <f ca="1">'200°C'!$N$14</f>
        <v>#REF!</v>
      </c>
      <c r="G312" s="249" t="e">
        <f t="shared" ref="G312:G320" ca="1" si="2">D312-E312</f>
        <v>#REF!</v>
      </c>
      <c r="H312" s="249" t="e">
        <f>'200°C'!$N$11</f>
        <v>#N/A</v>
      </c>
    </row>
    <row r="313" spans="2:8" x14ac:dyDescent="0.25">
      <c r="B313" s="252" t="s">
        <v>413</v>
      </c>
      <c r="C313" s="246" t="e">
        <f t="shared" ref="C313:C320" si="3">VLOOKUP($B313,$C$147:$D$155,2,FALSE)</f>
        <v>#N/A</v>
      </c>
      <c r="D313" s="249" t="e">
        <f ca="1">'200°C'!$O$12</f>
        <v>#REF!</v>
      </c>
      <c r="E313" s="249" t="e">
        <f ca="1">'200°C'!$O$13</f>
        <v>#REF!</v>
      </c>
      <c r="F313" s="249" t="e">
        <f ca="1">'200°C'!$O$14</f>
        <v>#REF!</v>
      </c>
      <c r="G313" s="249" t="e">
        <f t="shared" ca="1" si="2"/>
        <v>#REF!</v>
      </c>
      <c r="H313" s="249" t="e">
        <f>'200°C'!$O$11</f>
        <v>#N/A</v>
      </c>
    </row>
    <row r="314" spans="2:8" x14ac:dyDescent="0.25">
      <c r="B314" s="252" t="s">
        <v>414</v>
      </c>
      <c r="C314" s="246" t="e">
        <f t="shared" si="3"/>
        <v>#N/A</v>
      </c>
      <c r="D314" s="249" t="e">
        <f ca="1">'200°C'!$P$12</f>
        <v>#REF!</v>
      </c>
      <c r="E314" s="249" t="e">
        <f ca="1">'200°C'!$P$13</f>
        <v>#REF!</v>
      </c>
      <c r="F314" s="249" t="e">
        <f ca="1">'200°C'!$P$14</f>
        <v>#REF!</v>
      </c>
      <c r="G314" s="249" t="e">
        <f t="shared" ca="1" si="2"/>
        <v>#REF!</v>
      </c>
      <c r="H314" s="249" t="e">
        <f>'200°C'!$P$11</f>
        <v>#N/A</v>
      </c>
    </row>
    <row r="315" spans="2:8" x14ac:dyDescent="0.25">
      <c r="B315" s="252" t="s">
        <v>415</v>
      </c>
      <c r="C315" s="246" t="e">
        <f t="shared" si="3"/>
        <v>#N/A</v>
      </c>
      <c r="D315" s="249" t="e">
        <f ca="1">'200°C'!$Q$12</f>
        <v>#REF!</v>
      </c>
      <c r="E315" s="249" t="e">
        <f ca="1">'200°C'!$Q$13</f>
        <v>#REF!</v>
      </c>
      <c r="F315" s="249" t="e">
        <f ca="1">'200°C'!$Q$14</f>
        <v>#REF!</v>
      </c>
      <c r="G315" s="249" t="e">
        <f t="shared" ca="1" si="2"/>
        <v>#REF!</v>
      </c>
      <c r="H315" s="249" t="e">
        <f>'200°C'!$Q$11</f>
        <v>#N/A</v>
      </c>
    </row>
    <row r="316" spans="2:8" x14ac:dyDescent="0.25">
      <c r="B316" s="252" t="s">
        <v>416</v>
      </c>
      <c r="C316" s="246" t="e">
        <f t="shared" si="3"/>
        <v>#N/A</v>
      </c>
      <c r="D316" s="249" t="e">
        <f ca="1">'200°C'!$R$12</f>
        <v>#REF!</v>
      </c>
      <c r="E316" s="249" t="e">
        <f ca="1">'200°C'!$R$13</f>
        <v>#REF!</v>
      </c>
      <c r="F316" s="249" t="e">
        <f ca="1">'200°C'!$R$14</f>
        <v>#REF!</v>
      </c>
      <c r="G316" s="249" t="e">
        <f t="shared" ca="1" si="2"/>
        <v>#REF!</v>
      </c>
      <c r="H316" s="249" t="e">
        <f>'200°C'!$R$11</f>
        <v>#N/A</v>
      </c>
    </row>
    <row r="317" spans="2:8" x14ac:dyDescent="0.25">
      <c r="B317" s="252" t="s">
        <v>417</v>
      </c>
      <c r="C317" s="246" t="e">
        <f t="shared" si="3"/>
        <v>#N/A</v>
      </c>
      <c r="D317" s="249" t="e">
        <f ca="1">'200°C'!$S$12</f>
        <v>#REF!</v>
      </c>
      <c r="E317" s="249" t="e">
        <f ca="1">'200°C'!$S$13</f>
        <v>#REF!</v>
      </c>
      <c r="F317" s="249" t="e">
        <f ca="1">'200°C'!$S$14</f>
        <v>#REF!</v>
      </c>
      <c r="G317" s="249" t="e">
        <f t="shared" ca="1" si="2"/>
        <v>#REF!</v>
      </c>
      <c r="H317" s="249" t="e">
        <f>'200°C'!$S$11</f>
        <v>#N/A</v>
      </c>
    </row>
    <row r="318" spans="2:8" x14ac:dyDescent="0.25">
      <c r="B318" s="252" t="s">
        <v>418</v>
      </c>
      <c r="C318" s="246" t="e">
        <f t="shared" si="3"/>
        <v>#N/A</v>
      </c>
      <c r="D318" s="249" t="e">
        <f ca="1">'200°C'!$T$12</f>
        <v>#REF!</v>
      </c>
      <c r="E318" s="249" t="e">
        <f ca="1">'200°C'!$T$13</f>
        <v>#REF!</v>
      </c>
      <c r="F318" s="249" t="e">
        <f ca="1">'200°C'!$T$14</f>
        <v>#REF!</v>
      </c>
      <c r="G318" s="249" t="e">
        <f t="shared" ca="1" si="2"/>
        <v>#REF!</v>
      </c>
      <c r="H318" s="249" t="e">
        <f>'200°C'!$T$11</f>
        <v>#N/A</v>
      </c>
    </row>
    <row r="319" spans="2:8" x14ac:dyDescent="0.25">
      <c r="B319" s="252" t="s">
        <v>419</v>
      </c>
      <c r="C319" s="246" t="e">
        <f t="shared" si="3"/>
        <v>#N/A</v>
      </c>
      <c r="D319" s="249" t="e">
        <f ca="1">'200°C'!$U$12</f>
        <v>#REF!</v>
      </c>
      <c r="E319" s="249" t="e">
        <f ca="1">'200°C'!$U$13</f>
        <v>#REF!</v>
      </c>
      <c r="F319" s="249" t="e">
        <f ca="1">'200°C'!$U$14</f>
        <v>#REF!</v>
      </c>
      <c r="G319" s="249" t="e">
        <f t="shared" ca="1" si="2"/>
        <v>#REF!</v>
      </c>
      <c r="H319" s="249" t="e">
        <f>'200°C'!$U$11</f>
        <v>#N/A</v>
      </c>
    </row>
    <row r="320" spans="2:8" x14ac:dyDescent="0.25">
      <c r="B320" s="252" t="s">
        <v>420</v>
      </c>
      <c r="C320" s="246" t="e">
        <f t="shared" si="3"/>
        <v>#N/A</v>
      </c>
      <c r="D320" s="249" t="e">
        <f ca="1">'200°C'!$V$12</f>
        <v>#REF!</v>
      </c>
      <c r="E320" s="249" t="e">
        <f ca="1">'200°C'!$V$13</f>
        <v>#REF!</v>
      </c>
      <c r="F320" s="249" t="e">
        <f ca="1">'200°C'!$V$14</f>
        <v>#REF!</v>
      </c>
      <c r="G320" s="249" t="e">
        <f t="shared" ca="1" si="2"/>
        <v>#REF!</v>
      </c>
      <c r="H320" s="249" t="e">
        <f>'200°C'!$V$11</f>
        <v>#N/A</v>
      </c>
    </row>
    <row r="322" spans="2:2" ht="18.75" x14ac:dyDescent="0.3">
      <c r="B322" s="230" t="s">
        <v>421</v>
      </c>
    </row>
    <row r="354" spans="2:6" ht="18.75" x14ac:dyDescent="0.3">
      <c r="B354" s="230" t="s">
        <v>422</v>
      </c>
    </row>
    <row r="355" spans="2:6" ht="18.75" x14ac:dyDescent="0.3">
      <c r="B355" s="230"/>
      <c r="C355" s="389" t="s">
        <v>423</v>
      </c>
      <c r="D355" s="389"/>
      <c r="E355" s="389"/>
      <c r="F355" s="389"/>
    </row>
    <row r="356" spans="2:6" ht="28.9" customHeight="1" x14ac:dyDescent="0.25">
      <c r="C356" s="390" t="str">
        <f>_xlfn.CONCAT("Dépassement de la consigne durant la phase de montée ou de maintien en température (&gt; ",B281,")")</f>
        <v>Dépassement de la consigne durant la phase de montée ou de maintien en température (&gt; 200°C)</v>
      </c>
      <c r="D356" s="390"/>
      <c r="E356" s="391" t="e">
        <f>IF('200°C'!W11-Mesures_Four!B22&gt;0,'200°C'!W11-Mesures_Four!B22,"PAS DE DÉPASSEMENT")</f>
        <v>#N/A</v>
      </c>
      <c r="F356" s="392"/>
    </row>
    <row r="357" spans="2:6" x14ac:dyDescent="0.25">
      <c r="C357" s="413" t="str">
        <f>_xlfn.CONCAT("Dépassement supérieur à la tolérance maximale (",C281,")")</f>
        <v>Dépassement supérieur à la tolérance maximale (± 3°C)</v>
      </c>
      <c r="D357" s="413"/>
      <c r="E357" s="394" t="e">
        <f>IF(OR(E356="PAS DE DÉPASSEMENT",E356&lt;=Mesures_Four!F22),"NON","OUI")</f>
        <v>#N/A</v>
      </c>
      <c r="F357" s="394"/>
    </row>
    <row r="359" spans="2:6" x14ac:dyDescent="0.25">
      <c r="C359" s="389" t="s">
        <v>424</v>
      </c>
      <c r="D359" s="389"/>
      <c r="E359" s="389"/>
      <c r="F359" s="389"/>
    </row>
    <row r="360" spans="2:6" ht="28.9" customHeight="1" x14ac:dyDescent="0.25">
      <c r="C360" s="390" t="s">
        <v>425</v>
      </c>
      <c r="D360" s="390"/>
      <c r="E360" s="391" t="e">
        <f ca="1">'200°C'!N22</f>
        <v>#REF!</v>
      </c>
      <c r="F360" s="391"/>
    </row>
    <row r="361" spans="2:6" ht="28.9" customHeight="1" x14ac:dyDescent="0.25">
      <c r="C361" s="390" t="s">
        <v>426</v>
      </c>
      <c r="D361" s="390"/>
      <c r="E361" s="391" t="e">
        <f ca="1">'200°C'!N21</f>
        <v>#REF!</v>
      </c>
      <c r="F361" s="391"/>
    </row>
    <row r="362" spans="2:6" x14ac:dyDescent="0.25">
      <c r="C362" s="399" t="s">
        <v>427</v>
      </c>
      <c r="D362" s="399"/>
      <c r="E362" s="404" t="e">
        <f ca="1">'200°C'!N16</f>
        <v>#REF!</v>
      </c>
      <c r="F362" s="405"/>
    </row>
    <row r="363" spans="2:6" x14ac:dyDescent="0.25">
      <c r="C363" s="399" t="s">
        <v>428</v>
      </c>
      <c r="D363" s="399"/>
      <c r="E363" s="400">
        <f>Mesures_Four!G22</f>
        <v>6</v>
      </c>
      <c r="F363" s="400"/>
    </row>
    <row r="364" spans="2:6" x14ac:dyDescent="0.25">
      <c r="C364" s="393" t="s">
        <v>437</v>
      </c>
      <c r="D364" s="393"/>
      <c r="E364" s="401" t="e">
        <f ca="1">IF(AND(ABS(E360)&lt;=E363/2,(ABS(E361)&lt;=E363/2)),"CONFORME","NON CONFORME")</f>
        <v>#REF!</v>
      </c>
      <c r="F364" s="401"/>
    </row>
    <row r="366" spans="2:6" x14ac:dyDescent="0.25">
      <c r="C366" s="406" t="s">
        <v>430</v>
      </c>
      <c r="D366" s="407"/>
      <c r="E366" s="245" t="s">
        <v>389</v>
      </c>
      <c r="F366" s="245" t="s">
        <v>386</v>
      </c>
    </row>
    <row r="367" spans="2:6" ht="28.9" customHeight="1" x14ac:dyDescent="0.25">
      <c r="B367" s="253" t="s">
        <v>431</v>
      </c>
      <c r="C367" s="402" t="s">
        <v>432</v>
      </c>
      <c r="D367" s="403"/>
      <c r="E367" s="153" t="e">
        <f ca="1">IF(ABS(E360)&lt;Mesures_Four!F22/2,"OUI","NON")</f>
        <v>#REF!</v>
      </c>
      <c r="F367" s="153" t="e">
        <f ca="1">IF(ABS(E361)&lt;Mesures_Four!F22/2,"OUI","NON")</f>
        <v>#REF!</v>
      </c>
    </row>
    <row r="368" spans="2:6" ht="28.9" customHeight="1" x14ac:dyDescent="0.25">
      <c r="B368" s="410" t="s">
        <v>433</v>
      </c>
      <c r="C368" s="402" t="s">
        <v>434</v>
      </c>
      <c r="D368" s="403"/>
      <c r="E368" s="153" t="e">
        <f ca="1">IF(ABS('200°C'!AA14-'200°C'!W13)&lt;1.1,"OUI","NON")</f>
        <v>#REF!</v>
      </c>
      <c r="F368" s="153" t="s">
        <v>200</v>
      </c>
    </row>
    <row r="369" spans="2:7" ht="28.9" customHeight="1" x14ac:dyDescent="0.25">
      <c r="B369" s="410"/>
      <c r="C369" s="402" t="s">
        <v>435</v>
      </c>
      <c r="D369" s="403"/>
      <c r="E369" s="153" t="s">
        <v>200</v>
      </c>
      <c r="F369" s="153" t="e">
        <f ca="1">IF(ABS('200°C'!AC13-'200°C'!W12)&lt;1.1,"OUI","NON")</f>
        <v>#REF!</v>
      </c>
    </row>
    <row r="370" spans="2:7" ht="28.9" customHeight="1" x14ac:dyDescent="0.25">
      <c r="C370" s="411" t="s">
        <v>436</v>
      </c>
      <c r="D370" s="411"/>
      <c r="E370" s="153" t="e">
        <f ca="1">IF(E367="OUI","NON",IF(E368="OUI","NON","OUI"))</f>
        <v>#REF!</v>
      </c>
      <c r="F370" s="153" t="e">
        <f ca="1">IF(F367="OUI","NON",IF(F369="OUI","NON","OUI"))</f>
        <v>#REF!</v>
      </c>
    </row>
    <row r="372" spans="2:7" ht="18.75" x14ac:dyDescent="0.25">
      <c r="B372" s="412" t="str">
        <f>_xlfn.CONCAT("A ",B281,", avec une consigne à ",B281,", le four est ")</f>
        <v xml:space="preserve">A 200°C, avec une consigne à 200°C, le four est </v>
      </c>
      <c r="C372" s="412"/>
      <c r="D372" s="415"/>
      <c r="E372" s="255" t="e">
        <f ca="1">IF(AND(E357="NON",E364="CONFORME"),"CONFORME","NON CONFORME")</f>
        <v>#N/A</v>
      </c>
      <c r="F372" s="416" t="str">
        <f>_xlfn.CONCAT("à la tolérance requise de ± ",Mesures_Four!F22,"°C")</f>
        <v>à la tolérance requise de ± 3°C</v>
      </c>
      <c r="G372" s="398"/>
    </row>
    <row r="380" spans="2:7" ht="18.75" x14ac:dyDescent="0.3">
      <c r="B380" s="230" t="str">
        <f>_xlfn.CONCAT("6- Résultats et exploitations des résultats à ",B383)</f>
        <v>6- Résultats et exploitations des résultats à 385°C</v>
      </c>
    </row>
    <row r="382" spans="2:7" x14ac:dyDescent="0.25">
      <c r="B382" s="245" t="s">
        <v>237</v>
      </c>
      <c r="C382" s="245" t="s">
        <v>382</v>
      </c>
      <c r="E382" s="245" t="s">
        <v>383</v>
      </c>
      <c r="F382" s="245" t="s">
        <v>384</v>
      </c>
    </row>
    <row r="383" spans="2:7" x14ac:dyDescent="0.25">
      <c r="B383" s="246" t="str">
        <f>Mesures_Four!F27</f>
        <v>385°C</v>
      </c>
      <c r="C383" s="247" t="str">
        <f>_xlfn.CONCAT("± ",Mesures_Four!F23,"°C")</f>
        <v>± 5°C</v>
      </c>
      <c r="E383" s="246" t="s">
        <v>385</v>
      </c>
      <c r="F383" s="129">
        <f>Mesures_Four!C23</f>
        <v>-0.6</v>
      </c>
    </row>
    <row r="384" spans="2:7" x14ac:dyDescent="0.25">
      <c r="E384" s="246" t="s">
        <v>386</v>
      </c>
      <c r="F384" s="129">
        <f>Mesures_Four!D23</f>
        <v>-0.27</v>
      </c>
    </row>
    <row r="385" spans="2:6" x14ac:dyDescent="0.25">
      <c r="B385" s="245" t="s">
        <v>387</v>
      </c>
      <c r="C385" s="245" t="s">
        <v>388</v>
      </c>
      <c r="E385" s="246" t="s">
        <v>389</v>
      </c>
      <c r="F385" s="129">
        <f>Mesures_Four!E23</f>
        <v>0.5</v>
      </c>
    </row>
    <row r="386" spans="2:6" x14ac:dyDescent="0.25">
      <c r="B386" s="248">
        <f>INDEX(tab_four385[Date/Heure],1)</f>
        <v>0</v>
      </c>
      <c r="C386" s="248">
        <f ca="1">OFFSET(INDEX(tab_four385[Date/Heure],1),COUNTA(tab_four385[Date/Heure])+COUNTBLANK(tab_four385[Date/Heure])-1,0,1)</f>
        <v>0</v>
      </c>
    </row>
    <row r="388" spans="2:6" ht="18.75" x14ac:dyDescent="0.3">
      <c r="B388" s="230" t="s">
        <v>390</v>
      </c>
    </row>
    <row r="390" spans="2:6" x14ac:dyDescent="0.25">
      <c r="C390" s="245" t="s">
        <v>391</v>
      </c>
      <c r="D390" s="245" t="s">
        <v>392</v>
      </c>
      <c r="E390" s="245" t="s">
        <v>393</v>
      </c>
      <c r="F390" s="245" t="s">
        <v>394</v>
      </c>
    </row>
    <row r="391" spans="2:6" x14ac:dyDescent="0.25">
      <c r="C391" s="246" t="s">
        <v>395</v>
      </c>
      <c r="D391" s="249" t="e">
        <f ca="1">'385°C'!AB13</f>
        <v>#REF!</v>
      </c>
      <c r="E391" s="249" t="e">
        <f ca="1">'385°C'!AB14</f>
        <v>#REF!</v>
      </c>
      <c r="F391" s="249" t="e">
        <f ca="1">'385°C'!AB15</f>
        <v>#REF!</v>
      </c>
    </row>
    <row r="392" spans="2:6" x14ac:dyDescent="0.25">
      <c r="C392" s="246" t="s">
        <v>396</v>
      </c>
      <c r="D392" s="249" t="e">
        <f ca="1">'385°C'!AC13</f>
        <v>#REF!</v>
      </c>
      <c r="E392" s="249" t="e">
        <f ca="1">'385°C'!AC14</f>
        <v>#REF!</v>
      </c>
      <c r="F392" s="249" t="e">
        <f ca="1">'385°C'!AC15</f>
        <v>#REF!</v>
      </c>
    </row>
    <row r="393" spans="2:6" x14ac:dyDescent="0.25">
      <c r="C393" s="246" t="s">
        <v>397</v>
      </c>
      <c r="D393" s="249" t="e">
        <f ca="1">'385°C'!AA13</f>
        <v>#REF!</v>
      </c>
      <c r="E393" s="249" t="e">
        <f ca="1">'385°C'!AA14</f>
        <v>#REF!</v>
      </c>
      <c r="F393" s="249" t="e">
        <f ca="1">'385°C'!AA15</f>
        <v>#REF!</v>
      </c>
    </row>
    <row r="395" spans="2:6" ht="18.75" x14ac:dyDescent="0.3">
      <c r="B395" s="230" t="s">
        <v>398</v>
      </c>
    </row>
    <row r="397" spans="2:6" x14ac:dyDescent="0.25">
      <c r="B397" s="406" t="s">
        <v>294</v>
      </c>
      <c r="C397" s="407"/>
      <c r="D397" s="245" t="s">
        <v>399</v>
      </c>
      <c r="E397" s="245" t="s">
        <v>400</v>
      </c>
    </row>
    <row r="398" spans="2:6" x14ac:dyDescent="0.25">
      <c r="B398" s="408" t="s">
        <v>401</v>
      </c>
      <c r="C398" s="409"/>
      <c r="D398" s="250" t="str">
        <f>B383</f>
        <v>385°C</v>
      </c>
      <c r="E398" s="250" t="s">
        <v>200</v>
      </c>
    </row>
    <row r="399" spans="2:6" x14ac:dyDescent="0.25">
      <c r="B399" s="408" t="s">
        <v>201</v>
      </c>
      <c r="C399" s="409"/>
      <c r="D399" s="250" t="str">
        <f>B383</f>
        <v>385°C</v>
      </c>
      <c r="E399" s="250" t="s">
        <v>200</v>
      </c>
    </row>
    <row r="400" spans="2:6" x14ac:dyDescent="0.25">
      <c r="B400" s="408" t="s">
        <v>402</v>
      </c>
      <c r="C400" s="409"/>
      <c r="D400" s="249" t="e">
        <f>'385°C'!W11</f>
        <v>#N/A</v>
      </c>
      <c r="E400" s="251" t="e">
        <f>VLOOKUP(SUBSTITUTE(HLOOKUP(D400,'385°C'!$N11:$V$18,8,FALSE),"Connecteur ",""),Mesures_Four!B28:C36,2,FALSE)</f>
        <v>#N/A</v>
      </c>
    </row>
    <row r="401" spans="2:8" ht="30" customHeight="1" x14ac:dyDescent="0.25">
      <c r="B401" s="402" t="s">
        <v>403</v>
      </c>
      <c r="C401" s="403"/>
      <c r="D401" s="249" t="e">
        <f ca="1">'385°C'!W12</f>
        <v>#REF!</v>
      </c>
      <c r="E401" s="251" t="e">
        <f ca="1">VLOOKUP(SUBSTITUTE(HLOOKUP(D401,'385°C'!$N12:$V$18,7,FALSE),"Connecteur ",""),Mesures_Four!B28:C36,2,FALSE)</f>
        <v>#REF!</v>
      </c>
      <c r="F401" s="256"/>
    </row>
    <row r="402" spans="2:8" ht="30" customHeight="1" x14ac:dyDescent="0.25">
      <c r="B402" s="402" t="s">
        <v>404</v>
      </c>
      <c r="C402" s="403"/>
      <c r="D402" s="249" t="e">
        <f ca="1">'385°C'!W13</f>
        <v>#REF!</v>
      </c>
      <c r="E402" s="251" t="e">
        <f ca="1">VLOOKUP(SUBSTITUTE(HLOOKUP(D402,'385°C'!$N13:$V$18,6,FALSE),"Connecteur ",""),Mesures_Four!B28:C36,2,FALSE)</f>
        <v>#REF!</v>
      </c>
    </row>
    <row r="403" spans="2:8" ht="30" customHeight="1" x14ac:dyDescent="0.25">
      <c r="B403" s="402" t="s">
        <v>405</v>
      </c>
      <c r="C403" s="403"/>
      <c r="D403" s="249" t="e">
        <f ca="1">'385°C'!W17</f>
        <v>#REF!</v>
      </c>
      <c r="E403" s="250" t="s">
        <v>200</v>
      </c>
    </row>
    <row r="410" spans="2:8" ht="18.75" x14ac:dyDescent="0.3">
      <c r="B410" s="230" t="s">
        <v>406</v>
      </c>
    </row>
    <row r="411" spans="2:8" ht="18.75" x14ac:dyDescent="0.3">
      <c r="B411" s="230"/>
    </row>
    <row r="412" spans="2:8" x14ac:dyDescent="0.25">
      <c r="B412" s="387" t="s">
        <v>407</v>
      </c>
      <c r="C412" s="387" t="s">
        <v>400</v>
      </c>
      <c r="D412" s="406" t="s">
        <v>408</v>
      </c>
      <c r="E412" s="414"/>
      <c r="F412" s="414"/>
      <c r="G412" s="407"/>
      <c r="H412" s="245" t="s">
        <v>327</v>
      </c>
    </row>
    <row r="413" spans="2:8" x14ac:dyDescent="0.25">
      <c r="B413" s="387"/>
      <c r="C413" s="387"/>
      <c r="D413" s="246" t="s">
        <v>409</v>
      </c>
      <c r="E413" s="246" t="s">
        <v>410</v>
      </c>
      <c r="F413" s="246" t="s">
        <v>211</v>
      </c>
      <c r="G413" s="246" t="s">
        <v>212</v>
      </c>
      <c r="H413" s="246" t="s">
        <v>411</v>
      </c>
    </row>
    <row r="414" spans="2:8" x14ac:dyDescent="0.25">
      <c r="B414" s="252" t="s">
        <v>412</v>
      </c>
      <c r="C414" s="246" t="e">
        <f>VLOOKUP($B414,$C$147:$D$155,2,FALSE)</f>
        <v>#N/A</v>
      </c>
      <c r="D414" s="249" t="e">
        <f ca="1">'385°C'!$N$12</f>
        <v>#REF!</v>
      </c>
      <c r="E414" s="249" t="e">
        <f ca="1">'385°C'!$N$13</f>
        <v>#REF!</v>
      </c>
      <c r="F414" s="249" t="e">
        <f ca="1">'385°C'!$N$14</f>
        <v>#REF!</v>
      </c>
      <c r="G414" s="249" t="e">
        <f t="shared" ref="G414:G422" ca="1" si="4">D414-E414</f>
        <v>#REF!</v>
      </c>
      <c r="H414" s="249" t="e">
        <f>'385°C'!$N$11</f>
        <v>#N/A</v>
      </c>
    </row>
    <row r="415" spans="2:8" x14ac:dyDescent="0.25">
      <c r="B415" s="252" t="s">
        <v>413</v>
      </c>
      <c r="C415" s="246" t="e">
        <f t="shared" ref="C415:C422" si="5">VLOOKUP($B415,$C$147:$D$155,2,FALSE)</f>
        <v>#N/A</v>
      </c>
      <c r="D415" s="249" t="e">
        <f ca="1">'385°C'!$O$12</f>
        <v>#REF!</v>
      </c>
      <c r="E415" s="249" t="e">
        <f ca="1">'385°C'!$O$13</f>
        <v>#REF!</v>
      </c>
      <c r="F415" s="249" t="e">
        <f ca="1">'385°C'!$O$14</f>
        <v>#REF!</v>
      </c>
      <c r="G415" s="249" t="e">
        <f t="shared" ca="1" si="4"/>
        <v>#REF!</v>
      </c>
      <c r="H415" s="249" t="e">
        <f>'385°C'!$O$11</f>
        <v>#N/A</v>
      </c>
    </row>
    <row r="416" spans="2:8" x14ac:dyDescent="0.25">
      <c r="B416" s="252" t="s">
        <v>414</v>
      </c>
      <c r="C416" s="246" t="e">
        <f t="shared" si="5"/>
        <v>#N/A</v>
      </c>
      <c r="D416" s="249" t="e">
        <f ca="1">'385°C'!$P$12</f>
        <v>#REF!</v>
      </c>
      <c r="E416" s="249" t="e">
        <f ca="1">'385°C'!$P$13</f>
        <v>#REF!</v>
      </c>
      <c r="F416" s="249" t="e">
        <f ca="1">'385°C'!$P$14</f>
        <v>#REF!</v>
      </c>
      <c r="G416" s="249" t="e">
        <f t="shared" ca="1" si="4"/>
        <v>#REF!</v>
      </c>
      <c r="H416" s="249" t="e">
        <f>'385°C'!$P$11</f>
        <v>#N/A</v>
      </c>
    </row>
    <row r="417" spans="2:8" x14ac:dyDescent="0.25">
      <c r="B417" s="252" t="s">
        <v>415</v>
      </c>
      <c r="C417" s="246" t="e">
        <f t="shared" si="5"/>
        <v>#N/A</v>
      </c>
      <c r="D417" s="249" t="e">
        <f ca="1">'385°C'!$Q$12</f>
        <v>#REF!</v>
      </c>
      <c r="E417" s="249" t="e">
        <f ca="1">'385°C'!$Q$13</f>
        <v>#REF!</v>
      </c>
      <c r="F417" s="249" t="e">
        <f ca="1">'385°C'!$Q$14</f>
        <v>#REF!</v>
      </c>
      <c r="G417" s="249" t="e">
        <f t="shared" ca="1" si="4"/>
        <v>#REF!</v>
      </c>
      <c r="H417" s="249" t="e">
        <f>'385°C'!$Q$11</f>
        <v>#N/A</v>
      </c>
    </row>
    <row r="418" spans="2:8" x14ac:dyDescent="0.25">
      <c r="B418" s="252" t="s">
        <v>416</v>
      </c>
      <c r="C418" s="246" t="e">
        <f t="shared" si="5"/>
        <v>#N/A</v>
      </c>
      <c r="D418" s="249" t="e">
        <f ca="1">'385°C'!$R$12</f>
        <v>#REF!</v>
      </c>
      <c r="E418" s="249" t="e">
        <f ca="1">'385°C'!$R$13</f>
        <v>#REF!</v>
      </c>
      <c r="F418" s="249" t="e">
        <f ca="1">'385°C'!$R$14</f>
        <v>#REF!</v>
      </c>
      <c r="G418" s="249" t="e">
        <f t="shared" ca="1" si="4"/>
        <v>#REF!</v>
      </c>
      <c r="H418" s="249" t="e">
        <f>'385°C'!$R$11</f>
        <v>#N/A</v>
      </c>
    </row>
    <row r="419" spans="2:8" x14ac:dyDescent="0.25">
      <c r="B419" s="252" t="s">
        <v>417</v>
      </c>
      <c r="C419" s="246" t="e">
        <f t="shared" si="5"/>
        <v>#N/A</v>
      </c>
      <c r="D419" s="249" t="e">
        <f ca="1">'385°C'!$S$12</f>
        <v>#REF!</v>
      </c>
      <c r="E419" s="249" t="e">
        <f ca="1">'385°C'!$S$13</f>
        <v>#REF!</v>
      </c>
      <c r="F419" s="249" t="e">
        <f ca="1">'385°C'!$S$14</f>
        <v>#REF!</v>
      </c>
      <c r="G419" s="249" t="e">
        <f t="shared" ca="1" si="4"/>
        <v>#REF!</v>
      </c>
      <c r="H419" s="249" t="e">
        <f>'385°C'!$S$11</f>
        <v>#N/A</v>
      </c>
    </row>
    <row r="420" spans="2:8" x14ac:dyDescent="0.25">
      <c r="B420" s="252" t="s">
        <v>418</v>
      </c>
      <c r="C420" s="246" t="e">
        <f t="shared" si="5"/>
        <v>#N/A</v>
      </c>
      <c r="D420" s="249" t="e">
        <f ca="1">'385°C'!$T$12</f>
        <v>#REF!</v>
      </c>
      <c r="E420" s="249" t="e">
        <f ca="1">'385°C'!$T$13</f>
        <v>#REF!</v>
      </c>
      <c r="F420" s="249" t="e">
        <f ca="1">'385°C'!$T$14</f>
        <v>#REF!</v>
      </c>
      <c r="G420" s="249" t="e">
        <f t="shared" ca="1" si="4"/>
        <v>#REF!</v>
      </c>
      <c r="H420" s="249" t="e">
        <f>'385°C'!$T$11</f>
        <v>#N/A</v>
      </c>
    </row>
    <row r="421" spans="2:8" x14ac:dyDescent="0.25">
      <c r="B421" s="252" t="s">
        <v>419</v>
      </c>
      <c r="C421" s="246" t="e">
        <f t="shared" si="5"/>
        <v>#N/A</v>
      </c>
      <c r="D421" s="249" t="e">
        <f ca="1">'385°C'!$U$12</f>
        <v>#REF!</v>
      </c>
      <c r="E421" s="249" t="e">
        <f ca="1">'385°C'!$U$13</f>
        <v>#REF!</v>
      </c>
      <c r="F421" s="249" t="e">
        <f ca="1">'385°C'!$U$14</f>
        <v>#REF!</v>
      </c>
      <c r="G421" s="249" t="e">
        <f t="shared" ca="1" si="4"/>
        <v>#REF!</v>
      </c>
      <c r="H421" s="249" t="e">
        <f>'385°C'!$U$11</f>
        <v>#N/A</v>
      </c>
    </row>
    <row r="422" spans="2:8" x14ac:dyDescent="0.25">
      <c r="B422" s="252" t="s">
        <v>420</v>
      </c>
      <c r="C422" s="246" t="e">
        <f t="shared" si="5"/>
        <v>#N/A</v>
      </c>
      <c r="D422" s="249" t="e">
        <f ca="1">'385°C'!$V$12</f>
        <v>#REF!</v>
      </c>
      <c r="E422" s="249" t="e">
        <f ca="1">'385°C'!$V$13</f>
        <v>#REF!</v>
      </c>
      <c r="F422" s="249" t="e">
        <f ca="1">'385°C'!$V$14</f>
        <v>#REF!</v>
      </c>
      <c r="G422" s="249" t="e">
        <f t="shared" ca="1" si="4"/>
        <v>#REF!</v>
      </c>
      <c r="H422" s="249" t="e">
        <f>'385°C'!$V$11</f>
        <v>#N/A</v>
      </c>
    </row>
    <row r="424" spans="2:8" ht="18.75" x14ac:dyDescent="0.3">
      <c r="B424" s="230" t="s">
        <v>421</v>
      </c>
    </row>
    <row r="456" spans="2:6" ht="18.75" x14ac:dyDescent="0.3">
      <c r="B456" s="230" t="s">
        <v>422</v>
      </c>
    </row>
    <row r="457" spans="2:6" ht="18.75" x14ac:dyDescent="0.3">
      <c r="B457" s="230"/>
      <c r="C457" s="389" t="s">
        <v>423</v>
      </c>
      <c r="D457" s="389"/>
      <c r="E457" s="389"/>
      <c r="F457" s="389"/>
    </row>
    <row r="458" spans="2:6" ht="28.9" customHeight="1" x14ac:dyDescent="0.25">
      <c r="C458" s="390" t="str">
        <f>_xlfn.CONCAT("Dépassement de la consigne durant la phase de montée ou de maintien en température (&gt; ",B383,")")</f>
        <v>Dépassement de la consigne durant la phase de montée ou de maintien en température (&gt; 385°C)</v>
      </c>
      <c r="D458" s="390"/>
      <c r="E458" s="392" t="e">
        <f>IF('385°C'!W11-Mesures_Four!B23&gt;0,'385°C'!W11-Mesures_Four!B23,"PAS DE DÉPASSEMENT")</f>
        <v>#N/A</v>
      </c>
      <c r="F458" s="392"/>
    </row>
    <row r="459" spans="2:6" x14ac:dyDescent="0.25">
      <c r="C459" s="413" t="str">
        <f>_xlfn.CONCAT("Dépassement supérieur à la tolérance maximale (",C383,")")</f>
        <v>Dépassement supérieur à la tolérance maximale (± 5°C)</v>
      </c>
      <c r="D459" s="413"/>
      <c r="E459" s="394" t="e">
        <f>IF(OR(E458="PAS DE DÉPASSEMENT",E458&lt;=Mesures_Four!F23),"NON","OUI")</f>
        <v>#N/A</v>
      </c>
      <c r="F459" s="394"/>
    </row>
    <row r="461" spans="2:6" x14ac:dyDescent="0.25">
      <c r="C461" s="389" t="s">
        <v>424</v>
      </c>
      <c r="D461" s="389"/>
      <c r="E461" s="389"/>
      <c r="F461" s="389"/>
    </row>
    <row r="462" spans="2:6" ht="28.9" customHeight="1" x14ac:dyDescent="0.25">
      <c r="C462" s="390" t="s">
        <v>425</v>
      </c>
      <c r="D462" s="390"/>
      <c r="E462" s="391" t="e">
        <f ca="1">'385°C'!N22</f>
        <v>#REF!</v>
      </c>
      <c r="F462" s="391"/>
    </row>
    <row r="463" spans="2:6" ht="28.9" customHeight="1" x14ac:dyDescent="0.25">
      <c r="C463" s="390" t="s">
        <v>426</v>
      </c>
      <c r="D463" s="390"/>
      <c r="E463" s="391" t="e">
        <f ca="1">'385°C'!N21</f>
        <v>#REF!</v>
      </c>
      <c r="F463" s="391"/>
    </row>
    <row r="464" spans="2:6" x14ac:dyDescent="0.25">
      <c r="C464" s="399" t="s">
        <v>427</v>
      </c>
      <c r="D464" s="399"/>
      <c r="E464" s="404" t="e">
        <f ca="1">'385°C'!N16</f>
        <v>#REF!</v>
      </c>
      <c r="F464" s="405"/>
    </row>
    <row r="465" spans="2:7" x14ac:dyDescent="0.25">
      <c r="C465" s="399" t="s">
        <v>428</v>
      </c>
      <c r="D465" s="399"/>
      <c r="E465" s="400">
        <f>Mesures_Four!G23</f>
        <v>10</v>
      </c>
      <c r="F465" s="400"/>
    </row>
    <row r="466" spans="2:7" x14ac:dyDescent="0.25">
      <c r="C466" s="393" t="s">
        <v>438</v>
      </c>
      <c r="D466" s="393"/>
      <c r="E466" s="401" t="e">
        <f ca="1">IF(AND(ABS(E462)&lt;=E465/2,(ABS(E463)&lt;=E465/2)),"CONFORME","NON CONFORME")</f>
        <v>#REF!</v>
      </c>
      <c r="F466" s="401"/>
    </row>
    <row r="468" spans="2:7" x14ac:dyDescent="0.25">
      <c r="C468" s="406" t="s">
        <v>430</v>
      </c>
      <c r="D468" s="407"/>
      <c r="E468" s="245" t="s">
        <v>389</v>
      </c>
      <c r="F468" s="245" t="s">
        <v>386</v>
      </c>
    </row>
    <row r="469" spans="2:7" ht="28.9" customHeight="1" x14ac:dyDescent="0.25">
      <c r="B469" s="253" t="s">
        <v>431</v>
      </c>
      <c r="C469" s="402" t="s">
        <v>432</v>
      </c>
      <c r="D469" s="403"/>
      <c r="E469" s="153" t="e">
        <f ca="1">IF(ABS(E462)&lt;Mesures_Four!F23/2,"OUI","NON")</f>
        <v>#REF!</v>
      </c>
      <c r="F469" s="153" t="e">
        <f ca="1">IF(ABS(E463)&lt;Mesures_Four!F23/2,"OUI","NON")</f>
        <v>#REF!</v>
      </c>
    </row>
    <row r="470" spans="2:7" ht="28.9" customHeight="1" x14ac:dyDescent="0.25">
      <c r="B470" s="410" t="s">
        <v>433</v>
      </c>
      <c r="C470" s="402" t="s">
        <v>439</v>
      </c>
      <c r="D470" s="403"/>
      <c r="E470" s="153" t="e">
        <f ca="1">IF(ABS('385°C'!AA14-'385°C'!W13)&lt;1.7,"OUI","NON")</f>
        <v>#REF!</v>
      </c>
      <c r="F470" s="153" t="s">
        <v>200</v>
      </c>
    </row>
    <row r="471" spans="2:7" ht="28.9" customHeight="1" x14ac:dyDescent="0.25">
      <c r="B471" s="410"/>
      <c r="C471" s="402" t="s">
        <v>440</v>
      </c>
      <c r="D471" s="403"/>
      <c r="E471" s="153" t="s">
        <v>200</v>
      </c>
      <c r="F471" s="153" t="e">
        <f ca="1">IF(ABS('385°C'!AC13-'385°C'!W12)&lt;1.7,"OUI","NON")</f>
        <v>#REF!</v>
      </c>
    </row>
    <row r="472" spans="2:7" ht="28.9" customHeight="1" x14ac:dyDescent="0.25">
      <c r="C472" s="411" t="s">
        <v>436</v>
      </c>
      <c r="D472" s="411"/>
      <c r="E472" s="153" t="e">
        <f ca="1">IF(E469="OUI","NON",IF(E470="OUI","NON","OUI"))</f>
        <v>#REF!</v>
      </c>
      <c r="F472" s="153" t="e">
        <f ca="1">IF(F469="OUI","NON",IF(F471="OUI","NON","OUI"))</f>
        <v>#REF!</v>
      </c>
    </row>
    <row r="473" spans="2:7" x14ac:dyDescent="0.25">
      <c r="C473" s="417"/>
      <c r="D473" s="417"/>
      <c r="E473" s="418"/>
      <c r="F473" s="417"/>
    </row>
    <row r="474" spans="2:7" ht="18.75" x14ac:dyDescent="0.25">
      <c r="B474" s="412" t="str">
        <f>_xlfn.CONCAT("A ",B383,", avec une consigne à ",B383,", le four est ")</f>
        <v xml:space="preserve">A 385°C, avec une consigne à 385°C, le four est </v>
      </c>
      <c r="C474" s="412"/>
      <c r="D474" s="412"/>
      <c r="E474" s="254" t="e">
        <f ca="1">IF(AND(E459="NON",E466="CONFORME"),"CONFORME","NON CONFORME")</f>
        <v>#N/A</v>
      </c>
      <c r="F474" s="398" t="str">
        <f>_xlfn.CONCAT("à la tolérance requise de ± ",Mesures_Four!F23,"°C")</f>
        <v>à la tolérance requise de ± 5°C</v>
      </c>
      <c r="G474" s="398"/>
    </row>
    <row r="482" spans="2:6" ht="18.75" x14ac:dyDescent="0.3">
      <c r="B482" s="230" t="str">
        <f>_xlfn.CONCAT("6- Résultats et exploitations des résultats à ",B485)</f>
        <v>6- Résultats et exploitations des résultats à 535°C</v>
      </c>
    </row>
    <row r="484" spans="2:6" x14ac:dyDescent="0.25">
      <c r="B484" s="245" t="s">
        <v>237</v>
      </c>
      <c r="C484" s="245" t="s">
        <v>382</v>
      </c>
      <c r="E484" s="245" t="s">
        <v>383</v>
      </c>
      <c r="F484" s="245" t="s">
        <v>384</v>
      </c>
    </row>
    <row r="485" spans="2:6" x14ac:dyDescent="0.25">
      <c r="B485" s="246" t="str">
        <f>Mesures_Four!G27</f>
        <v>535°C</v>
      </c>
      <c r="C485" s="247" t="str">
        <f>_xlfn.CONCAT("± ",Mesures_Four!F24,"°C")</f>
        <v>± 5°C</v>
      </c>
      <c r="E485" s="246" t="s">
        <v>385</v>
      </c>
      <c r="F485" s="257">
        <f>Mesures_Four!C24</f>
        <v>-0.6</v>
      </c>
    </row>
    <row r="486" spans="2:6" x14ac:dyDescent="0.25">
      <c r="E486" s="246" t="s">
        <v>386</v>
      </c>
      <c r="F486" s="257">
        <f>Mesures_Four!D24</f>
        <v>-0.27</v>
      </c>
    </row>
    <row r="487" spans="2:6" x14ac:dyDescent="0.25">
      <c r="B487" s="245" t="s">
        <v>387</v>
      </c>
      <c r="C487" s="245" t="s">
        <v>388</v>
      </c>
      <c r="E487" s="246" t="s">
        <v>389</v>
      </c>
      <c r="F487" s="257">
        <f>Mesures_Four!E24</f>
        <v>0.5</v>
      </c>
    </row>
    <row r="488" spans="2:6" x14ac:dyDescent="0.25">
      <c r="B488" s="248">
        <f>INDEX(tab_four535[Date/Heure],1)</f>
        <v>0</v>
      </c>
      <c r="C488" s="248">
        <f ca="1">OFFSET(INDEX(tab_four535[Date/Heure],1),COUNTA(tab_four535[Date/Heure])+COUNTBLANK(tab_four535[Date/Heure])-1,0,1)</f>
        <v>0</v>
      </c>
    </row>
    <row r="490" spans="2:6" ht="18.75" x14ac:dyDescent="0.3">
      <c r="B490" s="230" t="s">
        <v>390</v>
      </c>
    </row>
    <row r="492" spans="2:6" x14ac:dyDescent="0.25">
      <c r="C492" s="245" t="s">
        <v>391</v>
      </c>
      <c r="D492" s="245" t="s">
        <v>392</v>
      </c>
      <c r="E492" s="245" t="s">
        <v>393</v>
      </c>
      <c r="F492" s="245" t="s">
        <v>394</v>
      </c>
    </row>
    <row r="493" spans="2:6" x14ac:dyDescent="0.25">
      <c r="C493" s="246" t="s">
        <v>395</v>
      </c>
      <c r="D493" s="249" t="e">
        <f ca="1">'535°C'!AB13</f>
        <v>#REF!</v>
      </c>
      <c r="E493" s="249" t="e">
        <f ca="1">'535°C'!AB14</f>
        <v>#REF!</v>
      </c>
      <c r="F493" s="249" t="e">
        <f ca="1">'535°C'!AB15</f>
        <v>#REF!</v>
      </c>
    </row>
    <row r="494" spans="2:6" x14ac:dyDescent="0.25">
      <c r="C494" s="246" t="s">
        <v>396</v>
      </c>
      <c r="D494" s="249" t="e">
        <f ca="1">'535°C'!AC13</f>
        <v>#REF!</v>
      </c>
      <c r="E494" s="249" t="e">
        <f ca="1">'535°C'!AC14</f>
        <v>#REF!</v>
      </c>
      <c r="F494" s="249" t="e">
        <f ca="1">'535°C'!AC15</f>
        <v>#REF!</v>
      </c>
    </row>
    <row r="495" spans="2:6" x14ac:dyDescent="0.25">
      <c r="C495" s="246" t="s">
        <v>397</v>
      </c>
      <c r="D495" s="249" t="e">
        <f ca="1">'535°C'!AA13</f>
        <v>#REF!</v>
      </c>
      <c r="E495" s="249" t="e">
        <f ca="1">'535°C'!AA14</f>
        <v>#REF!</v>
      </c>
      <c r="F495" s="249" t="e">
        <f ca="1">'535°C'!AA15</f>
        <v>#REF!</v>
      </c>
    </row>
    <row r="497" spans="2:5" ht="18.75" x14ac:dyDescent="0.3">
      <c r="B497" s="230" t="s">
        <v>398</v>
      </c>
    </row>
    <row r="499" spans="2:5" x14ac:dyDescent="0.25">
      <c r="B499" s="406" t="s">
        <v>294</v>
      </c>
      <c r="C499" s="407"/>
      <c r="D499" s="245" t="s">
        <v>399</v>
      </c>
      <c r="E499" s="245" t="s">
        <v>400</v>
      </c>
    </row>
    <row r="500" spans="2:5" x14ac:dyDescent="0.25">
      <c r="B500" s="408" t="s">
        <v>401</v>
      </c>
      <c r="C500" s="409"/>
      <c r="D500" s="250" t="str">
        <f>B485</f>
        <v>535°C</v>
      </c>
      <c r="E500" s="250" t="s">
        <v>200</v>
      </c>
    </row>
    <row r="501" spans="2:5" x14ac:dyDescent="0.25">
      <c r="B501" s="408" t="s">
        <v>201</v>
      </c>
      <c r="C501" s="409"/>
      <c r="D501" s="250" t="str">
        <f>B485</f>
        <v>535°C</v>
      </c>
      <c r="E501" s="250" t="s">
        <v>200</v>
      </c>
    </row>
    <row r="502" spans="2:5" ht="15" customHeight="1" x14ac:dyDescent="0.25">
      <c r="B502" s="408" t="s">
        <v>402</v>
      </c>
      <c r="C502" s="409"/>
      <c r="D502" s="249" t="e">
        <f>'535°C'!W11</f>
        <v>#N/A</v>
      </c>
      <c r="E502" s="251" t="e">
        <f>VLOOKUP(SUBSTITUTE(HLOOKUP(D502,'535°C'!$N11:$V$18,8,FALSE),"Connecteur ",""),Mesures_Four!B28:C36,2,FALSE)</f>
        <v>#N/A</v>
      </c>
    </row>
    <row r="503" spans="2:5" ht="30" customHeight="1" x14ac:dyDescent="0.25">
      <c r="B503" s="402" t="s">
        <v>403</v>
      </c>
      <c r="C503" s="403"/>
      <c r="D503" s="249" t="e">
        <f ca="1">'535°C'!W12</f>
        <v>#REF!</v>
      </c>
      <c r="E503" s="251" t="e">
        <f ca="1">VLOOKUP(SUBSTITUTE(HLOOKUP(D503,'535°C'!$N12:$V$18,7,FALSE),"Connecteur ",""),Mesures_Four!B28:C36,2,FALSE)</f>
        <v>#REF!</v>
      </c>
    </row>
    <row r="504" spans="2:5" ht="30" customHeight="1" x14ac:dyDescent="0.25">
      <c r="B504" s="402" t="s">
        <v>404</v>
      </c>
      <c r="C504" s="403"/>
      <c r="D504" s="249" t="e">
        <f ca="1">'535°C'!W13</f>
        <v>#REF!</v>
      </c>
      <c r="E504" s="251" t="e">
        <f ca="1">VLOOKUP(SUBSTITUTE(HLOOKUP(D504,'535°C'!$N13:$V$18,6,FALSE),"Connecteur ",""),Mesures_Four!B28:C36,2,FALSE)</f>
        <v>#REF!</v>
      </c>
    </row>
    <row r="505" spans="2:5" ht="30" customHeight="1" x14ac:dyDescent="0.25">
      <c r="B505" s="402" t="s">
        <v>405</v>
      </c>
      <c r="C505" s="403"/>
      <c r="D505" s="249" t="e">
        <f ca="1">'535°C'!W17</f>
        <v>#REF!</v>
      </c>
      <c r="E505" s="250" t="s">
        <v>200</v>
      </c>
    </row>
    <row r="512" spans="2:5" ht="18.75" x14ac:dyDescent="0.3">
      <c r="B512" s="230" t="s">
        <v>406</v>
      </c>
    </row>
    <row r="513" spans="2:8" ht="18.75" x14ac:dyDescent="0.3">
      <c r="B513" s="230"/>
    </row>
    <row r="514" spans="2:8" x14ac:dyDescent="0.25">
      <c r="B514" s="387" t="s">
        <v>407</v>
      </c>
      <c r="C514" s="387" t="s">
        <v>400</v>
      </c>
      <c r="D514" s="406" t="s">
        <v>408</v>
      </c>
      <c r="E514" s="414"/>
      <c r="F514" s="414"/>
      <c r="G514" s="407"/>
      <c r="H514" s="245" t="s">
        <v>327</v>
      </c>
    </row>
    <row r="515" spans="2:8" x14ac:dyDescent="0.25">
      <c r="B515" s="387"/>
      <c r="C515" s="387"/>
      <c r="D515" s="246" t="s">
        <v>409</v>
      </c>
      <c r="E515" s="246" t="s">
        <v>410</v>
      </c>
      <c r="F515" s="246" t="s">
        <v>211</v>
      </c>
      <c r="G515" s="246" t="s">
        <v>212</v>
      </c>
      <c r="H515" s="246" t="s">
        <v>411</v>
      </c>
    </row>
    <row r="516" spans="2:8" x14ac:dyDescent="0.25">
      <c r="B516" s="252" t="s">
        <v>412</v>
      </c>
      <c r="C516" s="246" t="e">
        <f>VLOOKUP($B516,$C$147:$D$155,2,FALSE)</f>
        <v>#N/A</v>
      </c>
      <c r="D516" s="249" t="e">
        <f ca="1">'535°C'!N12</f>
        <v>#REF!</v>
      </c>
      <c r="E516" s="249" t="e">
        <f ca="1">'535°C'!N13</f>
        <v>#REF!</v>
      </c>
      <c r="F516" s="249" t="e">
        <f ca="1">'535°C'!N14</f>
        <v>#REF!</v>
      </c>
      <c r="G516" s="249" t="e">
        <f t="shared" ref="G516:G524" ca="1" si="6">D516-E516</f>
        <v>#REF!</v>
      </c>
      <c r="H516" s="249" t="e">
        <f>'535°C'!N11</f>
        <v>#N/A</v>
      </c>
    </row>
    <row r="517" spans="2:8" x14ac:dyDescent="0.25">
      <c r="B517" s="252" t="s">
        <v>413</v>
      </c>
      <c r="C517" s="246" t="e">
        <f t="shared" ref="C517:C524" si="7">VLOOKUP($B517,$C$147:$D$155,2,FALSE)</f>
        <v>#N/A</v>
      </c>
      <c r="D517" s="249" t="e">
        <f ca="1">'535°C'!O12</f>
        <v>#REF!</v>
      </c>
      <c r="E517" s="249" t="e">
        <f ca="1">'535°C'!O13</f>
        <v>#REF!</v>
      </c>
      <c r="F517" s="249" t="e">
        <f ca="1">'535°C'!O14</f>
        <v>#REF!</v>
      </c>
      <c r="G517" s="249" t="e">
        <f t="shared" ca="1" si="6"/>
        <v>#REF!</v>
      </c>
      <c r="H517" s="249" t="e">
        <f>'535°C'!O11</f>
        <v>#N/A</v>
      </c>
    </row>
    <row r="518" spans="2:8" x14ac:dyDescent="0.25">
      <c r="B518" s="252" t="s">
        <v>414</v>
      </c>
      <c r="C518" s="246" t="e">
        <f t="shared" si="7"/>
        <v>#N/A</v>
      </c>
      <c r="D518" s="249" t="e">
        <f ca="1">'535°C'!P12</f>
        <v>#REF!</v>
      </c>
      <c r="E518" s="249" t="e">
        <f ca="1">'535°C'!P13</f>
        <v>#REF!</v>
      </c>
      <c r="F518" s="249" t="e">
        <f ca="1">'535°C'!P14</f>
        <v>#REF!</v>
      </c>
      <c r="G518" s="249" t="e">
        <f t="shared" ca="1" si="6"/>
        <v>#REF!</v>
      </c>
      <c r="H518" s="249" t="e">
        <f>'535°C'!P11</f>
        <v>#N/A</v>
      </c>
    </row>
    <row r="519" spans="2:8" x14ac:dyDescent="0.25">
      <c r="B519" s="252" t="s">
        <v>415</v>
      </c>
      <c r="C519" s="246" t="e">
        <f t="shared" si="7"/>
        <v>#N/A</v>
      </c>
      <c r="D519" s="249" t="e">
        <f ca="1">'535°C'!Q12</f>
        <v>#REF!</v>
      </c>
      <c r="E519" s="249" t="e">
        <f ca="1">'535°C'!Q13</f>
        <v>#REF!</v>
      </c>
      <c r="F519" s="249" t="e">
        <f ca="1">'535°C'!Q14</f>
        <v>#REF!</v>
      </c>
      <c r="G519" s="249" t="e">
        <f t="shared" ca="1" si="6"/>
        <v>#REF!</v>
      </c>
      <c r="H519" s="249" t="e">
        <f>'535°C'!Q11</f>
        <v>#N/A</v>
      </c>
    </row>
    <row r="520" spans="2:8" x14ac:dyDescent="0.25">
      <c r="B520" s="252" t="s">
        <v>416</v>
      </c>
      <c r="C520" s="246" t="e">
        <f t="shared" si="7"/>
        <v>#N/A</v>
      </c>
      <c r="D520" s="249" t="e">
        <f ca="1">'535°C'!R12</f>
        <v>#REF!</v>
      </c>
      <c r="E520" s="249" t="e">
        <f ca="1">'535°C'!R13</f>
        <v>#REF!</v>
      </c>
      <c r="F520" s="249" t="e">
        <f ca="1">'535°C'!R14</f>
        <v>#REF!</v>
      </c>
      <c r="G520" s="249" t="e">
        <f t="shared" ca="1" si="6"/>
        <v>#REF!</v>
      </c>
      <c r="H520" s="249" t="e">
        <f>'535°C'!R11</f>
        <v>#N/A</v>
      </c>
    </row>
    <row r="521" spans="2:8" x14ac:dyDescent="0.25">
      <c r="B521" s="252" t="s">
        <v>417</v>
      </c>
      <c r="C521" s="246" t="e">
        <f t="shared" si="7"/>
        <v>#N/A</v>
      </c>
      <c r="D521" s="249" t="e">
        <f ca="1">'535°C'!S12</f>
        <v>#REF!</v>
      </c>
      <c r="E521" s="249" t="e">
        <f ca="1">'535°C'!S13</f>
        <v>#REF!</v>
      </c>
      <c r="F521" s="249" t="e">
        <f ca="1">'535°C'!S14</f>
        <v>#REF!</v>
      </c>
      <c r="G521" s="249" t="e">
        <f t="shared" ca="1" si="6"/>
        <v>#REF!</v>
      </c>
      <c r="H521" s="249" t="e">
        <f>'535°C'!S11</f>
        <v>#N/A</v>
      </c>
    </row>
    <row r="522" spans="2:8" x14ac:dyDescent="0.25">
      <c r="B522" s="252" t="s">
        <v>418</v>
      </c>
      <c r="C522" s="246" t="e">
        <f t="shared" si="7"/>
        <v>#N/A</v>
      </c>
      <c r="D522" s="249" t="e">
        <f ca="1">'535°C'!T12</f>
        <v>#REF!</v>
      </c>
      <c r="E522" s="249" t="e">
        <f ca="1">'535°C'!T13</f>
        <v>#REF!</v>
      </c>
      <c r="F522" s="249" t="e">
        <f ca="1">'535°C'!T14</f>
        <v>#REF!</v>
      </c>
      <c r="G522" s="249" t="e">
        <f t="shared" ca="1" si="6"/>
        <v>#REF!</v>
      </c>
      <c r="H522" s="249" t="e">
        <f>'535°C'!T11</f>
        <v>#N/A</v>
      </c>
    </row>
    <row r="523" spans="2:8" x14ac:dyDescent="0.25">
      <c r="B523" s="252" t="s">
        <v>419</v>
      </c>
      <c r="C523" s="246" t="e">
        <f t="shared" si="7"/>
        <v>#N/A</v>
      </c>
      <c r="D523" s="249" t="e">
        <f ca="1">'535°C'!U12</f>
        <v>#REF!</v>
      </c>
      <c r="E523" s="249" t="e">
        <f ca="1">'535°C'!U13</f>
        <v>#REF!</v>
      </c>
      <c r="F523" s="249" t="e">
        <f ca="1">'535°C'!U14</f>
        <v>#REF!</v>
      </c>
      <c r="G523" s="249" t="e">
        <f t="shared" ca="1" si="6"/>
        <v>#REF!</v>
      </c>
      <c r="H523" s="249" t="e">
        <f>'535°C'!U11</f>
        <v>#N/A</v>
      </c>
    </row>
    <row r="524" spans="2:8" x14ac:dyDescent="0.25">
      <c r="B524" s="252" t="s">
        <v>420</v>
      </c>
      <c r="C524" s="246" t="e">
        <f t="shared" si="7"/>
        <v>#N/A</v>
      </c>
      <c r="D524" s="249" t="e">
        <f ca="1">'535°C'!V12</f>
        <v>#REF!</v>
      </c>
      <c r="E524" s="249" t="e">
        <f ca="1">'535°C'!V13</f>
        <v>#REF!</v>
      </c>
      <c r="F524" s="249" t="e">
        <f ca="1">'535°C'!V14</f>
        <v>#REF!</v>
      </c>
      <c r="G524" s="249" t="e">
        <f t="shared" ca="1" si="6"/>
        <v>#REF!</v>
      </c>
      <c r="H524" s="249" t="e">
        <f>'535°C'!V11</f>
        <v>#N/A</v>
      </c>
    </row>
    <row r="526" spans="2:8" ht="18.75" x14ac:dyDescent="0.3">
      <c r="B526" s="230" t="s">
        <v>421</v>
      </c>
    </row>
    <row r="557" spans="2:6" ht="18.75" x14ac:dyDescent="0.3">
      <c r="B557" s="230" t="s">
        <v>422</v>
      </c>
    </row>
    <row r="558" spans="2:6" ht="18.75" x14ac:dyDescent="0.3">
      <c r="B558" s="230"/>
      <c r="C558" s="389" t="s">
        <v>423</v>
      </c>
      <c r="D558" s="389"/>
      <c r="E558" s="389"/>
      <c r="F558" s="389"/>
    </row>
    <row r="559" spans="2:6" ht="28.9" customHeight="1" x14ac:dyDescent="0.25">
      <c r="C559" s="390" t="str">
        <f>_xlfn.CONCAT("Dépassement de la consigne durant la phase de montée ou de maintien en température (&gt; ",B485,")")</f>
        <v>Dépassement de la consigne durant la phase de montée ou de maintien en température (&gt; 535°C)</v>
      </c>
      <c r="D559" s="390"/>
      <c r="E559" s="392" t="e">
        <f>IF('535°C'!W11-Mesures_Four!B24&gt;0,'535°C'!W11-Mesures_Four!B24,"PAS DE DÉPASSEMENT")</f>
        <v>#N/A</v>
      </c>
      <c r="F559" s="392"/>
    </row>
    <row r="560" spans="2:6" x14ac:dyDescent="0.25">
      <c r="C560" s="413" t="str">
        <f>_xlfn.CONCAT("Dépassement supérieur à la tolérance maximale (",C485,")")</f>
        <v>Dépassement supérieur à la tolérance maximale (± 5°C)</v>
      </c>
      <c r="D560" s="413"/>
      <c r="E560" s="394" t="e">
        <f>IF(OR(E559="PAS DE DÉPASSEMENT",E559&lt;=Mesures_Four!F24),"NON","OUI")</f>
        <v>#N/A</v>
      </c>
      <c r="F560" s="394"/>
    </row>
    <row r="562" spans="2:7" x14ac:dyDescent="0.25">
      <c r="C562" s="419" t="s">
        <v>424</v>
      </c>
      <c r="D562" s="420"/>
      <c r="E562" s="420"/>
      <c r="F562" s="421"/>
    </row>
    <row r="563" spans="2:7" ht="28.9" customHeight="1" x14ac:dyDescent="0.25">
      <c r="C563" s="390" t="s">
        <v>441</v>
      </c>
      <c r="D563" s="390"/>
      <c r="E563" s="391" t="e">
        <f ca="1">'535°C'!N22</f>
        <v>#REF!</v>
      </c>
      <c r="F563" s="391"/>
    </row>
    <row r="564" spans="2:7" ht="28.9" customHeight="1" x14ac:dyDescent="0.25">
      <c r="C564" s="390" t="s">
        <v>442</v>
      </c>
      <c r="D564" s="390"/>
      <c r="E564" s="391" t="e">
        <f ca="1">'535°C'!N21</f>
        <v>#REF!</v>
      </c>
      <c r="F564" s="391"/>
    </row>
    <row r="565" spans="2:7" x14ac:dyDescent="0.25">
      <c r="C565" s="399" t="s">
        <v>427</v>
      </c>
      <c r="D565" s="399"/>
      <c r="E565" s="404" t="e">
        <f ca="1">'535°C'!N16</f>
        <v>#REF!</v>
      </c>
      <c r="F565" s="405"/>
    </row>
    <row r="566" spans="2:7" x14ac:dyDescent="0.25">
      <c r="C566" s="399" t="s">
        <v>428</v>
      </c>
      <c r="D566" s="399"/>
      <c r="E566" s="400">
        <f>Mesures_Four!G24</f>
        <v>10</v>
      </c>
      <c r="F566" s="400"/>
    </row>
    <row r="567" spans="2:7" x14ac:dyDescent="0.25">
      <c r="C567" s="393" t="s">
        <v>443</v>
      </c>
      <c r="D567" s="393"/>
      <c r="E567" s="401" t="e">
        <f ca="1">IF(AND(ABS(E563)&lt;=E566/2,(ABS(E564)&lt;=E566/2)),"CONFORME","NON CONFORME")</f>
        <v>#REF!</v>
      </c>
      <c r="F567" s="401"/>
    </row>
    <row r="569" spans="2:7" x14ac:dyDescent="0.25">
      <c r="C569" s="406" t="s">
        <v>430</v>
      </c>
      <c r="D569" s="407"/>
      <c r="E569" s="245" t="s">
        <v>444</v>
      </c>
      <c r="F569" s="245" t="s">
        <v>445</v>
      </c>
    </row>
    <row r="570" spans="2:7" ht="28.9" customHeight="1" x14ac:dyDescent="0.25">
      <c r="B570" s="253" t="s">
        <v>431</v>
      </c>
      <c r="C570" s="402" t="s">
        <v>432</v>
      </c>
      <c r="D570" s="403"/>
      <c r="E570" s="153" t="e">
        <f ca="1">IF(ABS(E563)&lt;Mesures_Four!F24/2,"OUI","NON")</f>
        <v>#REF!</v>
      </c>
      <c r="F570" s="153" t="e">
        <f ca="1">IF(ABS(E564)&lt;Mesures_Four!F24/2,"OUI","NON")</f>
        <v>#REF!</v>
      </c>
    </row>
    <row r="571" spans="2:7" ht="28.9" customHeight="1" x14ac:dyDescent="0.25">
      <c r="B571" s="410" t="s">
        <v>433</v>
      </c>
      <c r="C571" s="402" t="s">
        <v>439</v>
      </c>
      <c r="D571" s="403"/>
      <c r="E571" s="153" t="e">
        <f ca="1">IF(ABS('535°C'!AA14-'535°C'!W13)&lt;1.7,"OUI","NON")</f>
        <v>#REF!</v>
      </c>
      <c r="F571" s="153" t="s">
        <v>200</v>
      </c>
    </row>
    <row r="572" spans="2:7" ht="28.9" customHeight="1" x14ac:dyDescent="0.25">
      <c r="B572" s="410"/>
      <c r="C572" s="402" t="s">
        <v>440</v>
      </c>
      <c r="D572" s="403"/>
      <c r="E572" s="153" t="s">
        <v>200</v>
      </c>
      <c r="F572" s="153" t="e">
        <f ca="1">IF(ABS('535°C'!AC13-'535°C'!W12)&lt;1.7,"OUI","NON")</f>
        <v>#REF!</v>
      </c>
    </row>
    <row r="573" spans="2:7" ht="28.9" customHeight="1" x14ac:dyDescent="0.25">
      <c r="C573" s="422" t="s">
        <v>436</v>
      </c>
      <c r="D573" s="422"/>
      <c r="E573" s="258" t="e">
        <f ca="1">IF(E570="OUI","NON",IF(E571="OUI","NON","OUI"))</f>
        <v>#REF!</v>
      </c>
      <c r="F573" s="258" t="e">
        <f ca="1">IF(F570="OUI","NON",IF(F572="OUI","NON","OUI"))</f>
        <v>#REF!</v>
      </c>
    </row>
    <row r="575" spans="2:7" ht="18.75" x14ac:dyDescent="0.25">
      <c r="B575" s="412" t="str">
        <f>_xlfn.CONCAT("A ",B485,", avec une consigne à ",B485,", le four est ")</f>
        <v xml:space="preserve">A 535°C, avec une consigne à 535°C, le four est </v>
      </c>
      <c r="C575" s="412"/>
      <c r="D575" s="412"/>
      <c r="E575" s="254" t="e">
        <f ca="1">IF(AND(E560="NON",E567="CONFORME"),"CONFORME","NON CONFORME")</f>
        <v>#N/A</v>
      </c>
      <c r="F575" s="398" t="str">
        <f>_xlfn.CONCAT("à la tolérance requise de ± ",Mesures_Four!F24,"°C")</f>
        <v>à la tolérance requise de ± 5°C</v>
      </c>
      <c r="G575" s="398"/>
    </row>
    <row r="582" spans="1:11" ht="18.75" x14ac:dyDescent="0.3">
      <c r="B582" s="230" t="s">
        <v>446</v>
      </c>
    </row>
    <row r="583" spans="1:11" ht="18.75" x14ac:dyDescent="0.3">
      <c r="B583" s="230"/>
    </row>
    <row r="584" spans="1:11" ht="18.75" customHeight="1" x14ac:dyDescent="0.25">
      <c r="A584" s="419" t="s">
        <v>447</v>
      </c>
      <c r="B584" s="420"/>
      <c r="C584" s="421"/>
      <c r="D584" s="245" t="str">
        <f>B181</f>
        <v>80°C</v>
      </c>
      <c r="E584" s="245" t="str">
        <f>B281</f>
        <v>200°C</v>
      </c>
      <c r="F584" s="245" t="str">
        <f>B383</f>
        <v>385°C</v>
      </c>
      <c r="G584" s="245" t="str">
        <f>B485</f>
        <v>535°C</v>
      </c>
    </row>
    <row r="585" spans="1:11" x14ac:dyDescent="0.25">
      <c r="A585" s="426" t="s">
        <v>448</v>
      </c>
      <c r="B585" s="427"/>
      <c r="C585" s="428"/>
      <c r="D585" s="259" t="e">
        <f ca="1">OFFSET(INDEX(tab_four80[Consigne T°],1),COUNT(tab_four80[Consigne T°])-30,0,1)</f>
        <v>#REF!</v>
      </c>
      <c r="E585" s="259" t="e">
        <f ca="1">OFFSET(INDEX(tab_four200[Consigne T°],1),COUNT(tab_four200[Consigne T°])-30,0,1)</f>
        <v>#REF!</v>
      </c>
      <c r="F585" s="259" t="e">
        <f ca="1">OFFSET(INDEX(tab_four385[Consigne T°],1),COUNT(tab_four385[Consigne T°])-30,0,1)</f>
        <v>#REF!</v>
      </c>
      <c r="G585" s="260" t="e">
        <f ca="1">OFFSET(INDEX(tab_four535[Consigne T°],1),COUNT(tab_four535[Consigne T°])-30,0,1)</f>
        <v>#REF!</v>
      </c>
    </row>
    <row r="586" spans="1:11" ht="28.9" customHeight="1" x14ac:dyDescent="0.25">
      <c r="A586" s="423" t="s">
        <v>449</v>
      </c>
      <c r="B586" s="424"/>
      <c r="C586" s="425"/>
      <c r="D586" s="249" t="e">
        <f>E254</f>
        <v>#N/A</v>
      </c>
      <c r="E586" s="249" t="e">
        <f>E356</f>
        <v>#N/A</v>
      </c>
      <c r="F586" s="249" t="e">
        <f>E458</f>
        <v>#N/A</v>
      </c>
      <c r="G586" s="249" t="e">
        <f>E559</f>
        <v>#N/A</v>
      </c>
    </row>
    <row r="587" spans="1:11" x14ac:dyDescent="0.25">
      <c r="A587" s="426" t="s">
        <v>450</v>
      </c>
      <c r="B587" s="427"/>
      <c r="C587" s="428"/>
      <c r="D587" s="261">
        <f>Mesures_Four!F21</f>
        <v>3</v>
      </c>
      <c r="E587" s="261">
        <f>Mesures_Four!F22</f>
        <v>3</v>
      </c>
      <c r="F587" s="261">
        <f>Mesures_Four!F23</f>
        <v>5</v>
      </c>
      <c r="G587" s="261">
        <f>Mesures_Four!F24</f>
        <v>5</v>
      </c>
    </row>
    <row r="588" spans="1:11" ht="18.75" x14ac:dyDescent="0.3">
      <c r="A588" s="426" t="s">
        <v>451</v>
      </c>
      <c r="B588" s="427"/>
      <c r="C588" s="428"/>
      <c r="D588" s="262" t="e">
        <f>E255</f>
        <v>#N/A</v>
      </c>
      <c r="E588" s="262" t="e">
        <f>E357</f>
        <v>#N/A</v>
      </c>
      <c r="F588" s="262" t="e">
        <f>E459</f>
        <v>#N/A</v>
      </c>
      <c r="G588" s="262" t="e">
        <f>E560</f>
        <v>#N/A</v>
      </c>
    </row>
    <row r="589" spans="1:11" x14ac:dyDescent="0.25">
      <c r="A589" s="426" t="s">
        <v>452</v>
      </c>
      <c r="B589" s="427"/>
      <c r="C589" s="428"/>
      <c r="D589" s="258">
        <v>1</v>
      </c>
      <c r="E589" s="258">
        <v>1</v>
      </c>
      <c r="F589" s="153">
        <v>2</v>
      </c>
      <c r="G589" s="258">
        <v>2</v>
      </c>
    </row>
    <row r="590" spans="1:11" ht="31.15" customHeight="1" x14ac:dyDescent="0.25">
      <c r="A590" s="423" t="s">
        <v>425</v>
      </c>
      <c r="B590" s="424"/>
      <c r="C590" s="425"/>
      <c r="D590" s="260" t="e">
        <f ca="1">E258</f>
        <v>#REF!</v>
      </c>
      <c r="E590" s="260" t="e">
        <f ca="1">E360</f>
        <v>#REF!</v>
      </c>
      <c r="F590" s="152" t="e">
        <f ca="1">E462</f>
        <v>#REF!</v>
      </c>
      <c r="G590" s="260" t="e">
        <f ca="1">E563</f>
        <v>#REF!</v>
      </c>
      <c r="K590" s="263"/>
    </row>
    <row r="591" spans="1:11" ht="31.15" customHeight="1" x14ac:dyDescent="0.25">
      <c r="A591" s="423" t="s">
        <v>426</v>
      </c>
      <c r="B591" s="424"/>
      <c r="C591" s="425"/>
      <c r="D591" s="260" t="e">
        <f ca="1">E259</f>
        <v>#REF!</v>
      </c>
      <c r="E591" s="260" t="e">
        <f ca="1">E361</f>
        <v>#REF!</v>
      </c>
      <c r="F591" s="152" t="e">
        <f ca="1">E463</f>
        <v>#REF!</v>
      </c>
      <c r="G591" s="260" t="e">
        <f ca="1">E564</f>
        <v>#REF!</v>
      </c>
      <c r="K591" s="263"/>
    </row>
    <row r="592" spans="1:11" x14ac:dyDescent="0.25">
      <c r="A592" s="426" t="s">
        <v>453</v>
      </c>
      <c r="B592" s="427"/>
      <c r="C592" s="428"/>
      <c r="D592" s="260" t="e">
        <f ca="1">E260</f>
        <v>#REF!</v>
      </c>
      <c r="E592" s="260" t="e">
        <f ca="1">E362</f>
        <v>#REF!</v>
      </c>
      <c r="F592" s="152" t="e">
        <f ca="1">E464</f>
        <v>#REF!</v>
      </c>
      <c r="G592" s="260" t="e">
        <f ca="1">E565</f>
        <v>#REF!</v>
      </c>
    </row>
    <row r="593" spans="1:8" ht="18.75" x14ac:dyDescent="0.25">
      <c r="A593" s="426" t="s">
        <v>219</v>
      </c>
      <c r="B593" s="427"/>
      <c r="C593" s="428"/>
      <c r="D593" s="264" t="e">
        <f ca="1">E262</f>
        <v>#REF!</v>
      </c>
      <c r="E593" s="264" t="e">
        <f ca="1">E364</f>
        <v>#REF!</v>
      </c>
      <c r="F593" s="264" t="e">
        <f ca="1">E466</f>
        <v>#REF!</v>
      </c>
      <c r="G593" s="264" t="e">
        <f ca="1">E567</f>
        <v>#REF!</v>
      </c>
    </row>
    <row r="594" spans="1:8" ht="18.75" x14ac:dyDescent="0.3">
      <c r="B594" s="230"/>
    </row>
    <row r="595" spans="1:8" x14ac:dyDescent="0.25">
      <c r="A595" s="419" t="s">
        <v>430</v>
      </c>
      <c r="B595" s="420"/>
      <c r="C595" s="421"/>
      <c r="D595" s="406" t="s">
        <v>389</v>
      </c>
      <c r="E595" s="407"/>
      <c r="F595" s="406" t="s">
        <v>386</v>
      </c>
      <c r="G595" s="407"/>
    </row>
    <row r="596" spans="1:8" x14ac:dyDescent="0.25">
      <c r="A596" s="426" t="s">
        <v>454</v>
      </c>
      <c r="B596" s="427"/>
      <c r="C596" s="428"/>
      <c r="D596" s="429" t="e">
        <f ca="1">E268</f>
        <v>#REF!</v>
      </c>
      <c r="E596" s="430"/>
      <c r="F596" s="429" t="e">
        <f ca="1">F268</f>
        <v>#REF!</v>
      </c>
      <c r="G596" s="430"/>
    </row>
    <row r="597" spans="1:8" x14ac:dyDescent="0.25">
      <c r="A597" s="426" t="s">
        <v>455</v>
      </c>
      <c r="B597" s="427"/>
      <c r="C597" s="428"/>
      <c r="D597" s="429" t="e">
        <f ca="1">E370</f>
        <v>#REF!</v>
      </c>
      <c r="E597" s="430"/>
      <c r="F597" s="429" t="e">
        <f ca="1">F370</f>
        <v>#REF!</v>
      </c>
      <c r="G597" s="430"/>
    </row>
    <row r="598" spans="1:8" x14ac:dyDescent="0.25">
      <c r="A598" s="426" t="s">
        <v>456</v>
      </c>
      <c r="B598" s="427"/>
      <c r="C598" s="428"/>
      <c r="D598" s="429" t="e">
        <f ca="1">E472</f>
        <v>#REF!</v>
      </c>
      <c r="E598" s="430"/>
      <c r="F598" s="429" t="e">
        <f ca="1">F472</f>
        <v>#REF!</v>
      </c>
      <c r="G598" s="430"/>
    </row>
    <row r="599" spans="1:8" x14ac:dyDescent="0.25">
      <c r="A599" s="426" t="s">
        <v>457</v>
      </c>
      <c r="B599" s="427"/>
      <c r="C599" s="428"/>
      <c r="D599" s="429" t="e">
        <f ca="1">E573</f>
        <v>#REF!</v>
      </c>
      <c r="E599" s="430"/>
      <c r="F599" s="429" t="e">
        <f ca="1">F573</f>
        <v>#REF!</v>
      </c>
      <c r="G599" s="430"/>
    </row>
    <row r="600" spans="1:8" ht="18.75" x14ac:dyDescent="0.3">
      <c r="A600" s="435" t="s">
        <v>458</v>
      </c>
      <c r="B600" s="436"/>
      <c r="C600" s="437"/>
      <c r="D600" s="438" t="e">
        <f ca="1">IF(AND(E268="NON",E370="NON",E472="NON",E573="NON"),"NON","OUI")</f>
        <v>#REF!</v>
      </c>
      <c r="E600" s="438"/>
      <c r="F600" s="439" t="e">
        <f ca="1">IF(AND(F268="NON",F370="NON",F472="NON",F573="NON"),"NON","OUI")</f>
        <v>#REF!</v>
      </c>
      <c r="G600" s="440"/>
    </row>
    <row r="601" spans="1:8" ht="18.75" x14ac:dyDescent="0.3">
      <c r="B601" s="230"/>
    </row>
    <row r="602" spans="1:8" ht="18.75" x14ac:dyDescent="0.25">
      <c r="A602" s="265" t="s">
        <v>459</v>
      </c>
      <c r="B602" s="441" t="str">
        <f>D57</f>
        <v>THERMIDOR</v>
      </c>
      <c r="C602" s="441"/>
      <c r="D602" s="266" t="s">
        <v>460</v>
      </c>
      <c r="E602" s="267" t="e">
        <f ca="1">IF(AND(D588="NON",E588="NON",F588="NON",G588="NON",D593="CONFORME",E593="CONFORME",F593="CONFORME",G593="CONFORME"),"CONFORME","Non CONFORME")</f>
        <v>#N/A</v>
      </c>
      <c r="F602" s="442" t="s">
        <v>461</v>
      </c>
      <c r="G602" s="442"/>
      <c r="H602" s="268" t="s">
        <v>462</v>
      </c>
    </row>
    <row r="604" spans="1:8" x14ac:dyDescent="0.25">
      <c r="B604" t="s">
        <v>463</v>
      </c>
    </row>
    <row r="605" spans="1:8" x14ac:dyDescent="0.25">
      <c r="C605" s="431" t="s">
        <v>464</v>
      </c>
      <c r="D605" s="431"/>
      <c r="E605" s="431"/>
    </row>
    <row r="606" spans="1:8" x14ac:dyDescent="0.25">
      <c r="C606" s="431" t="s">
        <v>465</v>
      </c>
      <c r="D606" s="431"/>
      <c r="E606" s="431"/>
    </row>
    <row r="607" spans="1:8" x14ac:dyDescent="0.25">
      <c r="C607" s="432" t="s">
        <v>466</v>
      </c>
      <c r="D607" s="432"/>
      <c r="E607" s="432"/>
    </row>
    <row r="608" spans="1:8" x14ac:dyDescent="0.25">
      <c r="C608" s="432"/>
      <c r="D608" s="432"/>
      <c r="E608" s="432"/>
    </row>
    <row r="609" spans="2:8" ht="14.45" customHeight="1" x14ac:dyDescent="0.25">
      <c r="C609" s="432" t="s">
        <v>467</v>
      </c>
      <c r="D609" s="432"/>
      <c r="E609" s="432"/>
    </row>
    <row r="610" spans="2:8" x14ac:dyDescent="0.25">
      <c r="C610" s="432"/>
      <c r="D610" s="432"/>
      <c r="E610" s="432"/>
    </row>
    <row r="612" spans="2:8" ht="14.45" customHeight="1" x14ac:dyDescent="0.25">
      <c r="B612" s="433" t="e">
        <f ca="1">IF(E602&lt;&gt;"CONFORME","ECHEC DE TUS : LA TUS DEVRA DONC ÊTRE RÉALISÉE TOUS LES MOIS JUSQU’À CE QUE 4 TUS CONSÉCUTIVES SOIENT CONFORMES","")</f>
        <v>#N/A</v>
      </c>
      <c r="C612" s="433"/>
      <c r="D612" s="433"/>
      <c r="E612" s="433"/>
      <c r="G612" s="334" t="s">
        <v>468</v>
      </c>
      <c r="H612" s="434" t="str">
        <f>IF(D11&lt;&gt;"",D11,"")</f>
        <v/>
      </c>
    </row>
    <row r="613" spans="2:8" ht="14.45" customHeight="1" x14ac:dyDescent="0.25">
      <c r="B613" s="433"/>
      <c r="C613" s="433"/>
      <c r="D613" s="433"/>
      <c r="E613" s="433"/>
      <c r="G613" s="334"/>
      <c r="H613" s="334"/>
    </row>
    <row r="614" spans="2:8" ht="14.45" customHeight="1" x14ac:dyDescent="0.25">
      <c r="B614" s="433"/>
      <c r="C614" s="433"/>
      <c r="D614" s="433"/>
      <c r="E614" s="433"/>
      <c r="G614" s="334" t="s">
        <v>469</v>
      </c>
      <c r="H614" s="434" t="str">
        <f>+IF(D11&lt;&gt;"",EDATE(D11,3),"")</f>
        <v/>
      </c>
    </row>
    <row r="615" spans="2:8" ht="14.45" customHeight="1" x14ac:dyDescent="0.25">
      <c r="B615" s="433"/>
      <c r="C615" s="433"/>
      <c r="D615" s="433"/>
      <c r="E615" s="433"/>
      <c r="G615" s="334"/>
      <c r="H615" s="334"/>
    </row>
  </sheetData>
  <sheetProtection algorithmName="SHA-512" hashValue="CkF4oXJThh8pVNAqiUbzvSo0i4yEvR8AidvivCPjpePtxQmZxItXO5brkIrD3836EKDOVQSSvOADAVnLZRKCuQ==" saltValue="Fl1CPo8ITIc6ABP57yC9Ow==" spinCount="100000" sheet="1" objects="1" scenarios="1" selectLockedCells="1" selectUnlockedCells="1"/>
  <mergeCells count="192">
    <mergeCell ref="C606:E606"/>
    <mergeCell ref="C607:E608"/>
    <mergeCell ref="C609:E610"/>
    <mergeCell ref="B612:E615"/>
    <mergeCell ref="G612:G613"/>
    <mergeCell ref="H612:H613"/>
    <mergeCell ref="G614:G615"/>
    <mergeCell ref="H614:H615"/>
    <mergeCell ref="A600:C600"/>
    <mergeCell ref="D600:E600"/>
    <mergeCell ref="F600:G600"/>
    <mergeCell ref="B602:C602"/>
    <mergeCell ref="F602:G602"/>
    <mergeCell ref="C605:E605"/>
    <mergeCell ref="A598:C598"/>
    <mergeCell ref="D598:E598"/>
    <mergeCell ref="F598:G598"/>
    <mergeCell ref="A599:C599"/>
    <mergeCell ref="D599:E599"/>
    <mergeCell ref="F599:G599"/>
    <mergeCell ref="F595:G595"/>
    <mergeCell ref="A596:C596"/>
    <mergeCell ref="D596:E596"/>
    <mergeCell ref="F596:G596"/>
    <mergeCell ref="A597:C597"/>
    <mergeCell ref="D597:E597"/>
    <mergeCell ref="F597:G597"/>
    <mergeCell ref="A590:C590"/>
    <mergeCell ref="A591:C591"/>
    <mergeCell ref="A592:C592"/>
    <mergeCell ref="A593:C593"/>
    <mergeCell ref="A595:C595"/>
    <mergeCell ref="D595:E595"/>
    <mergeCell ref="A584:C584"/>
    <mergeCell ref="A585:C585"/>
    <mergeCell ref="A586:C586"/>
    <mergeCell ref="A587:C587"/>
    <mergeCell ref="A588:C588"/>
    <mergeCell ref="A589:C589"/>
    <mergeCell ref="B571:B572"/>
    <mergeCell ref="C571:D571"/>
    <mergeCell ref="C572:D572"/>
    <mergeCell ref="C573:D573"/>
    <mergeCell ref="B575:D575"/>
    <mergeCell ref="F575:G575"/>
    <mergeCell ref="C566:D566"/>
    <mergeCell ref="E566:F566"/>
    <mergeCell ref="C567:D567"/>
    <mergeCell ref="E567:F567"/>
    <mergeCell ref="C569:D569"/>
    <mergeCell ref="C570:D570"/>
    <mergeCell ref="C563:D563"/>
    <mergeCell ref="E563:F563"/>
    <mergeCell ref="C564:D564"/>
    <mergeCell ref="E564:F564"/>
    <mergeCell ref="C565:D565"/>
    <mergeCell ref="E565:F565"/>
    <mergeCell ref="C558:F558"/>
    <mergeCell ref="C559:D559"/>
    <mergeCell ref="E559:F559"/>
    <mergeCell ref="C560:D560"/>
    <mergeCell ref="E560:F560"/>
    <mergeCell ref="C562:F562"/>
    <mergeCell ref="B503:C503"/>
    <mergeCell ref="B504:C504"/>
    <mergeCell ref="B505:C505"/>
    <mergeCell ref="B514:B515"/>
    <mergeCell ref="C514:C515"/>
    <mergeCell ref="D514:G514"/>
    <mergeCell ref="B474:D474"/>
    <mergeCell ref="F474:G474"/>
    <mergeCell ref="B499:C499"/>
    <mergeCell ref="B500:C500"/>
    <mergeCell ref="B501:C501"/>
    <mergeCell ref="B502:C502"/>
    <mergeCell ref="B470:B471"/>
    <mergeCell ref="C470:D470"/>
    <mergeCell ref="C471:D471"/>
    <mergeCell ref="C472:D472"/>
    <mergeCell ref="C473:D473"/>
    <mergeCell ref="E473:F473"/>
    <mergeCell ref="C465:D465"/>
    <mergeCell ref="E465:F465"/>
    <mergeCell ref="C466:D466"/>
    <mergeCell ref="E466:F466"/>
    <mergeCell ref="C468:D468"/>
    <mergeCell ref="C469:D469"/>
    <mergeCell ref="C462:D462"/>
    <mergeCell ref="E462:F462"/>
    <mergeCell ref="C463:D463"/>
    <mergeCell ref="E463:F463"/>
    <mergeCell ref="C464:D464"/>
    <mergeCell ref="E464:F464"/>
    <mergeCell ref="C457:F457"/>
    <mergeCell ref="C458:D458"/>
    <mergeCell ref="E458:F458"/>
    <mergeCell ref="C459:D459"/>
    <mergeCell ref="E459:F459"/>
    <mergeCell ref="C461:F461"/>
    <mergeCell ref="B401:C401"/>
    <mergeCell ref="B402:C402"/>
    <mergeCell ref="B403:C403"/>
    <mergeCell ref="B412:B413"/>
    <mergeCell ref="C412:C413"/>
    <mergeCell ref="D412:G412"/>
    <mergeCell ref="B372:D372"/>
    <mergeCell ref="F372:G372"/>
    <mergeCell ref="B397:C397"/>
    <mergeCell ref="B398:C398"/>
    <mergeCell ref="B399:C399"/>
    <mergeCell ref="B400:C400"/>
    <mergeCell ref="C366:D366"/>
    <mergeCell ref="C367:D367"/>
    <mergeCell ref="B368:B369"/>
    <mergeCell ref="C368:D368"/>
    <mergeCell ref="C369:D369"/>
    <mergeCell ref="C370:D370"/>
    <mergeCell ref="C362:D362"/>
    <mergeCell ref="E362:F362"/>
    <mergeCell ref="C363:D363"/>
    <mergeCell ref="E363:F363"/>
    <mergeCell ref="C364:D364"/>
    <mergeCell ref="E364:F364"/>
    <mergeCell ref="C357:D357"/>
    <mergeCell ref="E357:F357"/>
    <mergeCell ref="C359:F359"/>
    <mergeCell ref="C360:D360"/>
    <mergeCell ref="E360:F360"/>
    <mergeCell ref="C361:D361"/>
    <mergeCell ref="E361:F361"/>
    <mergeCell ref="B301:C301"/>
    <mergeCell ref="B310:B311"/>
    <mergeCell ref="C310:C311"/>
    <mergeCell ref="D310:G310"/>
    <mergeCell ref="C355:F355"/>
    <mergeCell ref="C356:D356"/>
    <mergeCell ref="E356:F356"/>
    <mergeCell ref="B295:C295"/>
    <mergeCell ref="B296:C296"/>
    <mergeCell ref="B297:C297"/>
    <mergeCell ref="B298:C298"/>
    <mergeCell ref="B299:C299"/>
    <mergeCell ref="B300:C300"/>
    <mergeCell ref="B266:B267"/>
    <mergeCell ref="C266:D266"/>
    <mergeCell ref="C267:D267"/>
    <mergeCell ref="C268:D268"/>
    <mergeCell ref="B270:D270"/>
    <mergeCell ref="F270:G270"/>
    <mergeCell ref="C261:D261"/>
    <mergeCell ref="E261:F261"/>
    <mergeCell ref="C262:D262"/>
    <mergeCell ref="E262:F262"/>
    <mergeCell ref="C264:D264"/>
    <mergeCell ref="C265:D265"/>
    <mergeCell ref="C257:F257"/>
    <mergeCell ref="C258:D258"/>
    <mergeCell ref="E258:F258"/>
    <mergeCell ref="C259:D259"/>
    <mergeCell ref="E259:F259"/>
    <mergeCell ref="C260:D260"/>
    <mergeCell ref="E260:F260"/>
    <mergeCell ref="D211:G211"/>
    <mergeCell ref="C253:F253"/>
    <mergeCell ref="C254:D254"/>
    <mergeCell ref="E254:F254"/>
    <mergeCell ref="C255:D255"/>
    <mergeCell ref="E255:F255"/>
    <mergeCell ref="B198:C198"/>
    <mergeCell ref="B199:C199"/>
    <mergeCell ref="B200:C200"/>
    <mergeCell ref="B201:C201"/>
    <mergeCell ref="B211:B212"/>
    <mergeCell ref="C211:C212"/>
    <mergeCell ref="B195:C195"/>
    <mergeCell ref="B196:C196"/>
    <mergeCell ref="B197:C197"/>
    <mergeCell ref="B57:C57"/>
    <mergeCell ref="B58:C58"/>
    <mergeCell ref="B59:C59"/>
    <mergeCell ref="B60:C60"/>
    <mergeCell ref="B61:C61"/>
    <mergeCell ref="B62:C62"/>
    <mergeCell ref="B5:G5"/>
    <mergeCell ref="C8:D8"/>
    <mergeCell ref="E8:F8"/>
    <mergeCell ref="A30:I47"/>
    <mergeCell ref="B55:C55"/>
    <mergeCell ref="B56:C56"/>
    <mergeCell ref="B63:C63"/>
    <mergeCell ref="B116:H117"/>
    <mergeCell ref="B121:H135"/>
  </mergeCells>
  <conditionalFormatting sqref="E270 E372 E474 E575">
    <cfRule type="cellIs" dxfId="74" priority="9" operator="equal">
      <formula>"CONFORME"</formula>
    </cfRule>
  </conditionalFormatting>
  <conditionalFormatting sqref="E255:F255 E357:F357 E459:F459 E560:F560">
    <cfRule type="cellIs" dxfId="73" priority="7" operator="equal">
      <formula>"NON"</formula>
    </cfRule>
  </conditionalFormatting>
  <conditionalFormatting sqref="E262:F262 E364:F364 E466:F466 E567:F567">
    <cfRule type="cellIs" dxfId="72" priority="6" operator="equal">
      <formula>"CONFORME"</formula>
    </cfRule>
  </conditionalFormatting>
  <conditionalFormatting sqref="D593:G593">
    <cfRule type="cellIs" dxfId="71" priority="5" operator="equal">
      <formula>"CONFORME"</formula>
    </cfRule>
  </conditionalFormatting>
  <conditionalFormatting sqref="E602">
    <cfRule type="cellIs" dxfId="70" priority="4" operator="equal">
      <formula>"CONFORME"</formula>
    </cfRule>
  </conditionalFormatting>
  <conditionalFormatting sqref="D600:G600">
    <cfRule type="cellIs" dxfId="69" priority="3" operator="equal">
      <formula>"NON"</formula>
    </cfRule>
  </conditionalFormatting>
  <conditionalFormatting sqref="B612:E615">
    <cfRule type="cellIs" dxfId="68" priority="2" operator="notEqual">
      <formula>""</formula>
    </cfRule>
  </conditionalFormatting>
  <conditionalFormatting sqref="D588:G588">
    <cfRule type="cellIs" dxfId="67" priority="1" operator="equal">
      <formula>"NON"</formula>
    </cfRule>
  </conditionalFormatting>
  <pageMargins left="0.70866141732283472" right="0.70866141732283472" top="0.74803149606299213" bottom="0.74803149606299213" header="0.31496062992125984" footer="0.31496062992125984"/>
  <pageSetup paperSize="9" scale="63" fitToHeight="0" orientation="landscape" r:id="rId1"/>
  <headerFooter>
    <oddFooter>&amp;CPage &amp;P&amp;RIMP 472 ind O du 07-02-2024 (PV TUS INTERNE FOUR THERMIDOR)</oddFooter>
  </headerFooter>
  <rowBreaks count="17" manualBreakCount="17">
    <brk id="47" max="8" man="1"/>
    <brk id="92" max="8" man="1"/>
    <brk id="135" max="8" man="1"/>
    <brk id="171" max="8" man="1"/>
    <brk id="202" max="8" man="1"/>
    <brk id="245" max="8" man="1"/>
    <brk id="271" max="8" man="1"/>
    <brk id="302" max="8" man="1"/>
    <brk id="348" max="8" man="1"/>
    <brk id="373" max="16383" man="1"/>
    <brk id="404" max="8" man="1"/>
    <brk id="450" max="16383" man="1"/>
    <brk id="475" max="8" man="1"/>
    <brk id="506" max="8" man="1"/>
    <brk id="551" max="8" man="1"/>
    <brk id="576" max="8" man="1"/>
    <brk id="616" max="8" man="1"/>
  </rowBreaks>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C28BF-FE44-492B-A7C1-4A46F26FF1C3}">
  <sheetPr codeName="Feuil30">
    <tabColor rgb="FF7030A0"/>
  </sheetPr>
  <dimension ref="A1:P52"/>
  <sheetViews>
    <sheetView topLeftCell="A28" zoomScaleNormal="100" workbookViewId="0">
      <selection activeCell="O50" sqref="O50"/>
    </sheetView>
  </sheetViews>
  <sheetFormatPr baseColWidth="10" defaultRowHeight="15" x14ac:dyDescent="0.25"/>
  <cols>
    <col min="1" max="1" width="13.570312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325"/>
      <c r="B1" s="1"/>
      <c r="C1" s="1"/>
      <c r="D1" s="1"/>
      <c r="E1" s="1"/>
      <c r="F1" s="1"/>
      <c r="G1" s="1"/>
      <c r="H1" s="1"/>
      <c r="I1" s="1"/>
      <c r="J1" s="1"/>
      <c r="K1" s="1"/>
      <c r="L1" s="1"/>
      <c r="M1" s="1"/>
      <c r="N1" s="1"/>
      <c r="O1" s="1"/>
    </row>
    <row r="2" spans="1:16" ht="15" customHeight="1" x14ac:dyDescent="0.25">
      <c r="A2" s="1"/>
      <c r="B2" s="454" t="s">
        <v>535</v>
      </c>
      <c r="C2" s="455"/>
      <c r="D2" s="455"/>
      <c r="E2" s="455"/>
      <c r="F2" s="455"/>
      <c r="G2" s="455"/>
      <c r="H2" s="455"/>
      <c r="I2" s="455"/>
      <c r="J2" s="455"/>
      <c r="K2" s="455"/>
      <c r="L2" s="1"/>
      <c r="M2" s="1"/>
      <c r="N2" s="1"/>
      <c r="O2" s="1"/>
    </row>
    <row r="3" spans="1:16" ht="63.75" customHeight="1" x14ac:dyDescent="0.25">
      <c r="A3" s="1"/>
      <c r="B3" s="455"/>
      <c r="C3" s="455"/>
      <c r="D3" s="455"/>
      <c r="E3" s="455"/>
      <c r="F3" s="455"/>
      <c r="G3" s="455"/>
      <c r="H3" s="455"/>
      <c r="I3" s="455"/>
      <c r="J3" s="455"/>
      <c r="K3" s="455"/>
      <c r="L3" s="1"/>
      <c r="M3" s="1"/>
      <c r="N3" s="1"/>
      <c r="O3" s="1"/>
    </row>
    <row r="4" spans="1:16" ht="70.5" customHeight="1" x14ac:dyDescent="0.25">
      <c r="A4" s="1"/>
      <c r="B4" s="2"/>
      <c r="C4" s="2"/>
      <c r="D4" s="2"/>
      <c r="E4" s="2"/>
      <c r="F4" s="2"/>
      <c r="G4" s="2"/>
      <c r="H4" s="2"/>
      <c r="I4" s="2"/>
      <c r="J4" s="2"/>
      <c r="K4" s="2"/>
      <c r="L4" s="1"/>
      <c r="M4" s="1"/>
      <c r="N4" s="1"/>
      <c r="O4" s="1"/>
    </row>
    <row r="5" spans="1:16" ht="18.75" customHeight="1" x14ac:dyDescent="0.25">
      <c r="A5" s="447" t="s">
        <v>536</v>
      </c>
      <c r="B5" s="447"/>
      <c r="C5" s="447"/>
      <c r="D5" s="162" t="str">
        <f>Choose_TUS!L2 &amp; "(PV/ SAT de la cabine de ressuage BCH)"</f>
        <v>IMP 472 ind O du 07-02-2024 (PV/ SAT de la cabine de ressuage BCH)</v>
      </c>
      <c r="E5" s="2"/>
      <c r="F5" s="2"/>
      <c r="G5" s="2"/>
      <c r="H5" s="2"/>
      <c r="I5" s="2"/>
      <c r="J5" s="2"/>
      <c r="K5" s="2"/>
      <c r="L5" s="1"/>
      <c r="M5" s="1"/>
      <c r="N5" s="1"/>
      <c r="O5" s="1"/>
    </row>
    <row r="6" spans="1:16" x14ac:dyDescent="0.25">
      <c r="A6" s="447" t="s">
        <v>0</v>
      </c>
      <c r="B6" s="447"/>
      <c r="C6" s="447"/>
      <c r="D6" s="162"/>
      <c r="E6" s="1"/>
      <c r="F6" s="1"/>
      <c r="G6" s="1"/>
      <c r="H6" s="1"/>
      <c r="I6" s="1"/>
      <c r="J6" s="1"/>
      <c r="K6" s="1"/>
      <c r="L6" s="1"/>
      <c r="M6" s="1"/>
      <c r="N6" s="1"/>
      <c r="O6" s="24"/>
    </row>
    <row r="7" spans="1:16" x14ac:dyDescent="0.25">
      <c r="A7" s="1"/>
      <c r="B7" s="1"/>
      <c r="C7" s="1"/>
      <c r="D7" s="1"/>
      <c r="E7" s="1"/>
      <c r="F7" s="1"/>
      <c r="G7" s="1"/>
      <c r="H7" s="1"/>
      <c r="I7" s="1"/>
      <c r="J7" s="1"/>
      <c r="K7" s="1"/>
      <c r="L7" s="1"/>
      <c r="M7" s="1"/>
      <c r="N7" s="1"/>
      <c r="O7" s="1"/>
      <c r="P7" s="24"/>
    </row>
    <row r="8" spans="1:16" x14ac:dyDescent="0.25">
      <c r="A8" s="447" t="s">
        <v>1</v>
      </c>
      <c r="B8" s="447"/>
      <c r="C8" s="4"/>
      <c r="D8" s="1"/>
      <c r="E8" s="447" t="s">
        <v>18</v>
      </c>
      <c r="F8" s="447"/>
      <c r="G8" s="4"/>
      <c r="H8" s="1"/>
      <c r="I8" s="1"/>
      <c r="J8" s="1"/>
      <c r="K8" s="1"/>
      <c r="L8" s="1"/>
      <c r="M8" s="1"/>
      <c r="N8" s="1"/>
      <c r="O8" s="5"/>
    </row>
    <row r="9" spans="1:16" x14ac:dyDescent="0.25">
      <c r="A9" s="447" t="s">
        <v>2</v>
      </c>
      <c r="B9" s="447"/>
      <c r="C9" s="6"/>
      <c r="D9" s="1"/>
      <c r="E9" s="447" t="s">
        <v>19</v>
      </c>
      <c r="F9" s="447"/>
      <c r="G9" s="6"/>
      <c r="H9" s="1"/>
      <c r="I9" s="1"/>
      <c r="J9" s="1"/>
      <c r="K9" s="1"/>
      <c r="L9" s="1"/>
      <c r="M9" s="1"/>
      <c r="N9" s="1"/>
      <c r="O9" s="5"/>
    </row>
    <row r="10" spans="1:16" x14ac:dyDescent="0.25">
      <c r="A10" s="1"/>
      <c r="B10" s="1"/>
      <c r="C10" s="1"/>
      <c r="D10" s="1"/>
      <c r="E10" s="1"/>
      <c r="F10" s="1"/>
      <c r="G10" s="1"/>
      <c r="H10" s="1"/>
      <c r="I10" s="1"/>
      <c r="J10" s="1"/>
      <c r="K10" s="1"/>
      <c r="L10" s="1"/>
      <c r="M10" s="1"/>
      <c r="N10" s="1"/>
      <c r="O10" s="5"/>
    </row>
    <row r="11" spans="1:16" x14ac:dyDescent="0.25">
      <c r="A11" s="443" t="s">
        <v>3</v>
      </c>
      <c r="B11" s="444"/>
      <c r="C11" s="7"/>
      <c r="D11" s="1"/>
      <c r="E11" s="443" t="s">
        <v>20</v>
      </c>
      <c r="F11" s="444"/>
      <c r="G11" s="8"/>
      <c r="H11" s="1"/>
      <c r="I11" s="1"/>
      <c r="J11" s="1"/>
      <c r="K11" s="1"/>
      <c r="L11" s="1"/>
      <c r="M11" s="1"/>
      <c r="N11" s="1"/>
      <c r="O11" s="1"/>
    </row>
    <row r="12" spans="1:16" x14ac:dyDescent="0.25">
      <c r="A12" s="443" t="s">
        <v>4</v>
      </c>
      <c r="B12" s="444"/>
      <c r="C12" s="8"/>
      <c r="D12" s="1"/>
      <c r="E12" s="447" t="s">
        <v>21</v>
      </c>
      <c r="F12" s="447"/>
      <c r="G12" s="159">
        <v>9</v>
      </c>
      <c r="H12" s="1"/>
      <c r="I12" s="1"/>
      <c r="J12" s="1"/>
      <c r="K12" s="1"/>
      <c r="L12" s="1"/>
      <c r="M12" s="1"/>
      <c r="N12" s="1"/>
      <c r="O12" s="1"/>
    </row>
    <row r="13" spans="1:16" x14ac:dyDescent="0.25">
      <c r="A13" s="1"/>
      <c r="B13" s="1"/>
      <c r="C13" s="1"/>
      <c r="D13" s="1"/>
      <c r="E13" s="447" t="s">
        <v>22</v>
      </c>
      <c r="F13" s="447"/>
      <c r="G13" s="10"/>
      <c r="H13" s="1"/>
      <c r="I13" s="1"/>
      <c r="J13" s="1"/>
      <c r="K13" s="1"/>
      <c r="L13" s="1"/>
      <c r="M13" s="1"/>
      <c r="N13" s="1"/>
      <c r="O13" s="1"/>
    </row>
    <row r="14" spans="1:16" x14ac:dyDescent="0.25">
      <c r="A14" s="1"/>
      <c r="B14" s="1"/>
      <c r="C14" s="1"/>
      <c r="D14" s="1"/>
      <c r="E14" s="1"/>
      <c r="F14" s="1"/>
      <c r="G14" s="1"/>
      <c r="H14" s="1"/>
      <c r="I14" s="1"/>
      <c r="J14" s="1"/>
      <c r="K14" s="1"/>
      <c r="L14" s="1"/>
      <c r="M14" s="1"/>
      <c r="N14" s="1"/>
      <c r="O14" s="1"/>
    </row>
    <row r="15" spans="1:16" x14ac:dyDescent="0.25">
      <c r="A15" s="443" t="s">
        <v>5</v>
      </c>
      <c r="B15" s="444"/>
      <c r="C15" s="4"/>
      <c r="D15" s="1"/>
      <c r="E15" s="1"/>
      <c r="F15" s="1"/>
      <c r="G15" s="1"/>
      <c r="H15" s="1"/>
      <c r="I15" s="1"/>
      <c r="J15" s="1"/>
      <c r="K15" s="1"/>
      <c r="L15" s="1"/>
      <c r="M15" s="1"/>
      <c r="N15" s="1"/>
      <c r="O15" s="1"/>
    </row>
    <row r="16" spans="1:16" x14ac:dyDescent="0.25">
      <c r="A16" s="443" t="s">
        <v>6</v>
      </c>
      <c r="B16" s="444"/>
      <c r="C16" s="10"/>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3" t="s">
        <v>7</v>
      </c>
      <c r="B18" s="11"/>
      <c r="C18" s="1"/>
      <c r="D18" s="1"/>
      <c r="E18" s="1"/>
      <c r="F18" s="1"/>
      <c r="G18" s="1"/>
      <c r="H18" s="1"/>
      <c r="I18" s="1"/>
      <c r="J18" s="1"/>
      <c r="K18" s="1"/>
      <c r="L18" s="1"/>
      <c r="M18" s="1"/>
      <c r="N18" s="1"/>
      <c r="O18" s="1"/>
    </row>
    <row r="19" spans="1:15" x14ac:dyDescent="0.25">
      <c r="A19" s="1"/>
      <c r="B19" s="1"/>
      <c r="C19" s="1"/>
      <c r="D19" s="1"/>
      <c r="E19" s="1"/>
      <c r="F19" s="1"/>
      <c r="G19" s="1"/>
      <c r="H19" s="1"/>
      <c r="I19" s="1"/>
      <c r="J19" s="1"/>
      <c r="K19" s="1"/>
      <c r="L19" s="1"/>
      <c r="M19" s="1"/>
      <c r="N19" s="1"/>
      <c r="O19" s="1"/>
    </row>
    <row r="20" spans="1:15" x14ac:dyDescent="0.25">
      <c r="B20" s="3" t="s">
        <v>537</v>
      </c>
      <c r="C20" s="3" t="s">
        <v>31</v>
      </c>
      <c r="D20" s="1"/>
      <c r="E20" s="1"/>
      <c r="F20" s="1"/>
      <c r="G20" s="1"/>
      <c r="H20" s="1"/>
      <c r="I20" s="1"/>
      <c r="J20" s="1"/>
      <c r="K20" s="1"/>
      <c r="L20" s="1"/>
      <c r="M20" s="1"/>
      <c r="N20" s="1"/>
      <c r="O20" s="1"/>
    </row>
    <row r="21" spans="1:15" x14ac:dyDescent="0.25">
      <c r="A21" s="3" t="s">
        <v>8</v>
      </c>
      <c r="B21" s="11"/>
      <c r="C21" s="11"/>
      <c r="D21" s="1"/>
      <c r="E21" s="1"/>
      <c r="F21" s="1"/>
      <c r="G21" s="1"/>
      <c r="H21" s="1"/>
      <c r="I21" s="1"/>
      <c r="J21" s="1"/>
      <c r="K21" s="1"/>
      <c r="L21" s="1"/>
      <c r="M21" s="1"/>
      <c r="N21" s="1"/>
      <c r="O21" s="1"/>
    </row>
    <row r="22" spans="1:15" ht="15.75" thickBot="1" x14ac:dyDescent="0.3">
      <c r="A22" s="1"/>
      <c r="B22" s="1"/>
      <c r="C22" s="1"/>
      <c r="D22" s="1"/>
      <c r="E22" s="1"/>
      <c r="F22" s="1"/>
      <c r="G22" s="1"/>
      <c r="H22" s="1"/>
      <c r="I22" s="1"/>
      <c r="J22" s="1"/>
      <c r="K22" s="1"/>
      <c r="L22" s="1"/>
      <c r="M22" s="1"/>
      <c r="N22" s="1"/>
      <c r="O22" s="1"/>
    </row>
    <row r="23" spans="1:15" ht="15.75" thickBot="1" x14ac:dyDescent="0.3">
      <c r="A23" s="12" t="s">
        <v>9</v>
      </c>
      <c r="B23" s="13" t="s">
        <v>12</v>
      </c>
      <c r="C23" s="13" t="s">
        <v>14</v>
      </c>
      <c r="D23" s="13" t="s">
        <v>16</v>
      </c>
      <c r="E23" s="14" t="s">
        <v>23</v>
      </c>
      <c r="F23" s="1"/>
      <c r="G23" s="1"/>
      <c r="H23" s="1"/>
      <c r="I23" s="1"/>
      <c r="J23" s="1"/>
      <c r="K23" s="1"/>
      <c r="L23" s="1"/>
      <c r="M23" s="1"/>
      <c r="N23" s="1"/>
      <c r="O23" s="1"/>
    </row>
    <row r="24" spans="1:15" x14ac:dyDescent="0.25">
      <c r="A24" s="15">
        <v>1</v>
      </c>
      <c r="B24" s="11"/>
      <c r="C24" s="11"/>
      <c r="D24" s="174"/>
      <c r="E24" s="174"/>
      <c r="F24" s="1"/>
      <c r="G24" s="1"/>
      <c r="H24" s="1"/>
      <c r="I24" s="1"/>
      <c r="J24" s="1"/>
      <c r="K24" s="1"/>
      <c r="L24" s="1"/>
      <c r="M24" s="1"/>
      <c r="N24" s="1"/>
      <c r="O24" s="1"/>
    </row>
    <row r="25" spans="1:15" x14ac:dyDescent="0.25">
      <c r="A25" s="19">
        <v>2</v>
      </c>
      <c r="B25" s="11"/>
      <c r="C25" s="11"/>
      <c r="D25" s="174"/>
      <c r="E25" s="174"/>
      <c r="F25" s="1"/>
      <c r="G25" s="1"/>
      <c r="H25" s="1"/>
      <c r="I25" s="1"/>
      <c r="J25" s="1"/>
      <c r="K25" s="1"/>
      <c r="L25" s="1"/>
      <c r="M25" s="1"/>
      <c r="N25" s="1"/>
      <c r="O25" s="1"/>
    </row>
    <row r="26" spans="1:15" x14ac:dyDescent="0.25">
      <c r="A26" s="15">
        <v>3</v>
      </c>
      <c r="B26" s="11"/>
      <c r="C26" s="11"/>
      <c r="D26" s="174"/>
      <c r="E26" s="174"/>
      <c r="F26" s="1"/>
      <c r="G26" s="1"/>
      <c r="H26" s="1"/>
      <c r="I26" s="1"/>
      <c r="J26" s="1"/>
      <c r="K26" s="1"/>
      <c r="L26" s="1"/>
      <c r="M26" s="1"/>
      <c r="N26" s="1"/>
      <c r="O26" s="1"/>
    </row>
    <row r="27" spans="1:15" x14ac:dyDescent="0.25">
      <c r="A27" s="19">
        <v>4</v>
      </c>
      <c r="B27" s="11"/>
      <c r="C27" s="11"/>
      <c r="D27" s="174"/>
      <c r="E27" s="174"/>
      <c r="F27" s="1"/>
      <c r="G27" s="1"/>
      <c r="H27" s="1"/>
      <c r="I27" s="1"/>
      <c r="J27" s="1"/>
      <c r="K27" s="1"/>
      <c r="L27" s="1"/>
      <c r="M27" s="1"/>
      <c r="N27" s="1"/>
      <c r="O27" s="1"/>
    </row>
    <row r="28" spans="1:15" x14ac:dyDescent="0.25">
      <c r="A28" s="15">
        <v>5</v>
      </c>
      <c r="B28" s="11"/>
      <c r="C28" s="11"/>
      <c r="D28" s="174"/>
      <c r="E28" s="174"/>
      <c r="F28" s="1"/>
      <c r="G28" s="1"/>
      <c r="H28" s="1"/>
      <c r="I28" s="1"/>
      <c r="J28" s="1"/>
      <c r="K28" s="1"/>
      <c r="L28" s="1"/>
      <c r="M28" s="1"/>
      <c r="N28" s="1"/>
      <c r="O28" s="1"/>
    </row>
    <row r="29" spans="1:15" x14ac:dyDescent="0.25">
      <c r="A29" s="19">
        <v>6</v>
      </c>
      <c r="B29" s="11"/>
      <c r="C29" s="11"/>
      <c r="D29" s="174"/>
      <c r="E29" s="174"/>
      <c r="F29" s="1"/>
      <c r="G29" s="1"/>
      <c r="H29" s="1"/>
      <c r="I29" s="1"/>
      <c r="J29" s="1"/>
      <c r="K29" s="1"/>
      <c r="L29" s="1"/>
      <c r="M29" s="1"/>
      <c r="N29" s="1"/>
      <c r="O29" s="1"/>
    </row>
    <row r="30" spans="1:15" x14ac:dyDescent="0.25">
      <c r="A30" s="15">
        <v>7</v>
      </c>
      <c r="B30" s="11"/>
      <c r="C30" s="11"/>
      <c r="D30" s="174"/>
      <c r="E30" s="174"/>
      <c r="F30" s="1"/>
      <c r="G30" s="1"/>
      <c r="H30" s="1"/>
      <c r="I30" s="1"/>
      <c r="J30" s="1"/>
      <c r="K30" s="1"/>
      <c r="L30" s="1"/>
      <c r="M30" s="1"/>
      <c r="N30" s="1"/>
      <c r="O30" s="1"/>
    </row>
    <row r="31" spans="1:15" x14ac:dyDescent="0.25">
      <c r="A31" s="19">
        <v>8</v>
      </c>
      <c r="B31" s="11"/>
      <c r="C31" s="11"/>
      <c r="D31" s="174"/>
      <c r="E31" s="174"/>
      <c r="F31" s="1"/>
      <c r="G31" s="1"/>
      <c r="H31" s="1"/>
      <c r="I31" s="1"/>
      <c r="J31" s="1"/>
      <c r="K31" s="1"/>
      <c r="L31" s="1"/>
      <c r="M31" s="1"/>
      <c r="N31" s="1"/>
      <c r="O31" s="1"/>
    </row>
    <row r="32" spans="1:15" x14ac:dyDescent="0.25">
      <c r="A32" s="15">
        <v>9</v>
      </c>
      <c r="B32" s="11"/>
      <c r="C32" s="11"/>
      <c r="D32" s="174"/>
      <c r="E32" s="174"/>
      <c r="F32" s="1"/>
      <c r="G32" s="1"/>
      <c r="H32" s="1"/>
      <c r="I32" s="1"/>
      <c r="J32" s="1"/>
      <c r="K32" s="1"/>
      <c r="L32" s="1"/>
      <c r="M32" s="1"/>
      <c r="N32" s="1"/>
      <c r="O32" s="1"/>
    </row>
    <row r="33" spans="1:16" x14ac:dyDescent="0.25">
      <c r="A33" s="19">
        <v>10</v>
      </c>
      <c r="B33" s="11"/>
      <c r="C33" s="11"/>
      <c r="D33" s="174"/>
      <c r="E33" s="174"/>
      <c r="F33" s="1"/>
      <c r="G33" s="1"/>
      <c r="H33" s="1"/>
      <c r="I33" s="1"/>
      <c r="J33" s="1"/>
      <c r="K33" s="1"/>
      <c r="L33" s="1"/>
      <c r="M33" s="1"/>
      <c r="N33" s="1"/>
      <c r="O33" s="1"/>
    </row>
    <row r="34" spans="1:16" x14ac:dyDescent="0.25">
      <c r="A34" s="1"/>
      <c r="B34" s="1"/>
      <c r="C34" s="1"/>
      <c r="D34" s="1"/>
      <c r="E34" s="1"/>
      <c r="F34" s="1"/>
      <c r="G34" s="1"/>
      <c r="H34" s="1"/>
      <c r="I34" s="1"/>
      <c r="J34" s="1"/>
      <c r="K34" s="1"/>
      <c r="L34" s="1"/>
      <c r="M34" s="1"/>
      <c r="N34" s="1"/>
      <c r="O34" s="1"/>
    </row>
    <row r="35" spans="1:16" x14ac:dyDescent="0.25">
      <c r="A35" s="1"/>
      <c r="B35" s="1"/>
      <c r="C35" s="1"/>
      <c r="D35" s="1"/>
      <c r="E35" s="1"/>
      <c r="F35" s="1"/>
      <c r="G35" s="1"/>
      <c r="H35" s="1"/>
      <c r="I35" s="1"/>
      <c r="J35" s="1"/>
      <c r="K35" s="1"/>
      <c r="L35" s="1"/>
      <c r="M35" s="1"/>
      <c r="N35" s="1"/>
      <c r="O35" s="1"/>
    </row>
    <row r="36" spans="1:16" x14ac:dyDescent="0.25">
      <c r="A36" s="1"/>
      <c r="B36" s="1"/>
      <c r="C36" s="1"/>
      <c r="D36" s="1"/>
      <c r="E36" s="1"/>
      <c r="F36" s="1"/>
      <c r="G36" s="1"/>
      <c r="H36" s="1"/>
      <c r="I36" s="1"/>
      <c r="J36" s="1"/>
      <c r="K36" s="1"/>
      <c r="L36" s="1"/>
      <c r="M36" s="1"/>
      <c r="N36" s="1"/>
      <c r="O36" s="1"/>
    </row>
    <row r="37" spans="1:16" x14ac:dyDescent="0.25">
      <c r="A37" s="1"/>
      <c r="B37" s="1"/>
      <c r="C37" s="1"/>
      <c r="D37" s="1"/>
      <c r="E37" s="1"/>
      <c r="F37" s="1"/>
      <c r="G37" s="1"/>
      <c r="H37" s="1"/>
      <c r="I37" s="1"/>
      <c r="J37" s="1"/>
      <c r="K37" s="1"/>
      <c r="L37" s="1"/>
      <c r="M37" s="1"/>
      <c r="N37" s="1"/>
      <c r="O37" s="1"/>
    </row>
    <row r="38" spans="1:16" x14ac:dyDescent="0.25">
      <c r="A38" s="1"/>
      <c r="B38" s="1"/>
      <c r="C38" s="1"/>
      <c r="D38" s="1"/>
      <c r="E38" s="1"/>
      <c r="F38" s="1"/>
      <c r="G38" s="1"/>
      <c r="H38" s="1"/>
      <c r="I38" s="1"/>
      <c r="J38" s="1"/>
      <c r="K38" s="1"/>
      <c r="L38" s="1"/>
      <c r="M38" s="1"/>
      <c r="N38" s="1"/>
      <c r="O38" s="1"/>
    </row>
    <row r="39" spans="1:16" ht="26.25" x14ac:dyDescent="0.25">
      <c r="A39" s="1"/>
      <c r="B39" s="446" t="s">
        <v>13</v>
      </c>
      <c r="C39" s="446"/>
      <c r="D39" s="1"/>
      <c r="E39" s="1"/>
      <c r="F39" s="1"/>
      <c r="G39" s="1"/>
      <c r="H39" s="1"/>
      <c r="I39" s="1"/>
      <c r="J39" s="1"/>
      <c r="K39" s="1"/>
      <c r="L39" s="446" t="s">
        <v>30</v>
      </c>
      <c r="M39" s="446"/>
      <c r="N39" s="1"/>
      <c r="O39" s="1"/>
    </row>
    <row r="40" spans="1:16" x14ac:dyDescent="0.25">
      <c r="A40" s="1"/>
      <c r="B40" s="1"/>
      <c r="C40" s="1"/>
      <c r="D40" s="1"/>
      <c r="E40" s="1"/>
      <c r="F40" s="1"/>
      <c r="G40" s="1"/>
      <c r="H40" s="1"/>
      <c r="I40" s="1"/>
      <c r="J40" s="1"/>
      <c r="K40" s="1"/>
      <c r="L40" s="1"/>
      <c r="M40" s="1"/>
      <c r="N40" s="1"/>
      <c r="O40" s="1"/>
    </row>
    <row r="41" spans="1:16" x14ac:dyDescent="0.25">
      <c r="A41" s="447" t="s">
        <v>10</v>
      </c>
      <c r="B41" s="447"/>
      <c r="C41" s="448"/>
      <c r="D41" s="448"/>
      <c r="E41" s="448"/>
      <c r="F41" s="449"/>
      <c r="G41" s="1"/>
      <c r="H41" s="1"/>
      <c r="I41" s="1"/>
      <c r="J41" s="1"/>
      <c r="K41" s="443" t="s">
        <v>26</v>
      </c>
      <c r="L41" s="453"/>
      <c r="M41" s="453"/>
      <c r="N41" s="453"/>
      <c r="O41" s="453"/>
      <c r="P41" s="444"/>
    </row>
    <row r="42" spans="1:16" ht="45" x14ac:dyDescent="0.25">
      <c r="A42" s="447"/>
      <c r="B42" s="447"/>
      <c r="C42" s="3" t="s">
        <v>15</v>
      </c>
      <c r="D42" s="20" t="s">
        <v>17</v>
      </c>
      <c r="E42" s="20" t="s">
        <v>24</v>
      </c>
      <c r="F42" s="20" t="s">
        <v>25</v>
      </c>
      <c r="G42" s="1"/>
      <c r="H42" s="1"/>
      <c r="I42" s="1"/>
      <c r="J42" s="1"/>
      <c r="K42" s="450"/>
      <c r="L42" s="450"/>
      <c r="M42" s="177" t="s">
        <v>32</v>
      </c>
      <c r="N42" s="177" t="s">
        <v>34</v>
      </c>
      <c r="O42" s="177" t="s">
        <v>35</v>
      </c>
      <c r="P42" s="3" t="s">
        <v>15</v>
      </c>
    </row>
    <row r="43" spans="1:16" x14ac:dyDescent="0.25">
      <c r="A43" s="443" t="str">
        <f>CONCATENATE("Sonde ", B24)</f>
        <v xml:space="preserve">Sonde </v>
      </c>
      <c r="B43" s="444"/>
      <c r="C43" s="10"/>
      <c r="D43" s="10"/>
      <c r="E43" s="10"/>
      <c r="F43" s="10"/>
      <c r="G43" s="1"/>
      <c r="H43" s="1"/>
      <c r="I43" s="1"/>
      <c r="J43" s="1"/>
      <c r="K43" s="451" t="s">
        <v>27</v>
      </c>
      <c r="L43" s="452"/>
      <c r="M43" s="10"/>
      <c r="N43" s="10"/>
      <c r="O43" s="10"/>
      <c r="P43" s="10"/>
    </row>
    <row r="44" spans="1:16" x14ac:dyDescent="0.25">
      <c r="A44" s="443" t="str">
        <f t="shared" ref="A44:A52" si="0">"Sonde " &amp; B25</f>
        <v xml:space="preserve">Sonde </v>
      </c>
      <c r="B44" s="444"/>
      <c r="C44" s="10"/>
      <c r="D44" s="10"/>
      <c r="E44" s="10"/>
      <c r="F44" s="10"/>
      <c r="G44" s="1"/>
      <c r="H44" s="1"/>
      <c r="I44" s="1"/>
      <c r="J44" s="1"/>
      <c r="K44" s="1"/>
      <c r="L44" s="1"/>
      <c r="M44" s="1"/>
      <c r="N44" s="1"/>
      <c r="O44" s="1"/>
    </row>
    <row r="45" spans="1:16" x14ac:dyDescent="0.25">
      <c r="A45" s="443" t="str">
        <f t="shared" si="0"/>
        <v xml:space="preserve">Sonde </v>
      </c>
      <c r="B45" s="444"/>
      <c r="C45" s="10"/>
      <c r="D45" s="10"/>
      <c r="E45" s="10"/>
      <c r="F45" s="10"/>
      <c r="G45" s="1"/>
      <c r="H45" s="1"/>
      <c r="I45" s="1"/>
      <c r="J45" s="1"/>
      <c r="K45" s="1"/>
      <c r="L45" s="1"/>
      <c r="M45" s="1"/>
      <c r="N45" s="1"/>
      <c r="O45" s="1"/>
    </row>
    <row r="46" spans="1:16" x14ac:dyDescent="0.25">
      <c r="A46" s="443" t="str">
        <f t="shared" si="0"/>
        <v xml:space="preserve">Sonde </v>
      </c>
      <c r="B46" s="444"/>
      <c r="C46" s="10"/>
      <c r="D46" s="10"/>
      <c r="E46" s="10"/>
      <c r="F46" s="10"/>
      <c r="G46" s="1"/>
      <c r="H46" s="1"/>
      <c r="I46" s="1"/>
      <c r="J46" s="1"/>
      <c r="K46" s="1"/>
      <c r="L46" s="1"/>
      <c r="M46" s="1"/>
      <c r="N46" s="1"/>
      <c r="O46" s="1"/>
    </row>
    <row r="47" spans="1:16" ht="26.25" x14ac:dyDescent="0.25">
      <c r="A47" s="443" t="str">
        <f t="shared" si="0"/>
        <v xml:space="preserve">Sonde </v>
      </c>
      <c r="B47" s="444"/>
      <c r="C47" s="10"/>
      <c r="D47" s="10"/>
      <c r="E47" s="10"/>
      <c r="F47" s="10"/>
      <c r="G47" s="1"/>
      <c r="H47" s="1"/>
      <c r="I47" s="1"/>
      <c r="J47" s="1"/>
      <c r="K47" s="1"/>
      <c r="L47" s="446" t="s">
        <v>31</v>
      </c>
      <c r="M47" s="446"/>
      <c r="N47" s="1"/>
      <c r="O47" s="1"/>
    </row>
    <row r="48" spans="1:16" ht="45" x14ac:dyDescent="0.25">
      <c r="A48" s="443" t="str">
        <f t="shared" si="0"/>
        <v xml:space="preserve">Sonde </v>
      </c>
      <c r="B48" s="444"/>
      <c r="C48" s="10"/>
      <c r="D48" s="10"/>
      <c r="E48" s="10"/>
      <c r="F48" s="10"/>
      <c r="G48" s="1"/>
      <c r="H48" s="1"/>
      <c r="I48" s="1"/>
      <c r="J48" s="1"/>
      <c r="K48" s="1"/>
      <c r="L48" s="1"/>
      <c r="M48" s="21" t="s">
        <v>33</v>
      </c>
      <c r="N48" s="21" t="s">
        <v>15</v>
      </c>
      <c r="O48" s="21" t="s">
        <v>301</v>
      </c>
    </row>
    <row r="49" spans="1:15" x14ac:dyDescent="0.25">
      <c r="A49" s="443" t="str">
        <f t="shared" si="0"/>
        <v xml:space="preserve">Sonde </v>
      </c>
      <c r="B49" s="444"/>
      <c r="C49" s="10"/>
      <c r="D49" s="10"/>
      <c r="E49" s="10"/>
      <c r="F49" s="10"/>
      <c r="G49" s="1"/>
      <c r="H49" s="1"/>
      <c r="I49" s="1"/>
      <c r="J49" s="1"/>
      <c r="K49" s="445" t="s">
        <v>297</v>
      </c>
      <c r="L49" s="445"/>
      <c r="M49" s="10"/>
      <c r="N49" s="10"/>
      <c r="O49" s="10"/>
    </row>
    <row r="50" spans="1:15" x14ac:dyDescent="0.25">
      <c r="A50" s="443" t="str">
        <f t="shared" si="0"/>
        <v xml:space="preserve">Sonde </v>
      </c>
      <c r="B50" s="444"/>
      <c r="C50" s="10"/>
      <c r="D50" s="10"/>
      <c r="E50" s="10"/>
      <c r="F50" s="10"/>
      <c r="G50" s="1"/>
      <c r="H50" s="1"/>
      <c r="I50" s="1"/>
      <c r="J50" s="1"/>
    </row>
    <row r="51" spans="1:15" x14ac:dyDescent="0.25">
      <c r="A51" s="443" t="str">
        <f t="shared" si="0"/>
        <v xml:space="preserve">Sonde </v>
      </c>
      <c r="B51" s="444"/>
      <c r="C51" s="10"/>
      <c r="D51" s="10"/>
      <c r="E51" s="10"/>
      <c r="F51" s="10"/>
      <c r="G51" s="1"/>
      <c r="H51" s="1"/>
      <c r="I51" s="1"/>
      <c r="J51" s="1"/>
    </row>
    <row r="52" spans="1:15" x14ac:dyDescent="0.25">
      <c r="A52" s="443" t="str">
        <f t="shared" si="0"/>
        <v xml:space="preserve">Sonde </v>
      </c>
      <c r="B52" s="444"/>
      <c r="C52" s="10"/>
      <c r="D52" s="10"/>
      <c r="E52" s="10"/>
      <c r="F52" s="10"/>
      <c r="G52" s="1"/>
      <c r="H52" s="1"/>
      <c r="I52" s="1"/>
      <c r="J52" s="1"/>
      <c r="K52" s="1"/>
      <c r="L52" s="1"/>
      <c r="M52" s="1"/>
      <c r="N52" s="1"/>
      <c r="O52" s="1"/>
    </row>
  </sheetData>
  <sheetProtection algorithmName="SHA-512" hashValue="Pb9ZKV7OgrGg9Tam5P+KdXnKHDDUq+XNsIVQjylnXBVjFKzel7uoZuC7Kpc2dyxGWYWNebLgR4QYnImfzpyXng==" saltValue="5XGkcq/cUa4BwyT/3iVC/Q==" spinCount="100000" sheet="1" objects="1" scenarios="1"/>
  <protectedRanges>
    <protectedRange sqref="C11" name="Donnees controleur_8"/>
  </protectedRanges>
  <mergeCells count="33">
    <mergeCell ref="A15:B15"/>
    <mergeCell ref="B2:K3"/>
    <mergeCell ref="A6:C6"/>
    <mergeCell ref="A8:B8"/>
    <mergeCell ref="E8:F8"/>
    <mergeCell ref="A9:B9"/>
    <mergeCell ref="E9:F9"/>
    <mergeCell ref="A11:B11"/>
    <mergeCell ref="E11:F11"/>
    <mergeCell ref="A12:B12"/>
    <mergeCell ref="E12:F12"/>
    <mergeCell ref="E13:F13"/>
    <mergeCell ref="A5:C5"/>
    <mergeCell ref="A47:B47"/>
    <mergeCell ref="L47:M47"/>
    <mergeCell ref="A16:B16"/>
    <mergeCell ref="B39:C39"/>
    <mergeCell ref="L39:M39"/>
    <mergeCell ref="A41:F41"/>
    <mergeCell ref="A42:B42"/>
    <mergeCell ref="K42:L42"/>
    <mergeCell ref="A43:B43"/>
    <mergeCell ref="K43:L43"/>
    <mergeCell ref="A44:B44"/>
    <mergeCell ref="A45:B45"/>
    <mergeCell ref="A46:B46"/>
    <mergeCell ref="K41:P41"/>
    <mergeCell ref="A52:B52"/>
    <mergeCell ref="A48:B48"/>
    <mergeCell ref="A49:B49"/>
    <mergeCell ref="K49:L49"/>
    <mergeCell ref="A50:B50"/>
    <mergeCell ref="A51:B51"/>
  </mergeCells>
  <conditionalFormatting sqref="A41:K41 P42:P43 A52:O52 A50:J51 A42:O49 A1:O19 B20:O20 A21:O40">
    <cfRule type="expression" dxfId="66" priority="1">
      <formula>AND(NOT(CELL("protege", A1)), A1="")</formula>
    </cfRule>
  </conditionalFormatting>
  <dataValidations count="3">
    <dataValidation type="list" allowBlank="1" showInputMessage="1" showErrorMessage="1" sqref="C11" xr:uid="{5A57B2CE-EC73-49F8-8E04-3E39BF674A2B}">
      <formula1>"BCH , LV"</formula1>
    </dataValidation>
    <dataValidation type="list" showInputMessage="1" showErrorMessage="1" sqref="D17:D18" xr:uid="{27D9CD64-D2FA-45FD-86BE-4765942660FF}">
      <formula1>$C$16:$C$18</formula1>
    </dataValidation>
    <dataValidation type="list" showErrorMessage="1" promptTitle="Périodicité" prompt="Veuillez choisir" sqref="C16" xr:uid="{22719636-8374-4843-B418-FDEEA9F1DE48}">
      <formula1>" ,Annuelle,Trimestrielle,Mensuelle"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4754" r:id="rId3" name="Button 2">
              <controlPr defaultSize="0" print="0" autoFill="0" autoPict="0" macro="[0]!Realisation_TUS_Ressuage_BCH">
                <anchor moveWithCells="1" sizeWithCells="1">
                  <from>
                    <xdr:col>8</xdr:col>
                    <xdr:colOff>466725</xdr:colOff>
                    <xdr:row>5</xdr:row>
                    <xdr:rowOff>9525</xdr:rowOff>
                  </from>
                  <to>
                    <xdr:col>12</xdr:col>
                    <xdr:colOff>619125</xdr:colOff>
                    <xdr:row>10</xdr:row>
                    <xdr:rowOff>114300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BC09B-2006-4AEC-90BA-9B21720B1FFD}">
  <sheetPr codeName="Feuil31">
    <tabColor rgb="FF7030A0"/>
  </sheetPr>
  <dimension ref="A1:K2"/>
  <sheetViews>
    <sheetView workbookViewId="0">
      <selection activeCell="D4" sqref="D4"/>
    </sheetView>
  </sheetViews>
  <sheetFormatPr baseColWidth="10" defaultRowHeight="15" x14ac:dyDescent="0.25"/>
  <cols>
    <col min="1" max="1" width="13.7109375" bestFit="1" customWidth="1"/>
    <col min="2" max="10" width="15" bestFit="1" customWidth="1"/>
    <col min="11" max="11" width="16" bestFit="1" customWidth="1"/>
  </cols>
  <sheetData>
    <row r="1" spans="1:11" x14ac:dyDescent="0.25">
      <c r="A1" s="23" t="s">
        <v>36</v>
      </c>
      <c r="B1" t="s">
        <v>37</v>
      </c>
      <c r="C1" t="s">
        <v>38</v>
      </c>
      <c r="D1" t="s">
        <v>39</v>
      </c>
      <c r="E1" t="s">
        <v>40</v>
      </c>
      <c r="F1" t="s">
        <v>41</v>
      </c>
      <c r="G1" t="s">
        <v>42</v>
      </c>
      <c r="H1" t="s">
        <v>43</v>
      </c>
      <c r="I1" t="s">
        <v>44</v>
      </c>
      <c r="J1" t="s">
        <v>45</v>
      </c>
      <c r="K1" t="s">
        <v>46</v>
      </c>
    </row>
    <row r="2" spans="1:11" x14ac:dyDescent="0.25">
      <c r="A2" s="23"/>
    </row>
  </sheetData>
  <sheetProtection algorithmName="SHA-512" hashValue="/dvEx2neDOGU4pIwp6jHueGQxZrLrtM24fJe7guEcxoJO2sJK2cfxMuLb+TPTyeQOSzcgniOsktrxnLJsn6PLA==" saltValue="fjfNxlY4EZriYsbHfgIKfw==" spinCount="100000" sheet="1" objects="1" scenarios="1"/>
  <dataConsolidate/>
  <pageMargins left="0.7" right="0.7" top="0.75" bottom="0.75" header="0.3" footer="0.3"/>
  <pageSetup paperSize="9"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6DFDF-FE9A-4DD3-AAF7-545BF4E6B538}">
  <sheetPr codeName="Feuil32">
    <tabColor rgb="FF7030A0"/>
  </sheetPr>
  <dimension ref="A1:Q25"/>
  <sheetViews>
    <sheetView topLeftCell="A93" workbookViewId="0">
      <selection activeCell="L98" sqref="L98"/>
    </sheetView>
  </sheetViews>
  <sheetFormatPr baseColWidth="10" defaultRowHeight="15" x14ac:dyDescent="0.25"/>
  <cols>
    <col min="2" max="3" width="16.42578125" bestFit="1" customWidth="1"/>
    <col min="4" max="11" width="12.7109375" bestFit="1" customWidth="1"/>
    <col min="12" max="12" width="13.7109375" bestFit="1" customWidth="1"/>
    <col min="13" max="13" width="7.140625" customWidth="1"/>
    <col min="15" max="15" width="15.28515625" bestFit="1" customWidth="1"/>
  </cols>
  <sheetData>
    <row r="1" spans="1:17" s="27" customFormat="1" x14ac:dyDescent="0.25">
      <c r="A1" s="456" t="str">
        <f>Mesures_Ressuage_BCH!B18 &amp; "°C"</f>
        <v>°C</v>
      </c>
      <c r="B1" s="456"/>
      <c r="C1" s="456"/>
      <c r="D1" s="456"/>
      <c r="E1" s="456"/>
      <c r="F1" s="456"/>
      <c r="G1" s="456"/>
      <c r="H1" s="456"/>
      <c r="I1" s="456"/>
      <c r="J1" s="456"/>
      <c r="K1" s="456"/>
      <c r="L1" s="456"/>
      <c r="M1" s="456"/>
      <c r="N1" s="456"/>
      <c r="O1" s="456"/>
      <c r="P1" s="456"/>
      <c r="Q1" s="456"/>
    </row>
    <row r="2" spans="1:17" s="27" customFormat="1" x14ac:dyDescent="0.25">
      <c r="A2" s="456"/>
      <c r="B2" s="456"/>
      <c r="C2" s="456"/>
      <c r="D2" s="456"/>
      <c r="E2" s="456"/>
      <c r="F2" s="456"/>
      <c r="G2" s="456"/>
      <c r="H2" s="456"/>
      <c r="I2" s="456"/>
      <c r="J2" s="456"/>
      <c r="K2" s="456"/>
      <c r="L2" s="456"/>
      <c r="M2" s="456"/>
      <c r="N2" s="456"/>
      <c r="O2" s="456"/>
      <c r="P2" s="456"/>
      <c r="Q2" s="456"/>
    </row>
    <row r="3" spans="1:17" s="27" customFormat="1" x14ac:dyDescent="0.25">
      <c r="A3" s="456"/>
      <c r="B3" s="456"/>
      <c r="C3" s="456"/>
      <c r="D3" s="456"/>
      <c r="E3" s="456"/>
      <c r="F3" s="456"/>
      <c r="G3" s="456"/>
      <c r="H3" s="456"/>
      <c r="I3" s="456"/>
      <c r="J3" s="456"/>
      <c r="K3" s="456"/>
      <c r="L3" s="456"/>
      <c r="M3" s="456"/>
      <c r="N3" s="456"/>
      <c r="O3" s="456"/>
      <c r="P3" s="456"/>
      <c r="Q3" s="456"/>
    </row>
    <row r="4" spans="1:17" s="27" customFormat="1" x14ac:dyDescent="0.25">
      <c r="N4" s="33"/>
    </row>
    <row r="5" spans="1:17" s="27" customFormat="1" x14ac:dyDescent="0.25">
      <c r="B5" s="34" t="s">
        <v>23</v>
      </c>
      <c r="C5" s="35" t="e">
        <f>_xlfn.XLOOKUP(INT(SUBSTITUTE(C14,"Connecteur ","")),Mesures_Ressuage_BCH!C24:C33,Mesures_Ressuage_BCH!D24:D33)</f>
        <v>#N/A</v>
      </c>
      <c r="D5" s="35" t="e">
        <f>_xlfn.XLOOKUP(INT(SUBSTITUTE(D14,"Connecteur ","")),Mesures_Ressuage_BCH!C24:C33,Mesures_Ressuage_BCH!D24:D33)</f>
        <v>#N/A</v>
      </c>
      <c r="E5" s="35" t="e">
        <f>_xlfn.XLOOKUP(INT(SUBSTITUTE(E14,"Connecteur ","")),Mesures_Ressuage_BCH!C24:C33,Mesures_Ressuage_BCH!D24:D33)</f>
        <v>#N/A</v>
      </c>
      <c r="F5" s="35" t="e">
        <f>_xlfn.XLOOKUP(INT(SUBSTITUTE(F14,"Connecteur ","")),Mesures_Ressuage_BCH!C24:C33,Mesures_Ressuage_BCH!D24:D33)</f>
        <v>#N/A</v>
      </c>
      <c r="G5" s="35" t="e">
        <f>_xlfn.XLOOKUP(INT(SUBSTITUTE(G14,"Connecteur ","")),Mesures_Ressuage_BCH!C24:C33,Mesures_Ressuage_BCH!D24:D33)</f>
        <v>#N/A</v>
      </c>
      <c r="H5" s="35" t="e">
        <f>_xlfn.XLOOKUP(INT(SUBSTITUTE(H14,"Connecteur ","")),Mesures_Ressuage_BCH!C24:C33,Mesures_Ressuage_BCH!D24:D33)</f>
        <v>#N/A</v>
      </c>
      <c r="I5" s="35" t="e">
        <f>_xlfn.XLOOKUP(INT(SUBSTITUTE(I14,"Connecteur ","")),Mesures_Ressuage_BCH!C24:C33,Mesures_Ressuage_BCH!D24:D33)</f>
        <v>#N/A</v>
      </c>
      <c r="J5" s="35" t="e">
        <f>_xlfn.XLOOKUP(INT(SUBSTITUTE(J14,"Connecteur ","")),Mesures_Ressuage_BCH!C24:C33,Mesures_Ressuage_BCH!D24:D33)</f>
        <v>#N/A</v>
      </c>
      <c r="K5" s="35" t="e">
        <f>_xlfn.XLOOKUP(INT(SUBSTITUTE(K14,"Connecteur ","")),Mesures_Ressuage_BCH!C24:C33,Mesures_Ressuage_BCH!D24:D33)</f>
        <v>#N/A</v>
      </c>
      <c r="L5" s="35" t="e">
        <f>_xlfn.XLOOKUP(INT(SUBSTITUTE(L14,"Connecteur ","")),Mesures_Ressuage_BCH!C24:C33,Mesures_Ressuage_BCH!D24:D33)</f>
        <v>#N/A</v>
      </c>
      <c r="N5" s="33"/>
    </row>
    <row r="6" spans="1:17" s="27" customFormat="1" x14ac:dyDescent="0.25">
      <c r="B6" s="34" t="s">
        <v>87</v>
      </c>
      <c r="C6" s="35" t="e">
        <f>_xlfn.XLOOKUP(INT(SUBSTITUTE(C14,"Connecteur ","")),Mesures_Ressuage_BCH!C24:C33,Mesures_Ressuage_BCH!E24:E33)</f>
        <v>#N/A</v>
      </c>
      <c r="D6" s="35" t="e">
        <f>_xlfn.XLOOKUP(INT(SUBSTITUTE(D14,"Connecteur ","")),Mesures_Ressuage_BCH!C24:C33,Mesures_Ressuage_BCH!E24:E33)</f>
        <v>#N/A</v>
      </c>
      <c r="E6" s="35" t="e">
        <f>_xlfn.XLOOKUP(INT(SUBSTITUTE(E14,"Connecteur ","")),Mesures_Ressuage_BCH!C24:C33,Mesures_Ressuage_BCH!E24:E33)</f>
        <v>#N/A</v>
      </c>
      <c r="F6" s="35" t="e">
        <f>_xlfn.XLOOKUP(INT(SUBSTITUTE(F14,"Connecteur ","")),Mesures_Ressuage_BCH!C24:C33,Mesures_Ressuage_BCH!E24:E33)</f>
        <v>#N/A</v>
      </c>
      <c r="G6" s="35" t="e">
        <f>_xlfn.XLOOKUP(INT(SUBSTITUTE(G14,"Connecteur ","")),Mesures_Ressuage_BCH!C24:C33,Mesures_Ressuage_BCH!E24:E33)</f>
        <v>#N/A</v>
      </c>
      <c r="H6" s="35" t="e">
        <f>_xlfn.XLOOKUP(INT(SUBSTITUTE(H14,"Connecteur ","")),Mesures_Ressuage_BCH!C24:C33,Mesures_Ressuage_BCH!E24:E33)</f>
        <v>#N/A</v>
      </c>
      <c r="I6" s="35" t="e">
        <f>_xlfn.XLOOKUP(INT(SUBSTITUTE(I14,"Connecteur ","")),Mesures_Ressuage_BCH!C24:C33,Mesures_Ressuage_BCH!E24:E33)</f>
        <v>#N/A</v>
      </c>
      <c r="J6" s="35" t="e">
        <f>_xlfn.XLOOKUP(INT(SUBSTITUTE(J14,"Connecteur ","")),Mesures_Ressuage_BCH!C24:C33,Mesures_Ressuage_BCH!E24:E33)</f>
        <v>#N/A</v>
      </c>
      <c r="K6" s="35" t="e">
        <f>_xlfn.XLOOKUP(INT(SUBSTITUTE(K14,"Connecteur ","")),Mesures_Ressuage_BCH!C24:C33,Mesures_Ressuage_BCH!E24:E33)</f>
        <v>#N/A</v>
      </c>
      <c r="L6" s="35" t="e">
        <f>_xlfn.XLOOKUP(INT(SUBSTITUTE(L14,"Connecteur ","")),Mesures_Ressuage_BCH!C24:C33,Mesures_Ressuage_BCH!E24:E33)</f>
        <v>#N/A</v>
      </c>
      <c r="N6" s="33"/>
    </row>
    <row r="7" spans="1:17" s="27" customFormat="1" x14ac:dyDescent="0.25">
      <c r="N7" s="33"/>
    </row>
    <row r="8" spans="1:17" s="27" customFormat="1" x14ac:dyDescent="0.25">
      <c r="N8" s="33"/>
    </row>
    <row r="9" spans="1:17" s="27" customFormat="1" x14ac:dyDescent="0.25">
      <c r="A9" s="342" t="s">
        <v>88</v>
      </c>
      <c r="B9" s="342"/>
      <c r="C9" s="342"/>
      <c r="D9" s="342"/>
      <c r="E9" s="342"/>
      <c r="F9" s="342"/>
      <c r="G9" s="342"/>
      <c r="H9" s="342"/>
      <c r="I9" s="342"/>
      <c r="J9" s="342"/>
      <c r="K9" s="342"/>
      <c r="L9" s="342"/>
      <c r="N9" s="33"/>
    </row>
    <row r="10" spans="1:17" s="27" customFormat="1" ht="15" customHeight="1" x14ac:dyDescent="0.25">
      <c r="A10" s="33"/>
      <c r="B10" s="34" t="str" cm="1">
        <f t="array" ref="B10:L10">Valeurs_Brutes_Ressuage_BCH[#Headers]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N10" s="33"/>
    </row>
    <row r="11" spans="1:17" s="27" customFormat="1" ht="13.5" customHeight="1" x14ac:dyDescent="0.25">
      <c r="A11" s="143" t="s">
        <v>89</v>
      </c>
      <c r="B11" s="37" cm="1">
        <f t="array" ref="B11:L11">Valeurs_Brutes_Ressuage_BCH[]</f>
        <v>0</v>
      </c>
      <c r="C11" s="38">
        <v>0</v>
      </c>
      <c r="D11" s="38">
        <v>0</v>
      </c>
      <c r="E11" s="38">
        <v>0</v>
      </c>
      <c r="F11" s="38">
        <v>0</v>
      </c>
      <c r="G11" s="38">
        <v>0</v>
      </c>
      <c r="H11" s="38">
        <v>0</v>
      </c>
      <c r="I11" s="38">
        <v>0</v>
      </c>
      <c r="J11" s="38">
        <v>0</v>
      </c>
      <c r="K11" s="38">
        <v>0</v>
      </c>
      <c r="L11" s="38">
        <v>0</v>
      </c>
      <c r="N11" s="33"/>
    </row>
    <row r="12" spans="1:17" s="27" customFormat="1" ht="13.5" customHeight="1" x14ac:dyDescent="0.25">
      <c r="A12" s="142" t="s">
        <v>89</v>
      </c>
      <c r="B12" s="39"/>
      <c r="C12" s="40"/>
      <c r="D12" s="40"/>
      <c r="E12" s="40"/>
      <c r="F12" s="40"/>
      <c r="G12" s="40"/>
      <c r="H12" s="40"/>
      <c r="I12" s="40"/>
      <c r="J12" s="40"/>
      <c r="K12" s="40"/>
      <c r="L12" s="40"/>
      <c r="N12" s="33"/>
    </row>
    <row r="13" spans="1:17" s="457" customFormat="1" x14ac:dyDescent="0.25"/>
    <row r="14" spans="1:17" s="27" customFormat="1" x14ac:dyDescent="0.25">
      <c r="C14" s="41" t="str" cm="1">
        <f t="array" ref="C14:L14">C10:L10</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N14" s="33"/>
    </row>
    <row r="15" spans="1:17" s="27" customFormat="1" x14ac:dyDescent="0.25">
      <c r="B15" s="42" t="s">
        <v>90</v>
      </c>
      <c r="C15" s="43" t="e" cm="1">
        <f t="array" ref="C15">MAX(Valeurs_Brutes_Ressuage_BCH[Connecteur 1]+Ressuage_BCH!C5+Ressuage_BCH!C6)</f>
        <v>#N/A</v>
      </c>
      <c r="D15" s="43" t="e" cm="1">
        <f t="array" ref="D15">MAX(Valeurs_Brutes_Ressuage_BCH[Connecteur 2]+Ressuage_BCH!D5+Ressuage_BCH!D6)</f>
        <v>#N/A</v>
      </c>
      <c r="E15" s="43" t="e" cm="1">
        <f t="array" ref="E15">MAX(Valeurs_Brutes_Ressuage_BCH[Connecteur 3]+Ressuage_BCH!E5+Ressuage_BCH!E6)</f>
        <v>#N/A</v>
      </c>
      <c r="F15" s="43" t="e" cm="1">
        <f t="array" ref="F15">MAX(Valeurs_Brutes_Ressuage_BCH[Connecteur 4]+Ressuage_BCH!F5+Ressuage_BCH!F6)</f>
        <v>#N/A</v>
      </c>
      <c r="G15" s="43" t="e" cm="1">
        <f t="array" ref="G15">MAX(Valeurs_Brutes_Ressuage_BCH[Connecteur 5]+Ressuage_BCH!G5+Ressuage_BCH!G6)</f>
        <v>#N/A</v>
      </c>
      <c r="H15" s="43" t="e" cm="1">
        <f t="array" ref="H15">MAX(Valeurs_Brutes_Ressuage_BCH[Connecteur 6]+Ressuage_BCH!H5+Ressuage_BCH!H6)</f>
        <v>#N/A</v>
      </c>
      <c r="I15" s="43" t="e" cm="1">
        <f t="array" ref="I15">MAX(Valeurs_Brutes_Ressuage_BCH[Connecteur 7]+Ressuage_BCH!I5+Ressuage_BCH!I6)</f>
        <v>#N/A</v>
      </c>
      <c r="J15" s="43" t="e" cm="1">
        <f t="array" ref="J15">MAX(Valeurs_Brutes_Ressuage_BCH[Connecteur 8]+Ressuage_BCH!J5+Ressuage_BCH!J6)</f>
        <v>#N/A</v>
      </c>
      <c r="K15" s="43" t="e" cm="1">
        <f t="array" ref="K15">MAX(Valeurs_Brutes_Ressuage_BCH[Connecteur 9]+Ressuage_BCH!K5+Ressuage_BCH!K6)</f>
        <v>#N/A</v>
      </c>
      <c r="L15" s="43" t="e" cm="1">
        <f t="array" ref="L15">MAX(Valeurs_Brutes_Ressuage_BCH[Connecteur 10]+Ressuage_BCH!L5+Ressuage_BCH!L6)</f>
        <v>#N/A</v>
      </c>
      <c r="M15" s="48">
        <f>P15+Mesures_Ressuage_BCH!B21</f>
        <v>0</v>
      </c>
      <c r="N15" s="33"/>
      <c r="O15" s="36" t="s">
        <v>7</v>
      </c>
      <c r="P15" s="48">
        <f>Mesures_Ressuage_BCH!B18</f>
        <v>0</v>
      </c>
    </row>
    <row r="16" spans="1:17" s="27" customFormat="1" x14ac:dyDescent="0.25">
      <c r="B16" s="42" t="s">
        <v>91</v>
      </c>
      <c r="C16" s="43" t="e">
        <f ca="1">MAX(OFFSET(INDEX(Valeurs_Brutes_Ressuage_BCH[Connecteur 1],1),COUNT(Valeurs_Brutes_Ressuage_BCH[Connecteur 1])-30,0,30))+C5+C6</f>
        <v>#REF!</v>
      </c>
      <c r="D16" s="43" t="e">
        <f ca="1">MAX(OFFSET(INDEX(Valeurs_Brutes_Ressuage_BCH[Connecteur 2],1),COUNT(Valeurs_Brutes_Ressuage_BCH[Connecteur 2])-30,0,30))+D5+D6</f>
        <v>#REF!</v>
      </c>
      <c r="E16" s="43" t="e">
        <f ca="1">MAX(OFFSET(INDEX(Valeurs_Brutes_Ressuage_BCH[Connecteur 3],1),COUNT(Valeurs_Brutes_Ressuage_BCH[Connecteur 3])-30,0,30))+E5+E6</f>
        <v>#REF!</v>
      </c>
      <c r="F16" s="43" t="e">
        <f ca="1">MAX(OFFSET(INDEX(Valeurs_Brutes_Ressuage_BCH[Connecteur 4],1),COUNT(Valeurs_Brutes_Ressuage_BCH[Connecteur 4])-30,0,30))+F5+F6</f>
        <v>#REF!</v>
      </c>
      <c r="G16" s="43" t="e">
        <f ca="1">MAX(OFFSET(INDEX(Valeurs_Brutes_Ressuage_BCH[Connecteur 5],1),COUNT(Valeurs_Brutes_Ressuage_BCH[Connecteur 5])-30,0,30))+G5+G6</f>
        <v>#REF!</v>
      </c>
      <c r="H16" s="43" t="e">
        <f ca="1">MAX(OFFSET(INDEX(Valeurs_Brutes_Ressuage_BCH[Connecteur 6],1),COUNT(Valeurs_Brutes_Ressuage_BCH[Connecteur 6])-30,0,30))+H5+H6</f>
        <v>#REF!</v>
      </c>
      <c r="I16" s="43" t="e">
        <f ca="1">MAX(OFFSET(INDEX(Valeurs_Brutes_Ressuage_BCH[Connecteur 7],1),COUNT(Valeurs_Brutes_Ressuage_BCH[Connecteur 7])-30,0,30))+I5+I6</f>
        <v>#REF!</v>
      </c>
      <c r="J16" s="43" t="e">
        <f ca="1">MAX(OFFSET(INDEX(Valeurs_Brutes_Ressuage_BCH[Connecteur 8],1),COUNT(Valeurs_Brutes_Ressuage_BCH[Connecteur 8])-30,0,30))+J5+J6</f>
        <v>#REF!</v>
      </c>
      <c r="K16" s="43" t="e">
        <f ca="1">MAX(OFFSET(INDEX(Valeurs_Brutes_Ressuage_BCH[Connecteur 9],1),COUNT(Valeurs_Brutes_Ressuage_BCH[Connecteur 9])-30,0,30))+K5+K6</f>
        <v>#REF!</v>
      </c>
      <c r="L16" s="43" t="e">
        <f ca="1">MAX(OFFSET(INDEX(Valeurs_Brutes_Ressuage_BCH[Connecteur 10],1),COUNT(Valeurs_Brutes_Ressuage_BCH[Connecteur 10])-30,0,30))+L5+L6</f>
        <v>#REF!</v>
      </c>
      <c r="M16" s="48">
        <f>P15+Mesures_Ressuage_BCH!B21</f>
        <v>0</v>
      </c>
      <c r="N16" s="33"/>
      <c r="O16" s="36" t="s">
        <v>92</v>
      </c>
      <c r="P16" s="35" t="str">
        <f>"+" &amp; Mesures_Ressuage_BCH!B21 &amp; "°C"</f>
        <v>+°C</v>
      </c>
    </row>
    <row r="17" spans="2:16" s="27" customFormat="1" x14ac:dyDescent="0.25">
      <c r="B17" s="42" t="s">
        <v>93</v>
      </c>
      <c r="C17" s="43" t="e">
        <f ca="1">MIN(OFFSET(INDEX(Valeurs_Brutes_Ressuage_BCH[Connecteur 1],1),COUNT(Valeurs_Brutes_Ressuage_BCH[Connecteur 1])-30,0,30))+C5+C6</f>
        <v>#REF!</v>
      </c>
      <c r="D17" s="43" t="e">
        <f ca="1">MIN(OFFSET(INDEX(Valeurs_Brutes_Ressuage_BCH[Connecteur 2],1),COUNT(Valeurs_Brutes_Ressuage_BCH[Connecteur 2])-30,0,30))+D5+D6</f>
        <v>#REF!</v>
      </c>
      <c r="E17" s="43" t="e">
        <f ca="1">MIN(OFFSET(INDEX(Valeurs_Brutes_Ressuage_BCH[Connecteur 3],1),COUNT(Valeurs_Brutes_Ressuage_BCH[Connecteur 3])-30,0,30))+E5+E6</f>
        <v>#REF!</v>
      </c>
      <c r="F17" s="43" t="e">
        <f ca="1">MIN(OFFSET(INDEX(Valeurs_Brutes_Ressuage_BCH[Connecteur 4],1),COUNT(Valeurs_Brutes_Ressuage_BCH[Connecteur 4])-30,0,30))+F5+F6</f>
        <v>#REF!</v>
      </c>
      <c r="G17" s="43" t="e">
        <f ca="1">MIN(OFFSET(INDEX(Valeurs_Brutes_Ressuage_BCH[Connecteur 5],1),COUNT(Valeurs_Brutes_Ressuage_BCH[Connecteur 5])-30,0,30))+G5+G6</f>
        <v>#REF!</v>
      </c>
      <c r="H17" s="43" t="e">
        <f ca="1">MIN(OFFSET(INDEX(Valeurs_Brutes_Ressuage_BCH[Connecteur 6],1),COUNT(Valeurs_Brutes_Ressuage_BCH[Connecteur 6])-30,0,30))+H5+H6</f>
        <v>#REF!</v>
      </c>
      <c r="I17" s="43" t="e">
        <f ca="1">MIN(OFFSET(INDEX(Valeurs_Brutes_Ressuage_BCH[Connecteur 7],1),COUNT(Valeurs_Brutes_Ressuage_BCH[Connecteur 7])-30,0,30))+I5+I6</f>
        <v>#REF!</v>
      </c>
      <c r="J17" s="43" t="e">
        <f ca="1">MIN(OFFSET(INDEX(Valeurs_Brutes_Ressuage_BCH[Connecteur 8],1),COUNT(Valeurs_Brutes_Ressuage_BCH[Connecteur 8])-30,0,30))+J5+J6</f>
        <v>#REF!</v>
      </c>
      <c r="K17" s="43" t="e">
        <f ca="1">MIN(OFFSET(INDEX(Valeurs_Brutes_Ressuage_BCH[Connecteur 9],1),COUNT(Valeurs_Brutes_Ressuage_BCH[Connecteur 9])-30,0,30))+K5+K6</f>
        <v>#REF!</v>
      </c>
      <c r="L17" s="43" t="e">
        <f ca="1">MIN(OFFSET(INDEX(Valeurs_Brutes_Ressuage_BCH[Connecteur 10],1),COUNT(Valeurs_Brutes_Ressuage_BCH[Connecteur 10])-30,0,30))+L5+L6</f>
        <v>#REF!</v>
      </c>
      <c r="M17" s="48">
        <f>P15 - Mesures_Ressuage_BCH!B21</f>
        <v>0</v>
      </c>
      <c r="N17" s="33"/>
      <c r="O17" s="36" t="s">
        <v>94</v>
      </c>
      <c r="P17" s="35" t="str">
        <f>"-" &amp; Mesures_Ressuage_BCH!B21 &amp; "°C"</f>
        <v>-°C</v>
      </c>
    </row>
    <row r="18" spans="2:16" s="27" customFormat="1" x14ac:dyDescent="0.25">
      <c r="B18" s="42" t="s">
        <v>95</v>
      </c>
      <c r="C18" s="43" t="e">
        <f ca="1">AVERAGE(OFFSET(INDEX(Valeurs_Brutes_Ressuage_BCH[Connecteur 1],1),COUNT(Valeurs_Brutes_Ressuage_BCH[Connecteur 1])-30,0,30))+C5+C6</f>
        <v>#REF!</v>
      </c>
      <c r="D18" s="43" t="e">
        <f ca="1">AVERAGE(OFFSET(INDEX(Valeurs_Brutes_Ressuage_BCH[Connecteur 2],1),COUNT(Valeurs_Brutes_Ressuage_BCH[Connecteur 2])-30,0,30))+D5+D6</f>
        <v>#REF!</v>
      </c>
      <c r="E18" s="43" t="e">
        <f ca="1">AVERAGE(OFFSET(INDEX(Valeurs_Brutes_Ressuage_BCH[Connecteur 3],1),COUNT(Valeurs_Brutes_Ressuage_BCH[Connecteur 3])-30,0,30))+E5+E6</f>
        <v>#REF!</v>
      </c>
      <c r="F18" s="43" t="e">
        <f ca="1">AVERAGE(OFFSET(INDEX(Valeurs_Brutes_Ressuage_BCH[Connecteur 4],1),COUNT(Valeurs_Brutes_Ressuage_BCH[Connecteur 4])-30,0,30))+F5+F6</f>
        <v>#REF!</v>
      </c>
      <c r="G18" s="43" t="e">
        <f ca="1">AVERAGE(OFFSET(INDEX(Valeurs_Brutes_Ressuage_BCH[Connecteur 5],1),COUNT(Valeurs_Brutes_Ressuage_BCH[Connecteur 5])-30,0,30))+G5+G6</f>
        <v>#REF!</v>
      </c>
      <c r="H18" s="43" t="e">
        <f ca="1">AVERAGE(OFFSET(INDEX(Valeurs_Brutes_Ressuage_BCH[Connecteur 6],1),COUNT(Valeurs_Brutes_Ressuage_BCH[Connecteur 6])-30,0,30))+H5+H6</f>
        <v>#REF!</v>
      </c>
      <c r="I18" s="43" t="e">
        <f ca="1">AVERAGE(OFFSET(INDEX(Valeurs_Brutes_Ressuage_BCH[Connecteur 7],1),COUNT(Valeurs_Brutes_Ressuage_BCH[Connecteur 7])-30,0,30))+I5+I6</f>
        <v>#REF!</v>
      </c>
      <c r="J18" s="43" t="e">
        <f ca="1">AVERAGE(OFFSET(INDEX(Valeurs_Brutes_Ressuage_BCH[Connecteur 8],1),COUNT(Valeurs_Brutes_Ressuage_BCH[Connecteur 8])-30,0,30))+J5+J6</f>
        <v>#REF!</v>
      </c>
      <c r="K18" s="43" t="e">
        <f ca="1">AVERAGE(OFFSET(INDEX(Valeurs_Brutes_Ressuage_BCH[Connecteur 9],1),COUNT(Valeurs_Brutes_Ressuage_BCH[Connecteur 9])-30,0,30))+K5+K6</f>
        <v>#REF!</v>
      </c>
      <c r="L18" s="43" t="e">
        <f ca="1">AVERAGE(OFFSET(INDEX(Valeurs_Brutes_Ressuage_BCH[Connecteur 10],1),COUNT(Valeurs_Brutes_Ressuage_BCH[Connecteur 10])-30,0,30))+L5+L6</f>
        <v>#REF!</v>
      </c>
      <c r="M18" s="44"/>
      <c r="N18" s="33"/>
    </row>
    <row r="19" spans="2:16" s="27" customFormat="1" x14ac:dyDescent="0.25">
      <c r="B19" s="42" t="s">
        <v>96</v>
      </c>
      <c r="C19" s="45" t="e">
        <f ca="1">C16-C17</f>
        <v>#REF!</v>
      </c>
      <c r="D19" s="45" t="e">
        <f t="shared" ref="D19:L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4"/>
      <c r="N19" s="33"/>
    </row>
    <row r="20" spans="2:16" s="27" customFormat="1" x14ac:dyDescent="0.25">
      <c r="B20" s="42" t="s">
        <v>97</v>
      </c>
      <c r="C20" s="376" t="e">
        <f ca="1">ABS(MAX(C16:L16)- MIN(C17:L17))</f>
        <v>#REF!</v>
      </c>
      <c r="D20" s="376"/>
      <c r="E20" s="376"/>
      <c r="F20" s="376"/>
      <c r="G20" s="376"/>
      <c r="H20" s="376"/>
      <c r="I20" s="376"/>
      <c r="J20" s="376"/>
      <c r="K20" s="376"/>
      <c r="L20" s="376"/>
      <c r="M20" s="376"/>
      <c r="N20" s="33"/>
    </row>
    <row r="21" spans="2:16" s="27" customFormat="1" x14ac:dyDescent="0.25">
      <c r="B21" s="42" t="s">
        <v>98</v>
      </c>
      <c r="C21" s="376" t="e">
        <f ca="1">AVERAGE(C18:L18)</f>
        <v>#REF!</v>
      </c>
      <c r="D21" s="376"/>
      <c r="E21" s="376"/>
      <c r="F21" s="376"/>
      <c r="G21" s="376"/>
      <c r="H21" s="376"/>
      <c r="I21" s="376"/>
      <c r="J21" s="376"/>
      <c r="K21" s="376"/>
      <c r="L21" s="376"/>
      <c r="M21" s="376"/>
      <c r="N21" s="33"/>
    </row>
    <row r="22" spans="2:16" s="27" customFormat="1" x14ac:dyDescent="0.25">
      <c r="B22" s="36" t="s">
        <v>99</v>
      </c>
      <c r="C22" s="46" t="e">
        <f ca="1">STDEV(OFFSET(INDEX(Valeurs_Brutes_Ressuage_BCH[Connecteur 1],1),COUNT(Valeurs_Brutes_Ressuage_BCH[Connecteur 1])-30,0,30))+C5+C6</f>
        <v>#REF!</v>
      </c>
      <c r="D22" s="46" t="e">
        <f ca="1">STDEV(OFFSET(INDEX(Valeurs_Brutes_Ressuage_BCH[Connecteur 2],1),COUNT(Valeurs_Brutes_Ressuage_BCH[Connecteur 2])-30,0,30))+D5+D6</f>
        <v>#REF!</v>
      </c>
      <c r="E22" s="46" t="e">
        <f ca="1">STDEV(OFFSET(INDEX(Valeurs_Brutes_Ressuage_BCH[Connecteur 3],1),COUNT(Valeurs_Brutes_Ressuage_BCH[Connecteur 3])-30,0,30))+E5+E6</f>
        <v>#REF!</v>
      </c>
      <c r="F22" s="46" t="e">
        <f ca="1">STDEV(OFFSET(INDEX(Valeurs_Brutes_Ressuage_BCH[Connecteur 4],1),COUNT(Valeurs_Brutes_Ressuage_BCH[Connecteur 4])-30,0,30))+F5+F6</f>
        <v>#REF!</v>
      </c>
      <c r="G22" s="46" t="e">
        <f ca="1">STDEV(OFFSET(INDEX(Valeurs_Brutes_Ressuage_BCH[Connecteur 5],1),COUNT(Valeurs_Brutes_Ressuage_BCH[Connecteur 5])-30,0,30))+G5+G6</f>
        <v>#REF!</v>
      </c>
      <c r="H22" s="46" t="e">
        <f ca="1">STDEV(OFFSET(INDEX(Valeurs_Brutes_Ressuage_BCH[Connecteur 6],1),COUNT(Valeurs_Brutes_Ressuage_BCH[Connecteur 6])-30,0,30))+H5+H6</f>
        <v>#REF!</v>
      </c>
      <c r="I22" s="46" t="e">
        <f ca="1">STDEV(OFFSET(INDEX(Valeurs_Brutes_Ressuage_BCH[Connecteur 7],1),COUNT(Valeurs_Brutes_Ressuage_BCH[Connecteur 7])-30,0,30))+I5+I6</f>
        <v>#REF!</v>
      </c>
      <c r="J22" s="46" t="e">
        <f ca="1">STDEV(OFFSET(INDEX(Valeurs_Brutes_Ressuage_BCH[Connecteur 8],1),COUNT(Valeurs_Brutes_Ressuage_BCH[Connecteur 8])-30,0,30))+J5+J6</f>
        <v>#REF!</v>
      </c>
      <c r="K22" s="46" t="e">
        <f ca="1">STDEV(OFFSET(INDEX(Valeurs_Brutes_Ressuage_BCH[Connecteur 9],1),COUNT(Valeurs_Brutes_Ressuage_BCH[Connecteur 9])-30,0,30))+K5+K6</f>
        <v>#REF!</v>
      </c>
      <c r="L22" s="46" t="e">
        <f ca="1">STDEV(OFFSET(INDEX(Valeurs_Brutes_Ressuage_BCH[Connecteur 10],1),COUNT(Valeurs_Brutes_Ressuage_BCH[Connecteur 10])-30,0,30))+L5+L6</f>
        <v>#REF!</v>
      </c>
      <c r="M22" s="44"/>
      <c r="N22" s="33"/>
      <c r="O22" s="47"/>
    </row>
    <row r="23" spans="2:16" s="27" customFormat="1" x14ac:dyDescent="0.25">
      <c r="N23" s="33"/>
    </row>
    <row r="24" spans="2:16" s="27" customFormat="1" x14ac:dyDescent="0.25">
      <c r="N24" s="33"/>
    </row>
    <row r="25" spans="2:16" s="27" customFormat="1" x14ac:dyDescent="0.25">
      <c r="N25" s="33"/>
    </row>
  </sheetData>
  <sheetProtection algorithmName="SHA-512" hashValue="PWRz7EFOO4NdMrojQx8CtGe2k2/dUbMB/sI6/qB2ibt83ablEwBW6DXFGtspNGIMUv86v2TdoTRmr8bzZXCxww==" saltValue="QdzM/CCfe9df2mgBvST++g==" spinCount="100000" sheet="1" objects="1" scenarios="1"/>
  <mergeCells count="5">
    <mergeCell ref="A1:Q3"/>
    <mergeCell ref="A9:L9"/>
    <mergeCell ref="A13:XFD13"/>
    <mergeCell ref="C20:M20"/>
    <mergeCell ref="C21:M21"/>
  </mergeCells>
  <conditionalFormatting sqref="C15:L15">
    <cfRule type="cellIs" dxfId="65" priority="3" operator="greaterThan">
      <formula>$M$15</formula>
    </cfRule>
  </conditionalFormatting>
  <conditionalFormatting sqref="C16:L16">
    <cfRule type="cellIs" dxfId="64" priority="2" operator="greaterThan">
      <formula>$M$16</formula>
    </cfRule>
  </conditionalFormatting>
  <conditionalFormatting sqref="C17:L17">
    <cfRule type="cellIs" dxfId="63" priority="1" operator="lessThan">
      <formula>$M$17</formula>
    </cfRule>
  </conditionalFormatting>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3E106-5C40-4955-B49C-031E49470D18}">
  <sheetPr codeName="Feuil33">
    <tabColor rgb="FF7030A0"/>
  </sheetPr>
  <dimension ref="A5:J309"/>
  <sheetViews>
    <sheetView view="pageLayout" topLeftCell="A99" zoomScale="70" zoomScaleNormal="60" zoomScaleSheetLayoutView="77" zoomScalePageLayoutView="70" workbookViewId="0">
      <selection activeCell="A72" sqref="A72:J81"/>
    </sheetView>
  </sheetViews>
  <sheetFormatPr baseColWidth="10" defaultRowHeight="15" x14ac:dyDescent="0.25"/>
  <cols>
    <col min="1" max="1" width="13.5703125" bestFit="1" customWidth="1"/>
    <col min="2" max="2" width="42.7109375" customWidth="1"/>
    <col min="3" max="3" width="27" customWidth="1"/>
    <col min="4" max="4" width="21"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7" t="s">
        <v>311</v>
      </c>
      <c r="C5" s="87"/>
      <c r="D5" s="87"/>
      <c r="E5" s="87"/>
      <c r="F5" s="87"/>
      <c r="G5" s="87"/>
      <c r="H5" s="87"/>
      <c r="I5" s="88"/>
    </row>
    <row r="10" spans="2:9" ht="21" x14ac:dyDescent="0.25">
      <c r="C10" s="381" t="s">
        <v>138</v>
      </c>
      <c r="D10" s="381"/>
      <c r="E10" s="474">
        <f>Mesures_Ressuage_BCH!D6</f>
        <v>0</v>
      </c>
      <c r="F10" s="474"/>
    </row>
    <row r="11" spans="2:9" ht="21" x14ac:dyDescent="0.25">
      <c r="C11" s="89"/>
      <c r="D11" s="89"/>
      <c r="E11" s="90"/>
      <c r="F11" s="90"/>
    </row>
    <row r="12" spans="2:9" x14ac:dyDescent="0.25">
      <c r="C12" s="91" t="s">
        <v>1</v>
      </c>
      <c r="D12" s="92">
        <f>Mesures_Ressuage_BCH!C8</f>
        <v>0</v>
      </c>
      <c r="F12" s="91" t="s">
        <v>18</v>
      </c>
      <c r="G12" s="92">
        <f>Mesures_Ressuage_BCH!G8</f>
        <v>0</v>
      </c>
    </row>
    <row r="13" spans="2:9" ht="15.75" x14ac:dyDescent="0.25">
      <c r="C13" s="93" t="s">
        <v>2</v>
      </c>
      <c r="D13" s="94">
        <f>Mesures_Ressuage_BCH!C9</f>
        <v>0</v>
      </c>
      <c r="F13" s="95" t="s">
        <v>19</v>
      </c>
      <c r="G13" s="94">
        <f>Mesures_Ressuage_BCH!G9</f>
        <v>0</v>
      </c>
    </row>
    <row r="14" spans="2:9" ht="15.75" x14ac:dyDescent="0.25">
      <c r="C14" s="96"/>
      <c r="D14" s="97"/>
      <c r="G14" s="98"/>
    </row>
    <row r="15" spans="2:9" ht="15.75" x14ac:dyDescent="0.25">
      <c r="C15" s="99" t="s">
        <v>139</v>
      </c>
      <c r="D15" s="100">
        <f>Mesures_Ressuage_BCH!C15</f>
        <v>0</v>
      </c>
      <c r="F15" s="91" t="s">
        <v>140</v>
      </c>
      <c r="G15" s="101">
        <f>Mesures_Ressuage_BCH!C16</f>
        <v>0</v>
      </c>
    </row>
    <row r="16" spans="2:9" ht="15.75" x14ac:dyDescent="0.25">
      <c r="C16" s="99" t="s">
        <v>141</v>
      </c>
      <c r="D16" s="102">
        <f>Mesures_Ressuage_BCH!G12</f>
        <v>9</v>
      </c>
      <c r="F16" s="91" t="s">
        <v>142</v>
      </c>
      <c r="G16" s="101">
        <f>Mesures_Ressuage_BCH!G13</f>
        <v>0</v>
      </c>
    </row>
    <row r="17" spans="1:9" ht="15.75" x14ac:dyDescent="0.25">
      <c r="C17" s="96"/>
      <c r="D17" s="97"/>
      <c r="F17" s="96"/>
      <c r="G17" s="27"/>
    </row>
    <row r="18" spans="1:9" ht="15.75" x14ac:dyDescent="0.25">
      <c r="C18" s="99" t="s">
        <v>143</v>
      </c>
      <c r="D18" s="139">
        <f>Mesures_Ressuage_BCH!C12</f>
        <v>0</v>
      </c>
      <c r="F18" s="91" t="s">
        <v>144</v>
      </c>
      <c r="G18" s="140">
        <f>Mesures_Ressuage_BCH!G11</f>
        <v>0</v>
      </c>
    </row>
    <row r="19" spans="1:9" ht="15.75" x14ac:dyDescent="0.25">
      <c r="C19" s="93" t="s">
        <v>145</v>
      </c>
      <c r="D19" s="100">
        <f>Mesures_Ressuage_BCH!C11</f>
        <v>0</v>
      </c>
    </row>
    <row r="20" spans="1:9" ht="15.75" x14ac:dyDescent="0.25">
      <c r="C20" s="96"/>
      <c r="D20" s="97"/>
    </row>
    <row r="21" spans="1:9" ht="15.75" x14ac:dyDescent="0.25">
      <c r="C21" s="96"/>
      <c r="D21" s="97"/>
    </row>
    <row r="28" spans="1:9" ht="36" x14ac:dyDescent="0.55000000000000004">
      <c r="A28" s="462" t="s">
        <v>146</v>
      </c>
      <c r="B28" s="462"/>
    </row>
    <row r="30" spans="1:9" x14ac:dyDescent="0.25">
      <c r="A30" s="383" t="s">
        <v>538</v>
      </c>
      <c r="B30" s="383"/>
      <c r="C30" s="383"/>
      <c r="D30" s="383"/>
      <c r="E30" s="383"/>
      <c r="F30" s="383"/>
      <c r="G30" s="383"/>
      <c r="H30" s="383"/>
      <c r="I30" s="383"/>
    </row>
    <row r="31" spans="1:9" x14ac:dyDescent="0.25">
      <c r="A31" s="383"/>
      <c r="B31" s="383"/>
      <c r="C31" s="383"/>
      <c r="D31" s="383"/>
      <c r="E31" s="383"/>
      <c r="F31" s="383"/>
      <c r="G31" s="383"/>
      <c r="H31" s="383"/>
      <c r="I31" s="383"/>
    </row>
    <row r="32" spans="1:9" x14ac:dyDescent="0.25">
      <c r="A32" s="383"/>
      <c r="B32" s="383"/>
      <c r="C32" s="383"/>
      <c r="D32" s="383"/>
      <c r="E32" s="383"/>
      <c r="F32" s="383"/>
      <c r="G32" s="383"/>
      <c r="H32" s="383"/>
      <c r="I32" s="383"/>
    </row>
    <row r="33" spans="1:9" x14ac:dyDescent="0.25">
      <c r="A33" s="383"/>
      <c r="B33" s="383"/>
      <c r="C33" s="383"/>
      <c r="D33" s="383"/>
      <c r="E33" s="383"/>
      <c r="F33" s="383"/>
      <c r="G33" s="383"/>
      <c r="H33" s="383"/>
      <c r="I33" s="383"/>
    </row>
    <row r="34" spans="1:9" x14ac:dyDescent="0.25">
      <c r="A34" s="383"/>
      <c r="B34" s="383"/>
      <c r="C34" s="383"/>
      <c r="D34" s="383"/>
      <c r="E34" s="383"/>
      <c r="F34" s="383"/>
      <c r="G34" s="383"/>
      <c r="H34" s="383"/>
      <c r="I34" s="383"/>
    </row>
    <row r="35" spans="1:9" x14ac:dyDescent="0.25">
      <c r="A35" s="383"/>
      <c r="B35" s="383"/>
      <c r="C35" s="383"/>
      <c r="D35" s="383"/>
      <c r="E35" s="383"/>
      <c r="F35" s="383"/>
      <c r="G35" s="383"/>
      <c r="H35" s="383"/>
      <c r="I35" s="383"/>
    </row>
    <row r="36" spans="1:9" x14ac:dyDescent="0.25">
      <c r="A36" s="383"/>
      <c r="B36" s="383"/>
      <c r="C36" s="383"/>
      <c r="D36" s="383"/>
      <c r="E36" s="383"/>
      <c r="F36" s="383"/>
      <c r="G36" s="383"/>
      <c r="H36" s="383"/>
      <c r="I36" s="383"/>
    </row>
    <row r="37" spans="1:9" x14ac:dyDescent="0.25">
      <c r="A37" s="383"/>
      <c r="B37" s="383"/>
      <c r="C37" s="383"/>
      <c r="D37" s="383"/>
      <c r="E37" s="383"/>
      <c r="F37" s="383"/>
      <c r="G37" s="383"/>
      <c r="H37" s="383"/>
      <c r="I37" s="383"/>
    </row>
    <row r="38" spans="1:9" x14ac:dyDescent="0.25">
      <c r="A38" s="383"/>
      <c r="B38" s="383"/>
      <c r="C38" s="383"/>
      <c r="D38" s="383"/>
      <c r="E38" s="383"/>
      <c r="F38" s="383"/>
      <c r="G38" s="383"/>
      <c r="H38" s="383"/>
      <c r="I38" s="383"/>
    </row>
    <row r="39" spans="1:9" x14ac:dyDescent="0.25">
      <c r="A39" s="383"/>
      <c r="B39" s="383"/>
      <c r="C39" s="383"/>
      <c r="D39" s="383"/>
      <c r="E39" s="383"/>
      <c r="F39" s="383"/>
      <c r="G39" s="383"/>
      <c r="H39" s="383"/>
      <c r="I39" s="383"/>
    </row>
    <row r="40" spans="1:9" x14ac:dyDescent="0.25">
      <c r="A40" s="383"/>
      <c r="B40" s="383"/>
      <c r="C40" s="383"/>
      <c r="D40" s="383"/>
      <c r="E40" s="383"/>
      <c r="F40" s="383"/>
      <c r="G40" s="383"/>
      <c r="H40" s="383"/>
      <c r="I40" s="383"/>
    </row>
    <row r="41" spans="1:9" x14ac:dyDescent="0.25">
      <c r="A41" s="383"/>
      <c r="B41" s="383"/>
      <c r="C41" s="383"/>
      <c r="D41" s="383"/>
      <c r="E41" s="383"/>
      <c r="F41" s="383"/>
      <c r="G41" s="383"/>
      <c r="H41" s="383"/>
      <c r="I41" s="383"/>
    </row>
    <row r="42" spans="1:9" x14ac:dyDescent="0.25">
      <c r="A42" s="383"/>
      <c r="B42" s="383"/>
      <c r="C42" s="383"/>
      <c r="D42" s="383"/>
      <c r="E42" s="383"/>
      <c r="F42" s="383"/>
      <c r="G42" s="383"/>
      <c r="H42" s="383"/>
      <c r="I42" s="383"/>
    </row>
    <row r="43" spans="1:9" x14ac:dyDescent="0.25">
      <c r="A43" s="383"/>
      <c r="B43" s="383"/>
      <c r="C43" s="383"/>
      <c r="D43" s="383"/>
      <c r="E43" s="383"/>
      <c r="F43" s="383"/>
      <c r="G43" s="383"/>
      <c r="H43" s="383"/>
      <c r="I43" s="383"/>
    </row>
    <row r="44" spans="1:9" x14ac:dyDescent="0.25">
      <c r="A44" s="383"/>
      <c r="B44" s="383"/>
      <c r="C44" s="383"/>
      <c r="D44" s="383"/>
      <c r="E44" s="383"/>
      <c r="F44" s="383"/>
      <c r="G44" s="383"/>
      <c r="H44" s="383"/>
      <c r="I44" s="383"/>
    </row>
    <row r="45" spans="1:9" x14ac:dyDescent="0.25">
      <c r="A45" s="383"/>
      <c r="B45" s="383"/>
      <c r="C45" s="383"/>
      <c r="D45" s="383"/>
      <c r="E45" s="383"/>
      <c r="F45" s="383"/>
      <c r="G45" s="383"/>
      <c r="H45" s="383"/>
      <c r="I45" s="383"/>
    </row>
    <row r="46" spans="1:9" x14ac:dyDescent="0.25">
      <c r="A46" s="383"/>
      <c r="B46" s="383"/>
      <c r="C46" s="383"/>
      <c r="D46" s="383"/>
      <c r="E46" s="383"/>
      <c r="F46" s="383"/>
      <c r="G46" s="383"/>
      <c r="H46" s="383"/>
      <c r="I46" s="383"/>
    </row>
    <row r="47" spans="1:9" x14ac:dyDescent="0.25">
      <c r="A47" s="383"/>
      <c r="B47" s="383"/>
      <c r="C47" s="383"/>
      <c r="D47" s="383"/>
      <c r="E47" s="383"/>
      <c r="F47" s="383"/>
      <c r="G47" s="383"/>
      <c r="H47" s="383"/>
      <c r="I47" s="383"/>
    </row>
    <row r="51" spans="2:8" ht="36" x14ac:dyDescent="0.25">
      <c r="C51" s="464" t="s">
        <v>148</v>
      </c>
      <c r="D51" s="464"/>
      <c r="E51" s="464"/>
      <c r="F51" s="464"/>
    </row>
    <row r="52" spans="2:8" ht="20.25" customHeight="1" x14ac:dyDescent="0.25">
      <c r="B52" s="104"/>
    </row>
    <row r="53" spans="2:8" ht="23.25" x14ac:dyDescent="0.25">
      <c r="B53" s="105" t="s">
        <v>149</v>
      </c>
    </row>
    <row r="55" spans="2:8" ht="21" x14ac:dyDescent="0.25">
      <c r="B55" s="106" t="s">
        <v>312</v>
      </c>
      <c r="E55" s="473" t="s">
        <v>539</v>
      </c>
      <c r="F55" s="473"/>
      <c r="G55" s="473"/>
      <c r="H55" s="107"/>
    </row>
    <row r="56" spans="2:8" ht="21" customHeight="1" x14ac:dyDescent="0.25">
      <c r="B56" s="106" t="s">
        <v>313</v>
      </c>
      <c r="E56" s="473" t="str">
        <f>"Températures (mini et maxi) d’utilisation : " &amp; Mesures_Ressuage_BCH!B21 &amp; "°C à ambiante"</f>
        <v>Températures (mini et maxi) d’utilisation : °C à ambiante</v>
      </c>
      <c r="F56" s="473"/>
      <c r="G56" s="473"/>
      <c r="H56" s="473"/>
    </row>
    <row r="57" spans="2:8" ht="21" x14ac:dyDescent="0.25">
      <c r="B57" s="106" t="s">
        <v>314</v>
      </c>
      <c r="E57" s="473" t="s">
        <v>155</v>
      </c>
      <c r="F57" s="473"/>
      <c r="G57" s="107"/>
      <c r="H57" s="107"/>
    </row>
    <row r="59" spans="2:8" ht="23.25" x14ac:dyDescent="0.25">
      <c r="B59" s="105" t="s">
        <v>156</v>
      </c>
    </row>
    <row r="61" spans="2:8" ht="21" x14ac:dyDescent="0.25">
      <c r="B61" s="109" t="s">
        <v>540</v>
      </c>
      <c r="C61" s="109"/>
      <c r="D61" s="109"/>
      <c r="E61" s="473"/>
      <c r="F61" s="473"/>
      <c r="G61" s="473"/>
    </row>
    <row r="62" spans="2:8" ht="21" x14ac:dyDescent="0.25">
      <c r="B62" s="473"/>
      <c r="C62" s="473"/>
      <c r="D62" s="473"/>
    </row>
    <row r="64" spans="2:8" ht="21" x14ac:dyDescent="0.25">
      <c r="B64" s="106" t="s">
        <v>160</v>
      </c>
    </row>
    <row r="66" spans="1:10" ht="21" x14ac:dyDescent="0.25">
      <c r="B66" s="473" t="s">
        <v>318</v>
      </c>
      <c r="C66" s="473"/>
      <c r="D66" s="473"/>
      <c r="E66" s="473" t="s">
        <v>541</v>
      </c>
      <c r="F66" s="473"/>
      <c r="G66" s="473"/>
      <c r="H66" s="473"/>
      <c r="I66" s="473"/>
    </row>
    <row r="67" spans="1:10" ht="21" x14ac:dyDescent="0.25">
      <c r="B67" s="473"/>
      <c r="C67" s="473"/>
      <c r="D67" s="473"/>
      <c r="E67" s="473" t="s">
        <v>542</v>
      </c>
      <c r="F67" s="473"/>
      <c r="G67" s="473"/>
      <c r="H67" s="473"/>
      <c r="I67" s="473"/>
    </row>
    <row r="68" spans="1:10" ht="21" x14ac:dyDescent="0.25">
      <c r="B68" s="473"/>
      <c r="C68" s="473"/>
      <c r="D68" s="473"/>
      <c r="E68" s="473" t="s">
        <v>543</v>
      </c>
      <c r="F68" s="473"/>
      <c r="G68" s="473"/>
      <c r="H68" s="473"/>
      <c r="I68" s="473"/>
    </row>
    <row r="69" spans="1:10" ht="21" x14ac:dyDescent="0.25">
      <c r="B69" s="473"/>
      <c r="C69" s="473"/>
      <c r="D69" s="473"/>
      <c r="E69" s="473" t="s">
        <v>544</v>
      </c>
      <c r="F69" s="473"/>
      <c r="G69" s="473"/>
      <c r="H69" s="473"/>
      <c r="I69" s="107"/>
    </row>
    <row r="72" spans="1:10" ht="21" customHeight="1" x14ac:dyDescent="0.25">
      <c r="A72" s="465" t="s">
        <v>545</v>
      </c>
      <c r="B72" s="465"/>
      <c r="C72" s="465"/>
      <c r="D72" s="465"/>
      <c r="E72" s="465"/>
      <c r="F72" s="465"/>
      <c r="G72" s="465"/>
      <c r="H72" s="465"/>
      <c r="I72" s="465"/>
      <c r="J72" s="465"/>
    </row>
    <row r="73" spans="1:10" ht="21" customHeight="1" x14ac:dyDescent="0.25">
      <c r="A73" s="465"/>
      <c r="B73" s="465"/>
      <c r="C73" s="465"/>
      <c r="D73" s="465"/>
      <c r="E73" s="465"/>
      <c r="F73" s="465"/>
      <c r="G73" s="465"/>
      <c r="H73" s="465"/>
      <c r="I73" s="465"/>
      <c r="J73" s="465"/>
    </row>
    <row r="74" spans="1:10" ht="15" customHeight="1" x14ac:dyDescent="0.25">
      <c r="A74" s="465"/>
      <c r="B74" s="465"/>
      <c r="C74" s="465"/>
      <c r="D74" s="465"/>
      <c r="E74" s="465"/>
      <c r="F74" s="465"/>
      <c r="G74" s="465"/>
      <c r="H74" s="465"/>
      <c r="I74" s="465"/>
      <c r="J74" s="465"/>
    </row>
    <row r="75" spans="1:10" ht="15" customHeight="1" x14ac:dyDescent="0.25">
      <c r="A75" s="465"/>
      <c r="B75" s="465"/>
      <c r="C75" s="465"/>
      <c r="D75" s="465"/>
      <c r="E75" s="465"/>
      <c r="F75" s="465"/>
      <c r="G75" s="465"/>
      <c r="H75" s="465"/>
      <c r="I75" s="465"/>
      <c r="J75" s="465"/>
    </row>
    <row r="76" spans="1:10" x14ac:dyDescent="0.25">
      <c r="A76" s="465"/>
      <c r="B76" s="465"/>
      <c r="C76" s="465"/>
      <c r="D76" s="465"/>
      <c r="E76" s="465"/>
      <c r="F76" s="465"/>
      <c r="G76" s="465"/>
      <c r="H76" s="465"/>
      <c r="I76" s="465"/>
      <c r="J76" s="465"/>
    </row>
    <row r="77" spans="1:10" x14ac:dyDescent="0.25">
      <c r="A77" s="465"/>
      <c r="B77" s="465"/>
      <c r="C77" s="465"/>
      <c r="D77" s="465"/>
      <c r="E77" s="465"/>
      <c r="F77" s="465"/>
      <c r="G77" s="465"/>
      <c r="H77" s="465"/>
      <c r="I77" s="465"/>
      <c r="J77" s="465"/>
    </row>
    <row r="78" spans="1:10" x14ac:dyDescent="0.25">
      <c r="A78" s="465"/>
      <c r="B78" s="465"/>
      <c r="C78" s="465"/>
      <c r="D78" s="465"/>
      <c r="E78" s="465"/>
      <c r="F78" s="465"/>
      <c r="G78" s="465"/>
      <c r="H78" s="465"/>
      <c r="I78" s="465"/>
      <c r="J78" s="465"/>
    </row>
    <row r="79" spans="1:10" x14ac:dyDescent="0.25">
      <c r="A79" s="465"/>
      <c r="B79" s="465"/>
      <c r="C79" s="465"/>
      <c r="D79" s="465"/>
      <c r="E79" s="465"/>
      <c r="F79" s="465"/>
      <c r="G79" s="465"/>
      <c r="H79" s="465"/>
      <c r="I79" s="465"/>
      <c r="J79" s="465"/>
    </row>
    <row r="80" spans="1:10" x14ac:dyDescent="0.25">
      <c r="A80" s="465"/>
      <c r="B80" s="465"/>
      <c r="C80" s="465"/>
      <c r="D80" s="465"/>
      <c r="E80" s="465"/>
      <c r="F80" s="465"/>
      <c r="G80" s="465"/>
      <c r="H80" s="465"/>
      <c r="I80" s="465"/>
      <c r="J80" s="465"/>
    </row>
    <row r="81" spans="1:10" x14ac:dyDescent="0.25">
      <c r="A81" s="465"/>
      <c r="B81" s="465"/>
      <c r="C81" s="465"/>
      <c r="D81" s="465"/>
      <c r="E81" s="465"/>
      <c r="F81" s="465"/>
      <c r="G81" s="465"/>
      <c r="H81" s="465"/>
      <c r="I81" s="465"/>
      <c r="J81" s="465"/>
    </row>
    <row r="85" spans="1:10" ht="36" x14ac:dyDescent="0.25">
      <c r="C85" s="464" t="s">
        <v>170</v>
      </c>
      <c r="D85" s="464"/>
      <c r="E85" s="464"/>
      <c r="F85" s="464"/>
      <c r="G85" s="464"/>
    </row>
    <row r="87" spans="1:10" ht="26.25" x14ac:dyDescent="0.25">
      <c r="B87" s="108" t="s">
        <v>171</v>
      </c>
    </row>
    <row r="89" spans="1:10" ht="21" x14ac:dyDescent="0.25">
      <c r="B89" s="106" t="s">
        <v>172</v>
      </c>
      <c r="C89" s="106"/>
      <c r="E89" s="106"/>
      <c r="F89" s="106"/>
      <c r="G89" s="106"/>
      <c r="H89" s="107"/>
    </row>
    <row r="90" spans="1:10" ht="21" x14ac:dyDescent="0.25">
      <c r="B90" s="106" t="s">
        <v>173</v>
      </c>
      <c r="C90" s="106"/>
      <c r="E90" s="106"/>
      <c r="F90" s="106"/>
      <c r="G90" s="106"/>
      <c r="H90" s="107"/>
    </row>
    <row r="91" spans="1:10" ht="21" x14ac:dyDescent="0.25">
      <c r="B91" s="106" t="s">
        <v>174</v>
      </c>
      <c r="C91" s="106"/>
      <c r="E91" s="106"/>
      <c r="F91" s="106"/>
      <c r="G91" s="106"/>
      <c r="H91" s="107"/>
    </row>
    <row r="92" spans="1:10" ht="21" x14ac:dyDescent="0.25">
      <c r="B92" s="106" t="s">
        <v>175</v>
      </c>
      <c r="C92" s="106"/>
      <c r="E92" s="106"/>
      <c r="F92" s="106"/>
      <c r="G92" s="106"/>
      <c r="H92" s="107"/>
    </row>
    <row r="93" spans="1:10" ht="21" x14ac:dyDescent="0.25">
      <c r="B93" s="109"/>
      <c r="C93" s="109"/>
      <c r="E93" s="106"/>
      <c r="F93" s="106"/>
      <c r="G93" s="106"/>
      <c r="H93" s="107"/>
    </row>
    <row r="94" spans="1:10" ht="17.25" x14ac:dyDescent="0.25">
      <c r="A94" s="110"/>
      <c r="C94" s="466" t="s">
        <v>10</v>
      </c>
      <c r="D94" s="466"/>
      <c r="E94" s="466"/>
      <c r="F94" s="466"/>
      <c r="G94" s="466"/>
      <c r="H94" s="110"/>
      <c r="I94" s="110"/>
    </row>
    <row r="95" spans="1:10" ht="34.5" x14ac:dyDescent="0.25">
      <c r="A95" s="110"/>
      <c r="B95" s="110"/>
      <c r="C95" s="111"/>
      <c r="D95" s="111" t="s">
        <v>15</v>
      </c>
      <c r="E95" s="112" t="s">
        <v>17</v>
      </c>
      <c r="F95" s="112" t="s">
        <v>24</v>
      </c>
      <c r="G95" s="112" t="s">
        <v>25</v>
      </c>
      <c r="H95" s="113"/>
      <c r="I95" s="113"/>
    </row>
    <row r="96" spans="1:10" ht="17.25" x14ac:dyDescent="0.25">
      <c r="A96" s="110"/>
      <c r="B96" s="110"/>
      <c r="C96" s="111" t="str" cm="1">
        <f t="array" ref="C96:C105">Mesures_Ressuage_BCH!A43:A52</f>
        <v xml:space="preserve">Sonde </v>
      </c>
      <c r="D96" s="114" cm="1">
        <f t="array" ref="D96:G105">Mesures_Ressuage_BCH!C43:F52</f>
        <v>0</v>
      </c>
      <c r="E96" s="114">
        <v>0</v>
      </c>
      <c r="F96" s="114">
        <v>0</v>
      </c>
      <c r="G96" s="114">
        <v>0</v>
      </c>
      <c r="H96" s="110"/>
      <c r="I96" s="110"/>
    </row>
    <row r="97" spans="1:9" ht="17.25" x14ac:dyDescent="0.25">
      <c r="A97" s="110"/>
      <c r="B97" s="110"/>
      <c r="C97" s="111" t="str">
        <v xml:space="preserve">Sonde </v>
      </c>
      <c r="D97" s="114">
        <v>0</v>
      </c>
      <c r="E97" s="114">
        <v>0</v>
      </c>
      <c r="F97" s="114">
        <v>0</v>
      </c>
      <c r="G97" s="114">
        <v>0</v>
      </c>
      <c r="H97" s="110"/>
      <c r="I97" s="110"/>
    </row>
    <row r="98" spans="1:9" ht="17.25" x14ac:dyDescent="0.25">
      <c r="A98" s="110"/>
      <c r="B98" s="110"/>
      <c r="C98" s="111" t="str">
        <v xml:space="preserve">Sonde </v>
      </c>
      <c r="D98" s="114">
        <v>0</v>
      </c>
      <c r="E98" s="114">
        <v>0</v>
      </c>
      <c r="F98" s="114">
        <v>0</v>
      </c>
      <c r="G98" s="114">
        <v>0</v>
      </c>
      <c r="H98" s="110"/>
      <c r="I98" s="110"/>
    </row>
    <row r="99" spans="1:9" ht="17.25" x14ac:dyDescent="0.25">
      <c r="A99" s="110"/>
      <c r="B99" s="110"/>
      <c r="C99" s="111" t="str">
        <v xml:space="preserve">Sonde </v>
      </c>
      <c r="D99" s="114">
        <v>0</v>
      </c>
      <c r="E99" s="114">
        <v>0</v>
      </c>
      <c r="F99" s="114">
        <v>0</v>
      </c>
      <c r="G99" s="114">
        <v>0</v>
      </c>
      <c r="H99" s="110"/>
      <c r="I99" s="110"/>
    </row>
    <row r="100" spans="1:9" ht="17.25" x14ac:dyDescent="0.25">
      <c r="A100" s="110"/>
      <c r="B100" s="110"/>
      <c r="C100" s="111" t="str">
        <v xml:space="preserve">Sonde </v>
      </c>
      <c r="D100" s="114">
        <v>0</v>
      </c>
      <c r="E100" s="114">
        <v>0</v>
      </c>
      <c r="F100" s="114">
        <v>0</v>
      </c>
      <c r="G100" s="114">
        <v>0</v>
      </c>
      <c r="H100" s="110"/>
      <c r="I100" s="110"/>
    </row>
    <row r="101" spans="1:9" ht="17.25" x14ac:dyDescent="0.25">
      <c r="A101" s="110"/>
      <c r="B101" s="110"/>
      <c r="C101" s="111" t="str">
        <v xml:space="preserve">Sonde </v>
      </c>
      <c r="D101" s="114">
        <v>0</v>
      </c>
      <c r="E101" s="114">
        <v>0</v>
      </c>
      <c r="F101" s="114">
        <v>0</v>
      </c>
      <c r="G101" s="114">
        <v>0</v>
      </c>
      <c r="H101" s="110"/>
      <c r="I101" s="110"/>
    </row>
    <row r="102" spans="1:9" ht="17.25" x14ac:dyDescent="0.25">
      <c r="A102" s="110"/>
      <c r="B102" s="110"/>
      <c r="C102" s="111" t="str">
        <v xml:space="preserve">Sonde </v>
      </c>
      <c r="D102" s="114">
        <v>0</v>
      </c>
      <c r="E102" s="114">
        <v>0</v>
      </c>
      <c r="F102" s="114">
        <v>0</v>
      </c>
      <c r="G102" s="114">
        <v>0</v>
      </c>
      <c r="H102" s="110"/>
      <c r="I102" s="110"/>
    </row>
    <row r="103" spans="1:9" ht="17.25" x14ac:dyDescent="0.25">
      <c r="A103" s="110"/>
      <c r="B103" s="110"/>
      <c r="C103" s="111" t="str">
        <v xml:space="preserve">Sonde </v>
      </c>
      <c r="D103" s="114">
        <v>0</v>
      </c>
      <c r="E103" s="114">
        <v>0</v>
      </c>
      <c r="F103" s="114">
        <v>0</v>
      </c>
      <c r="G103" s="114">
        <v>0</v>
      </c>
      <c r="H103" s="110"/>
      <c r="I103" s="110"/>
    </row>
    <row r="104" spans="1:9" ht="17.25" x14ac:dyDescent="0.25">
      <c r="A104" s="110"/>
      <c r="B104" s="110"/>
      <c r="C104" s="111" t="str">
        <v xml:space="preserve">Sonde </v>
      </c>
      <c r="D104" s="114">
        <v>0</v>
      </c>
      <c r="E104" s="114">
        <v>0</v>
      </c>
      <c r="F104" s="114">
        <v>0</v>
      </c>
      <c r="G104" s="114">
        <v>0</v>
      </c>
      <c r="H104" s="110"/>
      <c r="I104" s="110"/>
    </row>
    <row r="105" spans="1:9" ht="17.25" x14ac:dyDescent="0.25">
      <c r="A105" s="110"/>
      <c r="B105" s="110"/>
      <c r="C105" s="111" t="str">
        <v xml:space="preserve">Sonde </v>
      </c>
      <c r="D105" s="114">
        <v>0</v>
      </c>
      <c r="E105" s="114">
        <v>0</v>
      </c>
      <c r="F105" s="114">
        <v>0</v>
      </c>
      <c r="G105" s="114">
        <v>0</v>
      </c>
      <c r="H105" s="110"/>
      <c r="I105" s="110"/>
    </row>
    <row r="106" spans="1:9" ht="17.25" x14ac:dyDescent="0.25">
      <c r="A106" s="110"/>
      <c r="B106" s="110"/>
      <c r="C106" s="110"/>
      <c r="D106" s="110"/>
      <c r="E106" s="110"/>
      <c r="F106" s="110"/>
      <c r="G106" s="110"/>
      <c r="H106" s="110"/>
      <c r="I106" s="110"/>
    </row>
    <row r="107" spans="1:9" ht="17.25" x14ac:dyDescent="0.25">
      <c r="A107" s="110"/>
      <c r="B107" s="110"/>
      <c r="C107" s="110"/>
      <c r="D107" s="110"/>
      <c r="E107" s="110"/>
      <c r="F107" s="110"/>
      <c r="G107" s="110"/>
      <c r="H107" s="110"/>
      <c r="I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7" t="s">
        <v>176</v>
      </c>
      <c r="C116" s="467"/>
      <c r="D116" s="467"/>
      <c r="E116" s="467"/>
      <c r="F116" s="467"/>
    </row>
    <row r="118" spans="1:9" ht="26.25" x14ac:dyDescent="0.25">
      <c r="B118" s="108" t="s">
        <v>177</v>
      </c>
    </row>
    <row r="119" spans="1:9" ht="21" x14ac:dyDescent="0.3">
      <c r="E119" s="106" t="s">
        <v>178</v>
      </c>
      <c r="F119" s="106"/>
      <c r="G119" s="115">
        <f>Mesures_Ressuage_BCH!$M$43</f>
        <v>0</v>
      </c>
    </row>
    <row r="120" spans="1:9" ht="21" x14ac:dyDescent="0.3">
      <c r="B120" s="116" t="s">
        <v>179</v>
      </c>
      <c r="C120" s="106" t="s">
        <v>180</v>
      </c>
      <c r="E120" s="106" t="s">
        <v>181</v>
      </c>
      <c r="F120" s="106"/>
      <c r="G120" s="115">
        <f>Mesures_Ressuage_BCH!$N$43</f>
        <v>0</v>
      </c>
    </row>
    <row r="121" spans="1:9" ht="21" x14ac:dyDescent="0.25">
      <c r="B121" s="116" t="s">
        <v>182</v>
      </c>
      <c r="C121" s="109" t="s">
        <v>183</v>
      </c>
      <c r="E121" s="106" t="s">
        <v>184</v>
      </c>
      <c r="F121" s="106"/>
      <c r="G121" s="117">
        <f>Mesures_Ressuage_BCH!$O$43</f>
        <v>0</v>
      </c>
    </row>
    <row r="122" spans="1:9" ht="21" x14ac:dyDescent="0.35">
      <c r="B122" s="118" t="s">
        <v>185</v>
      </c>
      <c r="C122" s="119" t="s">
        <v>186</v>
      </c>
      <c r="E122" s="106" t="s">
        <v>187</v>
      </c>
      <c r="F122" s="106"/>
      <c r="G122" s="120" t="str">
        <f>"±" &amp;  Mesures_Ressuage_BCH!C21 &amp; "°C"</f>
        <v>±°C</v>
      </c>
    </row>
    <row r="127" spans="1:9" ht="36" x14ac:dyDescent="0.25">
      <c r="C127" s="464" t="s">
        <v>188</v>
      </c>
      <c r="D127" s="464"/>
      <c r="E127" s="464"/>
      <c r="F127" s="464"/>
    </row>
    <row r="128" spans="1:9" ht="36" x14ac:dyDescent="0.25">
      <c r="B128" s="103"/>
      <c r="C128" s="103"/>
      <c r="D128" s="103"/>
    </row>
    <row r="129" spans="2:9" x14ac:dyDescent="0.25">
      <c r="B129" s="342"/>
      <c r="C129" s="342"/>
      <c r="D129" s="342"/>
      <c r="E129" s="342"/>
      <c r="F129" s="342"/>
      <c r="G129" s="342"/>
      <c r="H129" s="342"/>
      <c r="I129" s="342"/>
    </row>
    <row r="130" spans="2:9" x14ac:dyDescent="0.25">
      <c r="B130" s="342"/>
      <c r="C130" s="342"/>
      <c r="D130" s="342"/>
      <c r="E130" s="342"/>
      <c r="F130" s="342"/>
      <c r="G130" s="342"/>
      <c r="H130" s="342"/>
      <c r="I130" s="342"/>
    </row>
    <row r="131" spans="2:9" x14ac:dyDescent="0.25">
      <c r="B131" s="342"/>
      <c r="C131" s="342"/>
      <c r="D131" s="342"/>
      <c r="E131" s="342"/>
      <c r="F131" s="342"/>
      <c r="G131" s="342"/>
      <c r="H131" s="342"/>
      <c r="I131" s="342"/>
    </row>
    <row r="132" spans="2:9" x14ac:dyDescent="0.25">
      <c r="B132" s="342"/>
      <c r="C132" s="342"/>
      <c r="D132" s="342"/>
      <c r="E132" s="342"/>
      <c r="F132" s="342"/>
      <c r="G132" s="342"/>
      <c r="H132" s="342"/>
      <c r="I132" s="342"/>
    </row>
    <row r="133" spans="2:9" x14ac:dyDescent="0.25">
      <c r="B133" s="342"/>
      <c r="C133" s="342"/>
      <c r="D133" s="342"/>
      <c r="E133" s="342"/>
      <c r="F133" s="342"/>
      <c r="G133" s="342"/>
      <c r="H133" s="342"/>
      <c r="I133" s="342"/>
    </row>
    <row r="134" spans="2:9" x14ac:dyDescent="0.25">
      <c r="B134" s="342"/>
      <c r="C134" s="342"/>
      <c r="D134" s="342"/>
      <c r="E134" s="342"/>
      <c r="F134" s="342"/>
      <c r="G134" s="342"/>
      <c r="H134" s="342"/>
      <c r="I134" s="342"/>
    </row>
    <row r="135" spans="2:9" x14ac:dyDescent="0.25">
      <c r="B135" s="342"/>
      <c r="C135" s="342"/>
      <c r="D135" s="342"/>
      <c r="E135" s="342"/>
      <c r="F135" s="342"/>
      <c r="G135" s="342"/>
      <c r="H135" s="342"/>
      <c r="I135" s="342"/>
    </row>
    <row r="136" spans="2:9" x14ac:dyDescent="0.25">
      <c r="B136" s="342"/>
      <c r="C136" s="342"/>
      <c r="D136" s="342"/>
      <c r="E136" s="342"/>
      <c r="F136" s="342"/>
      <c r="G136" s="342"/>
      <c r="H136" s="342"/>
      <c r="I136" s="342"/>
    </row>
    <row r="137" spans="2:9" x14ac:dyDescent="0.25">
      <c r="B137" s="342"/>
      <c r="C137" s="342"/>
      <c r="D137" s="342"/>
      <c r="E137" s="342"/>
      <c r="F137" s="342"/>
      <c r="G137" s="342"/>
      <c r="H137" s="342"/>
      <c r="I137" s="342"/>
    </row>
    <row r="138" spans="2:9" x14ac:dyDescent="0.25">
      <c r="B138" s="342"/>
      <c r="C138" s="342"/>
      <c r="D138" s="342"/>
      <c r="E138" s="342"/>
      <c r="F138" s="342"/>
      <c r="G138" s="342"/>
      <c r="H138" s="342"/>
      <c r="I138" s="342"/>
    </row>
    <row r="139" spans="2:9" x14ac:dyDescent="0.25">
      <c r="B139" s="342"/>
      <c r="C139" s="342"/>
      <c r="D139" s="342"/>
      <c r="E139" s="342"/>
      <c r="F139" s="342"/>
      <c r="G139" s="342"/>
      <c r="H139" s="342"/>
      <c r="I139" s="342"/>
    </row>
    <row r="140" spans="2:9" x14ac:dyDescent="0.25">
      <c r="B140" s="342"/>
      <c r="C140" s="342"/>
      <c r="D140" s="342"/>
      <c r="E140" s="342"/>
      <c r="F140" s="342"/>
      <c r="G140" s="342"/>
      <c r="H140" s="342"/>
      <c r="I140" s="342"/>
    </row>
    <row r="141" spans="2:9" x14ac:dyDescent="0.25">
      <c r="B141" s="342"/>
      <c r="C141" s="342"/>
      <c r="D141" s="342"/>
      <c r="E141" s="342"/>
      <c r="F141" s="342"/>
      <c r="G141" s="342"/>
      <c r="H141" s="342"/>
      <c r="I141" s="342"/>
    </row>
    <row r="142" spans="2:9" x14ac:dyDescent="0.25">
      <c r="B142" s="342"/>
      <c r="C142" s="342"/>
      <c r="D142" s="342"/>
      <c r="E142" s="342"/>
      <c r="F142" s="342"/>
      <c r="G142" s="342"/>
      <c r="H142" s="342"/>
      <c r="I142" s="342"/>
    </row>
    <row r="143" spans="2:9" x14ac:dyDescent="0.25">
      <c r="B143" s="342"/>
      <c r="C143" s="342"/>
      <c r="D143" s="342"/>
      <c r="E143" s="342"/>
      <c r="F143" s="342"/>
      <c r="G143" s="342"/>
      <c r="H143" s="342"/>
      <c r="I143" s="342"/>
    </row>
    <row r="144" spans="2:9" x14ac:dyDescent="0.25">
      <c r="B144" s="342"/>
      <c r="C144" s="342"/>
      <c r="D144" s="342"/>
      <c r="E144" s="342"/>
      <c r="F144" s="342"/>
      <c r="G144" s="342"/>
      <c r="H144" s="342"/>
      <c r="I144" s="342"/>
    </row>
    <row r="163" spans="1:8" ht="36" x14ac:dyDescent="0.25">
      <c r="C163" s="464" t="s">
        <v>315</v>
      </c>
      <c r="D163" s="464"/>
      <c r="E163" s="464"/>
      <c r="F163" s="464"/>
      <c r="G163" s="464"/>
      <c r="H163" s="464"/>
    </row>
    <row r="167" spans="1:8" x14ac:dyDescent="0.25">
      <c r="A167" s="121" t="str" cm="1">
        <f t="array" ref="A167:C177">Mesures_Ressuage_BCH!A23:C33</f>
        <v>Positions</v>
      </c>
      <c r="B167" s="121" t="str">
        <v>Thermocouples</v>
      </c>
      <c r="C167" s="121" t="str">
        <v>N° voie Enregistreur</v>
      </c>
    </row>
    <row r="168" spans="1:8" x14ac:dyDescent="0.25">
      <c r="A168" s="121">
        <v>1</v>
      </c>
      <c r="B168" s="122">
        <v>0</v>
      </c>
      <c r="C168" s="123">
        <v>0</v>
      </c>
    </row>
    <row r="169" spans="1:8" x14ac:dyDescent="0.25">
      <c r="A169" s="121">
        <v>2</v>
      </c>
      <c r="B169" s="122">
        <v>0</v>
      </c>
      <c r="C169" s="123">
        <v>0</v>
      </c>
    </row>
    <row r="170" spans="1:8" x14ac:dyDescent="0.25">
      <c r="A170" s="121">
        <v>3</v>
      </c>
      <c r="B170" s="122">
        <v>0</v>
      </c>
      <c r="C170" s="123">
        <v>0</v>
      </c>
    </row>
    <row r="171" spans="1:8" x14ac:dyDescent="0.25">
      <c r="A171" s="121">
        <v>4</v>
      </c>
      <c r="B171" s="122">
        <v>0</v>
      </c>
      <c r="C171" s="123">
        <v>0</v>
      </c>
    </row>
    <row r="172" spans="1:8" x14ac:dyDescent="0.25">
      <c r="A172" s="121">
        <v>5</v>
      </c>
      <c r="B172" s="122">
        <v>0</v>
      </c>
      <c r="C172" s="123">
        <v>0</v>
      </c>
    </row>
    <row r="173" spans="1:8" x14ac:dyDescent="0.25">
      <c r="A173" s="121">
        <v>6</v>
      </c>
      <c r="B173" s="122">
        <v>0</v>
      </c>
      <c r="C173" s="123">
        <v>0</v>
      </c>
    </row>
    <row r="174" spans="1:8" x14ac:dyDescent="0.25">
      <c r="A174" s="121">
        <v>7</v>
      </c>
      <c r="B174" s="122">
        <v>0</v>
      </c>
      <c r="C174" s="123">
        <v>0</v>
      </c>
    </row>
    <row r="175" spans="1:8" x14ac:dyDescent="0.25">
      <c r="A175" s="121">
        <v>8</v>
      </c>
      <c r="B175" s="122">
        <v>0</v>
      </c>
      <c r="C175" s="123">
        <v>0</v>
      </c>
    </row>
    <row r="176" spans="1:8" x14ac:dyDescent="0.25">
      <c r="A176" s="121">
        <v>9</v>
      </c>
      <c r="B176" s="122">
        <v>0</v>
      </c>
      <c r="C176" s="123">
        <v>0</v>
      </c>
    </row>
    <row r="177" spans="1:3" x14ac:dyDescent="0.25">
      <c r="A177" s="121">
        <v>10</v>
      </c>
      <c r="B177" s="122">
        <v>0</v>
      </c>
      <c r="C177" s="123">
        <v>0</v>
      </c>
    </row>
    <row r="196" spans="1:9" ht="36" x14ac:dyDescent="0.25">
      <c r="C196" s="464" t="str">
        <f>"6. Résultats et exploitation des résultats à " &amp; Mesures_Ressuage_BCH!$B$18 &amp; "°C"</f>
        <v>6. Résultats et exploitation des résultats à °C</v>
      </c>
      <c r="D196" s="464"/>
      <c r="E196" s="464"/>
      <c r="F196" s="464"/>
      <c r="G196" s="464"/>
      <c r="H196" s="464"/>
    </row>
    <row r="199" spans="1:9" x14ac:dyDescent="0.25">
      <c r="A199" s="128" t="str" cm="1">
        <f t="array" ref="A199:B199">Mesures_Ressuage_BCH!A18:B18</f>
        <v>Consignes</v>
      </c>
      <c r="B199" s="129">
        <v>0</v>
      </c>
    </row>
    <row r="200" spans="1:9" x14ac:dyDescent="0.25">
      <c r="G200" s="468" t="s">
        <v>190</v>
      </c>
      <c r="H200" s="469"/>
      <c r="I200" s="470"/>
    </row>
    <row r="201" spans="1:9" x14ac:dyDescent="0.25">
      <c r="B201" s="128" t="str" cm="1">
        <f t="array" ref="B201:C202">Mesures_Ressuage_BCH!B20:C21</f>
        <v xml:space="preserve">TUS </v>
      </c>
      <c r="C201" s="128" t="str">
        <v>SAT</v>
      </c>
      <c r="G201" s="22" t="s">
        <v>191</v>
      </c>
      <c r="H201" s="22" t="s">
        <v>192</v>
      </c>
      <c r="I201" s="22" t="s">
        <v>193</v>
      </c>
    </row>
    <row r="202" spans="1:9" x14ac:dyDescent="0.25">
      <c r="A202" s="128" t="str">
        <f>Mesures_Ressuage_BCH!A21</f>
        <v>Tolérances +/-</v>
      </c>
      <c r="B202" s="129">
        <v>0</v>
      </c>
      <c r="C202" s="129">
        <v>0</v>
      </c>
      <c r="G202" s="124" t="e" cm="1">
        <f t="array" ref="G202">INDEX(Valeurs_Brutes_Ressuage_BCH[Date/Heure], COUNTA(Valeurs_Brutes_Ressuage_BCH[Connecteur 1])-30)</f>
        <v>#VALUE!</v>
      </c>
      <c r="H202" s="124" cm="1">
        <f t="array" ref="H202">INDEX(Valeurs_Brutes_Ressuage_BCH[Date/Heure], COUNTA(Valeurs_Brutes_Ressuage_BCH[Connecteur 1]))</f>
        <v>0</v>
      </c>
      <c r="I202" s="124" t="e">
        <f>H202-G202</f>
        <v>#VALUE!</v>
      </c>
    </row>
    <row r="205" spans="1:9" ht="23.25" x14ac:dyDescent="0.25">
      <c r="B205" s="471" t="s">
        <v>194</v>
      </c>
      <c r="C205" s="471"/>
    </row>
    <row r="208" spans="1:9" ht="30" x14ac:dyDescent="0.25">
      <c r="B208" s="125" t="s">
        <v>195</v>
      </c>
      <c r="C208" s="126" t="s">
        <v>196</v>
      </c>
      <c r="D208" s="126" t="s">
        <v>112</v>
      </c>
      <c r="E208" s="127" t="s">
        <v>197</v>
      </c>
      <c r="F208" s="126" t="s">
        <v>198</v>
      </c>
    </row>
    <row r="209" spans="1:6" x14ac:dyDescent="0.25">
      <c r="B209" s="128" t="s">
        <v>199</v>
      </c>
      <c r="C209" s="129" t="str">
        <f>B200 &amp; "°C"</f>
        <v>°C</v>
      </c>
      <c r="D209" s="129" t="s">
        <v>200</v>
      </c>
      <c r="E209" s="129" t="s">
        <v>200</v>
      </c>
      <c r="F209" s="130" t="s">
        <v>200</v>
      </c>
    </row>
    <row r="210" spans="1:6" x14ac:dyDescent="0.25">
      <c r="B210" s="128" t="s">
        <v>201</v>
      </c>
      <c r="C210" s="129" t="str">
        <f>B200 &amp; "°C"</f>
        <v>°C</v>
      </c>
      <c r="D210" s="129" t="s">
        <v>200</v>
      </c>
      <c r="E210" s="129" t="s">
        <v>200</v>
      </c>
      <c r="F210" s="130" t="s">
        <v>200</v>
      </c>
    </row>
    <row r="211" spans="1:6" ht="15" customHeight="1" x14ac:dyDescent="0.25">
      <c r="A211" s="472" t="s">
        <v>202</v>
      </c>
      <c r="B211" s="128" t="s">
        <v>203</v>
      </c>
      <c r="C211" s="131" t="e">
        <f ca="1">MAX(Ressuage_BCH!C16:L16)</f>
        <v>#REF!</v>
      </c>
      <c r="D211" s="129" t="e">
        <f ca="1">_xlfn.XLOOKUP(INT(SUBSTITUTE(E211,"Connecteur ","")),Mesures_Ressuage_BCH!$C$24:$C$33,Mesures_Ressuage_BCH!$A$24:$A$33)</f>
        <v>#REF!</v>
      </c>
      <c r="E211" s="129" t="e" cm="1">
        <f t="array" aca="1" ref="E211" ca="1">_xlfn.XLOOKUP(C211,Ressuage_BCH!C16:L16,_xlfn.ANCHORARRAY(Ressuage_BCH!C14))</f>
        <v>#REF!</v>
      </c>
      <c r="F211" s="129" t="e">
        <f ca="1">_xlfn.XLOOKUP(INT(SUBSTITUTE(E211,"Connecteur ","")),Mesures_Ressuage_BCH!$C$24:$C$33,Mesures_Ressuage_BCH!$B$24:$B$33)</f>
        <v>#REF!</v>
      </c>
    </row>
    <row r="212" spans="1:6" x14ac:dyDescent="0.25">
      <c r="A212" s="472"/>
      <c r="B212" s="128" t="s">
        <v>204</v>
      </c>
      <c r="C212" s="131" t="e">
        <f ca="1">MIN(Ressuage_BCH!C16:L16)</f>
        <v>#REF!</v>
      </c>
      <c r="D212" s="129" t="e">
        <f ca="1">_xlfn.XLOOKUP(INT(SUBSTITUTE(E212,"Connecteur ","")),Mesures_Ressuage_BCH!$C$24:$C$33,Mesures_Ressuage_BCH!$A$24:$A$33)</f>
        <v>#REF!</v>
      </c>
      <c r="E212" s="129" t="e" cm="1">
        <f t="array" aca="1" ref="E212" ca="1">_xlfn.XLOOKUP(C212,Ressuage_BCH!C16:L16,_xlfn.ANCHORARRAY(Ressuage_BCH!C14))</f>
        <v>#REF!</v>
      </c>
      <c r="F212" s="130" t="e">
        <f ca="1">_xlfn.XLOOKUP(INT(SUBSTITUTE(E212,"Connecteur ","")),Mesures_Ressuage_BCH!$C$24:$C$33,Mesures_Ressuage_BCH!$B$24:$B$33)</f>
        <v>#REF!</v>
      </c>
    </row>
    <row r="213" spans="1:6" ht="34.5" customHeight="1" x14ac:dyDescent="0.25">
      <c r="A213" s="472"/>
      <c r="B213" s="128" t="s">
        <v>205</v>
      </c>
      <c r="C213" s="131" t="e">
        <f ca="1">MIN(Ressuage_BCH!C17:L17)</f>
        <v>#REF!</v>
      </c>
      <c r="D213" s="129" t="e">
        <f ca="1">_xlfn.XLOOKUP(INT(SUBSTITUTE(E213,"Connecteur ","")),Mesures_Ressuage_BCH!$C$24:$C$33,Mesures_Ressuage_BCH!$A$24:$A$33)</f>
        <v>#REF!</v>
      </c>
      <c r="E213" s="129" t="e" cm="1">
        <f t="array" aca="1" ref="E213" ca="1">_xlfn.XLOOKUP(C213,Ressuage_BCH!C17:L17,_xlfn.ANCHORARRAY(Ressuage_BCH!C14))</f>
        <v>#REF!</v>
      </c>
      <c r="F213" s="130" t="e">
        <f ca="1">_xlfn.XLOOKUP(INT(SUBSTITUTE(E213,"Connecteur ","")),Mesures_Ressuage_BCH!$C$24:$C$33,Mesures_Ressuage_BCH!$B$24:$B$33)</f>
        <v>#REF!</v>
      </c>
    </row>
    <row r="214" spans="1:6" x14ac:dyDescent="0.25">
      <c r="A214" s="472"/>
      <c r="B214" s="128" t="s">
        <v>206</v>
      </c>
      <c r="C214" s="131" t="e">
        <f ca="1">Ressuage_BCH!C21</f>
        <v>#REF!</v>
      </c>
      <c r="D214" s="129" t="s">
        <v>200</v>
      </c>
      <c r="E214" s="129" t="s">
        <v>200</v>
      </c>
      <c r="F214" s="130" t="s">
        <v>200</v>
      </c>
    </row>
    <row r="215" spans="1:6" x14ac:dyDescent="0.25">
      <c r="C215" s="88"/>
      <c r="D215" s="88"/>
      <c r="E215" s="88"/>
      <c r="F215" s="88"/>
    </row>
    <row r="226" spans="2:9" ht="36" x14ac:dyDescent="0.25">
      <c r="B226" s="464" t="str">
        <f>"7. Résultats et exploitation des résultats à " &amp; Mesures_Ressuage_BCH!$B$18 &amp; "°C"</f>
        <v>7. Résultats et exploitation des résultats à °C</v>
      </c>
      <c r="C226" s="464"/>
      <c r="D226" s="464"/>
      <c r="E226" s="464"/>
      <c r="F226" s="464"/>
    </row>
    <row r="229" spans="2:9" x14ac:dyDescent="0.25">
      <c r="B229" s="342" t="s">
        <v>207</v>
      </c>
      <c r="C229" s="342"/>
    </row>
    <row r="232" spans="2:9" x14ac:dyDescent="0.25">
      <c r="C232" s="27"/>
      <c r="D232" s="27"/>
      <c r="E232" s="27"/>
      <c r="F232" s="459" t="s">
        <v>190</v>
      </c>
      <c r="G232" s="461"/>
      <c r="H232" s="461"/>
      <c r="I232" s="460"/>
    </row>
    <row r="233" spans="2:9" ht="30" x14ac:dyDescent="0.25">
      <c r="C233" s="36" t="s">
        <v>9</v>
      </c>
      <c r="D233" s="36" t="s">
        <v>12</v>
      </c>
      <c r="E233" s="132" t="s">
        <v>208</v>
      </c>
      <c r="F233" s="36" t="s">
        <v>209</v>
      </c>
      <c r="G233" s="36" t="s">
        <v>210</v>
      </c>
      <c r="H233" s="36" t="s">
        <v>211</v>
      </c>
      <c r="I233" s="36" t="s">
        <v>212</v>
      </c>
    </row>
    <row r="234" spans="2:9" x14ac:dyDescent="0.25">
      <c r="C234" s="38" cm="1">
        <f t="array" ref="C234:E243">Mesures_Ressuage_BCH!$A$24:$C$33</f>
        <v>1</v>
      </c>
      <c r="D234" s="38">
        <v>0</v>
      </c>
      <c r="E234" s="38">
        <v>0</v>
      </c>
      <c r="F234" s="133" t="e" cm="1">
        <f t="array" ref="F234">_xlfn.XLOOKUP(SUBSTITUTE(Ressuage_PV_BCH!E234,Ressuage_PV_BCH!E234,"Connecteur " &amp; Ressuage_PV_BCH!E234),_xlfn.ANCHORARRAY(Ressuage_BCH!C14),Ressuage_BCH!C17:L17)</f>
        <v>#N/A</v>
      </c>
      <c r="G234" s="133" t="e" cm="1">
        <f t="array" ref="G234">_xlfn.XLOOKUP(SUBSTITUTE(Ressuage_PV_BCH!E234,Ressuage_PV_BCH!E234,"Connecteur " &amp; Ressuage_PV_BCH!E234),_xlfn.ANCHORARRAY(Ressuage_BCH!C14),Ressuage_BCH!C16:L16)</f>
        <v>#N/A</v>
      </c>
      <c r="H234" s="133" t="e" cm="1">
        <f t="array" ref="H234">_xlfn.XLOOKUP(SUBSTITUTE(Ressuage_PV_BCH!E234,Ressuage_PV_BCH!E234,"Connecteur " &amp; Ressuage_PV_BCH!E234),_xlfn.ANCHORARRAY(Ressuage_BCH!C14),Ressuage_BCH!C18:L18)</f>
        <v>#N/A</v>
      </c>
      <c r="I234" s="133" t="e" cm="1">
        <f t="array" ref="I234">_xlfn.XLOOKUP(SUBSTITUTE(Ressuage_PV_BCH!E234,Ressuage_PV_BCH!E234,"Connecteur " &amp; Ressuage_PV_BCH!E234),_xlfn.ANCHORARRAY(Ressuage_BCH!C14),Ressuage_BCH!C19:L19)</f>
        <v>#N/A</v>
      </c>
    </row>
    <row r="235" spans="2:9" x14ac:dyDescent="0.25">
      <c r="C235" s="38">
        <v>2</v>
      </c>
      <c r="D235" s="38">
        <v>0</v>
      </c>
      <c r="E235" s="38">
        <v>0</v>
      </c>
      <c r="F235" s="133" t="e" cm="1">
        <f t="array" ref="F235">_xlfn.XLOOKUP(SUBSTITUTE(Ressuage_PV_BCH!E235,Ressuage_PV_BCH!E235,"Connecteur " &amp; Ressuage_PV_BCH!E235),_xlfn.ANCHORARRAY(Ressuage_BCH!C14),Ressuage_BCH!C17:L17)</f>
        <v>#N/A</v>
      </c>
      <c r="G235" s="133" t="e" cm="1">
        <f t="array" ref="G235">_xlfn.XLOOKUP(SUBSTITUTE(Ressuage_PV_BCH!E235,Ressuage_PV_BCH!E235,"Connecteur " &amp; Ressuage_PV_BCH!E235),_xlfn.ANCHORARRAY(Ressuage_BCH!C14),Ressuage_BCH!C16:L16)</f>
        <v>#N/A</v>
      </c>
      <c r="H235" s="133" t="e" cm="1">
        <f t="array" ref="H235">_xlfn.XLOOKUP(SUBSTITUTE(Ressuage_PV_BCH!E235,Ressuage_PV_BCH!E235,"Connecteur " &amp; Ressuage_PV_BCH!E235),_xlfn.ANCHORARRAY(Ressuage_BCH!C14),Ressuage_BCH!C18:L18)</f>
        <v>#N/A</v>
      </c>
      <c r="I235" s="133" t="e" cm="1">
        <f t="array" ref="I235">_xlfn.XLOOKUP(SUBSTITUTE(Ressuage_PV_BCH!E235,Ressuage_PV_BCH!E235,"Connecteur " &amp; Ressuage_PV_BCH!E235),_xlfn.ANCHORARRAY(Ressuage_BCH!C14),Ressuage_BCH!C19:L19)</f>
        <v>#N/A</v>
      </c>
    </row>
    <row r="236" spans="2:9" x14ac:dyDescent="0.25">
      <c r="C236" s="38">
        <v>3</v>
      </c>
      <c r="D236" s="38">
        <v>0</v>
      </c>
      <c r="E236" s="38">
        <v>0</v>
      </c>
      <c r="F236" s="133" t="e" cm="1">
        <f t="array" ref="F236">_xlfn.XLOOKUP(SUBSTITUTE(Ressuage_PV_BCH!E236,Ressuage_PV_BCH!E236,"Connecteur " &amp; Ressuage_PV_BCH!E236),_xlfn.ANCHORARRAY(Ressuage_BCH!C14),Ressuage_BCH!C17:L17)</f>
        <v>#N/A</v>
      </c>
      <c r="G236" s="133" t="e" cm="1">
        <f t="array" ref="G236">_xlfn.XLOOKUP(SUBSTITUTE(Ressuage_PV_BCH!E236,Ressuage_PV_BCH!E236,"Connecteur " &amp; Ressuage_PV_BCH!E236),_xlfn.ANCHORARRAY(Ressuage_BCH!C14),Ressuage_BCH!C16:L16)</f>
        <v>#N/A</v>
      </c>
      <c r="H236" s="133" t="e" cm="1">
        <f t="array" ref="H236">_xlfn.XLOOKUP(SUBSTITUTE(Ressuage_PV_BCH!E236,Ressuage_PV_BCH!E236,"Connecteur " &amp; Ressuage_PV_BCH!E236),_xlfn.ANCHORARRAY(Ressuage_BCH!C14),Ressuage_BCH!C18:L18)</f>
        <v>#N/A</v>
      </c>
      <c r="I236" s="133" t="e" cm="1">
        <f t="array" ref="I236">_xlfn.XLOOKUP(SUBSTITUTE(Ressuage_PV_BCH!E236,Ressuage_PV_BCH!E236,"Connecteur " &amp; Ressuage_PV_BCH!E236),_xlfn.ANCHORARRAY(Ressuage_BCH!C14),Ressuage_BCH!C19:L19)</f>
        <v>#N/A</v>
      </c>
    </row>
    <row r="237" spans="2:9" x14ac:dyDescent="0.25">
      <c r="C237" s="38">
        <v>4</v>
      </c>
      <c r="D237" s="38">
        <v>0</v>
      </c>
      <c r="E237" s="38">
        <v>0</v>
      </c>
      <c r="F237" s="133" t="e" cm="1">
        <f t="array" ref="F237">_xlfn.XLOOKUP(SUBSTITUTE(Ressuage_PV_BCH!E237,Ressuage_PV_BCH!E237,"Connecteur " &amp; Ressuage_PV_BCH!E237),_xlfn.ANCHORARRAY(Ressuage_BCH!C14),Ressuage_BCH!C17:L17)</f>
        <v>#N/A</v>
      </c>
      <c r="G237" s="133" t="e" cm="1">
        <f t="array" ref="G237">_xlfn.XLOOKUP(SUBSTITUTE(Ressuage_PV_BCH!E237,Ressuage_PV_BCH!E237,"Connecteur " &amp; Ressuage_PV_BCH!E237),_xlfn.ANCHORARRAY(Ressuage_BCH!C14),Ressuage_BCH!C16:L16)</f>
        <v>#N/A</v>
      </c>
      <c r="H237" s="133" t="e" cm="1">
        <f t="array" ref="H237">_xlfn.XLOOKUP(SUBSTITUTE(Ressuage_PV_BCH!E237,Ressuage_PV_BCH!E237,"Connecteur " &amp; Ressuage_PV_BCH!E237),_xlfn.ANCHORARRAY(Ressuage_BCH!C14),Ressuage_BCH!C18:L18)</f>
        <v>#N/A</v>
      </c>
      <c r="I237" s="133" t="e" cm="1">
        <f t="array" ref="I237">_xlfn.XLOOKUP(SUBSTITUTE(Ressuage_PV_BCH!E237,Ressuage_PV_BCH!E237,"Connecteur " &amp; Ressuage_PV_BCH!E237),_xlfn.ANCHORARRAY(Ressuage_BCH!C14),Ressuage_BCH!C19:L19)</f>
        <v>#N/A</v>
      </c>
    </row>
    <row r="238" spans="2:9" x14ac:dyDescent="0.25">
      <c r="C238" s="38">
        <v>5</v>
      </c>
      <c r="D238" s="38">
        <v>0</v>
      </c>
      <c r="E238" s="38">
        <v>0</v>
      </c>
      <c r="F238" s="133" t="e" cm="1">
        <f t="array" ref="F238">_xlfn.XLOOKUP(SUBSTITUTE(Ressuage_PV_BCH!E238,Ressuage_PV_BCH!E238,"Connecteur " &amp; Ressuage_PV_BCH!E238),_xlfn.ANCHORARRAY(Ressuage_BCH!C14),Ressuage_BCH!C17:L17)</f>
        <v>#N/A</v>
      </c>
      <c r="G238" s="133" t="e" cm="1">
        <f t="array" ref="G238">_xlfn.XLOOKUP(SUBSTITUTE(Ressuage_PV_BCH!E238,Ressuage_PV_BCH!E238,"Connecteur "&amp;Ressuage_PV_BCH!E238),_xlfn.ANCHORARRAY(Ressuage_BCH!C14),Ressuage_BCH!C16:L16)</f>
        <v>#N/A</v>
      </c>
      <c r="H238" s="133" t="e" cm="1">
        <f t="array" ref="H238">_xlfn.XLOOKUP(SUBSTITUTE(Ressuage_PV_BCH!E238,Ressuage_PV_BCH!E238,"Connecteur " &amp; Ressuage_PV_BCH!E238),_xlfn.ANCHORARRAY(Ressuage_BCH!C14),Ressuage_BCH!C18:L18)</f>
        <v>#N/A</v>
      </c>
      <c r="I238" s="133" t="e" cm="1">
        <f t="array" ref="I238">_xlfn.XLOOKUP(SUBSTITUTE(Ressuage_PV_BCH!E238,Ressuage_PV_BCH!E238,"Connecteur " &amp; Ressuage_PV_BCH!E238),_xlfn.ANCHORARRAY(Ressuage_BCH!C14),Ressuage_BCH!C19:L19)</f>
        <v>#N/A</v>
      </c>
    </row>
    <row r="239" spans="2:9" x14ac:dyDescent="0.25">
      <c r="C239" s="38">
        <v>6</v>
      </c>
      <c r="D239" s="38">
        <v>0</v>
      </c>
      <c r="E239" s="38">
        <v>0</v>
      </c>
      <c r="F239" s="133" t="e" cm="1">
        <f t="array" ref="F239">_xlfn.XLOOKUP(SUBSTITUTE(Ressuage_PV_BCH!E239,Ressuage_PV_BCH!E239,"Connecteur " &amp; Ressuage_PV_BCH!E239),_xlfn.ANCHORARRAY(Ressuage_BCH!C14),Ressuage_BCH!C17:L17)</f>
        <v>#N/A</v>
      </c>
      <c r="G239" s="133" t="e" cm="1">
        <f t="array" ref="G239">_xlfn.XLOOKUP(SUBSTITUTE(Ressuage_PV_BCH!E239,Ressuage_PV_BCH!E239,"Connecteur " &amp; Ressuage_PV_BCH!E239),_xlfn.ANCHORARRAY(Ressuage_BCH!C14),Ressuage_BCH!C16:L16)</f>
        <v>#N/A</v>
      </c>
      <c r="H239" s="133" t="e" cm="1">
        <f t="array" ref="H239">_xlfn.XLOOKUP(SUBSTITUTE(Ressuage_PV_BCH!E239,Ressuage_PV_BCH!E239,"Connecteur " &amp; Ressuage_PV_BCH!E239),_xlfn.ANCHORARRAY(Ressuage_BCH!C14),Ressuage_BCH!C18:L18)</f>
        <v>#N/A</v>
      </c>
      <c r="I239" s="133" t="e" cm="1">
        <f t="array" ref="I239">_xlfn.XLOOKUP(SUBSTITUTE(Ressuage_PV_BCH!E239,Ressuage_PV_BCH!E239,"Connecteur " &amp; Ressuage_PV_BCH!E239),_xlfn.ANCHORARRAY(Ressuage_BCH!C14),Ressuage_BCH!C19:L19)</f>
        <v>#N/A</v>
      </c>
    </row>
    <row r="240" spans="2:9" x14ac:dyDescent="0.25">
      <c r="C240" s="38">
        <v>7</v>
      </c>
      <c r="D240" s="38">
        <v>0</v>
      </c>
      <c r="E240" s="38">
        <v>0</v>
      </c>
      <c r="F240" s="133" t="e" cm="1">
        <f t="array" ref="F240">_xlfn.XLOOKUP(SUBSTITUTE(Ressuage_PV_BCH!E240,Ressuage_PV_BCH!E240,"Connecteur " &amp; Ressuage_PV_BCH!E240),_xlfn.ANCHORARRAY(Ressuage_BCH!C14),Ressuage_BCH!C17:L17)</f>
        <v>#N/A</v>
      </c>
      <c r="G240" s="133" t="e" cm="1">
        <f t="array" ref="G240">_xlfn.XLOOKUP(SUBSTITUTE(Ressuage_PV_BCH!E240,Ressuage_PV_BCH!E240,"Connecteur " &amp; Ressuage_PV_BCH!E240),_xlfn.ANCHORARRAY(Ressuage_BCH!C14),Ressuage_BCH!C16:L16)</f>
        <v>#N/A</v>
      </c>
      <c r="H240" s="133" t="e" cm="1">
        <f t="array" ref="H240">_xlfn.XLOOKUP(SUBSTITUTE(Ressuage_PV_BCH!E240,Ressuage_PV_BCH!E240,"Connecteur " &amp; Ressuage_PV_BCH!E240),_xlfn.ANCHORARRAY(Ressuage_BCH!C14),Ressuage_BCH!C18:L18)</f>
        <v>#N/A</v>
      </c>
      <c r="I240" s="133" t="e" cm="1">
        <f t="array" ref="I240">_xlfn.XLOOKUP(SUBSTITUTE(Ressuage_PV_BCH!E240,Ressuage_PV_BCH!E240,"Connecteur " &amp; Ressuage_PV_BCH!E240),_xlfn.ANCHORARRAY(Ressuage_BCH!C14),Ressuage_BCH!C19:L19)</f>
        <v>#N/A</v>
      </c>
    </row>
    <row r="241" spans="2:9" x14ac:dyDescent="0.25">
      <c r="C241" s="38">
        <v>8</v>
      </c>
      <c r="D241" s="38">
        <v>0</v>
      </c>
      <c r="E241" s="38">
        <v>0</v>
      </c>
      <c r="F241" s="133" t="e" cm="1">
        <f t="array" ref="F241">_xlfn.XLOOKUP(SUBSTITUTE(Ressuage_PV_BCH!E241,Ressuage_PV_BCH!E241,"Connecteur " &amp; Ressuage_PV_BCH!E241),_xlfn.ANCHORARRAY(Ressuage_BCH!C14),Ressuage_BCH!C17:L17)</f>
        <v>#N/A</v>
      </c>
      <c r="G241" s="133" t="e" cm="1">
        <f t="array" ref="G241">_xlfn.XLOOKUP(SUBSTITUTE(Ressuage_PV_BCH!E241,Ressuage_PV_BCH!E241,"Connecteur " &amp; Ressuage_PV_BCH!E241),_xlfn.ANCHORARRAY(Ressuage_BCH!C14),Ressuage_BCH!C16:L16)</f>
        <v>#N/A</v>
      </c>
      <c r="H241" s="133" t="e" cm="1">
        <f t="array" ref="H241">_xlfn.XLOOKUP(SUBSTITUTE(Ressuage_PV_BCH!E241,Ressuage_PV_BCH!E241,"Connecteur " &amp; Ressuage_PV_BCH!E241),_xlfn.ANCHORARRAY(Ressuage_BCH!C14),Ressuage_BCH!C18:L18)</f>
        <v>#N/A</v>
      </c>
      <c r="I241" s="133" t="e" cm="1">
        <f t="array" ref="I241">_xlfn.XLOOKUP(SUBSTITUTE(Ressuage_PV_BCH!E241,Ressuage_PV_BCH!E241,"Connecteur " &amp; Ressuage_PV_BCH!E241),_xlfn.ANCHORARRAY(Ressuage_BCH!C14),Ressuage_BCH!C19:L19)</f>
        <v>#N/A</v>
      </c>
    </row>
    <row r="242" spans="2:9" x14ac:dyDescent="0.25">
      <c r="C242" s="38">
        <v>9</v>
      </c>
      <c r="D242" s="38">
        <v>0</v>
      </c>
      <c r="E242" s="38">
        <v>0</v>
      </c>
      <c r="F242" s="133" t="e" cm="1">
        <f t="array" ref="F242">_xlfn.XLOOKUP(SUBSTITUTE(Ressuage_PV_BCH!E242,Ressuage_PV_BCH!E242,"Connecteur " &amp; Ressuage_PV_BCH!E242),_xlfn.ANCHORARRAY(Ressuage_BCH!C14),Ressuage_BCH!C17:L17)</f>
        <v>#N/A</v>
      </c>
      <c r="G242" s="133" t="e" cm="1">
        <f t="array" ref="G242">_xlfn.XLOOKUP(SUBSTITUTE(Ressuage_PV_BCH!E242,Ressuage_PV_BCH!E242,"Connecteur " &amp; Ressuage_PV_BCH!E242),_xlfn.ANCHORARRAY(Ressuage_BCH!C14),Ressuage_BCH!C16:L16)</f>
        <v>#N/A</v>
      </c>
      <c r="H242" s="133" t="e" cm="1">
        <f t="array" ref="H242">_xlfn.XLOOKUP(SUBSTITUTE(Ressuage_PV_BCH!E242,Ressuage_PV_BCH!E242,"Connecteur " &amp; Ressuage_PV_BCH!E242),_xlfn.ANCHORARRAY(Ressuage_BCH!C14),Ressuage_BCH!C18:L18)</f>
        <v>#N/A</v>
      </c>
      <c r="I242" s="133" t="e" cm="1">
        <f t="array" ref="I242">_xlfn.XLOOKUP(SUBSTITUTE(Ressuage_PV_BCH!E242,Ressuage_PV_BCH!E242,"Connecteur " &amp; Ressuage_PV_BCH!E242),_xlfn.ANCHORARRAY(Ressuage_BCH!C14),Ressuage_BCH!C19:L19)</f>
        <v>#N/A</v>
      </c>
    </row>
    <row r="243" spans="2:9" x14ac:dyDescent="0.25">
      <c r="C243" s="38">
        <v>10</v>
      </c>
      <c r="D243" s="38">
        <v>0</v>
      </c>
      <c r="E243" s="38">
        <v>0</v>
      </c>
      <c r="F243" s="133" t="e" cm="1">
        <f t="array" ref="F243">_xlfn.XLOOKUP(SUBSTITUTE(Ressuage_PV_BCH!E243,Ressuage_PV_BCH!E243,"Connecteur " &amp; Ressuage_PV_BCH!E243),_xlfn.ANCHORARRAY(Ressuage_BCH!C14),Ressuage_BCH!C17:L17)</f>
        <v>#N/A</v>
      </c>
      <c r="G243" s="133" t="e" cm="1">
        <f t="array" ref="G243">_xlfn.XLOOKUP(SUBSTITUTE(Ressuage_PV_BCH!E243,Ressuage_PV_BCH!E243,"Connecteur " &amp; Ressuage_PV_BCH!E243),_xlfn.ANCHORARRAY(Ressuage_BCH!C14),Ressuage_BCH!C16:L16)</f>
        <v>#N/A</v>
      </c>
      <c r="H243" s="133" t="e" cm="1">
        <f t="array" ref="H243">_xlfn.XLOOKUP(SUBSTITUTE(Ressuage_PV_BCH!E243,Ressuage_PV_BCH!E243,"Connecteur " &amp; Ressuage_PV_BCH!E243),_xlfn.ANCHORARRAY(Ressuage_BCH!C14),Ressuage_BCH!C18:L18)</f>
        <v>#N/A</v>
      </c>
      <c r="I243" s="133" t="e" cm="1">
        <f t="array" ref="I243">_xlfn.XLOOKUP(SUBSTITUTE(Ressuage_PV_BCH!E243,Ressuage_PV_BCH!E243,"Connecteur " &amp; Ressuage_PV_BCH!E243),_xlfn.ANCHORARRAY(Ressuage_BCH!C14),Ressuage_BCH!C19:L19)</f>
        <v>#N/A</v>
      </c>
    </row>
    <row r="252" spans="2:9" x14ac:dyDescent="0.25">
      <c r="B252" s="134"/>
    </row>
    <row r="254" spans="2:9" ht="36" x14ac:dyDescent="0.3">
      <c r="C254" s="135" t="str">
        <f>"8. Résultats et exploitation des résultats à " &amp; Mesures_Ressuage_BCH!B18 &amp; "°C"</f>
        <v>8. Résultats et exploitation des résultats à °C</v>
      </c>
      <c r="D254" s="136"/>
      <c r="E254" s="136"/>
      <c r="F254" s="136"/>
    </row>
    <row r="257" spans="2:2" x14ac:dyDescent="0.25">
      <c r="B257" t="s">
        <v>213</v>
      </c>
    </row>
    <row r="293" spans="2:8" ht="36" x14ac:dyDescent="0.55000000000000004">
      <c r="G293" s="462" t="s">
        <v>214</v>
      </c>
      <c r="H293" s="462"/>
    </row>
    <row r="297" spans="2:8" ht="23.25" customHeight="1" x14ac:dyDescent="0.25">
      <c r="B297" s="463" t="s">
        <v>546</v>
      </c>
      <c r="C297" s="463"/>
      <c r="D297" s="463"/>
      <c r="E297" s="463"/>
      <c r="F297" s="137" t="e">
        <f ca="1">IF(OR(AVERAGE(Ressuage_BCH!C16:L16)&gt;Ressuage_BCH!M16,AVERAGE(Ressuage_BCH!C17:L17)&lt;Ressuage_BCH!M17),"NON CONFORME","CONFORME")</f>
        <v>#REF!</v>
      </c>
      <c r="G297" s="138"/>
    </row>
    <row r="298" spans="2:8" ht="23.25" customHeight="1" x14ac:dyDescent="0.25">
      <c r="B298" s="463"/>
      <c r="C298" s="463"/>
      <c r="D298" s="463"/>
      <c r="E298" s="463"/>
      <c r="F298" s="138"/>
      <c r="G298" s="138"/>
    </row>
    <row r="299" spans="2:8" ht="15" customHeight="1" x14ac:dyDescent="0.25">
      <c r="B299" s="138"/>
      <c r="C299" s="138"/>
      <c r="D299" s="138"/>
      <c r="E299" s="138"/>
      <c r="F299" s="138"/>
      <c r="G299" s="138"/>
    </row>
    <row r="303" spans="2:8" x14ac:dyDescent="0.25">
      <c r="C303" s="128" t="s">
        <v>215</v>
      </c>
      <c r="D303" s="128"/>
      <c r="E303" s="128" t="str">
        <f>Mesures_Ressuage_BCH!$B$18 &amp; "°C"</f>
        <v>°C</v>
      </c>
    </row>
    <row r="304" spans="2:8" x14ac:dyDescent="0.25">
      <c r="C304" s="458" t="s">
        <v>216</v>
      </c>
      <c r="D304" s="458"/>
      <c r="E304" s="141">
        <f>Mesures_Ressuage_BCH!$B$18</f>
        <v>0</v>
      </c>
    </row>
    <row r="305" spans="3:5" x14ac:dyDescent="0.25">
      <c r="C305" s="458" t="s">
        <v>217</v>
      </c>
      <c r="D305" s="458"/>
      <c r="E305" s="133" t="e">
        <f ca="1">Ressuage_BCH!C20</f>
        <v>#REF!</v>
      </c>
    </row>
    <row r="306" spans="3:5" x14ac:dyDescent="0.25">
      <c r="C306" s="458" t="s">
        <v>218</v>
      </c>
      <c r="D306" s="458"/>
      <c r="E306" s="38" t="str">
        <f>"±" &amp; Mesures_Ressuage_BCH!$B$21</f>
        <v>±</v>
      </c>
    </row>
    <row r="307" spans="3:5" x14ac:dyDescent="0.25">
      <c r="C307" s="459" t="s">
        <v>316</v>
      </c>
      <c r="D307" s="460"/>
      <c r="E307" s="38" t="e">
        <f ca="1">IF(MIN(Ressuage_BCH!$C$17:$L$17)&lt;Ressuage_BCH!$M$17,"NON CONFORME","CONFORME")</f>
        <v>#REF!</v>
      </c>
    </row>
    <row r="308" spans="3:5" x14ac:dyDescent="0.25">
      <c r="C308" s="459" t="s">
        <v>317</v>
      </c>
      <c r="D308" s="460"/>
      <c r="E308" s="38" t="e">
        <f ca="1">IF(MAX(Ressuage_BCH!$C$16:$L$16)&lt;Ressuage_BCH!$M$17,"NON CONFORME","CONFORME")</f>
        <v>#REF!</v>
      </c>
    </row>
    <row r="309" spans="3:5" x14ac:dyDescent="0.25">
      <c r="C309" s="459" t="s">
        <v>241</v>
      </c>
      <c r="D309" s="460"/>
      <c r="E309" s="38" t="e">
        <f ca="1">IF(F297="CONFORME","OUI","NON")</f>
        <v>#REF!</v>
      </c>
    </row>
  </sheetData>
  <sheetProtection algorithmName="SHA-512" hashValue="3RppaDSareiaWztzFVPwr/bryC7CLm77r656fVmKPDjKaZjAC4/8v4d7GlVG3WCswQqBjMPCLwKhBKfKInmZuQ==" saltValue="bVWcfeIvZ3U9W4EDNijWlw==" spinCount="100000" sheet="1" objects="1" scenarios="1"/>
  <mergeCells count="40">
    <mergeCell ref="B66:D66"/>
    <mergeCell ref="E66:I66"/>
    <mergeCell ref="C10:D10"/>
    <mergeCell ref="E10:F10"/>
    <mergeCell ref="A28:B28"/>
    <mergeCell ref="A30:I47"/>
    <mergeCell ref="C51:F51"/>
    <mergeCell ref="E55:G55"/>
    <mergeCell ref="E56:H56"/>
    <mergeCell ref="E57:F57"/>
    <mergeCell ref="E61:G61"/>
    <mergeCell ref="B62:D62"/>
    <mergeCell ref="B67:D67"/>
    <mergeCell ref="E67:I67"/>
    <mergeCell ref="B68:D68"/>
    <mergeCell ref="E68:I68"/>
    <mergeCell ref="B69:D69"/>
    <mergeCell ref="E69:H69"/>
    <mergeCell ref="B226:F226"/>
    <mergeCell ref="A72:J81"/>
    <mergeCell ref="C85:G85"/>
    <mergeCell ref="C94:G94"/>
    <mergeCell ref="B116:F116"/>
    <mergeCell ref="C127:F127"/>
    <mergeCell ref="B129:I144"/>
    <mergeCell ref="C163:H163"/>
    <mergeCell ref="C196:H196"/>
    <mergeCell ref="G200:I200"/>
    <mergeCell ref="B205:C205"/>
    <mergeCell ref="A211:A214"/>
    <mergeCell ref="C306:D306"/>
    <mergeCell ref="C309:D309"/>
    <mergeCell ref="B229:C229"/>
    <mergeCell ref="F232:I232"/>
    <mergeCell ref="G293:H293"/>
    <mergeCell ref="B297:E298"/>
    <mergeCell ref="C304:D304"/>
    <mergeCell ref="C305:D305"/>
    <mergeCell ref="C307:D307"/>
    <mergeCell ref="C308:D308"/>
  </mergeCells>
  <conditionalFormatting sqref="F297">
    <cfRule type="containsText" dxfId="62" priority="1" operator="containsText" text="NON CONFORME">
      <formula>NOT(ISERROR(SEARCH("NON CONFORME",F297)))</formula>
    </cfRule>
    <cfRule type="containsText" dxfId="61" priority="2" operator="containsText" text="CONFORME">
      <formula>NOT(ISERROR(SEARCH("CONFORME",F297)))</formula>
    </cfRule>
  </conditionalFormatting>
  <pageMargins left="0.7" right="0.7" top="0.75" bottom="0.75" header="0.3" footer="0.3"/>
  <pageSetup paperSize="9" scale="55" orientation="landscape" r:id="rId1"/>
  <headerFooter>
    <oddFooter>&amp;RIMP 472 ind O du 07/02/2024 (PV/ SAT de la cabine de ressuage BCH)</oddFooter>
  </headerFooter>
  <rowBreaks count="8" manualBreakCount="8">
    <brk id="47" max="9" man="1"/>
    <brk id="81" max="9" man="1"/>
    <brk id="124" max="9" man="1"/>
    <brk id="160" max="9" man="1"/>
    <brk id="192" max="16383" man="1"/>
    <brk id="220" max="9" man="1"/>
    <brk id="252" max="9" man="1"/>
    <brk id="291" max="9"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9B6EC-37D0-4C99-ACD6-DD34200E5566}">
  <sheetPr codeName="Feuil34">
    <tabColor rgb="FF7030A0"/>
  </sheetPr>
  <dimension ref="A1:M28"/>
  <sheetViews>
    <sheetView view="pageBreakPreview" zoomScale="60" zoomScaleNormal="100" workbookViewId="0">
      <selection activeCell="D28" sqref="D28"/>
    </sheetView>
  </sheetViews>
  <sheetFormatPr baseColWidth="10" defaultRowHeight="15.75" x14ac:dyDescent="0.25"/>
  <cols>
    <col min="1" max="1" width="32.5703125" style="49" bestFit="1" customWidth="1"/>
    <col min="2" max="2" width="34.42578125" style="49" bestFit="1" customWidth="1"/>
    <col min="3" max="3" width="35.140625" style="49" customWidth="1"/>
    <col min="4" max="4" width="36.5703125" style="49" bestFit="1" customWidth="1"/>
    <col min="5" max="5" width="48.85546875" style="49" customWidth="1"/>
    <col min="6" max="6" width="38.2851562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477" t="s">
        <v>286</v>
      </c>
      <c r="C1" s="477"/>
      <c r="D1" s="477"/>
      <c r="E1" s="477"/>
      <c r="F1" s="477"/>
      <c r="G1" s="477"/>
      <c r="H1" s="477"/>
      <c r="I1" s="477"/>
      <c r="J1" s="51"/>
      <c r="K1" s="51"/>
      <c r="L1" s="51"/>
      <c r="M1" s="51"/>
    </row>
    <row r="2" spans="1:13" x14ac:dyDescent="0.25">
      <c r="L2" s="51"/>
      <c r="M2" s="51"/>
    </row>
    <row r="3" spans="1:13" x14ac:dyDescent="0.25">
      <c r="A3" s="478" t="s">
        <v>101</v>
      </c>
      <c r="B3" s="478"/>
      <c r="C3" s="478"/>
      <c r="D3" s="478"/>
      <c r="E3" s="478"/>
      <c r="F3" s="478"/>
      <c r="G3" s="478"/>
      <c r="H3" s="478"/>
      <c r="I3" s="478"/>
    </row>
    <row r="4" spans="1:13" x14ac:dyDescent="0.25">
      <c r="A4" t="s">
        <v>287</v>
      </c>
      <c r="B4" s="52"/>
      <c r="C4" s="52"/>
      <c r="D4" s="52"/>
      <c r="E4" s="52"/>
      <c r="F4" s="52"/>
      <c r="G4" s="52"/>
      <c r="H4" s="52"/>
      <c r="I4" s="52"/>
    </row>
    <row r="5" spans="1:13" x14ac:dyDescent="0.25">
      <c r="A5" t="s">
        <v>288</v>
      </c>
      <c r="B5" s="52"/>
      <c r="C5" s="52"/>
      <c r="D5" s="52"/>
      <c r="E5" s="52"/>
      <c r="F5" s="52"/>
      <c r="G5" s="52"/>
      <c r="H5" s="52"/>
      <c r="I5" s="52"/>
    </row>
    <row r="6" spans="1:13" x14ac:dyDescent="0.25">
      <c r="A6" t="s">
        <v>289</v>
      </c>
      <c r="B6" s="52"/>
      <c r="C6" s="52"/>
      <c r="D6" s="52"/>
      <c r="E6" s="52"/>
      <c r="F6" s="52"/>
      <c r="G6" s="52"/>
      <c r="H6" s="52"/>
      <c r="I6" s="52"/>
    </row>
    <row r="8" spans="1:13" x14ac:dyDescent="0.25">
      <c r="A8" s="479" t="s">
        <v>105</v>
      </c>
      <c r="B8" s="479"/>
      <c r="C8" s="479"/>
      <c r="D8" s="479"/>
      <c r="E8" s="479"/>
      <c r="F8" s="479"/>
      <c r="G8" s="479"/>
      <c r="H8" s="479"/>
      <c r="I8" s="479"/>
    </row>
    <row r="9" spans="1:13" x14ac:dyDescent="0.25">
      <c r="A9" s="52"/>
    </row>
    <row r="10" spans="1:13" x14ac:dyDescent="0.25">
      <c r="A10" s="52" t="s">
        <v>290</v>
      </c>
    </row>
    <row r="12" spans="1:13" x14ac:dyDescent="0.25">
      <c r="B12" s="179" t="s">
        <v>195</v>
      </c>
      <c r="C12" s="179" t="s">
        <v>292</v>
      </c>
    </row>
    <row r="13" spans="1:13" x14ac:dyDescent="0.25">
      <c r="B13" s="180" t="s">
        <v>291</v>
      </c>
      <c r="C13" s="180">
        <f>Mesures_Ressuage_BCH!P43</f>
        <v>0</v>
      </c>
      <c r="E13" s="49" t="s">
        <v>298</v>
      </c>
      <c r="H13" s="180" t="e">
        <f>AVERAGE(Mesures_Ressuage_BCH!D24:D33)</f>
        <v>#DIV/0!</v>
      </c>
    </row>
    <row r="14" spans="1:13" x14ac:dyDescent="0.25">
      <c r="B14" s="180" t="str">
        <f>"Sonde TUS N°" &amp; Mesures_Ressuage_BCH!B33</f>
        <v>Sonde TUS N°</v>
      </c>
      <c r="C14" s="180">
        <f>Mesures_Ressuage_BCH!C52</f>
        <v>0</v>
      </c>
      <c r="E14" s="49" t="s">
        <v>299</v>
      </c>
      <c r="H14" s="180">
        <f>Mesures_Ressuage_BCH!E33</f>
        <v>0</v>
      </c>
    </row>
    <row r="16" spans="1:13" x14ac:dyDescent="0.25">
      <c r="A16" s="49" t="s">
        <v>293</v>
      </c>
    </row>
    <row r="18" spans="1:9" x14ac:dyDescent="0.25">
      <c r="B18" s="179" t="s">
        <v>294</v>
      </c>
      <c r="C18" s="179" t="s">
        <v>295</v>
      </c>
    </row>
    <row r="19" spans="1:9" x14ac:dyDescent="0.25">
      <c r="B19" s="180" t="s">
        <v>296</v>
      </c>
      <c r="C19" s="180">
        <f>Mesures_Ressuage_BCH!N49</f>
        <v>0</v>
      </c>
      <c r="E19" s="27" t="s">
        <v>300</v>
      </c>
      <c r="H19" s="180">
        <f>Mesures_Ressuage_BCH!O49</f>
        <v>0</v>
      </c>
    </row>
    <row r="23" spans="1:9" x14ac:dyDescent="0.25">
      <c r="A23" s="49" t="str">
        <f>"Température : " &amp; Mesures_Ressuage_BCH!B18 &amp; "°C"</f>
        <v>Température : °C</v>
      </c>
      <c r="B23" s="49" t="str">
        <f>"Critère d'acceptation : +/- " &amp; Mesures_Ressuage_BCH!C21 &amp; "°C"</f>
        <v>Critère d'acceptation : +/- °C</v>
      </c>
    </row>
    <row r="25" spans="1:9" ht="16.5" thickBot="1" x14ac:dyDescent="0.3"/>
    <row r="26" spans="1:9" x14ac:dyDescent="0.25">
      <c r="A26" s="475" t="s">
        <v>302</v>
      </c>
      <c r="B26" s="476"/>
      <c r="C26" s="476"/>
      <c r="D26" s="476"/>
      <c r="E26" s="476"/>
      <c r="F26" s="476"/>
      <c r="G26" s="476"/>
      <c r="H26" s="476"/>
      <c r="I26" s="181" t="s">
        <v>308</v>
      </c>
    </row>
    <row r="27" spans="1:9" ht="47.25" x14ac:dyDescent="0.25">
      <c r="A27" s="182" t="s">
        <v>36</v>
      </c>
      <c r="B27" s="179" t="s">
        <v>303</v>
      </c>
      <c r="C27" s="179" t="s">
        <v>304</v>
      </c>
      <c r="D27" s="179" t="s">
        <v>305</v>
      </c>
      <c r="E27" s="69" t="s">
        <v>306</v>
      </c>
      <c r="F27" s="179" t="s">
        <v>307</v>
      </c>
      <c r="G27" s="69" t="s">
        <v>309</v>
      </c>
      <c r="H27" s="179" t="s">
        <v>310</v>
      </c>
      <c r="I27" s="183" t="s">
        <v>131</v>
      </c>
    </row>
    <row r="28" spans="1:9" ht="33.75" customHeight="1" thickBot="1" x14ac:dyDescent="0.3">
      <c r="A28" s="187">
        <f>Ressuage_BCH!test_propagation</f>
        <v>0</v>
      </c>
      <c r="B28" s="185">
        <f>Mesures_Ressuage_BCH!C12</f>
        <v>0</v>
      </c>
      <c r="C28" s="186">
        <f>Mesures_Ressuage_BCH!B33</f>
        <v>0</v>
      </c>
      <c r="D28" s="81" t="e" cm="1">
        <f t="array" ref="D28">_xlfn.XLOOKUP(Mesures_Ressuage_BCH!C33,INT(SUBSTITUTE(Ressuage_BCH!C10:L10,"Connecteur ","")),Ressuage_BCH!C18:L18-Verif_periodique_Ressuage_BCH!H13-Verif_periodique_Ressuage_BCH!H14)</f>
        <v>#N/A</v>
      </c>
      <c r="E28" s="81" t="e">
        <f>D28+H13+H14</f>
        <v>#N/A</v>
      </c>
      <c r="F28" s="76">
        <f>Mesures_Ressuage_BCH!M49</f>
        <v>0</v>
      </c>
      <c r="G28" s="76">
        <f>F28+H19</f>
        <v>0</v>
      </c>
      <c r="H28" s="81" t="e">
        <f>G28-E28</f>
        <v>#N/A</v>
      </c>
      <c r="I28" s="184" t="e">
        <f>IF(OR(H28&lt;5,H28&gt;5),"CONFORME","NON CONFORME")</f>
        <v>#N/A</v>
      </c>
    </row>
  </sheetData>
  <sheetProtection algorithmName="SHA-512" hashValue="GgOdbh464CKYuMFOob4Xa50urwv3SN5RkM7DGAqU3tAfvAPHtNIW/kMvG89tAqpUqXkjB4lL/+Am1pxDUMa8Rg==" saltValue="SMkkHZ0l6gkt8RZA7CUDRA==" spinCount="100000" sheet="1" objects="1" scenarios="1"/>
  <mergeCells count="4">
    <mergeCell ref="A26:H26"/>
    <mergeCell ref="B1:I1"/>
    <mergeCell ref="A3:I3"/>
    <mergeCell ref="A8:I8"/>
  </mergeCells>
  <conditionalFormatting sqref="I28">
    <cfRule type="containsText" dxfId="60" priority="1" operator="containsText" text="NON CONFORME">
      <formula>NOT(ISERROR(SEARCH("NON CONFORME",I28)))</formula>
    </cfRule>
    <cfRule type="containsText" dxfId="59" priority="2" operator="containsText" text="CONFORME">
      <formula>NOT(ISERROR(SEARCH("CONFORME",I28)))</formula>
    </cfRule>
  </conditionalFormatting>
  <pageMargins left="0.7" right="0.7" top="0.75" bottom="0.75" header="0.3" footer="0.3"/>
  <pageSetup paperSize="9" scale="25" orientation="portrait" r:id="rId1"/>
  <headerFooter>
    <oddFooter>&amp;RIMP 472 ind O du 07/02/2024 (PV/ SAT de la cabine de ressuage BCH)</oddFooter>
  </headerFooter>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A9129-E532-4BCC-8E4B-14B3C10A9F69}">
  <sheetPr codeName="Feuil2">
    <tabColor theme="8" tint="0.39997558519241921"/>
  </sheetPr>
  <dimension ref="A1:P54"/>
  <sheetViews>
    <sheetView zoomScaleNormal="100" workbookViewId="0">
      <selection activeCell="F18" sqref="F18"/>
    </sheetView>
  </sheetViews>
  <sheetFormatPr baseColWidth="10" defaultRowHeight="15" x14ac:dyDescent="0.25"/>
  <cols>
    <col min="1" max="1" width="15.8554687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325"/>
      <c r="B1" s="1"/>
      <c r="C1" s="1"/>
      <c r="D1" s="1"/>
      <c r="E1" s="1"/>
      <c r="F1" s="1"/>
      <c r="G1" s="1"/>
      <c r="H1" s="1"/>
      <c r="I1" s="1"/>
      <c r="J1" s="1"/>
      <c r="K1" s="1"/>
      <c r="L1" s="1"/>
      <c r="M1" s="1"/>
      <c r="N1" s="1"/>
      <c r="O1" s="1"/>
    </row>
    <row r="2" spans="1:16" ht="15" customHeight="1" x14ac:dyDescent="0.25">
      <c r="A2" s="1"/>
      <c r="B2" s="454" t="s">
        <v>11</v>
      </c>
      <c r="C2" s="455"/>
      <c r="D2" s="455"/>
      <c r="E2" s="455"/>
      <c r="F2" s="455"/>
      <c r="G2" s="455"/>
      <c r="H2" s="455"/>
      <c r="I2" s="455"/>
      <c r="J2" s="455"/>
      <c r="K2" s="455"/>
      <c r="L2" s="1"/>
      <c r="M2" s="1"/>
      <c r="N2" s="1"/>
      <c r="O2" s="1"/>
    </row>
    <row r="3" spans="1:16" ht="67.5" customHeight="1" x14ac:dyDescent="0.25">
      <c r="A3" s="1"/>
      <c r="B3" s="455"/>
      <c r="C3" s="455"/>
      <c r="D3" s="455"/>
      <c r="E3" s="455"/>
      <c r="F3" s="455"/>
      <c r="G3" s="455"/>
      <c r="H3" s="455"/>
      <c r="I3" s="455"/>
      <c r="J3" s="455"/>
      <c r="K3" s="455"/>
      <c r="L3" s="1"/>
      <c r="M3" s="1"/>
      <c r="N3" s="1"/>
      <c r="O3" s="1"/>
    </row>
    <row r="4" spans="1:16" ht="59.25" customHeight="1" x14ac:dyDescent="0.25">
      <c r="A4" s="1"/>
      <c r="B4" s="2"/>
      <c r="C4" s="2"/>
      <c r="D4" s="2"/>
      <c r="E4" s="2"/>
      <c r="F4" s="2"/>
      <c r="G4" s="2"/>
      <c r="H4" s="2"/>
      <c r="I4" s="2"/>
      <c r="J4" s="2"/>
      <c r="K4" s="2"/>
      <c r="L4" s="1"/>
      <c r="M4" s="1"/>
      <c r="N4" s="1"/>
      <c r="O4" s="1"/>
    </row>
    <row r="5" spans="1:16" ht="13.5" customHeight="1" x14ac:dyDescent="0.25">
      <c r="A5" s="447" t="s">
        <v>536</v>
      </c>
      <c r="B5" s="447"/>
      <c r="C5" s="447"/>
      <c r="D5" s="162" t="str">
        <f>Choose_TUS!L2 &amp; "(PV/SAT du Congélateur)"</f>
        <v>IMP 472 ind O du 07-02-2024 (PV/SAT du Congélateur)</v>
      </c>
      <c r="E5" s="2"/>
      <c r="F5" s="2"/>
      <c r="G5" s="2"/>
      <c r="H5" s="2"/>
      <c r="I5" s="2"/>
      <c r="J5" s="2"/>
      <c r="K5" s="2"/>
      <c r="L5" s="1"/>
      <c r="M5" s="1"/>
      <c r="N5" s="1"/>
      <c r="O5" s="1"/>
    </row>
    <row r="6" spans="1:16" x14ac:dyDescent="0.25">
      <c r="A6" s="447" t="s">
        <v>0</v>
      </c>
      <c r="B6" s="447"/>
      <c r="C6" s="447"/>
      <c r="D6" s="162"/>
      <c r="E6" s="1"/>
      <c r="F6" s="1"/>
      <c r="G6" s="1"/>
      <c r="H6" s="1"/>
      <c r="I6" s="1"/>
      <c r="J6" s="1"/>
      <c r="K6" s="1"/>
      <c r="L6" s="1"/>
      <c r="M6" s="1"/>
      <c r="N6" s="1"/>
      <c r="O6" s="24"/>
    </row>
    <row r="7" spans="1:16" x14ac:dyDescent="0.25">
      <c r="A7" s="1"/>
      <c r="B7" s="1"/>
      <c r="C7" s="1"/>
      <c r="D7" s="1"/>
      <c r="E7" s="1"/>
      <c r="F7" s="1"/>
      <c r="G7" s="1"/>
      <c r="H7" s="1"/>
      <c r="I7" s="1"/>
      <c r="J7" s="1"/>
      <c r="K7" s="1"/>
      <c r="L7" s="1"/>
      <c r="M7" s="1"/>
      <c r="N7" s="1"/>
      <c r="O7" s="1"/>
      <c r="P7" s="24"/>
    </row>
    <row r="8" spans="1:16" x14ac:dyDescent="0.25">
      <c r="A8" s="447" t="s">
        <v>1</v>
      </c>
      <c r="B8" s="447"/>
      <c r="C8" s="4"/>
      <c r="D8" s="1"/>
      <c r="E8" s="447" t="s">
        <v>18</v>
      </c>
      <c r="F8" s="447"/>
      <c r="G8" s="4"/>
      <c r="H8" s="1"/>
      <c r="I8" s="1"/>
      <c r="J8" s="1"/>
      <c r="K8" s="1"/>
      <c r="L8" s="1"/>
      <c r="M8" s="1"/>
      <c r="N8" s="1"/>
      <c r="O8" s="5"/>
    </row>
    <row r="9" spans="1:16" x14ac:dyDescent="0.25">
      <c r="A9" s="447" t="s">
        <v>2</v>
      </c>
      <c r="B9" s="447"/>
      <c r="C9" s="6"/>
      <c r="D9" s="1"/>
      <c r="E9" s="447" t="s">
        <v>19</v>
      </c>
      <c r="F9" s="447"/>
      <c r="G9" s="6"/>
      <c r="H9" s="1"/>
      <c r="I9" s="1"/>
      <c r="J9" s="1"/>
      <c r="K9" s="1"/>
      <c r="L9" s="1"/>
      <c r="M9" s="1"/>
      <c r="N9" s="1"/>
      <c r="O9" s="5"/>
    </row>
    <row r="10" spans="1:16" x14ac:dyDescent="0.25">
      <c r="A10" s="1"/>
      <c r="B10" s="1"/>
      <c r="C10" s="1"/>
      <c r="D10" s="1"/>
      <c r="E10" s="1"/>
      <c r="F10" s="1"/>
      <c r="G10" s="1"/>
      <c r="H10" s="1"/>
      <c r="I10" s="1"/>
      <c r="J10" s="1"/>
      <c r="K10" s="1"/>
      <c r="L10" s="1"/>
      <c r="M10" s="1"/>
      <c r="N10" s="1"/>
      <c r="O10" s="5"/>
    </row>
    <row r="11" spans="1:16" x14ac:dyDescent="0.25">
      <c r="A11" s="443" t="s">
        <v>3</v>
      </c>
      <c r="B11" s="444"/>
      <c r="C11" s="7"/>
      <c r="D11" s="1"/>
      <c r="E11" s="443" t="s">
        <v>20</v>
      </c>
      <c r="F11" s="444"/>
      <c r="G11" s="8"/>
      <c r="H11" s="1"/>
      <c r="I11" s="1"/>
      <c r="J11" s="1"/>
      <c r="K11" s="1"/>
      <c r="L11" s="1"/>
      <c r="M11" s="1"/>
      <c r="N11" s="1"/>
      <c r="O11" s="1"/>
    </row>
    <row r="12" spans="1:16" x14ac:dyDescent="0.25">
      <c r="A12" s="443" t="s">
        <v>4</v>
      </c>
      <c r="B12" s="444"/>
      <c r="C12" s="8"/>
      <c r="D12" s="1"/>
      <c r="E12" s="447" t="s">
        <v>21</v>
      </c>
      <c r="F12" s="447"/>
      <c r="G12" s="159">
        <v>9</v>
      </c>
      <c r="H12" s="1"/>
      <c r="I12" s="1"/>
      <c r="J12" s="1"/>
      <c r="K12" s="1"/>
      <c r="L12" s="1"/>
      <c r="M12" s="1"/>
      <c r="N12" s="1"/>
      <c r="O12" s="1"/>
    </row>
    <row r="13" spans="1:16" x14ac:dyDescent="0.25">
      <c r="A13" s="1"/>
      <c r="B13" s="1"/>
      <c r="C13" s="1"/>
      <c r="D13" s="1"/>
      <c r="E13" s="447" t="s">
        <v>22</v>
      </c>
      <c r="F13" s="447"/>
      <c r="G13" s="10"/>
      <c r="H13" s="1"/>
      <c r="I13" s="1"/>
      <c r="J13" s="1"/>
      <c r="K13" s="1"/>
      <c r="L13" s="1"/>
      <c r="M13" s="1"/>
      <c r="N13" s="1"/>
      <c r="O13" s="1"/>
    </row>
    <row r="14" spans="1:16" x14ac:dyDescent="0.25">
      <c r="A14" s="1"/>
      <c r="B14" s="1"/>
      <c r="C14" s="1"/>
      <c r="D14" s="1"/>
      <c r="E14" s="1"/>
      <c r="F14" s="1"/>
      <c r="G14" s="1"/>
      <c r="H14" s="1"/>
      <c r="I14" s="1"/>
      <c r="J14" s="1"/>
      <c r="K14" s="1"/>
      <c r="L14" s="1"/>
      <c r="M14" s="1"/>
      <c r="N14" s="1"/>
      <c r="O14" s="1"/>
    </row>
    <row r="15" spans="1:16" x14ac:dyDescent="0.25">
      <c r="A15" s="443" t="s">
        <v>5</v>
      </c>
      <c r="B15" s="444"/>
      <c r="C15" s="4"/>
      <c r="D15" s="1"/>
      <c r="E15" s="1"/>
      <c r="F15" s="1"/>
      <c r="G15" s="1"/>
      <c r="H15" s="1"/>
      <c r="I15" s="1"/>
      <c r="J15" s="1"/>
      <c r="K15" s="1"/>
      <c r="L15" s="1"/>
      <c r="M15" s="1"/>
      <c r="N15" s="1"/>
      <c r="O15" s="1"/>
    </row>
    <row r="16" spans="1:16" x14ac:dyDescent="0.25">
      <c r="A16" s="443" t="s">
        <v>6</v>
      </c>
      <c r="B16" s="444"/>
      <c r="C16" s="10"/>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3" t="s">
        <v>547</v>
      </c>
      <c r="B18" s="11"/>
      <c r="C18" s="1"/>
      <c r="D18" s="1"/>
      <c r="E18" s="1"/>
      <c r="F18" s="1"/>
      <c r="G18" s="1"/>
      <c r="H18" s="1"/>
      <c r="I18" s="1"/>
      <c r="J18" s="1"/>
      <c r="K18" s="1"/>
      <c r="L18" s="1"/>
      <c r="M18" s="1"/>
      <c r="N18" s="1"/>
      <c r="O18" s="1"/>
    </row>
    <row r="19" spans="1:15" x14ac:dyDescent="0.25">
      <c r="A19" s="1"/>
      <c r="B19" s="1"/>
      <c r="C19" s="1"/>
      <c r="D19" s="1"/>
      <c r="E19" s="1"/>
      <c r="F19" s="1"/>
      <c r="G19" s="1"/>
      <c r="H19" s="1"/>
      <c r="I19" s="1"/>
      <c r="J19" s="1"/>
      <c r="K19" s="1"/>
      <c r="L19" s="1"/>
      <c r="M19" s="1"/>
      <c r="N19" s="1"/>
      <c r="O19" s="1"/>
    </row>
    <row r="20" spans="1:15" x14ac:dyDescent="0.25">
      <c r="B20" s="3" t="s">
        <v>549</v>
      </c>
      <c r="C20" s="3" t="s">
        <v>31</v>
      </c>
      <c r="D20" s="1"/>
      <c r="E20" s="1"/>
      <c r="F20" s="1"/>
      <c r="G20" s="1"/>
      <c r="H20" s="1"/>
      <c r="I20" s="1"/>
      <c r="J20" s="1"/>
      <c r="K20" s="1"/>
      <c r="L20" s="1"/>
      <c r="M20" s="1"/>
      <c r="N20" s="1"/>
      <c r="O20" s="1"/>
    </row>
    <row r="21" spans="1:15" x14ac:dyDescent="0.25">
      <c r="A21" s="3" t="s">
        <v>548</v>
      </c>
      <c r="B21" s="11"/>
      <c r="C21" s="11"/>
      <c r="D21" s="1"/>
      <c r="E21" s="1"/>
      <c r="F21" s="1"/>
      <c r="G21" s="1"/>
      <c r="H21" s="1"/>
      <c r="I21" s="1"/>
      <c r="J21" s="1"/>
      <c r="K21" s="1"/>
      <c r="L21" s="1"/>
      <c r="M21" s="1"/>
      <c r="N21" s="1"/>
      <c r="O21" s="1"/>
    </row>
    <row r="22" spans="1:15" ht="15.75" thickBot="1" x14ac:dyDescent="0.3">
      <c r="A22" s="1"/>
      <c r="B22" s="1"/>
      <c r="C22" s="1"/>
      <c r="D22" s="1"/>
      <c r="E22" s="1"/>
      <c r="F22" s="1"/>
      <c r="G22" s="1"/>
      <c r="H22" s="1"/>
      <c r="I22" s="1"/>
      <c r="J22" s="1"/>
      <c r="K22" s="1"/>
      <c r="L22" s="1"/>
      <c r="M22" s="1"/>
      <c r="N22" s="1"/>
      <c r="O22" s="1"/>
    </row>
    <row r="23" spans="1:15" ht="15.75" thickBot="1" x14ac:dyDescent="0.3">
      <c r="A23" s="12" t="s">
        <v>9</v>
      </c>
      <c r="B23" s="13" t="s">
        <v>12</v>
      </c>
      <c r="C23" s="13" t="s">
        <v>14</v>
      </c>
      <c r="D23" s="13" t="s">
        <v>16</v>
      </c>
      <c r="E23" s="14" t="s">
        <v>23</v>
      </c>
      <c r="F23" s="1"/>
      <c r="G23" s="1"/>
      <c r="H23" s="1"/>
      <c r="I23" s="1"/>
      <c r="J23" s="1"/>
      <c r="K23" s="1"/>
      <c r="L23" s="1"/>
      <c r="M23" s="1"/>
      <c r="N23" s="1"/>
      <c r="O23" s="1"/>
    </row>
    <row r="24" spans="1:15" x14ac:dyDescent="0.25">
      <c r="A24" s="15">
        <v>1</v>
      </c>
      <c r="B24" s="11"/>
      <c r="C24" s="11"/>
      <c r="D24" s="174"/>
      <c r="E24" s="174"/>
      <c r="F24" s="1"/>
      <c r="G24" s="1"/>
      <c r="H24" s="1"/>
      <c r="I24" s="1"/>
      <c r="J24" s="1"/>
      <c r="K24" s="1"/>
      <c r="L24" s="1"/>
      <c r="M24" s="1"/>
      <c r="N24" s="1"/>
      <c r="O24" s="1"/>
    </row>
    <row r="25" spans="1:15" x14ac:dyDescent="0.25">
      <c r="A25" s="19">
        <v>2</v>
      </c>
      <c r="B25" s="11"/>
      <c r="C25" s="11"/>
      <c r="D25" s="174"/>
      <c r="E25" s="174"/>
      <c r="F25" s="1"/>
      <c r="G25" s="1"/>
      <c r="H25" s="1"/>
      <c r="I25" s="1"/>
      <c r="J25" s="1"/>
      <c r="K25" s="1"/>
      <c r="L25" s="1"/>
      <c r="M25" s="1"/>
      <c r="N25" s="1"/>
      <c r="O25" s="1"/>
    </row>
    <row r="26" spans="1:15" x14ac:dyDescent="0.25">
      <c r="A26" s="15">
        <v>3</v>
      </c>
      <c r="B26" s="11"/>
      <c r="C26" s="11"/>
      <c r="D26" s="174"/>
      <c r="E26" s="174"/>
      <c r="F26" s="1"/>
      <c r="G26" s="1"/>
      <c r="H26" s="1"/>
      <c r="I26" s="1"/>
      <c r="J26" s="1"/>
      <c r="K26" s="1"/>
      <c r="L26" s="1"/>
      <c r="M26" s="1"/>
      <c r="N26" s="1"/>
      <c r="O26" s="1"/>
    </row>
    <row r="27" spans="1:15" x14ac:dyDescent="0.25">
      <c r="A27" s="19">
        <v>4</v>
      </c>
      <c r="B27" s="11"/>
      <c r="C27" s="11"/>
      <c r="D27" s="174"/>
      <c r="E27" s="174"/>
      <c r="F27" s="1"/>
      <c r="G27" s="1"/>
      <c r="H27" s="1"/>
      <c r="I27" s="1"/>
      <c r="J27" s="1"/>
      <c r="K27" s="1"/>
      <c r="L27" s="1"/>
      <c r="M27" s="1"/>
      <c r="N27" s="1"/>
      <c r="O27" s="1"/>
    </row>
    <row r="28" spans="1:15" x14ac:dyDescent="0.25">
      <c r="A28" s="15">
        <v>5</v>
      </c>
      <c r="B28" s="11"/>
      <c r="C28" s="11"/>
      <c r="D28" s="174"/>
      <c r="E28" s="174"/>
      <c r="F28" s="1"/>
      <c r="G28" s="1"/>
      <c r="H28" s="1"/>
      <c r="I28" s="1"/>
      <c r="J28" s="1"/>
      <c r="K28" s="1"/>
      <c r="L28" s="1"/>
      <c r="M28" s="1"/>
      <c r="N28" s="1"/>
      <c r="O28" s="1"/>
    </row>
    <row r="29" spans="1:15" x14ac:dyDescent="0.25">
      <c r="A29" s="19">
        <v>6</v>
      </c>
      <c r="B29" s="11"/>
      <c r="C29" s="11"/>
      <c r="D29" s="174"/>
      <c r="E29" s="174"/>
      <c r="F29" s="1"/>
      <c r="G29" s="1"/>
      <c r="H29" s="1"/>
      <c r="I29" s="1"/>
      <c r="J29" s="1"/>
      <c r="K29" s="1"/>
      <c r="L29" s="1"/>
      <c r="M29" s="1"/>
      <c r="N29" s="1"/>
      <c r="O29" s="1"/>
    </row>
    <row r="30" spans="1:15" x14ac:dyDescent="0.25">
      <c r="A30" s="15">
        <v>7</v>
      </c>
      <c r="B30" s="11"/>
      <c r="C30" s="11"/>
      <c r="D30" s="174"/>
      <c r="E30" s="174"/>
      <c r="F30" s="1"/>
      <c r="G30" s="1"/>
      <c r="H30" s="1"/>
      <c r="I30" s="1"/>
      <c r="J30" s="1"/>
      <c r="K30" s="1"/>
      <c r="L30" s="1"/>
      <c r="M30" s="1"/>
      <c r="N30" s="1"/>
      <c r="O30" s="1"/>
    </row>
    <row r="31" spans="1:15" x14ac:dyDescent="0.25">
      <c r="A31" s="19">
        <v>8</v>
      </c>
      <c r="B31" s="11"/>
      <c r="C31" s="11"/>
      <c r="D31" s="174"/>
      <c r="E31" s="174"/>
      <c r="F31" s="1"/>
      <c r="G31" s="1"/>
      <c r="H31" s="1"/>
      <c r="I31" s="1"/>
      <c r="J31" s="1"/>
      <c r="K31" s="1"/>
      <c r="L31" s="1"/>
      <c r="M31" s="1"/>
      <c r="N31" s="1"/>
      <c r="O31" s="1"/>
    </row>
    <row r="32" spans="1:15" x14ac:dyDescent="0.25">
      <c r="A32" s="15">
        <v>9</v>
      </c>
      <c r="B32" s="11"/>
      <c r="C32" s="11"/>
      <c r="D32" s="174"/>
      <c r="E32" s="174"/>
      <c r="F32" s="1"/>
      <c r="G32" s="1"/>
      <c r="H32" s="1"/>
      <c r="I32" s="1"/>
      <c r="J32" s="1"/>
      <c r="K32" s="1"/>
      <c r="L32" s="1"/>
      <c r="M32" s="1"/>
      <c r="N32" s="1"/>
      <c r="O32" s="1"/>
    </row>
    <row r="33" spans="1:15" x14ac:dyDescent="0.25">
      <c r="A33" s="19">
        <v>10</v>
      </c>
      <c r="B33" s="11"/>
      <c r="C33" s="11"/>
      <c r="D33" s="174"/>
      <c r="E33" s="174"/>
      <c r="F33" s="1"/>
      <c r="G33" s="1"/>
      <c r="H33" s="1"/>
      <c r="I33" s="1"/>
      <c r="J33" s="1"/>
      <c r="K33" s="1"/>
      <c r="L33" s="1"/>
      <c r="M33" s="1"/>
      <c r="N33" s="1"/>
      <c r="O33" s="1"/>
    </row>
    <row r="34" spans="1:15" x14ac:dyDescent="0.25">
      <c r="A34" s="15">
        <v>11</v>
      </c>
      <c r="B34" s="11"/>
      <c r="C34" s="11"/>
      <c r="D34" s="174"/>
      <c r="E34" s="174"/>
      <c r="F34" s="1"/>
      <c r="G34" s="1"/>
      <c r="H34" s="1"/>
      <c r="I34" s="1"/>
      <c r="J34" s="1"/>
      <c r="K34" s="1"/>
      <c r="L34" s="1"/>
      <c r="M34" s="1"/>
      <c r="N34" s="1"/>
      <c r="O34" s="1"/>
    </row>
    <row r="35" spans="1:15" x14ac:dyDescent="0.25">
      <c r="A35" s="19">
        <v>12</v>
      </c>
      <c r="B35" s="11"/>
      <c r="C35" s="11"/>
      <c r="D35" s="174"/>
      <c r="E35" s="174"/>
      <c r="F35" s="1"/>
      <c r="G35" s="1"/>
      <c r="H35" s="1"/>
      <c r="I35" s="1"/>
      <c r="J35" s="1"/>
      <c r="K35" s="1"/>
      <c r="L35" s="1"/>
      <c r="M35" s="1"/>
      <c r="N35" s="1"/>
      <c r="O35" s="1"/>
    </row>
    <row r="36" spans="1:15" x14ac:dyDescent="0.25">
      <c r="A36" s="1"/>
      <c r="B36" s="160"/>
      <c r="C36" s="160"/>
      <c r="D36" s="160"/>
      <c r="E36" s="160"/>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x14ac:dyDescent="0.25">
      <c r="A38" s="1"/>
      <c r="B38" s="1"/>
      <c r="C38" s="1"/>
      <c r="D38" s="1"/>
      <c r="E38" s="1"/>
      <c r="F38" s="1"/>
      <c r="G38" s="1"/>
      <c r="H38" s="1"/>
      <c r="I38" s="1"/>
      <c r="J38" s="1"/>
      <c r="K38" s="1"/>
      <c r="L38" s="1"/>
      <c r="M38" s="1"/>
      <c r="N38" s="1"/>
      <c r="O38" s="1"/>
    </row>
    <row r="39" spans="1:15" ht="26.25" x14ac:dyDescent="0.25">
      <c r="A39" s="1"/>
      <c r="B39" s="446" t="s">
        <v>13</v>
      </c>
      <c r="C39" s="446"/>
      <c r="D39" s="1"/>
      <c r="E39" s="1"/>
      <c r="F39" s="1"/>
      <c r="G39" s="1"/>
      <c r="H39" s="1"/>
      <c r="I39" s="1"/>
      <c r="J39" s="1"/>
      <c r="K39" s="1"/>
      <c r="L39" s="446" t="s">
        <v>30</v>
      </c>
      <c r="M39" s="446"/>
      <c r="N39" s="1"/>
      <c r="O39" s="1"/>
    </row>
    <row r="40" spans="1:15" x14ac:dyDescent="0.25">
      <c r="A40" s="1"/>
      <c r="B40" s="1"/>
      <c r="C40" s="1"/>
      <c r="D40" s="1"/>
      <c r="E40" s="1"/>
      <c r="F40" s="1"/>
      <c r="G40" s="1"/>
      <c r="H40" s="1"/>
      <c r="I40" s="1"/>
      <c r="J40" s="1"/>
      <c r="K40" s="1"/>
      <c r="L40" s="1"/>
      <c r="M40" s="1"/>
      <c r="N40" s="1"/>
      <c r="O40" s="1"/>
    </row>
    <row r="41" spans="1:15" x14ac:dyDescent="0.25">
      <c r="A41" s="447" t="s">
        <v>10</v>
      </c>
      <c r="B41" s="447"/>
      <c r="C41" s="448"/>
      <c r="D41" s="448"/>
      <c r="E41" s="448"/>
      <c r="F41" s="449"/>
      <c r="G41" s="1"/>
      <c r="H41" s="1"/>
      <c r="I41" s="1"/>
      <c r="J41" s="1"/>
      <c r="K41" s="447" t="s">
        <v>26</v>
      </c>
      <c r="L41" s="447"/>
      <c r="M41" s="447"/>
      <c r="N41" s="447"/>
      <c r="O41" s="447"/>
    </row>
    <row r="42" spans="1:15" ht="45" x14ac:dyDescent="0.25">
      <c r="A42" s="447"/>
      <c r="B42" s="447"/>
      <c r="C42" s="3" t="s">
        <v>15</v>
      </c>
      <c r="D42" s="20" t="s">
        <v>17</v>
      </c>
      <c r="E42" s="20" t="s">
        <v>24</v>
      </c>
      <c r="F42" s="20" t="s">
        <v>25</v>
      </c>
      <c r="G42" s="1"/>
      <c r="H42" s="1"/>
      <c r="I42" s="1"/>
      <c r="J42" s="1"/>
      <c r="K42" s="450"/>
      <c r="L42" s="450"/>
      <c r="M42" s="3" t="s">
        <v>32</v>
      </c>
      <c r="N42" s="3" t="s">
        <v>34</v>
      </c>
      <c r="O42" s="3" t="s">
        <v>35</v>
      </c>
    </row>
    <row r="43" spans="1:15" x14ac:dyDescent="0.25">
      <c r="A43" s="443" t="str">
        <f>CONCATENATE("Sonde ", B24)</f>
        <v xml:space="preserve">Sonde </v>
      </c>
      <c r="B43" s="444"/>
      <c r="C43" s="10"/>
      <c r="D43" s="10"/>
      <c r="E43" s="10"/>
      <c r="F43" s="10"/>
      <c r="G43" s="1"/>
      <c r="H43" s="1"/>
      <c r="I43" s="1"/>
      <c r="J43" s="1"/>
      <c r="K43" s="451" t="s">
        <v>27</v>
      </c>
      <c r="L43" s="452"/>
      <c r="M43" s="10"/>
      <c r="N43" s="10"/>
      <c r="O43" s="10"/>
    </row>
    <row r="44" spans="1:15" x14ac:dyDescent="0.25">
      <c r="A44" s="443" t="str">
        <f t="shared" ref="A44:A54" si="0">"Sonde " &amp; B25</f>
        <v xml:space="preserve">Sonde </v>
      </c>
      <c r="B44" s="444"/>
      <c r="C44" s="10"/>
      <c r="D44" s="10"/>
      <c r="E44" s="10"/>
      <c r="F44" s="10"/>
      <c r="G44" s="1"/>
      <c r="H44" s="1"/>
      <c r="I44" s="1"/>
      <c r="J44" s="1"/>
      <c r="K44" s="1"/>
      <c r="L44" s="1"/>
      <c r="M44" s="1"/>
      <c r="N44" s="1"/>
      <c r="O44" s="1"/>
    </row>
    <row r="45" spans="1:15" x14ac:dyDescent="0.25">
      <c r="A45" s="443" t="str">
        <f>"Sonde " &amp; B26</f>
        <v xml:space="preserve">Sonde </v>
      </c>
      <c r="B45" s="444"/>
      <c r="C45" s="10"/>
      <c r="D45" s="10"/>
      <c r="E45" s="10"/>
      <c r="F45" s="10"/>
      <c r="G45" s="1"/>
      <c r="H45" s="1"/>
      <c r="I45" s="1"/>
      <c r="J45" s="1"/>
      <c r="K45" s="1"/>
      <c r="L45" s="1"/>
      <c r="M45" s="1"/>
      <c r="N45" s="1"/>
      <c r="O45" s="1"/>
    </row>
    <row r="46" spans="1:15" x14ac:dyDescent="0.25">
      <c r="A46" s="443" t="str">
        <f t="shared" si="0"/>
        <v xml:space="preserve">Sonde </v>
      </c>
      <c r="B46" s="444"/>
      <c r="C46" s="10"/>
      <c r="D46" s="10"/>
      <c r="E46" s="10"/>
      <c r="F46" s="10"/>
      <c r="G46" s="1"/>
      <c r="H46" s="1"/>
      <c r="I46" s="1"/>
      <c r="J46" s="1"/>
      <c r="K46" s="1"/>
      <c r="L46" s="1"/>
      <c r="M46" s="1"/>
      <c r="N46" s="1"/>
      <c r="O46" s="1"/>
    </row>
    <row r="47" spans="1:15" ht="26.25" x14ac:dyDescent="0.25">
      <c r="A47" s="443" t="str">
        <f t="shared" si="0"/>
        <v xml:space="preserve">Sonde </v>
      </c>
      <c r="B47" s="444"/>
      <c r="C47" s="10"/>
      <c r="D47" s="10"/>
      <c r="E47" s="10"/>
      <c r="F47" s="10"/>
      <c r="G47" s="1"/>
      <c r="H47" s="1"/>
      <c r="I47" s="1"/>
      <c r="J47" s="1"/>
      <c r="K47" s="1"/>
      <c r="L47" s="446" t="s">
        <v>31</v>
      </c>
      <c r="M47" s="446"/>
      <c r="N47" s="1"/>
      <c r="O47" s="1"/>
    </row>
    <row r="48" spans="1:15" ht="45" x14ac:dyDescent="0.25">
      <c r="A48" s="443" t="str">
        <f t="shared" si="0"/>
        <v xml:space="preserve">Sonde </v>
      </c>
      <c r="B48" s="444"/>
      <c r="C48" s="10"/>
      <c r="D48" s="10"/>
      <c r="E48" s="10"/>
      <c r="F48" s="10"/>
      <c r="G48" s="1"/>
      <c r="H48" s="1"/>
      <c r="I48" s="1"/>
      <c r="J48" s="1"/>
      <c r="K48" s="1"/>
      <c r="L48" s="1"/>
      <c r="M48" s="21" t="s">
        <v>33</v>
      </c>
      <c r="N48" s="21" t="s">
        <v>15</v>
      </c>
      <c r="O48" s="21" t="s">
        <v>301</v>
      </c>
    </row>
    <row r="49" spans="1:15" x14ac:dyDescent="0.25">
      <c r="A49" s="443" t="str">
        <f t="shared" si="0"/>
        <v xml:space="preserve">Sonde </v>
      </c>
      <c r="B49" s="444"/>
      <c r="C49" s="10"/>
      <c r="D49" s="10"/>
      <c r="E49" s="10"/>
      <c r="F49" s="10"/>
      <c r="G49" s="1"/>
      <c r="H49" s="1"/>
      <c r="I49" s="1"/>
      <c r="J49" s="1"/>
      <c r="K49" s="480" t="s">
        <v>28</v>
      </c>
      <c r="L49" s="481"/>
      <c r="M49" s="10"/>
      <c r="N49" s="10"/>
      <c r="O49" s="10"/>
    </row>
    <row r="50" spans="1:15" x14ac:dyDescent="0.25">
      <c r="A50" s="443" t="str">
        <f t="shared" si="0"/>
        <v xml:space="preserve">Sonde </v>
      </c>
      <c r="B50" s="444"/>
      <c r="C50" s="10"/>
      <c r="D50" s="10"/>
      <c r="E50" s="10"/>
      <c r="F50" s="10"/>
      <c r="G50" s="1"/>
      <c r="H50" s="1"/>
      <c r="I50" s="1"/>
      <c r="J50" s="1"/>
      <c r="K50" s="445" t="s">
        <v>29</v>
      </c>
      <c r="L50" s="445"/>
      <c r="M50" s="10"/>
      <c r="N50" s="10"/>
      <c r="O50" s="10"/>
    </row>
    <row r="51" spans="1:15" x14ac:dyDescent="0.25">
      <c r="A51" s="443" t="str">
        <f t="shared" si="0"/>
        <v xml:space="preserve">Sonde </v>
      </c>
      <c r="B51" s="444"/>
      <c r="C51" s="10"/>
      <c r="D51" s="10"/>
      <c r="E51" s="10"/>
      <c r="F51" s="10"/>
      <c r="G51" s="1"/>
      <c r="H51" s="1"/>
      <c r="I51" s="1"/>
      <c r="J51" s="1"/>
      <c r="K51" s="445" t="s">
        <v>30</v>
      </c>
      <c r="L51" s="445"/>
      <c r="M51" s="10"/>
      <c r="N51" s="10"/>
      <c r="O51" s="10"/>
    </row>
    <row r="52" spans="1:15" x14ac:dyDescent="0.25">
      <c r="A52" s="443" t="str">
        <f t="shared" si="0"/>
        <v xml:space="preserve">Sonde </v>
      </c>
      <c r="B52" s="444"/>
      <c r="C52" s="10"/>
      <c r="D52" s="10"/>
      <c r="E52" s="10"/>
      <c r="F52" s="10"/>
      <c r="G52" s="1"/>
      <c r="H52" s="1"/>
      <c r="I52" s="1"/>
      <c r="J52" s="1"/>
      <c r="K52" s="1"/>
      <c r="L52" s="1"/>
      <c r="M52" s="1"/>
      <c r="N52" s="1"/>
      <c r="O52" s="1"/>
    </row>
    <row r="53" spans="1:15" x14ac:dyDescent="0.25">
      <c r="A53" s="443" t="str">
        <f t="shared" si="0"/>
        <v xml:space="preserve">Sonde </v>
      </c>
      <c r="B53" s="444"/>
      <c r="C53" s="10"/>
      <c r="D53" s="10"/>
      <c r="E53" s="10"/>
      <c r="F53" s="10"/>
      <c r="G53" s="1"/>
      <c r="H53" s="1"/>
      <c r="I53" s="1"/>
      <c r="J53" s="1"/>
      <c r="K53" s="1"/>
      <c r="L53" s="1"/>
      <c r="M53" s="1"/>
      <c r="N53" s="1"/>
      <c r="O53" s="1"/>
    </row>
    <row r="54" spans="1:15" x14ac:dyDescent="0.25">
      <c r="A54" s="443" t="str">
        <f t="shared" si="0"/>
        <v xml:space="preserve">Sonde </v>
      </c>
      <c r="B54" s="444"/>
      <c r="C54" s="10"/>
      <c r="D54" s="10"/>
      <c r="E54" s="10"/>
      <c r="F54" s="10"/>
      <c r="G54" s="1"/>
      <c r="H54" s="1"/>
      <c r="I54" s="1"/>
      <c r="J54" s="1"/>
      <c r="K54" s="1"/>
      <c r="L54" s="1"/>
      <c r="M54" s="1"/>
      <c r="N54" s="1"/>
      <c r="O54" s="1"/>
    </row>
  </sheetData>
  <sheetProtection algorithmName="SHA-512" hashValue="flvUhxBXFR8VbxbtWfE1ZKvto2RlBFlK4+8lV6Vw1qg1REwE0tUW/K9KRnh6ZnhK/SoIDDfBmXNMY8mgIirVVQ==" saltValue="rjE1o0AUJ+lroJ7CrWvK7w==" spinCount="100000" sheet="1" objects="1" scenarios="1"/>
  <protectedRanges>
    <protectedRange sqref="C11" name="Donnees controleur_8"/>
  </protectedRanges>
  <dataConsolidate/>
  <mergeCells count="37">
    <mergeCell ref="A52:B52"/>
    <mergeCell ref="A53:B53"/>
    <mergeCell ref="A54:B54"/>
    <mergeCell ref="A48:B48"/>
    <mergeCell ref="A49:B49"/>
    <mergeCell ref="K49:L49"/>
    <mergeCell ref="A50:B50"/>
    <mergeCell ref="K50:L50"/>
    <mergeCell ref="A51:B51"/>
    <mergeCell ref="K51:L51"/>
    <mergeCell ref="A47:B47"/>
    <mergeCell ref="L47:M47"/>
    <mergeCell ref="A16:B16"/>
    <mergeCell ref="B39:C39"/>
    <mergeCell ref="L39:M39"/>
    <mergeCell ref="A41:F41"/>
    <mergeCell ref="K41:O41"/>
    <mergeCell ref="A42:B42"/>
    <mergeCell ref="K42:L42"/>
    <mergeCell ref="A43:B43"/>
    <mergeCell ref="K43:L43"/>
    <mergeCell ref="A44:B44"/>
    <mergeCell ref="A45:B45"/>
    <mergeCell ref="A46:B46"/>
    <mergeCell ref="A15:B15"/>
    <mergeCell ref="B2:K3"/>
    <mergeCell ref="A6:C6"/>
    <mergeCell ref="A8:B8"/>
    <mergeCell ref="E8:F8"/>
    <mergeCell ref="A9:B9"/>
    <mergeCell ref="E9:F9"/>
    <mergeCell ref="A11:B11"/>
    <mergeCell ref="E11:F11"/>
    <mergeCell ref="A12:B12"/>
    <mergeCell ref="E12:F12"/>
    <mergeCell ref="E13:F13"/>
    <mergeCell ref="A5:C5"/>
  </mergeCells>
  <conditionalFormatting sqref="A1:O19 B20:O20 A21:O42 G50:O54 G48:L49 G43:O47 A43:F54">
    <cfRule type="expression" dxfId="58" priority="3">
      <formula>AND(NOT(CELL("protege", A1)), A1="")</formula>
    </cfRule>
  </conditionalFormatting>
  <conditionalFormatting sqref="M48:O48">
    <cfRule type="expression" dxfId="57" priority="2">
      <formula>AND(NOT(CELL("protege", M48)), M48="")</formula>
    </cfRule>
  </conditionalFormatting>
  <conditionalFormatting sqref="M49:O49">
    <cfRule type="expression" dxfId="56" priority="1">
      <formula>AND(NOT(CELL("protege", M49)), M49="")</formula>
    </cfRule>
  </conditionalFormatting>
  <dataValidations count="3">
    <dataValidation type="list" showErrorMessage="1" promptTitle="Périodicité" prompt="Veuillez choisir" sqref="C16" xr:uid="{281236F4-D248-4C76-B8CF-13F98E53320A}">
      <formula1>" ,Annuelle,Trimestrielle,Mensuelle"</formula1>
    </dataValidation>
    <dataValidation type="list" showInputMessage="1" showErrorMessage="1" sqref="D17:D18" xr:uid="{142C8FB2-7426-4351-8774-C88B6624DBDF}">
      <formula1>$C$16:$C$18</formula1>
    </dataValidation>
    <dataValidation type="list" allowBlank="1" showInputMessage="1" showErrorMessage="1" sqref="C11" xr:uid="{57573DB8-0398-4CEC-BD8E-E6237B56B594}">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alisation_TUS_Congel">
                <anchor moveWithCells="1" sizeWithCells="1">
                  <from>
                    <xdr:col>8</xdr:col>
                    <xdr:colOff>428625</xdr:colOff>
                    <xdr:row>6</xdr:row>
                    <xdr:rowOff>95250</xdr:rowOff>
                  </from>
                  <to>
                    <xdr:col>12</xdr:col>
                    <xdr:colOff>904875</xdr:colOff>
                    <xdr:row>13</xdr:row>
                    <xdr:rowOff>142875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25EC2-3F68-43DD-94D3-A50355865994}">
  <sheetPr codeName="Feuil16">
    <tabColor theme="8" tint="0.39997558519241921"/>
  </sheetPr>
  <dimension ref="A1:M2"/>
  <sheetViews>
    <sheetView workbookViewId="0">
      <selection activeCell="C36" sqref="C36"/>
    </sheetView>
  </sheetViews>
  <sheetFormatPr baseColWidth="10" defaultRowHeight="15" x14ac:dyDescent="0.25"/>
  <cols>
    <col min="1" max="1" width="13.7109375" bestFit="1" customWidth="1"/>
    <col min="2" max="10" width="15" bestFit="1" customWidth="1"/>
    <col min="11" max="13" width="16" bestFit="1" customWidth="1"/>
  </cols>
  <sheetData>
    <row r="1" spans="1:13" x14ac:dyDescent="0.25">
      <c r="A1" s="23" t="s">
        <v>36</v>
      </c>
      <c r="B1" t="s">
        <v>37</v>
      </c>
      <c r="C1" t="s">
        <v>38</v>
      </c>
      <c r="D1" t="s">
        <v>39</v>
      </c>
      <c r="E1" t="s">
        <v>40</v>
      </c>
      <c r="F1" t="s">
        <v>41</v>
      </c>
      <c r="G1" t="s">
        <v>42</v>
      </c>
      <c r="H1" t="s">
        <v>43</v>
      </c>
      <c r="I1" t="s">
        <v>44</v>
      </c>
      <c r="J1" t="s">
        <v>45</v>
      </c>
      <c r="K1" t="s">
        <v>46</v>
      </c>
      <c r="L1" t="s">
        <v>47</v>
      </c>
      <c r="M1" t="s">
        <v>48</v>
      </c>
    </row>
    <row r="2" spans="1:13" x14ac:dyDescent="0.25">
      <c r="A2" s="23"/>
    </row>
  </sheetData>
  <sheetProtection algorithmName="SHA-512" hashValue="W7lnpuFl+SbD9fV+pOm43f9Ea+4YgcLhgErtBow+Tyve+Oy0zcjW/q6cYb2ogQl74w+4NJ8WhhcZFPBGgcg+lA==" saltValue="iM1ibG1pxRP1MqpAwyJZsw==" spinCount="100000" sheet="1" objects="1" scenarios="1"/>
  <dataConsolidate/>
  <phoneticPr fontId="38"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12C3C-926A-4992-939C-EDE01CF5F620}">
  <sheetPr codeName="Feuil46">
    <tabColor theme="8" tint="0.39997558519241921"/>
  </sheetPr>
  <dimension ref="A1:S25"/>
  <sheetViews>
    <sheetView workbookViewId="0">
      <selection activeCell="C16" sqref="C16"/>
    </sheetView>
  </sheetViews>
  <sheetFormatPr baseColWidth="10" defaultRowHeight="15" x14ac:dyDescent="0.25"/>
  <cols>
    <col min="2" max="3" width="16.42578125" bestFit="1" customWidth="1"/>
    <col min="4" max="11" width="12.7109375" bestFit="1" customWidth="1"/>
    <col min="12" max="14" width="13.7109375" bestFit="1" customWidth="1"/>
    <col min="15" max="15" width="7.140625" customWidth="1"/>
    <col min="17" max="17" width="17.7109375" bestFit="1" customWidth="1"/>
  </cols>
  <sheetData>
    <row r="1" spans="1:19" s="27" customFormat="1" x14ac:dyDescent="0.25">
      <c r="A1" s="456" t="str">
        <f>Mesures_Congel!B18 &amp; "°C"</f>
        <v>°C</v>
      </c>
      <c r="B1" s="456"/>
      <c r="C1" s="456"/>
      <c r="D1" s="456"/>
      <c r="E1" s="456"/>
      <c r="F1" s="456"/>
      <c r="G1" s="456"/>
      <c r="H1" s="456"/>
      <c r="I1" s="456"/>
      <c r="J1" s="456"/>
      <c r="K1" s="456"/>
      <c r="L1" s="456"/>
      <c r="M1" s="456"/>
      <c r="N1" s="456"/>
      <c r="O1" s="456"/>
      <c r="P1" s="456"/>
      <c r="Q1" s="456"/>
      <c r="R1" s="456"/>
      <c r="S1" s="456"/>
    </row>
    <row r="2" spans="1:19" s="27" customFormat="1" x14ac:dyDescent="0.25">
      <c r="A2" s="456"/>
      <c r="B2" s="456"/>
      <c r="C2" s="456"/>
      <c r="D2" s="456"/>
      <c r="E2" s="456"/>
      <c r="F2" s="456"/>
      <c r="G2" s="456"/>
      <c r="H2" s="456"/>
      <c r="I2" s="456"/>
      <c r="J2" s="456"/>
      <c r="K2" s="456"/>
      <c r="L2" s="456"/>
      <c r="M2" s="456"/>
      <c r="N2" s="456"/>
      <c r="O2" s="456"/>
      <c r="P2" s="456"/>
      <c r="Q2" s="456"/>
      <c r="R2" s="456"/>
      <c r="S2" s="456"/>
    </row>
    <row r="3" spans="1:19" s="27" customFormat="1" x14ac:dyDescent="0.25">
      <c r="A3" s="456"/>
      <c r="B3" s="456"/>
      <c r="C3" s="456"/>
      <c r="D3" s="456"/>
      <c r="E3" s="456"/>
      <c r="F3" s="456"/>
      <c r="G3" s="456"/>
      <c r="H3" s="456"/>
      <c r="I3" s="456"/>
      <c r="J3" s="456"/>
      <c r="K3" s="456"/>
      <c r="L3" s="456"/>
      <c r="M3" s="456"/>
      <c r="N3" s="456"/>
      <c r="O3" s="456"/>
      <c r="P3" s="456"/>
      <c r="Q3" s="456"/>
      <c r="R3" s="456"/>
      <c r="S3" s="456"/>
    </row>
    <row r="4" spans="1:19" s="27" customFormat="1" x14ac:dyDescent="0.25">
      <c r="P4" s="33"/>
    </row>
    <row r="5" spans="1:19" s="27" customFormat="1" x14ac:dyDescent="0.25">
      <c r="B5" s="34" t="s">
        <v>23</v>
      </c>
      <c r="C5" s="35" t="e">
        <f>_xlfn.XLOOKUP(INT(SUBSTITUTE(C14,"Connecteur ","")),Mesures_Congel!C24:C35,Mesures_Congel!D24:D35)</f>
        <v>#N/A</v>
      </c>
      <c r="D5" s="35" t="e">
        <f>_xlfn.XLOOKUP(INT(SUBSTITUTE(D14,"Connecteur ","")),Mesures_Congel!C24:C35,Mesures_Congel!D24:D35)</f>
        <v>#N/A</v>
      </c>
      <c r="E5" s="35" t="e">
        <f>_xlfn.XLOOKUP(INT(SUBSTITUTE(E14,"Connecteur ","")),Mesures_Congel!C24:C35,Mesures_Congel!D24:D35)</f>
        <v>#N/A</v>
      </c>
      <c r="F5" s="35" t="e">
        <f>_xlfn.XLOOKUP(INT(SUBSTITUTE(F14,"Connecteur ","")),Mesures_Congel!C24:C35,Mesures_Congel!D24:D35)</f>
        <v>#N/A</v>
      </c>
      <c r="G5" s="35" t="e">
        <f>_xlfn.XLOOKUP(INT(SUBSTITUTE(G14,"Connecteur ","")),Mesures_Congel!C24:C35,Mesures_Congel!D24:D35)</f>
        <v>#N/A</v>
      </c>
      <c r="H5" s="35" t="e">
        <f>_xlfn.XLOOKUP(INT(SUBSTITUTE(H14,"Connecteur ","")),Mesures_Congel!C24:C35,Mesures_Congel!D24:D35)</f>
        <v>#N/A</v>
      </c>
      <c r="I5" s="35" t="e">
        <f>_xlfn.XLOOKUP(INT(SUBSTITUTE(I14,"Connecteur ","")),Mesures_Congel!C24:C35,Mesures_Congel!D24:D35)</f>
        <v>#N/A</v>
      </c>
      <c r="J5" s="35" t="e">
        <f>_xlfn.XLOOKUP(INT(SUBSTITUTE(J14,"Connecteur ","")),Mesures_Congel!C24:C35,Mesures_Congel!D24:D35)</f>
        <v>#N/A</v>
      </c>
      <c r="K5" s="35" t="e">
        <f>_xlfn.XLOOKUP(INT(SUBSTITUTE(K14,"Connecteur ","")),Mesures_Congel!C24:C35,Mesures_Congel!D24:D35)</f>
        <v>#N/A</v>
      </c>
      <c r="L5" s="35" t="e">
        <f>_xlfn.XLOOKUP(INT(SUBSTITUTE(L14,"Connecteur ","")),Mesures_Congel!C24:C35,Mesures_Congel!D24:D35)</f>
        <v>#N/A</v>
      </c>
      <c r="M5" s="35" t="e">
        <f>_xlfn.XLOOKUP(INT(SUBSTITUTE(M14,"Connecteur ","")),Mesures_Congel!C24:C35,Mesures_Congel!D24:D35)</f>
        <v>#N/A</v>
      </c>
      <c r="N5" s="35" t="e">
        <f>_xlfn.XLOOKUP(INT(SUBSTITUTE(N14,"Connecteur ","")),Mesures_Congel!C24:C35,Mesures_Congel!D24:D35)</f>
        <v>#N/A</v>
      </c>
      <c r="P5" s="33"/>
    </row>
    <row r="6" spans="1:19" s="27" customFormat="1" x14ac:dyDescent="0.25">
      <c r="B6" s="34" t="s">
        <v>87</v>
      </c>
      <c r="C6" s="35" t="e">
        <f>_xlfn.XLOOKUP(INT(SUBSTITUTE(C14,"Connecteur ","")),Mesures_Congel!C24:C35,Mesures_Congel!E24:E35)</f>
        <v>#N/A</v>
      </c>
      <c r="D6" s="35" t="e">
        <f>_xlfn.XLOOKUP(INT(SUBSTITUTE(D14,"Connecteur ","")),Mesures_Congel!C24:C35,Mesures_Congel!E24:E35)</f>
        <v>#N/A</v>
      </c>
      <c r="E6" s="35" t="e">
        <f>_xlfn.XLOOKUP(INT(SUBSTITUTE(E14,"Connecteur ","")),Mesures_Congel!C24:C35,Mesures_Congel!E24:E35)</f>
        <v>#N/A</v>
      </c>
      <c r="F6" s="35" t="e">
        <f>_xlfn.XLOOKUP(INT(SUBSTITUTE(F14,"Connecteur ","")),Mesures_Congel!C24:C35,Mesures_Congel!E24:E35)</f>
        <v>#N/A</v>
      </c>
      <c r="G6" s="35" t="e">
        <f>_xlfn.XLOOKUP(INT(SUBSTITUTE(G14,"Connecteur ","")),Mesures_Congel!C24:C35,Mesures_Congel!E24:E35)</f>
        <v>#N/A</v>
      </c>
      <c r="H6" s="35" t="e">
        <f>_xlfn.XLOOKUP(INT(SUBSTITUTE(H14,"Connecteur ","")),Mesures_Congel!C24:C35,Mesures_Congel!E24:E35)</f>
        <v>#N/A</v>
      </c>
      <c r="I6" s="35" t="e">
        <f>_xlfn.XLOOKUP(INT(SUBSTITUTE(I14,"Connecteur ","")),Mesures_Congel!C24:C35,Mesures_Congel!E24:E35)</f>
        <v>#N/A</v>
      </c>
      <c r="J6" s="35" t="e">
        <f>_xlfn.XLOOKUP(INT(SUBSTITUTE(J14,"Connecteur ","")),Mesures_Congel!C24:C35,Mesures_Congel!E24:E35)</f>
        <v>#N/A</v>
      </c>
      <c r="K6" s="35" t="e">
        <f>_xlfn.XLOOKUP(INT(SUBSTITUTE(K14,"Connecteur ","")),Mesures_Congel!C24:C35,Mesures_Congel!E24:E35)</f>
        <v>#N/A</v>
      </c>
      <c r="L6" s="35" t="e">
        <f>_xlfn.XLOOKUP(INT(SUBSTITUTE(L14,"Connecteur ","")),Mesures_Congel!C24:C35,Mesures_Congel!E24:E35)</f>
        <v>#N/A</v>
      </c>
      <c r="M6" s="35" t="e">
        <f>_xlfn.XLOOKUP(INT(SUBSTITUTE(M14,"Connecteur ","")),Mesures_Congel!C24:C35,Mesures_Congel!E24:E35)</f>
        <v>#N/A</v>
      </c>
      <c r="N6" s="35" t="e">
        <f>_xlfn.XLOOKUP(INT(SUBSTITUTE(N14,"Connecteur ","")),Mesures_Congel!C24:C35,Mesures_Congel!E24:E35)</f>
        <v>#N/A</v>
      </c>
      <c r="P6" s="33"/>
    </row>
    <row r="7" spans="1:19" s="27" customFormat="1" x14ac:dyDescent="0.25">
      <c r="P7" s="33"/>
    </row>
    <row r="8" spans="1:19" s="27" customFormat="1" x14ac:dyDescent="0.25">
      <c r="P8" s="33"/>
    </row>
    <row r="9" spans="1:19" s="27" customFormat="1" x14ac:dyDescent="0.25">
      <c r="A9" s="342" t="s">
        <v>88</v>
      </c>
      <c r="B9" s="342"/>
      <c r="C9" s="342"/>
      <c r="D9" s="342"/>
      <c r="E9" s="342"/>
      <c r="F9" s="342"/>
      <c r="G9" s="342"/>
      <c r="H9" s="342"/>
      <c r="I9" s="342"/>
      <c r="J9" s="342"/>
      <c r="K9" s="342"/>
      <c r="L9" s="342"/>
      <c r="M9" s="342"/>
      <c r="N9" s="342"/>
      <c r="P9" s="33"/>
    </row>
    <row r="10" spans="1:19" s="27" customFormat="1" ht="15" customHeight="1" x14ac:dyDescent="0.25">
      <c r="A10" s="33"/>
      <c r="B10" s="34" t="str" cm="1">
        <f t="array" ref="B10:N10">Valeurs_Brutes_Congel[#Headers]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P10" s="33"/>
    </row>
    <row r="11" spans="1:19" s="27" customFormat="1" ht="13.5" customHeight="1" x14ac:dyDescent="0.25">
      <c r="A11" s="143" t="s">
        <v>89</v>
      </c>
      <c r="B11" s="37" cm="1">
        <f t="array" ref="B11">Valeurs_Brutes_Congel[Date/Heure]</f>
        <v>0</v>
      </c>
      <c r="C11" s="38" cm="1">
        <f t="array" ref="C11:N11">Valeurs_Brutes_Congel[[Connecteur 1]:[Connecteur 12]]</f>
        <v>0</v>
      </c>
      <c r="D11" s="38">
        <v>0</v>
      </c>
      <c r="E11" s="38">
        <v>0</v>
      </c>
      <c r="F11" s="38">
        <v>0</v>
      </c>
      <c r="G11" s="38">
        <v>0</v>
      </c>
      <c r="H11" s="38">
        <v>0</v>
      </c>
      <c r="I11" s="38">
        <v>0</v>
      </c>
      <c r="J11" s="38">
        <v>0</v>
      </c>
      <c r="K11" s="38">
        <v>0</v>
      </c>
      <c r="L11" s="38">
        <v>0</v>
      </c>
      <c r="M11" s="38">
        <v>0</v>
      </c>
      <c r="N11" s="38">
        <v>0</v>
      </c>
      <c r="P11" s="33"/>
    </row>
    <row r="12" spans="1:19" s="27" customFormat="1" ht="13.5" customHeight="1" x14ac:dyDescent="0.25">
      <c r="A12" s="142" t="s">
        <v>89</v>
      </c>
      <c r="B12" s="39"/>
      <c r="C12" s="40"/>
      <c r="D12" s="40"/>
      <c r="E12" s="40"/>
      <c r="F12" s="40"/>
      <c r="G12" s="40"/>
      <c r="H12" s="40"/>
      <c r="I12" s="40"/>
      <c r="J12" s="40"/>
      <c r="K12" s="40"/>
      <c r="L12" s="40"/>
      <c r="M12" s="40"/>
      <c r="N12" s="40"/>
      <c r="P12" s="33"/>
    </row>
    <row r="13" spans="1:19" s="457" customFormat="1" x14ac:dyDescent="0.25"/>
    <row r="14" spans="1:19" s="27" customFormat="1" x14ac:dyDescent="0.25">
      <c r="C14" s="41" t="str" cm="1">
        <f t="array" ref="C14:N14">C10:N10</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P14" s="33"/>
    </row>
    <row r="15" spans="1:19" s="27" customFormat="1" x14ac:dyDescent="0.25">
      <c r="B15" s="42" t="s">
        <v>90</v>
      </c>
      <c r="C15" s="43" t="e" cm="1">
        <f t="array" ref="C15">MAX(Valeurs_Brutes_Congel[Connecteur 1]+Congel!C5+Congel!C6)</f>
        <v>#N/A</v>
      </c>
      <c r="D15" s="43" t="e" cm="1">
        <f t="array" ref="D15">MAX(Valeurs_Brutes_Congel[Connecteur 2]+Congel!D5+Congel!D6)</f>
        <v>#N/A</v>
      </c>
      <c r="E15" s="43" t="e" cm="1">
        <f t="array" ref="E15">MAX(Valeurs_Brutes_Congel[Connecteur 3]+Congel!E5+Congel!E6)</f>
        <v>#N/A</v>
      </c>
      <c r="F15" s="43" t="e" cm="1">
        <f t="array" ref="F15">MAX(Valeurs_Brutes_Congel[Connecteur 4]+Congel!F5+Congel!F6)</f>
        <v>#N/A</v>
      </c>
      <c r="G15" s="43" t="e" cm="1">
        <f t="array" ref="G15">MAX(Valeurs_Brutes_Congel[Connecteur 5]+Congel!G5+Congel!G6)</f>
        <v>#N/A</v>
      </c>
      <c r="H15" s="43" t="e" cm="1">
        <f t="array" ref="H15">MAX(Valeurs_Brutes_Congel[Connecteur 6]+Congel!H5+Congel!H6)</f>
        <v>#N/A</v>
      </c>
      <c r="I15" s="43" t="e" cm="1">
        <f t="array" ref="I15">MAX(Valeurs_Brutes_Congel[Connecteur 7]+Congel!I5+Congel!I6)</f>
        <v>#N/A</v>
      </c>
      <c r="J15" s="43" t="e" cm="1">
        <f t="array" ref="J15">MAX(Valeurs_Brutes_Congel[Connecteur 8]+Congel!J5+Congel!J6)</f>
        <v>#N/A</v>
      </c>
      <c r="K15" s="43" t="e" cm="1">
        <f t="array" ref="K15">MAX(Valeurs_Brutes_Congel[Connecteur 9]+Congel!K5+Congel!K6)</f>
        <v>#N/A</v>
      </c>
      <c r="L15" s="43" t="e" cm="1">
        <f t="array" ref="L15">MAX(Valeurs_Brutes_Congel[Connecteur 10]+Congel!L5+Congel!L6)</f>
        <v>#N/A</v>
      </c>
      <c r="M15" s="43" t="e" cm="1">
        <f t="array" ref="M15">MAX(Valeurs_Brutes_Congel[Connecteur 11]+Congel!M5+Congel!M6)</f>
        <v>#N/A</v>
      </c>
      <c r="N15" s="43" t="e" cm="1">
        <f t="array" ref="N15">MAX(Valeurs_Brutes_Congel[Connecteur 12]+Congel!N5+Congel!N6)</f>
        <v>#N/A</v>
      </c>
      <c r="O15" s="48">
        <f>R15+Mesures_Congel!B21</f>
        <v>0</v>
      </c>
      <c r="P15" s="33"/>
      <c r="Q15" s="36" t="s">
        <v>547</v>
      </c>
      <c r="R15" s="48">
        <f>Mesures_Congel!B18</f>
        <v>0</v>
      </c>
    </row>
    <row r="16" spans="1:19" s="27" customFormat="1" x14ac:dyDescent="0.25">
      <c r="B16" s="42" t="s">
        <v>91</v>
      </c>
      <c r="C16" s="43" t="e">
        <f ca="1">MAX(OFFSET(INDEX(Valeurs_Brutes_Congel[Connecteur 1],1),COUNT(Valeurs_Brutes_Congel[Connecteur 1])-30,0,30))+C5+C6</f>
        <v>#REF!</v>
      </c>
      <c r="D16" s="43" t="e">
        <f ca="1">MAX(OFFSET(INDEX(Valeurs_Brutes_Congel[Connecteur 2],1),COUNT(Valeurs_Brutes_Congel[Connecteur 2])-30,0,30))+D5+D6</f>
        <v>#REF!</v>
      </c>
      <c r="E16" s="43" t="e">
        <f ca="1">MAX(OFFSET(INDEX(Valeurs_Brutes_Congel[Connecteur 3],1),COUNT(Valeurs_Brutes_Congel[Connecteur 3])-30,0,30))+E5+E6</f>
        <v>#REF!</v>
      </c>
      <c r="F16" s="43" t="e">
        <f ca="1">MAX(OFFSET(INDEX(Valeurs_Brutes_Congel[Connecteur 4],1),COUNT(Valeurs_Brutes_Congel[Connecteur 4])-30,0,30))+F5+F6</f>
        <v>#REF!</v>
      </c>
      <c r="G16" s="43" t="e">
        <f ca="1">MAX(OFFSET(INDEX(Valeurs_Brutes_Congel[Connecteur 5],1),COUNT(Valeurs_Brutes_Congel[Connecteur 5])-30,0,30))+G5+G6</f>
        <v>#REF!</v>
      </c>
      <c r="H16" s="43" t="e">
        <f ca="1">MAX(OFFSET(INDEX(Valeurs_Brutes_Congel[Connecteur 6],1),COUNT(Valeurs_Brutes_Congel[Connecteur 6])-30,0,30))+H5+H6</f>
        <v>#REF!</v>
      </c>
      <c r="I16" s="43" t="e">
        <f ca="1">MAX(OFFSET(INDEX(Valeurs_Brutes_Congel[Connecteur 7],1),COUNT(Valeurs_Brutes_Congel[Connecteur 7])-30,0,30))+I5+I6</f>
        <v>#REF!</v>
      </c>
      <c r="J16" s="43" t="e">
        <f ca="1">MAX(OFFSET(INDEX(Valeurs_Brutes_Congel[Connecteur 8],1),COUNT(Valeurs_Brutes_Congel[Connecteur 8])-30,0,30))+J5+J6</f>
        <v>#REF!</v>
      </c>
      <c r="K16" s="43" t="e">
        <f ca="1">MAX(OFFSET(INDEX(Valeurs_Brutes_Congel[Connecteur 9],1),COUNT(Valeurs_Brutes_Congel[Connecteur 9])-30,0,30))+K5+K6</f>
        <v>#REF!</v>
      </c>
      <c r="L16" s="43" t="e">
        <f ca="1">MAX(OFFSET(INDEX(Valeurs_Brutes_Congel[Connecteur 10],1),COUNT(Valeurs_Brutes_Congel[Connecteur 10])-30,0,30))+L5+L6</f>
        <v>#REF!</v>
      </c>
      <c r="M16" s="43" t="e">
        <f ca="1">MAX(OFFSET(INDEX(Valeurs_Brutes_Congel[Connecteur 11],1),COUNT(Valeurs_Brutes_Congel[Connecteur 11])-30,0,30))+M5+M6</f>
        <v>#REF!</v>
      </c>
      <c r="N16" s="43" t="e">
        <f ca="1">MAX(OFFSET(INDEX(Valeurs_Brutes_Congel[Connecteur 12],1),COUNT(Valeurs_Brutes_Congel[Connecteur 12])-30,0,30))+N5+N6</f>
        <v>#REF!</v>
      </c>
      <c r="O16" s="48">
        <f>R15+Mesures_Congel!B21</f>
        <v>0</v>
      </c>
      <c r="P16" s="33"/>
      <c r="Q16" s="36" t="s">
        <v>555</v>
      </c>
      <c r="R16" s="35" t="str">
        <f>"+" &amp; Mesures_Congel!B21 &amp; "°C"</f>
        <v>+°C</v>
      </c>
    </row>
    <row r="17" spans="2:18" s="27" customFormat="1" x14ac:dyDescent="0.25">
      <c r="B17" s="42" t="s">
        <v>93</v>
      </c>
      <c r="C17" s="43" t="e">
        <f ca="1">MIN(OFFSET(INDEX(Valeurs_Brutes_Congel[Connecteur 1],1),COUNT(Valeurs_Brutes_Congel[Connecteur 1])-30,0,30))+C5+C6</f>
        <v>#REF!</v>
      </c>
      <c r="D17" s="43" t="e">
        <f ca="1">MIN(OFFSET(INDEX(Valeurs_Brutes_Congel[Connecteur 2],1),COUNT(Valeurs_Brutes_Congel[Connecteur 2])-30,0,30))+D5+D6</f>
        <v>#REF!</v>
      </c>
      <c r="E17" s="43" t="e">
        <f ca="1">MIN(OFFSET(INDEX(Valeurs_Brutes_Congel[Connecteur 3],1),COUNT(Valeurs_Brutes_Congel[Connecteur 3])-30,0,30))+E5+E6</f>
        <v>#REF!</v>
      </c>
      <c r="F17" s="43" t="e">
        <f ca="1">MIN(OFFSET(INDEX(Valeurs_Brutes_Congel[Connecteur 4],1),COUNT(Valeurs_Brutes_Congel[Connecteur 4])-30,0,30))+F5+F6</f>
        <v>#REF!</v>
      </c>
      <c r="G17" s="43" t="e">
        <f ca="1">MIN(OFFSET(INDEX(Valeurs_Brutes_Congel[Connecteur 5],1),COUNT(Valeurs_Brutes_Congel[Connecteur 5])-30,0,30))+G5+G6</f>
        <v>#REF!</v>
      </c>
      <c r="H17" s="43" t="e">
        <f ca="1">MIN(OFFSET(INDEX(Valeurs_Brutes_Congel[Connecteur 6],1),COUNT(Valeurs_Brutes_Congel[Connecteur 6])-30,0,30))+H5+H6</f>
        <v>#REF!</v>
      </c>
      <c r="I17" s="43" t="e">
        <f ca="1">MIN(OFFSET(INDEX(Valeurs_Brutes_Congel[Connecteur 7],1),COUNT(Valeurs_Brutes_Congel[Connecteur 7])-30,0,30))+I5+I6</f>
        <v>#REF!</v>
      </c>
      <c r="J17" s="43" t="e">
        <f ca="1">MIN(OFFSET(INDEX(Valeurs_Brutes_Congel[Connecteur 8],1),COUNT(Valeurs_Brutes_Congel[Connecteur 8])-30,0,30))+J5+J6</f>
        <v>#REF!</v>
      </c>
      <c r="K17" s="43" t="e">
        <f ca="1">MIN(OFFSET(INDEX(Valeurs_Brutes_Congel[Connecteur 9],1),COUNT(Valeurs_Brutes_Congel[Connecteur 9])-30,0,30))+K5+K6</f>
        <v>#REF!</v>
      </c>
      <c r="L17" s="43" t="e">
        <f ca="1">MIN(OFFSET(INDEX(Valeurs_Brutes_Congel[Connecteur 10],1),COUNT(Valeurs_Brutes_Congel[Connecteur 10])-30,0,30))+L5+L6</f>
        <v>#REF!</v>
      </c>
      <c r="M17" s="43" t="e">
        <f ca="1">MIN(OFFSET(INDEX(Valeurs_Brutes_Congel[Connecteur 11],1),COUNT(Valeurs_Brutes_Congel[Connecteur 11])-30,0,30))+M5+M6</f>
        <v>#REF!</v>
      </c>
      <c r="N17" s="43" t="e">
        <f ca="1">MIN(OFFSET(INDEX(Valeurs_Brutes_Congel[Connecteur 12],1),COUNT(Valeurs_Brutes_Congel[Connecteur 12])-30,0,30))+N5+N6</f>
        <v>#REF!</v>
      </c>
      <c r="O17" s="48">
        <f>R15 - Mesures_Congel!B21</f>
        <v>0</v>
      </c>
      <c r="P17" s="33"/>
      <c r="Q17" s="36" t="s">
        <v>556</v>
      </c>
      <c r="R17" s="35" t="str">
        <f>"-" &amp; Mesures_Congel!B21 &amp; "°C"</f>
        <v>-°C</v>
      </c>
    </row>
    <row r="18" spans="2:18" s="27" customFormat="1" x14ac:dyDescent="0.25">
      <c r="B18" s="42" t="s">
        <v>95</v>
      </c>
      <c r="C18" s="43" t="e">
        <f ca="1">AVERAGE(OFFSET(INDEX(Valeurs_Brutes_Congel[Connecteur 1],1),COUNT(Valeurs_Brutes_Congel[Connecteur 1])-30,0,30))+C5+C6</f>
        <v>#REF!</v>
      </c>
      <c r="D18" s="43" t="e">
        <f ca="1">AVERAGE(OFFSET(INDEX(Valeurs_Brutes_Congel[Connecteur 2],1),COUNT(Valeurs_Brutes_Congel[Connecteur 2])-30,0,30))+D5+D6</f>
        <v>#REF!</v>
      </c>
      <c r="E18" s="43" t="e">
        <f ca="1">AVERAGE(OFFSET(INDEX(Valeurs_Brutes_Congel[Connecteur 3],1),COUNT(Valeurs_Brutes_Congel[Connecteur 3])-30,0,30))+E5+E6</f>
        <v>#REF!</v>
      </c>
      <c r="F18" s="43" t="e">
        <f ca="1">AVERAGE(OFFSET(INDEX(Valeurs_Brutes_Congel[Connecteur 4],1),COUNT(Valeurs_Brutes_Congel[Connecteur 4])-30,0,30))+F5+F6</f>
        <v>#REF!</v>
      </c>
      <c r="G18" s="43" t="e">
        <f ca="1">AVERAGE(OFFSET(INDEX(Valeurs_Brutes_Congel[Connecteur 5],1),COUNT(Valeurs_Brutes_Congel[Connecteur 5])-30,0,30))+G5+G6</f>
        <v>#REF!</v>
      </c>
      <c r="H18" s="43" t="e">
        <f ca="1">AVERAGE(OFFSET(INDEX(Valeurs_Brutes_Congel[Connecteur 6],1),COUNT(Valeurs_Brutes_Congel[Connecteur 6])-30,0,30))+H5+H6</f>
        <v>#REF!</v>
      </c>
      <c r="I18" s="43" t="e">
        <f ca="1">AVERAGE(OFFSET(INDEX(Valeurs_Brutes_Congel[Connecteur 7],1),COUNT(Valeurs_Brutes_Congel[Connecteur 7])-30,0,30))+I5+I6</f>
        <v>#REF!</v>
      </c>
      <c r="J18" s="43" t="e">
        <f ca="1">AVERAGE(OFFSET(INDEX(Valeurs_Brutes_Congel[Connecteur 8],1),COUNT(Valeurs_Brutes_Congel[Connecteur 8])-30,0,30))+J5+J6</f>
        <v>#REF!</v>
      </c>
      <c r="K18" s="43" t="e">
        <f ca="1">AVERAGE(OFFSET(INDEX(Valeurs_Brutes_Congel[Connecteur 9],1),COUNT(Valeurs_Brutes_Congel[Connecteur 9])-30,0,30))+K5+K6</f>
        <v>#REF!</v>
      </c>
      <c r="L18" s="43" t="e">
        <f ca="1">AVERAGE(OFFSET(INDEX(Valeurs_Brutes_Congel[Connecteur 10],1),COUNT(Valeurs_Brutes_Congel[Connecteur 10])-30,0,30))+L5+L6</f>
        <v>#REF!</v>
      </c>
      <c r="M18" s="43" t="e">
        <f ca="1">AVERAGE(OFFSET(INDEX(Valeurs_Brutes_Congel[Connecteur 11],1),COUNT(Valeurs_Brutes_Congel[Connecteur 11])-30,0,30))+M5+M6</f>
        <v>#REF!</v>
      </c>
      <c r="N18" s="43" t="e">
        <f ca="1">AVERAGE(OFFSET(INDEX(Valeurs_Brutes_Congel[Connecteur 12],1),COUNT(Valeurs_Brutes_Congel[Connecteur 12])-30,0,30))+N5+N6</f>
        <v>#REF!</v>
      </c>
      <c r="O18" s="44"/>
      <c r="P18" s="33"/>
    </row>
    <row r="19" spans="2:18" s="27" customFormat="1" x14ac:dyDescent="0.25">
      <c r="B19" s="42" t="s">
        <v>96</v>
      </c>
      <c r="C19" s="45" t="e">
        <f ca="1">C16-C17</f>
        <v>#REF!</v>
      </c>
      <c r="D19" s="45" t="e">
        <f t="shared" ref="D19:N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4"/>
      <c r="P19" s="33"/>
    </row>
    <row r="20" spans="2:18" s="27" customFormat="1" x14ac:dyDescent="0.25">
      <c r="B20" s="42" t="s">
        <v>97</v>
      </c>
      <c r="C20" s="376" t="e">
        <f ca="1">ABS(MAX(C16:N16)- MIN(C17:N17))</f>
        <v>#REF!</v>
      </c>
      <c r="D20" s="376"/>
      <c r="E20" s="376"/>
      <c r="F20" s="376"/>
      <c r="G20" s="376"/>
      <c r="H20" s="376"/>
      <c r="I20" s="376"/>
      <c r="J20" s="376"/>
      <c r="K20" s="376"/>
      <c r="L20" s="376"/>
      <c r="M20" s="376"/>
      <c r="N20" s="376"/>
      <c r="O20" s="376"/>
      <c r="P20" s="33"/>
    </row>
    <row r="21" spans="2:18" s="27" customFormat="1" x14ac:dyDescent="0.25">
      <c r="B21" s="42" t="s">
        <v>98</v>
      </c>
      <c r="C21" s="376" t="e">
        <f ca="1">AVERAGE(C18:N18)</f>
        <v>#REF!</v>
      </c>
      <c r="D21" s="376"/>
      <c r="E21" s="376"/>
      <c r="F21" s="376"/>
      <c r="G21" s="376"/>
      <c r="H21" s="376"/>
      <c r="I21" s="376"/>
      <c r="J21" s="376"/>
      <c r="K21" s="376"/>
      <c r="L21" s="376"/>
      <c r="M21" s="376"/>
      <c r="N21" s="376"/>
      <c r="O21" s="376"/>
      <c r="P21" s="33"/>
    </row>
    <row r="22" spans="2:18" s="27" customFormat="1" x14ac:dyDescent="0.25">
      <c r="B22" s="36" t="s">
        <v>99</v>
      </c>
      <c r="C22" s="46" t="e">
        <f ca="1">STDEV(OFFSET(INDEX(Valeurs_Brutes_Congel[Connecteur 1],1),COUNT(Valeurs_Brutes_Congel[Connecteur 1])-30,0,30))+C5+C6</f>
        <v>#REF!</v>
      </c>
      <c r="D22" s="46" t="e">
        <f ca="1">STDEV(OFFSET(INDEX(Valeurs_Brutes_Congel[Connecteur 2],1),COUNT(Valeurs_Brutes_Congel[Connecteur 2])-30,0,30))+D5+D6</f>
        <v>#REF!</v>
      </c>
      <c r="E22" s="46" t="e">
        <f ca="1">STDEV(OFFSET(INDEX(Valeurs_Brutes_Congel[Connecteur 3],1),COUNT(Valeurs_Brutes_Congel[Connecteur 3])-30,0,30))+E5+E6</f>
        <v>#REF!</v>
      </c>
      <c r="F22" s="46" t="e">
        <f ca="1">STDEV(OFFSET(INDEX(Valeurs_Brutes_Congel[Connecteur 4],1),COUNT(Valeurs_Brutes_Congel[Connecteur 4])-30,0,30))+F5+F6</f>
        <v>#REF!</v>
      </c>
      <c r="G22" s="46" t="e">
        <f ca="1">STDEV(OFFSET(INDEX(Valeurs_Brutes_Congel[Connecteur 5],1),COUNT(Valeurs_Brutes_Congel[Connecteur 5])-30,0,30))+G5+G6</f>
        <v>#REF!</v>
      </c>
      <c r="H22" s="46" t="e">
        <f ca="1">STDEV(OFFSET(INDEX(Valeurs_Brutes_Congel[Connecteur 6],1),COUNT(Valeurs_Brutes_Congel[Connecteur 6])-30,0,30))+H5+H6</f>
        <v>#REF!</v>
      </c>
      <c r="I22" s="46" t="e">
        <f ca="1">STDEV(OFFSET(INDEX(Valeurs_Brutes_Congel[Connecteur 7],1),COUNT(Valeurs_Brutes_Congel[Connecteur 7])-30,0,30))+I5+I6</f>
        <v>#REF!</v>
      </c>
      <c r="J22" s="46" t="e">
        <f ca="1">STDEV(OFFSET(INDEX(Valeurs_Brutes_Congel[Connecteur 8],1),COUNT(Valeurs_Brutes_Congel[Connecteur 8])-30,0,30))+J5+J6</f>
        <v>#REF!</v>
      </c>
      <c r="K22" s="46" t="e">
        <f ca="1">STDEV(OFFSET(INDEX(Valeurs_Brutes_Congel[Connecteur 9],1),COUNT(Valeurs_Brutes_Congel[Connecteur 9])-30,0,30))+K5+K6</f>
        <v>#REF!</v>
      </c>
      <c r="L22" s="46" t="e">
        <f ca="1">STDEV(OFFSET(INDEX(Valeurs_Brutes_Congel[Connecteur 10],1),COUNT(Valeurs_Brutes_Congel[Connecteur 10])-30,0,30))+L5+L6</f>
        <v>#REF!</v>
      </c>
      <c r="M22" s="46" t="e">
        <f ca="1">STDEV(OFFSET(INDEX(Valeurs_Brutes_Congel[Connecteur 11],1),COUNT(Valeurs_Brutes_Congel[Connecteur 11])-30,0,30))+M5+M6</f>
        <v>#REF!</v>
      </c>
      <c r="N22" s="46" t="e">
        <f ca="1">STDEV(OFFSET(INDEX(Valeurs_Brutes_Congel[Connecteur 12],1),COUNT(Valeurs_Brutes_Congel[Connecteur 12])-30,0,30))+N5+N6</f>
        <v>#REF!</v>
      </c>
      <c r="O22" s="44"/>
      <c r="P22" s="33"/>
      <c r="Q22" s="47"/>
    </row>
    <row r="23" spans="2:18" s="27" customFormat="1" x14ac:dyDescent="0.25">
      <c r="P23" s="33"/>
    </row>
    <row r="24" spans="2:18" s="27" customFormat="1" x14ac:dyDescent="0.25">
      <c r="P24" s="33"/>
    </row>
    <row r="25" spans="2:18" s="27" customFormat="1" x14ac:dyDescent="0.25">
      <c r="P25" s="33"/>
    </row>
  </sheetData>
  <sheetProtection algorithmName="SHA-512" hashValue="nNNJDeeQFpvYoivCsef1AqPi+bFny2Q1p0InAaYn+RNakdAPXPyuPbpOMX8HhAwXiNcww0hx/E5ci0ca42BEYg==" saltValue="rE8XErirBeiAbNurcsxcHg==" spinCount="100000" sheet="1" objects="1" scenarios="1"/>
  <dataConsolidate/>
  <mergeCells count="5">
    <mergeCell ref="A1:S3"/>
    <mergeCell ref="A9:N9"/>
    <mergeCell ref="A13:XFD13"/>
    <mergeCell ref="C20:O20"/>
    <mergeCell ref="C21:O21"/>
  </mergeCells>
  <conditionalFormatting sqref="C15:N15">
    <cfRule type="cellIs" dxfId="55" priority="3" operator="greaterThan">
      <formula>$O$15</formula>
    </cfRule>
  </conditionalFormatting>
  <conditionalFormatting sqref="C16:N16">
    <cfRule type="cellIs" dxfId="54" priority="2" operator="greaterThan">
      <formula>$O$16</formula>
    </cfRule>
  </conditionalFormatting>
  <conditionalFormatting sqref="C17:N17">
    <cfRule type="cellIs" dxfId="53" priority="1" operator="lessThan">
      <formula>$O$17</formula>
    </cfRule>
  </conditionalFormatting>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9AE95-EA86-4988-A93A-ADE799AB79B4}">
  <sheetPr codeName="Feuil18">
    <tabColor theme="8" tint="0.39997558519241921"/>
  </sheetPr>
  <dimension ref="A5:J307"/>
  <sheetViews>
    <sheetView view="pageLayout" topLeftCell="A292" zoomScale="70" zoomScaleNormal="60" zoomScaleSheetLayoutView="77" zoomScalePageLayoutView="70" workbookViewId="0">
      <selection activeCell="F297" sqref="F297"/>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7" t="s">
        <v>137</v>
      </c>
      <c r="C5" s="87"/>
      <c r="D5" s="87"/>
      <c r="E5" s="87"/>
      <c r="F5" s="87"/>
      <c r="G5" s="87"/>
      <c r="H5" s="87"/>
      <c r="I5" s="88"/>
    </row>
    <row r="10" spans="2:9" ht="21" x14ac:dyDescent="0.25">
      <c r="C10" s="381" t="s">
        <v>138</v>
      </c>
      <c r="D10" s="381"/>
      <c r="E10" s="474">
        <f>Mesures_Congel!D6</f>
        <v>0</v>
      </c>
      <c r="F10" s="474"/>
    </row>
    <row r="11" spans="2:9" ht="21" x14ac:dyDescent="0.25">
      <c r="C11" s="89"/>
      <c r="D11" s="89"/>
      <c r="E11" s="90"/>
      <c r="F11" s="90"/>
    </row>
    <row r="12" spans="2:9" x14ac:dyDescent="0.25">
      <c r="C12" s="91" t="s">
        <v>1</v>
      </c>
      <c r="D12" s="92">
        <f>Mesures_Congel!C8</f>
        <v>0</v>
      </c>
      <c r="F12" s="91" t="s">
        <v>18</v>
      </c>
      <c r="G12" s="92">
        <f>Mesures_Congel!G8</f>
        <v>0</v>
      </c>
    </row>
    <row r="13" spans="2:9" ht="15.75" x14ac:dyDescent="0.25">
      <c r="C13" s="93" t="s">
        <v>2</v>
      </c>
      <c r="D13" s="94">
        <f>Mesures_Congel!C9</f>
        <v>0</v>
      </c>
      <c r="F13" s="95" t="s">
        <v>19</v>
      </c>
      <c r="G13" s="94">
        <f>Mesures_Congel!G9</f>
        <v>0</v>
      </c>
    </row>
    <row r="14" spans="2:9" ht="15.75" x14ac:dyDescent="0.25">
      <c r="C14" s="96"/>
      <c r="D14" s="97"/>
      <c r="G14" s="98"/>
    </row>
    <row r="15" spans="2:9" ht="15.75" x14ac:dyDescent="0.25">
      <c r="C15" s="99" t="s">
        <v>139</v>
      </c>
      <c r="D15" s="100">
        <f>Mesures_Congel!C15</f>
        <v>0</v>
      </c>
      <c r="F15" s="91" t="s">
        <v>140</v>
      </c>
      <c r="G15" s="101">
        <f>Mesures_Congel!C16</f>
        <v>0</v>
      </c>
    </row>
    <row r="16" spans="2:9" ht="15.75" x14ac:dyDescent="0.25">
      <c r="C16" s="99" t="s">
        <v>141</v>
      </c>
      <c r="D16" s="102">
        <f>Mesures_Congel!G12</f>
        <v>9</v>
      </c>
      <c r="F16" s="91" t="s">
        <v>142</v>
      </c>
      <c r="G16" s="101">
        <f>Mesures_Congel!G13</f>
        <v>0</v>
      </c>
    </row>
    <row r="17" spans="1:9" ht="15.75" x14ac:dyDescent="0.25">
      <c r="C17" s="96"/>
      <c r="D17" s="97"/>
      <c r="F17" s="96"/>
      <c r="G17" s="27"/>
    </row>
    <row r="18" spans="1:9" ht="15.75" x14ac:dyDescent="0.25">
      <c r="C18" s="99" t="s">
        <v>143</v>
      </c>
      <c r="D18" s="139">
        <f>Mesures_Congel!C12</f>
        <v>0</v>
      </c>
      <c r="F18" s="91" t="s">
        <v>144</v>
      </c>
      <c r="G18" s="140">
        <f>Mesures_Congel!G11</f>
        <v>0</v>
      </c>
    </row>
    <row r="19" spans="1:9" ht="15.75" x14ac:dyDescent="0.25">
      <c r="C19" s="93" t="s">
        <v>145</v>
      </c>
      <c r="D19" s="100">
        <f>Mesures_Congel!C11</f>
        <v>0</v>
      </c>
    </row>
    <row r="20" spans="1:9" ht="15.75" x14ac:dyDescent="0.25">
      <c r="C20" s="96"/>
      <c r="D20" s="97"/>
    </row>
    <row r="21" spans="1:9" ht="15.75" x14ac:dyDescent="0.25">
      <c r="C21" s="96"/>
      <c r="D21" s="97"/>
    </row>
    <row r="28" spans="1:9" ht="36" x14ac:dyDescent="0.55000000000000004">
      <c r="A28" s="462" t="s">
        <v>146</v>
      </c>
      <c r="B28" s="462"/>
    </row>
    <row r="30" spans="1:9" x14ac:dyDescent="0.25">
      <c r="A30" s="383" t="s">
        <v>147</v>
      </c>
      <c r="B30" s="383"/>
      <c r="C30" s="383"/>
      <c r="D30" s="383"/>
      <c r="E30" s="383"/>
      <c r="F30" s="383"/>
      <c r="G30" s="383"/>
      <c r="H30" s="383"/>
      <c r="I30" s="383"/>
    </row>
    <row r="31" spans="1:9" x14ac:dyDescent="0.25">
      <c r="A31" s="383"/>
      <c r="B31" s="383"/>
      <c r="C31" s="383"/>
      <c r="D31" s="383"/>
      <c r="E31" s="383"/>
      <c r="F31" s="383"/>
      <c r="G31" s="383"/>
      <c r="H31" s="383"/>
      <c r="I31" s="383"/>
    </row>
    <row r="32" spans="1:9" x14ac:dyDescent="0.25">
      <c r="A32" s="383"/>
      <c r="B32" s="383"/>
      <c r="C32" s="383"/>
      <c r="D32" s="383"/>
      <c r="E32" s="383"/>
      <c r="F32" s="383"/>
      <c r="G32" s="383"/>
      <c r="H32" s="383"/>
      <c r="I32" s="383"/>
    </row>
    <row r="33" spans="1:9" x14ac:dyDescent="0.25">
      <c r="A33" s="383"/>
      <c r="B33" s="383"/>
      <c r="C33" s="383"/>
      <c r="D33" s="383"/>
      <c r="E33" s="383"/>
      <c r="F33" s="383"/>
      <c r="G33" s="383"/>
      <c r="H33" s="383"/>
      <c r="I33" s="383"/>
    </row>
    <row r="34" spans="1:9" x14ac:dyDescent="0.25">
      <c r="A34" s="383"/>
      <c r="B34" s="383"/>
      <c r="C34" s="383"/>
      <c r="D34" s="383"/>
      <c r="E34" s="383"/>
      <c r="F34" s="383"/>
      <c r="G34" s="383"/>
      <c r="H34" s="383"/>
      <c r="I34" s="383"/>
    </row>
    <row r="35" spans="1:9" x14ac:dyDescent="0.25">
      <c r="A35" s="383"/>
      <c r="B35" s="383"/>
      <c r="C35" s="383"/>
      <c r="D35" s="383"/>
      <c r="E35" s="383"/>
      <c r="F35" s="383"/>
      <c r="G35" s="383"/>
      <c r="H35" s="383"/>
      <c r="I35" s="383"/>
    </row>
    <row r="36" spans="1:9" x14ac:dyDescent="0.25">
      <c r="A36" s="383"/>
      <c r="B36" s="383"/>
      <c r="C36" s="383"/>
      <c r="D36" s="383"/>
      <c r="E36" s="383"/>
      <c r="F36" s="383"/>
      <c r="G36" s="383"/>
      <c r="H36" s="383"/>
      <c r="I36" s="383"/>
    </row>
    <row r="37" spans="1:9" x14ac:dyDescent="0.25">
      <c r="A37" s="383"/>
      <c r="B37" s="383"/>
      <c r="C37" s="383"/>
      <c r="D37" s="383"/>
      <c r="E37" s="383"/>
      <c r="F37" s="383"/>
      <c r="G37" s="383"/>
      <c r="H37" s="383"/>
      <c r="I37" s="383"/>
    </row>
    <row r="38" spans="1:9" x14ac:dyDescent="0.25">
      <c r="A38" s="383"/>
      <c r="B38" s="383"/>
      <c r="C38" s="383"/>
      <c r="D38" s="383"/>
      <c r="E38" s="383"/>
      <c r="F38" s="383"/>
      <c r="G38" s="383"/>
      <c r="H38" s="383"/>
      <c r="I38" s="383"/>
    </row>
    <row r="39" spans="1:9" x14ac:dyDescent="0.25">
      <c r="A39" s="383"/>
      <c r="B39" s="383"/>
      <c r="C39" s="383"/>
      <c r="D39" s="383"/>
      <c r="E39" s="383"/>
      <c r="F39" s="383"/>
      <c r="G39" s="383"/>
      <c r="H39" s="383"/>
      <c r="I39" s="383"/>
    </row>
    <row r="40" spans="1:9" x14ac:dyDescent="0.25">
      <c r="A40" s="383"/>
      <c r="B40" s="383"/>
      <c r="C40" s="383"/>
      <c r="D40" s="383"/>
      <c r="E40" s="383"/>
      <c r="F40" s="383"/>
      <c r="G40" s="383"/>
      <c r="H40" s="383"/>
      <c r="I40" s="383"/>
    </row>
    <row r="41" spans="1:9" x14ac:dyDescent="0.25">
      <c r="A41" s="383"/>
      <c r="B41" s="383"/>
      <c r="C41" s="383"/>
      <c r="D41" s="383"/>
      <c r="E41" s="383"/>
      <c r="F41" s="383"/>
      <c r="G41" s="383"/>
      <c r="H41" s="383"/>
      <c r="I41" s="383"/>
    </row>
    <row r="42" spans="1:9" x14ac:dyDescent="0.25">
      <c r="A42" s="383"/>
      <c r="B42" s="383"/>
      <c r="C42" s="383"/>
      <c r="D42" s="383"/>
      <c r="E42" s="383"/>
      <c r="F42" s="383"/>
      <c r="G42" s="383"/>
      <c r="H42" s="383"/>
      <c r="I42" s="383"/>
    </row>
    <row r="43" spans="1:9" x14ac:dyDescent="0.25">
      <c r="A43" s="383"/>
      <c r="B43" s="383"/>
      <c r="C43" s="383"/>
      <c r="D43" s="383"/>
      <c r="E43" s="383"/>
      <c r="F43" s="383"/>
      <c r="G43" s="383"/>
      <c r="H43" s="383"/>
      <c r="I43" s="383"/>
    </row>
    <row r="44" spans="1:9" x14ac:dyDescent="0.25">
      <c r="A44" s="383"/>
      <c r="B44" s="383"/>
      <c r="C44" s="383"/>
      <c r="D44" s="383"/>
      <c r="E44" s="383"/>
      <c r="F44" s="383"/>
      <c r="G44" s="383"/>
      <c r="H44" s="383"/>
      <c r="I44" s="383"/>
    </row>
    <row r="45" spans="1:9" x14ac:dyDescent="0.25">
      <c r="A45" s="383"/>
      <c r="B45" s="383"/>
      <c r="C45" s="383"/>
      <c r="D45" s="383"/>
      <c r="E45" s="383"/>
      <c r="F45" s="383"/>
      <c r="G45" s="383"/>
      <c r="H45" s="383"/>
      <c r="I45" s="383"/>
    </row>
    <row r="46" spans="1:9" x14ac:dyDescent="0.25">
      <c r="A46" s="383"/>
      <c r="B46" s="383"/>
      <c r="C46" s="383"/>
      <c r="D46" s="383"/>
      <c r="E46" s="383"/>
      <c r="F46" s="383"/>
      <c r="G46" s="383"/>
      <c r="H46" s="383"/>
      <c r="I46" s="383"/>
    </row>
    <row r="47" spans="1:9" x14ac:dyDescent="0.25">
      <c r="A47" s="383"/>
      <c r="B47" s="383"/>
      <c r="C47" s="383"/>
      <c r="D47" s="383"/>
      <c r="E47" s="383"/>
      <c r="F47" s="383"/>
      <c r="G47" s="383"/>
      <c r="H47" s="383"/>
      <c r="I47" s="383"/>
    </row>
    <row r="51" spans="2:8" ht="36" x14ac:dyDescent="0.25">
      <c r="C51" s="464" t="s">
        <v>148</v>
      </c>
      <c r="D51" s="464"/>
      <c r="E51" s="464"/>
      <c r="F51" s="464"/>
    </row>
    <row r="52" spans="2:8" ht="20.25" customHeight="1" x14ac:dyDescent="0.25">
      <c r="B52" s="104"/>
    </row>
    <row r="53" spans="2:8" ht="23.25" x14ac:dyDescent="0.25">
      <c r="B53" s="105" t="s">
        <v>149</v>
      </c>
    </row>
    <row r="55" spans="2:8" ht="21" x14ac:dyDescent="0.25">
      <c r="B55" s="106" t="s">
        <v>150</v>
      </c>
      <c r="E55" s="473" t="s">
        <v>151</v>
      </c>
      <c r="F55" s="473"/>
      <c r="G55" s="473"/>
      <c r="H55" s="107"/>
    </row>
    <row r="56" spans="2:8" ht="21" customHeight="1" x14ac:dyDescent="0.25">
      <c r="B56" s="106" t="s">
        <v>152</v>
      </c>
      <c r="E56" s="473" t="s">
        <v>153</v>
      </c>
      <c r="F56" s="473"/>
      <c r="G56" s="473"/>
      <c r="H56" s="473"/>
    </row>
    <row r="57" spans="2:8" ht="21" x14ac:dyDescent="0.25">
      <c r="B57" s="106" t="s">
        <v>154</v>
      </c>
      <c r="E57" s="473" t="s">
        <v>155</v>
      </c>
      <c r="F57" s="473"/>
      <c r="G57" s="107"/>
      <c r="H57" s="107"/>
    </row>
    <row r="59" spans="2:8" ht="23.25" x14ac:dyDescent="0.25">
      <c r="B59" s="105" t="s">
        <v>156</v>
      </c>
    </row>
    <row r="61" spans="2:8" ht="21" x14ac:dyDescent="0.25">
      <c r="B61" s="473" t="s">
        <v>157</v>
      </c>
      <c r="C61" s="473"/>
      <c r="D61" s="473"/>
      <c r="E61" s="473" t="s">
        <v>158</v>
      </c>
      <c r="F61" s="473"/>
      <c r="G61" s="473"/>
    </row>
    <row r="62" spans="2:8" ht="21" x14ac:dyDescent="0.25">
      <c r="B62" s="473" t="s">
        <v>159</v>
      </c>
      <c r="C62" s="473"/>
      <c r="D62" s="473"/>
    </row>
    <row r="64" spans="2:8" ht="21" x14ac:dyDescent="0.25">
      <c r="B64" s="106" t="s">
        <v>160</v>
      </c>
    </row>
    <row r="66" spans="1:10" ht="21" x14ac:dyDescent="0.25">
      <c r="B66" s="473" t="s">
        <v>161</v>
      </c>
      <c r="C66" s="473"/>
      <c r="D66" s="473"/>
      <c r="E66" s="473" t="s">
        <v>162</v>
      </c>
      <c r="F66" s="473"/>
      <c r="G66" s="473"/>
      <c r="H66" s="473"/>
      <c r="I66" s="473"/>
    </row>
    <row r="67" spans="1:10" ht="23.25" x14ac:dyDescent="0.25">
      <c r="B67" s="473" t="s">
        <v>163</v>
      </c>
      <c r="C67" s="473"/>
      <c r="D67" s="473"/>
      <c r="E67" s="473" t="s">
        <v>164</v>
      </c>
      <c r="F67" s="473"/>
      <c r="G67" s="473"/>
      <c r="H67" s="473"/>
      <c r="I67" s="473"/>
    </row>
    <row r="68" spans="1:10" ht="21" x14ac:dyDescent="0.25">
      <c r="B68" s="473" t="s">
        <v>165</v>
      </c>
      <c r="C68" s="473"/>
      <c r="D68" s="473"/>
      <c r="E68" s="473" t="s">
        <v>166</v>
      </c>
      <c r="F68" s="473"/>
      <c r="G68" s="473"/>
      <c r="H68" s="473"/>
      <c r="I68" s="473"/>
    </row>
    <row r="69" spans="1:10" ht="23.25" x14ac:dyDescent="0.25">
      <c r="B69" s="473" t="s">
        <v>167</v>
      </c>
      <c r="C69" s="473"/>
      <c r="D69" s="473"/>
      <c r="E69" s="473" t="s">
        <v>168</v>
      </c>
      <c r="F69" s="473"/>
      <c r="G69" s="473"/>
      <c r="H69" s="473"/>
      <c r="I69" s="107"/>
    </row>
    <row r="72" spans="1:10" ht="21" customHeight="1" x14ac:dyDescent="0.25">
      <c r="A72" s="465" t="s">
        <v>169</v>
      </c>
      <c r="B72" s="465"/>
      <c r="C72" s="465"/>
      <c r="D72" s="465"/>
      <c r="E72" s="465"/>
      <c r="F72" s="465"/>
      <c r="G72" s="465"/>
      <c r="H72" s="465"/>
      <c r="I72" s="465"/>
      <c r="J72" s="465"/>
    </row>
    <row r="73" spans="1:10" ht="21" customHeight="1" x14ac:dyDescent="0.25">
      <c r="A73" s="465"/>
      <c r="B73" s="465"/>
      <c r="C73" s="465"/>
      <c r="D73" s="465"/>
      <c r="E73" s="465"/>
      <c r="F73" s="465"/>
      <c r="G73" s="465"/>
      <c r="H73" s="465"/>
      <c r="I73" s="465"/>
      <c r="J73" s="465"/>
    </row>
    <row r="74" spans="1:10" ht="15" customHeight="1" x14ac:dyDescent="0.25">
      <c r="A74" s="465"/>
      <c r="B74" s="465"/>
      <c r="C74" s="465"/>
      <c r="D74" s="465"/>
      <c r="E74" s="465"/>
      <c r="F74" s="465"/>
      <c r="G74" s="465"/>
      <c r="H74" s="465"/>
      <c r="I74" s="465"/>
      <c r="J74" s="465"/>
    </row>
    <row r="75" spans="1:10" ht="15" customHeight="1" x14ac:dyDescent="0.25">
      <c r="A75" s="465"/>
      <c r="B75" s="465"/>
      <c r="C75" s="465"/>
      <c r="D75" s="465"/>
      <c r="E75" s="465"/>
      <c r="F75" s="465"/>
      <c r="G75" s="465"/>
      <c r="H75" s="465"/>
      <c r="I75" s="465"/>
      <c r="J75" s="465"/>
    </row>
    <row r="76" spans="1:10" x14ac:dyDescent="0.25">
      <c r="A76" s="465"/>
      <c r="B76" s="465"/>
      <c r="C76" s="465"/>
      <c r="D76" s="465"/>
      <c r="E76" s="465"/>
      <c r="F76" s="465"/>
      <c r="G76" s="465"/>
      <c r="H76" s="465"/>
      <c r="I76" s="465"/>
      <c r="J76" s="465"/>
    </row>
    <row r="77" spans="1:10" x14ac:dyDescent="0.25">
      <c r="A77" s="465"/>
      <c r="B77" s="465"/>
      <c r="C77" s="465"/>
      <c r="D77" s="465"/>
      <c r="E77" s="465"/>
      <c r="F77" s="465"/>
      <c r="G77" s="465"/>
      <c r="H77" s="465"/>
      <c r="I77" s="465"/>
      <c r="J77" s="465"/>
    </row>
    <row r="78" spans="1:10" x14ac:dyDescent="0.25">
      <c r="A78" s="465"/>
      <c r="B78" s="465"/>
      <c r="C78" s="465"/>
      <c r="D78" s="465"/>
      <c r="E78" s="465"/>
      <c r="F78" s="465"/>
      <c r="G78" s="465"/>
      <c r="H78" s="465"/>
      <c r="I78" s="465"/>
      <c r="J78" s="465"/>
    </row>
    <row r="79" spans="1:10" x14ac:dyDescent="0.25">
      <c r="A79" s="465"/>
      <c r="B79" s="465"/>
      <c r="C79" s="465"/>
      <c r="D79" s="465"/>
      <c r="E79" s="465"/>
      <c r="F79" s="465"/>
      <c r="G79" s="465"/>
      <c r="H79" s="465"/>
      <c r="I79" s="465"/>
      <c r="J79" s="465"/>
    </row>
    <row r="80" spans="1:10" x14ac:dyDescent="0.25">
      <c r="A80" s="465"/>
      <c r="B80" s="465"/>
      <c r="C80" s="465"/>
      <c r="D80" s="465"/>
      <c r="E80" s="465"/>
      <c r="F80" s="465"/>
      <c r="G80" s="465"/>
      <c r="H80" s="465"/>
      <c r="I80" s="465"/>
      <c r="J80" s="465"/>
    </row>
    <row r="81" spans="1:10" x14ac:dyDescent="0.25">
      <c r="A81" s="465"/>
      <c r="B81" s="465"/>
      <c r="C81" s="465"/>
      <c r="D81" s="465"/>
      <c r="E81" s="465"/>
      <c r="F81" s="465"/>
      <c r="G81" s="465"/>
      <c r="H81" s="465"/>
      <c r="I81" s="465"/>
      <c r="J81" s="465"/>
    </row>
    <row r="85" spans="1:10" ht="36" x14ac:dyDescent="0.25">
      <c r="C85" s="464" t="s">
        <v>170</v>
      </c>
      <c r="D85" s="464"/>
      <c r="E85" s="464"/>
      <c r="F85" s="464"/>
      <c r="G85" s="464"/>
    </row>
    <row r="87" spans="1:10" ht="26.25" x14ac:dyDescent="0.25">
      <c r="B87" s="108" t="s">
        <v>171</v>
      </c>
    </row>
    <row r="89" spans="1:10" ht="21" x14ac:dyDescent="0.25">
      <c r="B89" s="106" t="s">
        <v>172</v>
      </c>
      <c r="C89" s="106"/>
      <c r="E89" s="106"/>
      <c r="F89" s="106"/>
      <c r="G89" s="106"/>
      <c r="H89" s="107"/>
    </row>
    <row r="90" spans="1:10" ht="21" x14ac:dyDescent="0.25">
      <c r="B90" s="106" t="s">
        <v>173</v>
      </c>
      <c r="C90" s="106"/>
      <c r="E90" s="106"/>
      <c r="F90" s="106"/>
      <c r="G90" s="106"/>
      <c r="H90" s="107"/>
    </row>
    <row r="91" spans="1:10" ht="21" x14ac:dyDescent="0.25">
      <c r="B91" s="106" t="s">
        <v>174</v>
      </c>
      <c r="C91" s="106"/>
      <c r="E91" s="106"/>
      <c r="F91" s="106"/>
      <c r="G91" s="106"/>
      <c r="H91" s="107"/>
    </row>
    <row r="92" spans="1:10" ht="21" x14ac:dyDescent="0.25">
      <c r="B92" s="106" t="s">
        <v>175</v>
      </c>
      <c r="C92" s="106"/>
      <c r="E92" s="106"/>
      <c r="F92" s="106"/>
      <c r="G92" s="106"/>
      <c r="H92" s="107"/>
    </row>
    <row r="93" spans="1:10" ht="21" x14ac:dyDescent="0.25">
      <c r="B93" s="109"/>
      <c r="C93" s="109"/>
      <c r="E93" s="106"/>
      <c r="F93" s="106"/>
      <c r="G93" s="106"/>
      <c r="H93" s="107"/>
    </row>
    <row r="94" spans="1:10" ht="17.25" x14ac:dyDescent="0.25">
      <c r="A94" s="110"/>
      <c r="C94" s="466" t="s">
        <v>10</v>
      </c>
      <c r="D94" s="466"/>
      <c r="E94" s="466"/>
      <c r="F94" s="466"/>
      <c r="G94" s="466"/>
      <c r="H94" s="110"/>
      <c r="I94" s="110"/>
    </row>
    <row r="95" spans="1:10" ht="34.5" x14ac:dyDescent="0.25">
      <c r="A95" s="110"/>
      <c r="B95" s="110"/>
      <c r="C95" s="111"/>
      <c r="D95" s="111" t="s">
        <v>15</v>
      </c>
      <c r="E95" s="112" t="s">
        <v>17</v>
      </c>
      <c r="F95" s="112" t="s">
        <v>24</v>
      </c>
      <c r="G95" s="112" t="s">
        <v>25</v>
      </c>
      <c r="H95" s="113"/>
      <c r="I95" s="113"/>
    </row>
    <row r="96" spans="1:10" ht="17.25" x14ac:dyDescent="0.25">
      <c r="A96" s="110"/>
      <c r="B96" s="110"/>
      <c r="C96" s="111" t="str" cm="1">
        <f t="array" ref="C96:C107">Mesures_Congel!A43:A54</f>
        <v xml:space="preserve">Sonde </v>
      </c>
      <c r="D96" s="114" cm="1">
        <f t="array" ref="D96:G107">Mesures_Congel!C43:F54</f>
        <v>0</v>
      </c>
      <c r="E96" s="114">
        <v>0</v>
      </c>
      <c r="F96" s="114">
        <v>0</v>
      </c>
      <c r="G96" s="114">
        <v>0</v>
      </c>
      <c r="H96" s="110"/>
      <c r="I96" s="110"/>
    </row>
    <row r="97" spans="1:9" ht="17.25" x14ac:dyDescent="0.25">
      <c r="A97" s="110"/>
      <c r="B97" s="110"/>
      <c r="C97" s="111" t="str">
        <v xml:space="preserve">Sonde </v>
      </c>
      <c r="D97" s="114">
        <v>0</v>
      </c>
      <c r="E97" s="114">
        <v>0</v>
      </c>
      <c r="F97" s="114">
        <v>0</v>
      </c>
      <c r="G97" s="114">
        <v>0</v>
      </c>
      <c r="H97" s="110"/>
      <c r="I97" s="110"/>
    </row>
    <row r="98" spans="1:9" ht="17.25" x14ac:dyDescent="0.25">
      <c r="A98" s="110"/>
      <c r="B98" s="110"/>
      <c r="C98" s="111" t="str">
        <v xml:space="preserve">Sonde </v>
      </c>
      <c r="D98" s="114">
        <v>0</v>
      </c>
      <c r="E98" s="114">
        <v>0</v>
      </c>
      <c r="F98" s="114">
        <v>0</v>
      </c>
      <c r="G98" s="114">
        <v>0</v>
      </c>
      <c r="H98" s="110"/>
      <c r="I98" s="110"/>
    </row>
    <row r="99" spans="1:9" ht="17.25" x14ac:dyDescent="0.25">
      <c r="A99" s="110"/>
      <c r="B99" s="110"/>
      <c r="C99" s="111" t="str">
        <v xml:space="preserve">Sonde </v>
      </c>
      <c r="D99" s="114">
        <v>0</v>
      </c>
      <c r="E99" s="114">
        <v>0</v>
      </c>
      <c r="F99" s="114">
        <v>0</v>
      </c>
      <c r="G99" s="114">
        <v>0</v>
      </c>
      <c r="H99" s="110"/>
      <c r="I99" s="110"/>
    </row>
    <row r="100" spans="1:9" ht="17.25" x14ac:dyDescent="0.25">
      <c r="A100" s="110"/>
      <c r="B100" s="110"/>
      <c r="C100" s="111" t="str">
        <v xml:space="preserve">Sonde </v>
      </c>
      <c r="D100" s="114">
        <v>0</v>
      </c>
      <c r="E100" s="114">
        <v>0</v>
      </c>
      <c r="F100" s="114">
        <v>0</v>
      </c>
      <c r="G100" s="114">
        <v>0</v>
      </c>
      <c r="H100" s="110"/>
      <c r="I100" s="110"/>
    </row>
    <row r="101" spans="1:9" ht="17.25" x14ac:dyDescent="0.25">
      <c r="A101" s="110"/>
      <c r="B101" s="110"/>
      <c r="C101" s="111" t="str">
        <v xml:space="preserve">Sonde </v>
      </c>
      <c r="D101" s="114">
        <v>0</v>
      </c>
      <c r="E101" s="114">
        <v>0</v>
      </c>
      <c r="F101" s="114">
        <v>0</v>
      </c>
      <c r="G101" s="114">
        <v>0</v>
      </c>
      <c r="H101" s="110"/>
      <c r="I101" s="110"/>
    </row>
    <row r="102" spans="1:9" ht="17.25" x14ac:dyDescent="0.25">
      <c r="A102" s="110"/>
      <c r="B102" s="110"/>
      <c r="C102" s="111" t="str">
        <v xml:space="preserve">Sonde </v>
      </c>
      <c r="D102" s="114">
        <v>0</v>
      </c>
      <c r="E102" s="114">
        <v>0</v>
      </c>
      <c r="F102" s="114">
        <v>0</v>
      </c>
      <c r="G102" s="114">
        <v>0</v>
      </c>
      <c r="H102" s="110"/>
      <c r="I102" s="110"/>
    </row>
    <row r="103" spans="1:9" ht="17.25" x14ac:dyDescent="0.25">
      <c r="A103" s="110"/>
      <c r="B103" s="110"/>
      <c r="C103" s="111" t="str">
        <v xml:space="preserve">Sonde </v>
      </c>
      <c r="D103" s="114">
        <v>0</v>
      </c>
      <c r="E103" s="114">
        <v>0</v>
      </c>
      <c r="F103" s="114">
        <v>0</v>
      </c>
      <c r="G103" s="114">
        <v>0</v>
      </c>
      <c r="H103" s="110"/>
      <c r="I103" s="110"/>
    </row>
    <row r="104" spans="1:9" ht="17.25" x14ac:dyDescent="0.25">
      <c r="A104" s="110"/>
      <c r="B104" s="110"/>
      <c r="C104" s="111" t="str">
        <v xml:space="preserve">Sonde </v>
      </c>
      <c r="D104" s="114">
        <v>0</v>
      </c>
      <c r="E104" s="114">
        <v>0</v>
      </c>
      <c r="F104" s="114">
        <v>0</v>
      </c>
      <c r="G104" s="114">
        <v>0</v>
      </c>
      <c r="H104" s="110"/>
      <c r="I104" s="110"/>
    </row>
    <row r="105" spans="1:9" ht="17.25" x14ac:dyDescent="0.25">
      <c r="A105" s="110"/>
      <c r="B105" s="110"/>
      <c r="C105" s="111" t="str">
        <v xml:space="preserve">Sonde </v>
      </c>
      <c r="D105" s="114">
        <v>0</v>
      </c>
      <c r="E105" s="114">
        <v>0</v>
      </c>
      <c r="F105" s="114">
        <v>0</v>
      </c>
      <c r="G105" s="114">
        <v>0</v>
      </c>
      <c r="H105" s="110"/>
      <c r="I105" s="110"/>
    </row>
    <row r="106" spans="1:9" ht="17.25" x14ac:dyDescent="0.25">
      <c r="A106" s="110"/>
      <c r="B106" s="110"/>
      <c r="C106" s="111" t="str">
        <v xml:space="preserve">Sonde </v>
      </c>
      <c r="D106" s="114">
        <v>0</v>
      </c>
      <c r="E106" s="114">
        <v>0</v>
      </c>
      <c r="F106" s="114">
        <v>0</v>
      </c>
      <c r="G106" s="114">
        <v>0</v>
      </c>
      <c r="H106" s="110"/>
      <c r="I106" s="110"/>
    </row>
    <row r="107" spans="1:9" ht="17.25" x14ac:dyDescent="0.25">
      <c r="A107" s="110"/>
      <c r="B107" s="110"/>
      <c r="C107" s="111" t="str">
        <v xml:space="preserve">Sonde </v>
      </c>
      <c r="D107" s="114">
        <v>0</v>
      </c>
      <c r="E107" s="114">
        <v>0</v>
      </c>
      <c r="F107" s="114">
        <v>0</v>
      </c>
      <c r="G107" s="114">
        <v>0</v>
      </c>
      <c r="H107" s="110"/>
      <c r="I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7" t="s">
        <v>176</v>
      </c>
      <c r="C116" s="467"/>
      <c r="D116" s="467"/>
      <c r="E116" s="467"/>
      <c r="F116" s="467"/>
    </row>
    <row r="118" spans="1:9" ht="26.25" x14ac:dyDescent="0.25">
      <c r="B118" s="108" t="s">
        <v>177</v>
      </c>
    </row>
    <row r="120" spans="1:9" ht="21" x14ac:dyDescent="0.3">
      <c r="B120" s="116" t="s">
        <v>179</v>
      </c>
      <c r="C120" s="106" t="s">
        <v>180</v>
      </c>
      <c r="E120" s="106" t="s">
        <v>178</v>
      </c>
      <c r="F120" s="106"/>
      <c r="G120" s="120">
        <f>Mesures_Congel!$M$43</f>
        <v>0</v>
      </c>
    </row>
    <row r="121" spans="1:9" ht="21" x14ac:dyDescent="0.3">
      <c r="B121" s="116" t="s">
        <v>182</v>
      </c>
      <c r="C121" s="109" t="s">
        <v>183</v>
      </c>
      <c r="E121" s="106" t="s">
        <v>181</v>
      </c>
      <c r="F121" s="106"/>
      <c r="G121" s="115">
        <f>Mesures_Congel!$N$43</f>
        <v>0</v>
      </c>
    </row>
    <row r="122" spans="1:9" ht="21" x14ac:dyDescent="0.35">
      <c r="B122" s="118" t="s">
        <v>185</v>
      </c>
      <c r="C122" s="119" t="s">
        <v>186</v>
      </c>
      <c r="E122" s="106" t="s">
        <v>184</v>
      </c>
      <c r="F122" s="106"/>
      <c r="G122" s="117">
        <f>Mesures_Congel!$O$43</f>
        <v>0</v>
      </c>
    </row>
    <row r="127" spans="1:9" ht="36" x14ac:dyDescent="0.25">
      <c r="C127" s="464" t="s">
        <v>188</v>
      </c>
      <c r="D127" s="464"/>
      <c r="E127" s="464"/>
      <c r="F127" s="464"/>
    </row>
    <row r="128" spans="1:9" ht="36" x14ac:dyDescent="0.25">
      <c r="B128" s="103"/>
      <c r="C128" s="103"/>
      <c r="D128" s="103"/>
    </row>
    <row r="129" spans="2:9" x14ac:dyDescent="0.25">
      <c r="B129" s="342"/>
      <c r="C129" s="342"/>
      <c r="D129" s="342"/>
      <c r="E129" s="342"/>
      <c r="F129" s="342"/>
      <c r="G129" s="342"/>
      <c r="H129" s="342"/>
      <c r="I129" s="342"/>
    </row>
    <row r="130" spans="2:9" x14ac:dyDescent="0.25">
      <c r="B130" s="342"/>
      <c r="C130" s="342"/>
      <c r="D130" s="342"/>
      <c r="E130" s="342"/>
      <c r="F130" s="342"/>
      <c r="G130" s="342"/>
      <c r="H130" s="342"/>
      <c r="I130" s="342"/>
    </row>
    <row r="131" spans="2:9" x14ac:dyDescent="0.25">
      <c r="B131" s="342"/>
      <c r="C131" s="342"/>
      <c r="D131" s="342"/>
      <c r="E131" s="342"/>
      <c r="F131" s="342"/>
      <c r="G131" s="342"/>
      <c r="H131" s="342"/>
      <c r="I131" s="342"/>
    </row>
    <row r="132" spans="2:9" x14ac:dyDescent="0.25">
      <c r="B132" s="342"/>
      <c r="C132" s="342"/>
      <c r="D132" s="342"/>
      <c r="E132" s="342"/>
      <c r="F132" s="342"/>
      <c r="G132" s="342"/>
      <c r="H132" s="342"/>
      <c r="I132" s="342"/>
    </row>
    <row r="133" spans="2:9" x14ac:dyDescent="0.25">
      <c r="B133" s="342"/>
      <c r="C133" s="342"/>
      <c r="D133" s="342"/>
      <c r="E133" s="342"/>
      <c r="F133" s="342"/>
      <c r="G133" s="342"/>
      <c r="H133" s="342"/>
      <c r="I133" s="342"/>
    </row>
    <row r="134" spans="2:9" x14ac:dyDescent="0.25">
      <c r="B134" s="342"/>
      <c r="C134" s="342"/>
      <c r="D134" s="342"/>
      <c r="E134" s="342"/>
      <c r="F134" s="342"/>
      <c r="G134" s="342"/>
      <c r="H134" s="342"/>
      <c r="I134" s="342"/>
    </row>
    <row r="135" spans="2:9" x14ac:dyDescent="0.25">
      <c r="B135" s="342"/>
      <c r="C135" s="342"/>
      <c r="D135" s="342"/>
      <c r="E135" s="342"/>
      <c r="F135" s="342"/>
      <c r="G135" s="342"/>
      <c r="H135" s="342"/>
      <c r="I135" s="342"/>
    </row>
    <row r="136" spans="2:9" x14ac:dyDescent="0.25">
      <c r="B136" s="342"/>
      <c r="C136" s="342"/>
      <c r="D136" s="342"/>
      <c r="E136" s="342"/>
      <c r="F136" s="342"/>
      <c r="G136" s="342"/>
      <c r="H136" s="342"/>
      <c r="I136" s="342"/>
    </row>
    <row r="137" spans="2:9" x14ac:dyDescent="0.25">
      <c r="B137" s="342"/>
      <c r="C137" s="342"/>
      <c r="D137" s="342"/>
      <c r="E137" s="342"/>
      <c r="F137" s="342"/>
      <c r="G137" s="342"/>
      <c r="H137" s="342"/>
      <c r="I137" s="342"/>
    </row>
    <row r="138" spans="2:9" x14ac:dyDescent="0.25">
      <c r="B138" s="342"/>
      <c r="C138" s="342"/>
      <c r="D138" s="342"/>
      <c r="E138" s="342"/>
      <c r="F138" s="342"/>
      <c r="G138" s="342"/>
      <c r="H138" s="342"/>
      <c r="I138" s="342"/>
    </row>
    <row r="139" spans="2:9" x14ac:dyDescent="0.25">
      <c r="B139" s="342"/>
      <c r="C139" s="342"/>
      <c r="D139" s="342"/>
      <c r="E139" s="342"/>
      <c r="F139" s="342"/>
      <c r="G139" s="342"/>
      <c r="H139" s="342"/>
      <c r="I139" s="342"/>
    </row>
    <row r="140" spans="2:9" x14ac:dyDescent="0.25">
      <c r="B140" s="342"/>
      <c r="C140" s="342"/>
      <c r="D140" s="342"/>
      <c r="E140" s="342"/>
      <c r="F140" s="342"/>
      <c r="G140" s="342"/>
      <c r="H140" s="342"/>
      <c r="I140" s="342"/>
    </row>
    <row r="141" spans="2:9" x14ac:dyDescent="0.25">
      <c r="B141" s="342"/>
      <c r="C141" s="342"/>
      <c r="D141" s="342"/>
      <c r="E141" s="342"/>
      <c r="F141" s="342"/>
      <c r="G141" s="342"/>
      <c r="H141" s="342"/>
      <c r="I141" s="342"/>
    </row>
    <row r="142" spans="2:9" x14ac:dyDescent="0.25">
      <c r="B142" s="342"/>
      <c r="C142" s="342"/>
      <c r="D142" s="342"/>
      <c r="E142" s="342"/>
      <c r="F142" s="342"/>
      <c r="G142" s="342"/>
      <c r="H142" s="342"/>
      <c r="I142" s="342"/>
    </row>
    <row r="143" spans="2:9" x14ac:dyDescent="0.25">
      <c r="B143" s="342"/>
      <c r="C143" s="342"/>
      <c r="D143" s="342"/>
      <c r="E143" s="342"/>
      <c r="F143" s="342"/>
      <c r="G143" s="342"/>
      <c r="H143" s="342"/>
      <c r="I143" s="342"/>
    </row>
    <row r="144" spans="2:9" x14ac:dyDescent="0.25">
      <c r="B144" s="342"/>
      <c r="C144" s="342"/>
      <c r="D144" s="342"/>
      <c r="E144" s="342"/>
      <c r="F144" s="342"/>
      <c r="G144" s="342"/>
      <c r="H144" s="342"/>
      <c r="I144" s="342"/>
    </row>
    <row r="163" spans="1:8" ht="36" x14ac:dyDescent="0.25">
      <c r="C163" s="464" t="s">
        <v>189</v>
      </c>
      <c r="D163" s="464"/>
      <c r="E163" s="464"/>
      <c r="F163" s="464"/>
      <c r="G163" s="464"/>
      <c r="H163" s="464"/>
    </row>
    <row r="167" spans="1:8" x14ac:dyDescent="0.25">
      <c r="A167" s="121" t="str" cm="1">
        <f t="array" ref="A167:C179">Mesures_Congel!A23:C35</f>
        <v>Positions</v>
      </c>
      <c r="B167" s="121" t="str">
        <v>Thermocouples</v>
      </c>
      <c r="C167" s="121" t="str">
        <v>N° voie Enregistreur</v>
      </c>
    </row>
    <row r="168" spans="1:8" x14ac:dyDescent="0.25">
      <c r="A168" s="121">
        <v>1</v>
      </c>
      <c r="B168" s="122">
        <v>0</v>
      </c>
      <c r="C168" s="123">
        <v>0</v>
      </c>
    </row>
    <row r="169" spans="1:8" x14ac:dyDescent="0.25">
      <c r="A169" s="121">
        <v>2</v>
      </c>
      <c r="B169" s="122">
        <v>0</v>
      </c>
      <c r="C169" s="123">
        <v>0</v>
      </c>
    </row>
    <row r="170" spans="1:8" x14ac:dyDescent="0.25">
      <c r="A170" s="121">
        <v>3</v>
      </c>
      <c r="B170" s="122">
        <v>0</v>
      </c>
      <c r="C170" s="123">
        <v>0</v>
      </c>
    </row>
    <row r="171" spans="1:8" x14ac:dyDescent="0.25">
      <c r="A171" s="121">
        <v>4</v>
      </c>
      <c r="B171" s="122">
        <v>0</v>
      </c>
      <c r="C171" s="123">
        <v>0</v>
      </c>
    </row>
    <row r="172" spans="1:8" x14ac:dyDescent="0.25">
      <c r="A172" s="121">
        <v>5</v>
      </c>
      <c r="B172" s="122">
        <v>0</v>
      </c>
      <c r="C172" s="123">
        <v>0</v>
      </c>
    </row>
    <row r="173" spans="1:8" x14ac:dyDescent="0.25">
      <c r="A173" s="121">
        <v>6</v>
      </c>
      <c r="B173" s="122">
        <v>0</v>
      </c>
      <c r="C173" s="123">
        <v>0</v>
      </c>
    </row>
    <row r="174" spans="1:8" x14ac:dyDescent="0.25">
      <c r="A174" s="121">
        <v>7</v>
      </c>
      <c r="B174" s="122">
        <v>0</v>
      </c>
      <c r="C174" s="123">
        <v>0</v>
      </c>
    </row>
    <row r="175" spans="1:8" x14ac:dyDescent="0.25">
      <c r="A175" s="121">
        <v>8</v>
      </c>
      <c r="B175" s="122">
        <v>0</v>
      </c>
      <c r="C175" s="123">
        <v>0</v>
      </c>
    </row>
    <row r="176" spans="1:8" x14ac:dyDescent="0.25">
      <c r="A176" s="121">
        <v>9</v>
      </c>
      <c r="B176" s="122">
        <v>0</v>
      </c>
      <c r="C176" s="123">
        <v>0</v>
      </c>
    </row>
    <row r="177" spans="1:3" x14ac:dyDescent="0.25">
      <c r="A177" s="121">
        <v>10</v>
      </c>
      <c r="B177" s="122">
        <v>0</v>
      </c>
      <c r="C177" s="123">
        <v>0</v>
      </c>
    </row>
    <row r="178" spans="1:3" x14ac:dyDescent="0.25">
      <c r="A178" s="121">
        <v>11</v>
      </c>
      <c r="B178" s="122">
        <v>0</v>
      </c>
      <c r="C178" s="123">
        <v>0</v>
      </c>
    </row>
    <row r="179" spans="1:3" x14ac:dyDescent="0.25">
      <c r="A179" s="121">
        <v>12</v>
      </c>
      <c r="B179" s="122">
        <v>0</v>
      </c>
      <c r="C179" s="123">
        <v>0</v>
      </c>
    </row>
    <row r="196" spans="1:9" ht="36" x14ac:dyDescent="0.25">
      <c r="C196" s="464" t="str">
        <f>"6. Résultats et exploitation des résultats à " &amp; Mesures_Congel!B18 &amp; "°C"</f>
        <v>6. Résultats et exploitation des résultats à °C</v>
      </c>
      <c r="D196" s="464"/>
      <c r="E196" s="464"/>
      <c r="F196" s="464"/>
      <c r="G196" s="464"/>
      <c r="H196" s="464"/>
    </row>
    <row r="200" spans="1:9" x14ac:dyDescent="0.25">
      <c r="A200" s="121" t="str" cm="1">
        <f t="array" ref="A200:B200">Mesures_Congel!A18:B18</f>
        <v>Consignes °C</v>
      </c>
      <c r="B200" s="123">
        <v>0</v>
      </c>
      <c r="G200" s="468" t="s">
        <v>190</v>
      </c>
      <c r="H200" s="469"/>
      <c r="I200" s="470"/>
    </row>
    <row r="201" spans="1:9" x14ac:dyDescent="0.25">
      <c r="G201" s="22" t="s">
        <v>191</v>
      </c>
      <c r="H201" s="22" t="s">
        <v>192</v>
      </c>
      <c r="I201" s="22" t="s">
        <v>193</v>
      </c>
    </row>
    <row r="202" spans="1:9" x14ac:dyDescent="0.25">
      <c r="B202" s="121" t="str" cm="1">
        <f t="array" ref="B202:C203">Mesures_Congel!B20:C21</f>
        <v>TUS</v>
      </c>
      <c r="C202" s="121" t="str">
        <v>SAT</v>
      </c>
      <c r="G202" s="124" t="e" cm="1">
        <f t="array" ref="G202">INDEX(Valeurs_Brutes_Congel[Date/Heure], COUNTA(Valeurs_Brutes_Congel[Date/Heure])-30)</f>
        <v>#VALUE!</v>
      </c>
      <c r="H202" s="124" cm="1">
        <f t="array" ref="H202">INDEX(Valeurs_Brutes_Congel[Date/Heure], COUNTA(Valeurs_Brutes_Congel[Date/Heure]))</f>
        <v>0</v>
      </c>
      <c r="I202" s="124" t="e">
        <f>H202-G202</f>
        <v>#VALUE!</v>
      </c>
    </row>
    <row r="203" spans="1:9" x14ac:dyDescent="0.25">
      <c r="A203" s="121" t="str">
        <f>Mesures_Congel!A21</f>
        <v>Tolérances +/- °C</v>
      </c>
      <c r="B203" s="123">
        <v>0</v>
      </c>
      <c r="C203" s="123">
        <v>0</v>
      </c>
    </row>
    <row r="205" spans="1:9" ht="23.25" x14ac:dyDescent="0.25">
      <c r="B205" s="471" t="s">
        <v>194</v>
      </c>
      <c r="C205" s="471"/>
    </row>
    <row r="208" spans="1:9" ht="30" x14ac:dyDescent="0.25">
      <c r="B208" s="125" t="s">
        <v>195</v>
      </c>
      <c r="C208" s="126" t="s">
        <v>196</v>
      </c>
      <c r="D208" s="126" t="s">
        <v>112</v>
      </c>
      <c r="E208" s="127" t="s">
        <v>197</v>
      </c>
      <c r="F208" s="126" t="s">
        <v>198</v>
      </c>
    </row>
    <row r="209" spans="1:6" x14ac:dyDescent="0.25">
      <c r="B209" s="128" t="s">
        <v>199</v>
      </c>
      <c r="C209" s="129" t="str">
        <f>B200 &amp; "°C"</f>
        <v>0°C</v>
      </c>
      <c r="D209" s="129" t="s">
        <v>200</v>
      </c>
      <c r="E209" s="129" t="s">
        <v>200</v>
      </c>
      <c r="F209" s="130" t="s">
        <v>200</v>
      </c>
    </row>
    <row r="210" spans="1:6" x14ac:dyDescent="0.25">
      <c r="B210" s="128" t="s">
        <v>201</v>
      </c>
      <c r="C210" s="129" t="str">
        <f>B200 &amp; "°C"</f>
        <v>0°C</v>
      </c>
      <c r="D210" s="129" t="s">
        <v>200</v>
      </c>
      <c r="E210" s="129" t="s">
        <v>200</v>
      </c>
      <c r="F210" s="130" t="s">
        <v>200</v>
      </c>
    </row>
    <row r="211" spans="1:6" ht="15" customHeight="1" x14ac:dyDescent="0.25">
      <c r="A211" s="472" t="s">
        <v>202</v>
      </c>
      <c r="B211" s="128" t="s">
        <v>203</v>
      </c>
      <c r="C211" s="131" t="e">
        <f ca="1">MAX(Congel!C16:N16)</f>
        <v>#REF!</v>
      </c>
      <c r="D211" s="129" t="e">
        <f ca="1">_xlfn.XLOOKUP(INT(SUBSTITUTE(E211,"Connecteur ","")),Mesures_Congel!$C$24:$C$35,Mesures_Congel!$A$24:$A$35)</f>
        <v>#REF!</v>
      </c>
      <c r="E211" s="129" t="e">
        <f ca="1">_xlfn.XLOOKUP(C211,Congel!C16:N16,Congel!C10:N10)</f>
        <v>#REF!</v>
      </c>
      <c r="F211" s="129" t="e">
        <f ca="1">_xlfn.XLOOKUP(INT(SUBSTITUTE(E211,"Connecteur ","")),Mesures_Congel!$C$24:$C$35,Mesures_Congel!$B$24:$B$35)</f>
        <v>#REF!</v>
      </c>
    </row>
    <row r="212" spans="1:6" x14ac:dyDescent="0.25">
      <c r="A212" s="472"/>
      <c r="B212" s="128" t="s">
        <v>204</v>
      </c>
      <c r="C212" s="131" t="e">
        <f ca="1">MIN(Congel!C16:N16)</f>
        <v>#REF!</v>
      </c>
      <c r="D212" s="129" t="e">
        <f ca="1">_xlfn.XLOOKUP(INT(SUBSTITUTE(E212,"Connecteur ","")),Mesures_Congel!$C$24:$C$35,Mesures_Congel!$A$24:$A$35)</f>
        <v>#REF!</v>
      </c>
      <c r="E212" s="129" t="e">
        <f ca="1">_xlfn.XLOOKUP(C212,Congel!C16:N16,Congel!C10:N10)</f>
        <v>#REF!</v>
      </c>
      <c r="F212" s="130" t="e">
        <f ca="1">_xlfn.XLOOKUP(INT(SUBSTITUTE(E212,"Connecteur ","")),Mesures_Congel!$C$24:$C$35,Mesures_Congel!$B$24:$B$35)</f>
        <v>#REF!</v>
      </c>
    </row>
    <row r="213" spans="1:6" ht="34.5" customHeight="1" x14ac:dyDescent="0.25">
      <c r="A213" s="472"/>
      <c r="B213" s="128" t="s">
        <v>205</v>
      </c>
      <c r="C213" s="131" t="e">
        <f ca="1">MIN(Congel!C17:N17)</f>
        <v>#REF!</v>
      </c>
      <c r="D213" s="129" t="e">
        <f ca="1">_xlfn.XLOOKUP(INT(SUBSTITUTE(E213,"Connecteur ","")),Mesures_Congel!$C$24:$C$35,Mesures_Congel!$A$24:$A$35)</f>
        <v>#REF!</v>
      </c>
      <c r="E213" s="129" t="e">
        <f ca="1">_xlfn.XLOOKUP(C213,Congel!C17:N17,Congel!C10:N10)</f>
        <v>#REF!</v>
      </c>
      <c r="F213" s="130" t="e">
        <f ca="1">_xlfn.XLOOKUP(INT(SUBSTITUTE(E213,"Connecteur ","")),Mesures_Congel!$C$24:$C$35,Mesures_Congel!$B$24:$B$35)</f>
        <v>#REF!</v>
      </c>
    </row>
    <row r="214" spans="1:6" x14ac:dyDescent="0.25">
      <c r="A214" s="472"/>
      <c r="B214" s="128" t="s">
        <v>206</v>
      </c>
      <c r="C214" s="131" t="e">
        <f ca="1">Congel!C21</f>
        <v>#REF!</v>
      </c>
      <c r="D214" s="129" t="s">
        <v>200</v>
      </c>
      <c r="E214" s="129" t="s">
        <v>200</v>
      </c>
      <c r="F214" s="130" t="s">
        <v>200</v>
      </c>
    </row>
    <row r="215" spans="1:6" x14ac:dyDescent="0.25">
      <c r="C215" s="88"/>
      <c r="D215" s="88"/>
      <c r="E215" s="88"/>
      <c r="F215" s="88"/>
    </row>
    <row r="226" spans="2:9" ht="36" x14ac:dyDescent="0.25">
      <c r="B226" s="464" t="str">
        <f>"7. Résultats et exploitation des résultats à " &amp; Mesures_Congel!B18 &amp; "°C"</f>
        <v>7. Résultats et exploitation des résultats à °C</v>
      </c>
      <c r="C226" s="464"/>
      <c r="D226" s="464"/>
      <c r="E226" s="464"/>
      <c r="F226" s="464"/>
    </row>
    <row r="229" spans="2:9" x14ac:dyDescent="0.25">
      <c r="B229" s="342" t="s">
        <v>207</v>
      </c>
      <c r="C229" s="342"/>
    </row>
    <row r="232" spans="2:9" x14ac:dyDescent="0.25">
      <c r="C232" s="27"/>
      <c r="D232" s="27"/>
      <c r="E232" s="27"/>
      <c r="F232" s="459" t="s">
        <v>190</v>
      </c>
      <c r="G232" s="461"/>
      <c r="H232" s="461"/>
      <c r="I232" s="460"/>
    </row>
    <row r="233" spans="2:9" ht="30" x14ac:dyDescent="0.25">
      <c r="C233" s="36" t="s">
        <v>9</v>
      </c>
      <c r="D233" s="36" t="s">
        <v>12</v>
      </c>
      <c r="E233" s="132" t="s">
        <v>208</v>
      </c>
      <c r="F233" s="36" t="s">
        <v>209</v>
      </c>
      <c r="G233" s="36" t="s">
        <v>210</v>
      </c>
      <c r="H233" s="36" t="s">
        <v>211</v>
      </c>
      <c r="I233" s="36" t="s">
        <v>212</v>
      </c>
    </row>
    <row r="234" spans="2:9" x14ac:dyDescent="0.25">
      <c r="C234" s="38" cm="1">
        <f t="array" ref="C234:E245">Mesures_Congel!$A$24:$C$35</f>
        <v>1</v>
      </c>
      <c r="D234" s="38">
        <v>0</v>
      </c>
      <c r="E234" s="38">
        <v>0</v>
      </c>
      <c r="F234" s="133" t="e">
        <f>_xlfn.XLOOKUP(SUBSTITUTE(Congel_PV!E234,Congel_PV!E234,"Connecteur " &amp; Congel_PV!E234),Congel!C10:N10,Congel!C17:N17)</f>
        <v>#N/A</v>
      </c>
      <c r="G234" s="133" t="e">
        <f>_xlfn.XLOOKUP(SUBSTITUTE(Congel_PV!E234,Congel_PV!E234,"Connecteur " &amp; Congel_PV!E234),Congel!C10:N10,Congel!C16:N16)</f>
        <v>#N/A</v>
      </c>
      <c r="H234" s="133" t="e">
        <f>_xlfn.XLOOKUP(SUBSTITUTE(Congel_PV!E234,Congel_PV!E234,"Connecteur " &amp; Congel_PV!E234),Congel!C10:N10,Congel!C18:N18)</f>
        <v>#N/A</v>
      </c>
      <c r="I234" s="133" t="e">
        <f>_xlfn.XLOOKUP(SUBSTITUTE(Congel_PV!E234,Congel_PV!E234,"Connecteur " &amp; Congel_PV!E234),Congel!C10:N10,Congel!C19:N19)</f>
        <v>#N/A</v>
      </c>
    </row>
    <row r="235" spans="2:9" x14ac:dyDescent="0.25">
      <c r="C235" s="38">
        <v>2</v>
      </c>
      <c r="D235" s="38">
        <v>0</v>
      </c>
      <c r="E235" s="38">
        <v>0</v>
      </c>
      <c r="F235" s="133" t="e">
        <f>_xlfn.XLOOKUP(SUBSTITUTE(Congel_PV!E235,Congel_PV!E235,"Connecteur " &amp; Congel_PV!E235),Congel!C10:N10,Congel!C17:N17)</f>
        <v>#N/A</v>
      </c>
      <c r="G235" s="133" t="e">
        <f>_xlfn.XLOOKUP(SUBSTITUTE(Congel_PV!E235,Congel_PV!E235,"Connecteur " &amp; Congel_PV!E235),Congel!C10:N10,Congel!C16:N16)</f>
        <v>#N/A</v>
      </c>
      <c r="H235" s="133" t="e">
        <f>_xlfn.XLOOKUP(SUBSTITUTE(Congel_PV!E235,Congel_PV!E235,"Connecteur " &amp; Congel_PV!E235),Congel!C10:N10,Congel!C18:N18)</f>
        <v>#N/A</v>
      </c>
      <c r="I235" s="133" t="e">
        <f>_xlfn.XLOOKUP(SUBSTITUTE(Congel_PV!E235,Congel_PV!E235,"Connecteur " &amp; Congel_PV!E235),Congel!C10:N10,Congel!C19:N19)</f>
        <v>#N/A</v>
      </c>
    </row>
    <row r="236" spans="2:9" x14ac:dyDescent="0.25">
      <c r="C236" s="38">
        <v>3</v>
      </c>
      <c r="D236" s="38">
        <v>0</v>
      </c>
      <c r="E236" s="38">
        <v>0</v>
      </c>
      <c r="F236" s="133" t="e">
        <f>_xlfn.XLOOKUP(SUBSTITUTE(Congel_PV!E236,Congel_PV!E236,"Connecteur " &amp; Congel_PV!E236),Congel!C10:N10,Congel!C17:N17)</f>
        <v>#N/A</v>
      </c>
      <c r="G236" s="133" t="e">
        <f>_xlfn.XLOOKUP(SUBSTITUTE(Congel_PV!E236,Congel_PV!E236,"Connecteur " &amp; Congel_PV!E236),Congel!C10:N10,Congel!C16:N16)</f>
        <v>#N/A</v>
      </c>
      <c r="H236" s="133" t="e">
        <f>_xlfn.XLOOKUP(SUBSTITUTE(Congel_PV!E236,Congel_PV!E236,"Connecteur " &amp; Congel_PV!E236),Congel!C10:N10,Congel!C18:N18)</f>
        <v>#N/A</v>
      </c>
      <c r="I236" s="133" t="e">
        <f>_xlfn.XLOOKUP(SUBSTITUTE(Congel_PV!E236,Congel_PV!E236,"Connecteur " &amp; Congel_PV!E236),Congel!C10:N10,Congel!C19:N19)</f>
        <v>#N/A</v>
      </c>
    </row>
    <row r="237" spans="2:9" x14ac:dyDescent="0.25">
      <c r="C237" s="38">
        <v>4</v>
      </c>
      <c r="D237" s="38">
        <v>0</v>
      </c>
      <c r="E237" s="38">
        <v>0</v>
      </c>
      <c r="F237" s="133" t="e">
        <f>_xlfn.XLOOKUP(SUBSTITUTE(Congel_PV!E237,Congel_PV!E237,"Connecteur " &amp; Congel_PV!E237),Congel!C10:N10,Congel!C17:N17)</f>
        <v>#N/A</v>
      </c>
      <c r="G237" s="133" t="e">
        <f>_xlfn.XLOOKUP(SUBSTITUTE(Congel_PV!E237,Congel_PV!E237,"Connecteur " &amp; Congel_PV!E237),Congel!C10:N10,Congel!C16:N16)</f>
        <v>#N/A</v>
      </c>
      <c r="H237" s="133" t="e">
        <f>_xlfn.XLOOKUP(SUBSTITUTE(Congel_PV!E237,Congel_PV!E237,"Connecteur " &amp; Congel_PV!E237),Congel!C10:N10,Congel!C18:N18)</f>
        <v>#N/A</v>
      </c>
      <c r="I237" s="133" t="e">
        <f>_xlfn.XLOOKUP(SUBSTITUTE(Congel_PV!E237,Congel_PV!E237,"Connecteur " &amp; Congel_PV!E237),Congel!C10:N10,Congel!C19:N19)</f>
        <v>#N/A</v>
      </c>
    </row>
    <row r="238" spans="2:9" x14ac:dyDescent="0.25">
      <c r="C238" s="38">
        <v>5</v>
      </c>
      <c r="D238" s="38">
        <v>0</v>
      </c>
      <c r="E238" s="38">
        <v>0</v>
      </c>
      <c r="F238" s="133" t="e">
        <f>_xlfn.XLOOKUP(SUBSTITUTE(Congel_PV!E238,Congel_PV!E238,"Connecteur " &amp; Congel_PV!E238),Congel!C10:N10,Congel!C17:N17)</f>
        <v>#N/A</v>
      </c>
      <c r="G238" s="133" t="e">
        <f>_xlfn.XLOOKUP(SUBSTITUTE(Congel_PV!E238,Congel_PV!E238,"Connecteur "&amp;Congel_PV!E238),Congel!C10:N10,Congel!C16:N16)</f>
        <v>#N/A</v>
      </c>
      <c r="H238" s="133" t="e">
        <f>_xlfn.XLOOKUP(SUBSTITUTE(Congel_PV!E238,Congel_PV!E238,"Connecteur " &amp; Congel_PV!E238),Congel!C10:N10,Congel!C18:N18)</f>
        <v>#N/A</v>
      </c>
      <c r="I238" s="133" t="e">
        <f>_xlfn.XLOOKUP(SUBSTITUTE(Congel_PV!E238,Congel_PV!E238,"Connecteur " &amp; Congel_PV!E238),Congel!C10:N10,Congel!C19:N19)</f>
        <v>#N/A</v>
      </c>
    </row>
    <row r="239" spans="2:9" x14ac:dyDescent="0.25">
      <c r="C239" s="38">
        <v>6</v>
      </c>
      <c r="D239" s="38">
        <v>0</v>
      </c>
      <c r="E239" s="38">
        <v>0</v>
      </c>
      <c r="F239" s="133" t="e">
        <f>_xlfn.XLOOKUP(SUBSTITUTE(Congel_PV!E239,Congel_PV!E239,"Connecteur " &amp; Congel_PV!E239),Congel!C10:N10,Congel!C17:N17)</f>
        <v>#N/A</v>
      </c>
      <c r="G239" s="133" t="e">
        <f>_xlfn.XLOOKUP(SUBSTITUTE(Congel_PV!E239,Congel_PV!E239,"Connecteur " &amp; Congel_PV!E239),Congel!C10:N10,Congel!C16:N16)</f>
        <v>#N/A</v>
      </c>
      <c r="H239" s="133" t="e">
        <f>_xlfn.XLOOKUP(SUBSTITUTE(Congel_PV!E239,Congel_PV!E239,"Connecteur " &amp; Congel_PV!E239),Congel!C10:N10,Congel!C18:N18)</f>
        <v>#N/A</v>
      </c>
      <c r="I239" s="133" t="e">
        <f>_xlfn.XLOOKUP(SUBSTITUTE(Congel_PV!E239,Congel_PV!E239,"Connecteur " &amp; Congel_PV!E239),Congel!C10:N10,Congel!C19:N19)</f>
        <v>#N/A</v>
      </c>
    </row>
    <row r="240" spans="2:9" x14ac:dyDescent="0.25">
      <c r="C240" s="38">
        <v>7</v>
      </c>
      <c r="D240" s="38">
        <v>0</v>
      </c>
      <c r="E240" s="38">
        <v>0</v>
      </c>
      <c r="F240" s="133" t="e">
        <f>_xlfn.XLOOKUP(SUBSTITUTE(Congel_PV!E240,Congel_PV!E240,"Connecteur " &amp; Congel_PV!E240),Congel!C10:N10,Congel!C17:N17)</f>
        <v>#N/A</v>
      </c>
      <c r="G240" s="133" t="e">
        <f>_xlfn.XLOOKUP(SUBSTITUTE(Congel_PV!E240,Congel_PV!E240,"Connecteur " &amp; Congel_PV!E240),Congel!C10:N10,Congel!C16:N16)</f>
        <v>#N/A</v>
      </c>
      <c r="H240" s="133" t="e">
        <f>_xlfn.XLOOKUP(SUBSTITUTE(Congel_PV!E240,Congel_PV!E240,"Connecteur " &amp; Congel_PV!E240),Congel!C10:N10,Congel!C18:N18)</f>
        <v>#N/A</v>
      </c>
      <c r="I240" s="133" t="e">
        <f>_xlfn.XLOOKUP(SUBSTITUTE(Congel_PV!E240,Congel_PV!E240,"Connecteur " &amp; Congel_PV!E240),Congel!C10:N10,Congel!C19:N19)</f>
        <v>#N/A</v>
      </c>
    </row>
    <row r="241" spans="2:9" x14ac:dyDescent="0.25">
      <c r="C241" s="38">
        <v>8</v>
      </c>
      <c r="D241" s="38">
        <v>0</v>
      </c>
      <c r="E241" s="38">
        <v>0</v>
      </c>
      <c r="F241" s="133" t="e">
        <f>_xlfn.XLOOKUP(SUBSTITUTE(Congel_PV!E241,Congel_PV!E241,"Connecteur " &amp; Congel_PV!E241),Congel!C10:N10,Congel!C17:N17)</f>
        <v>#N/A</v>
      </c>
      <c r="G241" s="133" t="e">
        <f>_xlfn.XLOOKUP(SUBSTITUTE(Congel_PV!E241,Congel_PV!E241,"Connecteur " &amp; Congel_PV!E241),Congel!C10:N10,Congel!C16:N16)</f>
        <v>#N/A</v>
      </c>
      <c r="H241" s="133" t="e">
        <f>_xlfn.XLOOKUP(SUBSTITUTE(Congel_PV!E241,Congel_PV!E241,"Connecteur " &amp; Congel_PV!E241),Congel!C10:N10,Congel!C18:N18)</f>
        <v>#N/A</v>
      </c>
      <c r="I241" s="133" t="e">
        <f>_xlfn.XLOOKUP(SUBSTITUTE(Congel_PV!E241,Congel_PV!E241,"Connecteur " &amp; Congel_PV!E241),Congel!C10:N10,Congel!C19:N19)</f>
        <v>#N/A</v>
      </c>
    </row>
    <row r="242" spans="2:9" x14ac:dyDescent="0.25">
      <c r="C242" s="38">
        <v>9</v>
      </c>
      <c r="D242" s="38">
        <v>0</v>
      </c>
      <c r="E242" s="38">
        <v>0</v>
      </c>
      <c r="F242" s="133" t="e">
        <f>_xlfn.XLOOKUP(SUBSTITUTE(Congel_PV!E242,Congel_PV!E242,"Connecteur " &amp; Congel_PV!E242),Congel!C10:N10,Congel!C17:N17)</f>
        <v>#N/A</v>
      </c>
      <c r="G242" s="133" t="e">
        <f>_xlfn.XLOOKUP(SUBSTITUTE(Congel_PV!E242,Congel_PV!E242,"Connecteur " &amp; Congel_PV!E242),Congel!C10:N10,Congel!C16:N16)</f>
        <v>#N/A</v>
      </c>
      <c r="H242" s="133" t="e">
        <f>_xlfn.XLOOKUP(SUBSTITUTE(Congel_PV!E242,Congel_PV!E242,"Connecteur " &amp; Congel_PV!E242),Congel!C10:N10,Congel!C18:N18)</f>
        <v>#N/A</v>
      </c>
      <c r="I242" s="133" t="e">
        <f>_xlfn.XLOOKUP(SUBSTITUTE(Congel_PV!E242,Congel_PV!E242,"Connecteur " &amp; Congel_PV!E242),Congel!C10:N10,Congel!C19:N19)</f>
        <v>#N/A</v>
      </c>
    </row>
    <row r="243" spans="2:9" x14ac:dyDescent="0.25">
      <c r="C243" s="38">
        <v>10</v>
      </c>
      <c r="D243" s="38">
        <v>0</v>
      </c>
      <c r="E243" s="38">
        <v>0</v>
      </c>
      <c r="F243" s="133" t="e">
        <f>_xlfn.XLOOKUP(SUBSTITUTE(Congel_PV!E243,Congel_PV!E243,"Connecteur " &amp; Congel_PV!E243),Congel!C10:N10,Congel!C17:N17)</f>
        <v>#N/A</v>
      </c>
      <c r="G243" s="133" t="e">
        <f>_xlfn.XLOOKUP(SUBSTITUTE(Congel_PV!E243,Congel_PV!E243,"Connecteur " &amp; Congel_PV!E243),Congel!C10:N10,Congel!C16:N16)</f>
        <v>#N/A</v>
      </c>
      <c r="H243" s="133" t="e">
        <f>_xlfn.XLOOKUP(SUBSTITUTE(Congel_PV!E243,Congel_PV!E243,"Connecteur " &amp; Congel_PV!E243),Congel!C10:N10,Congel!C18:N18)</f>
        <v>#N/A</v>
      </c>
      <c r="I243" s="133" t="e">
        <f>_xlfn.XLOOKUP(SUBSTITUTE(Congel_PV!E243,Congel_PV!E243,"Connecteur " &amp; Congel_PV!E243),Congel!C10:N10,Congel!C19:N19)</f>
        <v>#N/A</v>
      </c>
    </row>
    <row r="244" spans="2:9" x14ac:dyDescent="0.25">
      <c r="C244" s="38">
        <v>11</v>
      </c>
      <c r="D244" s="38">
        <v>0</v>
      </c>
      <c r="E244" s="38">
        <v>0</v>
      </c>
      <c r="F244" s="133" t="e">
        <f>_xlfn.XLOOKUP(SUBSTITUTE(Congel_PV!E244,Congel_PV!E244,"Connecteur " &amp; Congel_PV!E244),Congel!C10:N10,Congel!C17:N17)</f>
        <v>#N/A</v>
      </c>
      <c r="G244" s="133" t="e">
        <f>_xlfn.XLOOKUP(SUBSTITUTE(Congel_PV!E244,Congel_PV!E244,"Connecteur " &amp; Congel_PV!E244),Congel!C10:N10,Congel!C16:N16)</f>
        <v>#N/A</v>
      </c>
      <c r="H244" s="133" t="e">
        <f>_xlfn.XLOOKUP(SUBSTITUTE(Congel_PV!E244,Congel_PV!E244,"Connecteur " &amp; Congel_PV!E244),Congel!C10:N10,Congel!C18:N18)</f>
        <v>#N/A</v>
      </c>
      <c r="I244" s="133" t="e">
        <f>_xlfn.XLOOKUP(SUBSTITUTE(Congel_PV!E244,Congel_PV!E244,"Connecteur " &amp; Congel_PV!E244),Congel!C10:N10,Congel!C19:N19)</f>
        <v>#N/A</v>
      </c>
    </row>
    <row r="245" spans="2:9" x14ac:dyDescent="0.25">
      <c r="C245" s="38">
        <v>12</v>
      </c>
      <c r="D245" s="38">
        <v>0</v>
      </c>
      <c r="E245" s="38">
        <v>0</v>
      </c>
      <c r="F245" s="133" t="e">
        <f>_xlfn.XLOOKUP(SUBSTITUTE(Congel_PV!E245,Congel_PV!E245,"Connecteur " &amp; Congel_PV!E245),Congel!C10:N10,Congel!C17:N17)</f>
        <v>#N/A</v>
      </c>
      <c r="G245" s="133" t="e">
        <f>_xlfn.XLOOKUP(SUBSTITUTE(Congel_PV!E245,Congel_PV!E245,"Connecteur " &amp; Congel_PV!E245),Congel!C10:N10,Congel!C16:N16)</f>
        <v>#N/A</v>
      </c>
      <c r="H245" s="133" t="e">
        <f>_xlfn.XLOOKUP(SUBSTITUTE(Congel_PV!E245,Congel_PV!E245,"Connecteur " &amp; Congel_PV!E245),Congel!C10:N10,Congel!C18:N18)</f>
        <v>#N/A</v>
      </c>
      <c r="I245" s="133" t="e">
        <f>_xlfn.XLOOKUP(SUBSTITUTE(Congel_PV!E245,Congel_PV!E245,"Connecteur " &amp; Congel_PV!E245),Congel!C10:N10,Congel!C19:N19)</f>
        <v>#N/A</v>
      </c>
    </row>
    <row r="252" spans="2:9" x14ac:dyDescent="0.25">
      <c r="B252" s="134"/>
    </row>
    <row r="254" spans="2:9" ht="36" x14ac:dyDescent="0.3">
      <c r="C254" s="135" t="str">
        <f>"8. Résultats et exploitation des résultats à " &amp; Mesures_Congel!B18 &amp; "°C"</f>
        <v>8. Résultats et exploitation des résultats à °C</v>
      </c>
      <c r="D254" s="136"/>
      <c r="E254" s="136"/>
      <c r="F254" s="136"/>
    </row>
    <row r="257" spans="2:2" x14ac:dyDescent="0.25">
      <c r="B257" t="s">
        <v>213</v>
      </c>
    </row>
    <row r="293" spans="2:8" ht="36" x14ac:dyDescent="0.55000000000000004">
      <c r="G293" s="462" t="s">
        <v>214</v>
      </c>
      <c r="H293" s="462"/>
    </row>
    <row r="297" spans="2:8" ht="23.25" customHeight="1" x14ac:dyDescent="0.25">
      <c r="B297" s="463" t="s">
        <v>550</v>
      </c>
      <c r="C297" s="463"/>
      <c r="D297" s="463"/>
      <c r="E297" s="463"/>
      <c r="F297" s="137" t="e">
        <f ca="1">IF(OR(AVERAGE(Congel!C16:N16)&gt;Congel!O16,AVERAGE(Congel!C17:N17)&lt;Congel!O17),"NON CONFORME","CONFORME")</f>
        <v>#REF!</v>
      </c>
      <c r="G297" s="138"/>
    </row>
    <row r="298" spans="2:8" ht="23.25" customHeight="1" x14ac:dyDescent="0.25">
      <c r="B298" s="463"/>
      <c r="C298" s="463"/>
      <c r="D298" s="463"/>
      <c r="E298" s="463"/>
      <c r="F298" s="138"/>
      <c r="G298" s="138"/>
    </row>
    <row r="299" spans="2:8" ht="15" customHeight="1" x14ac:dyDescent="0.25">
      <c r="B299" s="138"/>
      <c r="C299" s="138"/>
      <c r="D299" s="138"/>
      <c r="E299" s="138"/>
      <c r="F299" s="138"/>
      <c r="G299" s="138"/>
    </row>
    <row r="303" spans="2:8" x14ac:dyDescent="0.25">
      <c r="C303" s="128" t="s">
        <v>215</v>
      </c>
      <c r="D303" s="128"/>
      <c r="E303" s="36" t="str">
        <f>Mesures_Congel!Consignes &amp; "°C"</f>
        <v>°C</v>
      </c>
    </row>
    <row r="304" spans="2:8" x14ac:dyDescent="0.25">
      <c r="C304" s="458" t="s">
        <v>216</v>
      </c>
      <c r="D304" s="458"/>
      <c r="E304" s="141">
        <f>Mesures_Congel!$B$18</f>
        <v>0</v>
      </c>
    </row>
    <row r="305" spans="3:5" x14ac:dyDescent="0.25">
      <c r="C305" s="458" t="s">
        <v>217</v>
      </c>
      <c r="D305" s="458"/>
      <c r="E305" s="133" t="e">
        <f>Congel!#REF!</f>
        <v>#REF!</v>
      </c>
    </row>
    <row r="306" spans="3:5" x14ac:dyDescent="0.25">
      <c r="C306" s="458" t="s">
        <v>218</v>
      </c>
      <c r="D306" s="458"/>
      <c r="E306" s="38" t="str">
        <f>"±" &amp; Mesures_Congel!$B$21</f>
        <v>±</v>
      </c>
    </row>
    <row r="307" spans="3:5" x14ac:dyDescent="0.25">
      <c r="C307" s="459" t="s">
        <v>219</v>
      </c>
      <c r="D307" s="460"/>
      <c r="E307" s="38" t="e">
        <f ca="1">IF(F297="CONFORME","OUI","NON")</f>
        <v>#REF!</v>
      </c>
    </row>
  </sheetData>
  <sheetProtection algorithmName="SHA-512" hashValue="TM1axDZ1pj3kZ0mWGvNWKn2yQ5RjXuSS/K0cZSxVvT6huhlof3K4mymeDp4IuLWSRg4eYnXHln93wdAO0oQwfw==" saltValue="FeP5sNRgIVBFB9CxlkTkHw==" spinCount="100000" sheet="1" objects="1" scenarios="1"/>
  <mergeCells count="39">
    <mergeCell ref="B66:D66"/>
    <mergeCell ref="E66:I66"/>
    <mergeCell ref="C10:D10"/>
    <mergeCell ref="E10:F10"/>
    <mergeCell ref="A28:B28"/>
    <mergeCell ref="A30:I47"/>
    <mergeCell ref="C51:F51"/>
    <mergeCell ref="E55:G55"/>
    <mergeCell ref="E56:H56"/>
    <mergeCell ref="E57:F57"/>
    <mergeCell ref="B61:D61"/>
    <mergeCell ref="E61:G61"/>
    <mergeCell ref="B62:D62"/>
    <mergeCell ref="B67:D67"/>
    <mergeCell ref="E67:I67"/>
    <mergeCell ref="B68:D68"/>
    <mergeCell ref="E68:I68"/>
    <mergeCell ref="B69:D69"/>
    <mergeCell ref="E69:H69"/>
    <mergeCell ref="B226:F226"/>
    <mergeCell ref="A72:J81"/>
    <mergeCell ref="C85:G85"/>
    <mergeCell ref="C94:G94"/>
    <mergeCell ref="B116:F116"/>
    <mergeCell ref="C127:F127"/>
    <mergeCell ref="B129:I144"/>
    <mergeCell ref="C163:H163"/>
    <mergeCell ref="C196:H196"/>
    <mergeCell ref="G200:I200"/>
    <mergeCell ref="B205:C205"/>
    <mergeCell ref="A211:A214"/>
    <mergeCell ref="C306:D306"/>
    <mergeCell ref="C307:D307"/>
    <mergeCell ref="B229:C229"/>
    <mergeCell ref="F232:I232"/>
    <mergeCell ref="G293:H293"/>
    <mergeCell ref="B297:E298"/>
    <mergeCell ref="C304:D304"/>
    <mergeCell ref="C305:D305"/>
  </mergeCells>
  <conditionalFormatting sqref="F297">
    <cfRule type="containsText" dxfId="52" priority="1" operator="containsText" text="NON CONFORME">
      <formula>NOT(ISERROR(SEARCH("NON CONFORME",F297)))</formula>
    </cfRule>
    <cfRule type="containsText" dxfId="51" priority="2" operator="containsText" text="CONFORME">
      <formula>NOT(ISERROR(SEARCH("CONFORME",F297)))</formula>
    </cfRule>
  </conditionalFormatting>
  <pageMargins left="0.7" right="0.7" top="0.75" bottom="0.75" header="0.3" footer="0.3"/>
  <pageSetup paperSize="9" scale="55" orientation="landscape" r:id="rId1"/>
  <headerFooter>
    <oddFooter>&amp;RIMP 472 ind O du 07-02-2024 (PV/SAT du Congélateur)</oddFooter>
  </headerFooter>
  <rowBreaks count="8" manualBreakCount="8">
    <brk id="47" max="9" man="1"/>
    <brk id="81" max="9" man="1"/>
    <brk id="124" max="9" man="1"/>
    <brk id="160" max="9" man="1"/>
    <brk id="192" max="16383" man="1"/>
    <brk id="220" max="9" man="1"/>
    <brk id="252" max="9" man="1"/>
    <brk id="291" max="9" man="1"/>
  </rowBreak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9F965-7FE4-437C-8BC9-169AD60C40EF}">
  <sheetPr codeName="Feuil13">
    <tabColor theme="8" tint="0.39997558519241921"/>
  </sheetPr>
  <dimension ref="A1:O37"/>
  <sheetViews>
    <sheetView view="pageBreakPreview" zoomScale="60" zoomScaleNormal="100" workbookViewId="0">
      <selection activeCell="A24" sqref="A24:I24"/>
    </sheetView>
  </sheetViews>
  <sheetFormatPr baseColWidth="10" defaultRowHeight="15.75" x14ac:dyDescent="0.25"/>
  <cols>
    <col min="1" max="1" width="32.5703125" style="49" bestFit="1" customWidth="1"/>
    <col min="2" max="2" width="26.28515625" style="49" bestFit="1" customWidth="1"/>
    <col min="3" max="3" width="35.140625" style="49" customWidth="1"/>
    <col min="4" max="4" width="32.42578125" style="49" customWidth="1"/>
    <col min="5" max="5" width="24.42578125" style="49" bestFit="1" customWidth="1"/>
    <col min="6" max="6" width="18.710937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477" t="s">
        <v>100</v>
      </c>
      <c r="C1" s="477"/>
      <c r="D1" s="477"/>
      <c r="E1" s="477"/>
      <c r="F1" s="477"/>
      <c r="G1" s="477"/>
      <c r="H1" s="477"/>
      <c r="I1" s="477"/>
      <c r="J1" s="51"/>
      <c r="K1" s="51"/>
      <c r="L1" s="51"/>
      <c r="M1" s="51"/>
    </row>
    <row r="2" spans="1:13" x14ac:dyDescent="0.25">
      <c r="L2" s="51"/>
      <c r="M2" s="51"/>
    </row>
    <row r="3" spans="1:13" x14ac:dyDescent="0.25">
      <c r="A3" s="478" t="s">
        <v>101</v>
      </c>
      <c r="B3" s="478"/>
      <c r="C3" s="478"/>
      <c r="D3" s="478"/>
      <c r="E3" s="478"/>
      <c r="F3" s="478"/>
      <c r="G3" s="478"/>
      <c r="H3" s="478"/>
      <c r="I3" s="478"/>
    </row>
    <row r="4" spans="1:13" x14ac:dyDescent="0.25">
      <c r="A4" s="479" t="s">
        <v>102</v>
      </c>
      <c r="B4" s="479"/>
      <c r="C4" s="479"/>
      <c r="D4" s="479"/>
      <c r="E4" s="479"/>
      <c r="F4" s="479"/>
      <c r="G4" s="479"/>
      <c r="H4" s="479"/>
      <c r="I4" s="479"/>
    </row>
    <row r="5" spans="1:13" x14ac:dyDescent="0.25">
      <c r="A5" s="479" t="s">
        <v>103</v>
      </c>
      <c r="B5" s="479"/>
      <c r="C5" s="479"/>
      <c r="D5" s="479"/>
      <c r="E5" s="479"/>
      <c r="F5" s="479"/>
      <c r="G5" s="479"/>
      <c r="H5" s="479"/>
      <c r="I5" s="479"/>
    </row>
    <row r="6" spans="1:13" x14ac:dyDescent="0.25">
      <c r="A6" s="479" t="s">
        <v>104</v>
      </c>
      <c r="B6" s="479"/>
      <c r="C6" s="479"/>
      <c r="D6" s="479"/>
      <c r="E6" s="479"/>
      <c r="F6" s="479"/>
      <c r="G6" s="479"/>
      <c r="H6" s="479"/>
      <c r="I6" s="479"/>
    </row>
    <row r="8" spans="1:13" x14ac:dyDescent="0.25">
      <c r="A8" s="479" t="s">
        <v>105</v>
      </c>
      <c r="B8" s="479"/>
      <c r="C8" s="479"/>
      <c r="D8" s="479"/>
      <c r="E8" s="479"/>
      <c r="F8" s="479"/>
      <c r="G8" s="479"/>
      <c r="H8" s="479"/>
      <c r="I8" s="479"/>
    </row>
    <row r="9" spans="1:13" ht="16.5" thickBot="1" x14ac:dyDescent="0.3"/>
    <row r="10" spans="1:13" ht="16.5" thickBot="1" x14ac:dyDescent="0.3">
      <c r="B10" s="53" t="s">
        <v>106</v>
      </c>
      <c r="C10" s="54" t="s">
        <v>107</v>
      </c>
      <c r="D10" s="488"/>
      <c r="E10" s="488"/>
      <c r="F10" s="492"/>
      <c r="G10" s="55" t="e">
        <f>CONCATENATE("Voie ",_xlfn.XLOOKUP(B13,Mesures_Congel!$B$24:$B$35,Mesures_Congel!$C$24:$C$35))</f>
        <v>#N/A</v>
      </c>
      <c r="H10" s="55" t="e">
        <f>CONCATENATE("Voie ",_xlfn.XLOOKUP(B14,Mesures_Congel!$B$24:$B$35,Mesures_Congel!$C$24:$C$35))</f>
        <v>#N/A</v>
      </c>
      <c r="I10" s="55" t="e">
        <f>CONCATENATE("Voie ",_xlfn.XLOOKUP(B15,Mesures_Congel!$B$24:$B$35,Mesures_Congel!$C$24:$C$35))</f>
        <v>#N/A</v>
      </c>
    </row>
    <row r="11" spans="1:13" ht="16.5" thickBot="1" x14ac:dyDescent="0.3">
      <c r="A11" s="51" t="s">
        <v>108</v>
      </c>
      <c r="B11" s="56" t="s">
        <v>109</v>
      </c>
      <c r="C11" s="55" t="s">
        <v>110</v>
      </c>
      <c r="D11" s="488" t="s">
        <v>111</v>
      </c>
      <c r="E11" s="488"/>
      <c r="F11" s="492"/>
      <c r="G11" s="57" t="e">
        <f>_xlfn.XLOOKUP(B13,Mesures_Congel!$B$24:$B$35,Mesures_Congel!$D$24:$D$35)</f>
        <v>#N/A</v>
      </c>
      <c r="H11" s="57" t="e">
        <f>_xlfn.XLOOKUP(B14,Mesures_Congel!$B$24:$B$35,Mesures_Congel!$D$24:$D$35)</f>
        <v>#N/A</v>
      </c>
      <c r="I11" s="57" t="e">
        <f>_xlfn.XLOOKUP(B15,Mesures_Congel!$B$24:$B$35,Mesures_Congel!$D$24:$D$35)</f>
        <v>#N/A</v>
      </c>
    </row>
    <row r="12" spans="1:13" ht="16.5" thickBot="1" x14ac:dyDescent="0.3">
      <c r="A12" s="49" t="s">
        <v>112</v>
      </c>
      <c r="G12" s="58"/>
      <c r="H12" s="58"/>
      <c r="I12" s="58"/>
    </row>
    <row r="13" spans="1:13" ht="17.25" thickTop="1" thickBot="1" x14ac:dyDescent="0.3">
      <c r="A13" s="59">
        <v>11</v>
      </c>
      <c r="B13" s="60">
        <f>_xlfn.XLOOKUP(A13,Mesures_Congel!$A$24:$A$35,Mesures_Congel!$B$24:$B$35)</f>
        <v>0</v>
      </c>
      <c r="C13" s="55" t="e" cm="1">
        <f t="array" ref="C13">_xlfn.XLOOKUP(_xlfn.VALUETOTEXT(B13),SUBSTITUTE(Mesures_Congel!$A$43:$B$54,"Sonde ",""),Mesures_Congel!$C$43:$C$54)</f>
        <v>#VALUE!</v>
      </c>
      <c r="D13" s="488" t="s">
        <v>113</v>
      </c>
      <c r="E13" s="488"/>
      <c r="F13" s="492"/>
      <c r="G13" s="57" t="e">
        <f>_xlfn.XLOOKUP(B13,Mesures_Congel!$B$24:$B$35,Mesures_Congel!$E$24:$E$35)</f>
        <v>#N/A</v>
      </c>
      <c r="H13" s="58"/>
      <c r="I13" s="58"/>
    </row>
    <row r="14" spans="1:13" ht="17.25" thickTop="1" thickBot="1" x14ac:dyDescent="0.3">
      <c r="A14" s="61">
        <v>10</v>
      </c>
      <c r="B14" s="60">
        <f>_xlfn.XLOOKUP(A14,Mesures_Congel!$A$24:$A$35,Mesures_Congel!$B$24:$B$35)</f>
        <v>0</v>
      </c>
      <c r="C14" s="55" t="e" cm="1">
        <f t="array" ref="C14">_xlfn.XLOOKUP(_xlfn.VALUETOTEXT(B14),SUBSTITUTE(Mesures_Congel!$A$43:$B$54,"Sonde ",""),Mesures_Congel!$C$43:$C$54)</f>
        <v>#VALUE!</v>
      </c>
      <c r="D14" s="488" t="s">
        <v>113</v>
      </c>
      <c r="E14" s="488"/>
      <c r="F14" s="488"/>
      <c r="G14" s="62"/>
      <c r="H14" s="57" t="e">
        <f>_xlfn.XLOOKUP(B14,Mesures_Congel!$B$24:$B$35,Mesures_Congel!$E$24:$E$35)</f>
        <v>#N/A</v>
      </c>
      <c r="I14" s="58"/>
    </row>
    <row r="15" spans="1:13" ht="17.25" thickTop="1" thickBot="1" x14ac:dyDescent="0.3">
      <c r="A15" s="61">
        <v>12</v>
      </c>
      <c r="B15" s="60">
        <f>_xlfn.XLOOKUP(A15,Mesures_Congel!$A$24:$A$35,Mesures_Congel!$B$24:$B$35)</f>
        <v>0</v>
      </c>
      <c r="C15" s="55" t="e" cm="1">
        <f t="array" ref="C15">_xlfn.XLOOKUP(_xlfn.VALUETOTEXT(B15),SUBSTITUTE(Mesures_Congel!$A$43:$B$54,"Sonde ",""),Mesures_Congel!$C$43:$C$54)</f>
        <v>#VALUE!</v>
      </c>
      <c r="D15" s="488" t="s">
        <v>113</v>
      </c>
      <c r="E15" s="488"/>
      <c r="F15" s="488"/>
      <c r="G15" s="58"/>
      <c r="H15" s="58"/>
      <c r="I15" s="57" t="e">
        <f>_xlfn.XLOOKUP(B15,Mesures_Congel!$B$24:$B$35,Mesures_Congel!$E$24:$E$35)</f>
        <v>#N/A</v>
      </c>
    </row>
    <row r="16" spans="1:13" ht="16.5" thickTop="1" x14ac:dyDescent="0.25">
      <c r="A16" s="51"/>
      <c r="B16" s="51"/>
      <c r="C16" s="51"/>
      <c r="G16" s="52"/>
      <c r="H16" s="63"/>
      <c r="I16" s="63"/>
      <c r="J16" s="63"/>
      <c r="K16" s="51"/>
    </row>
    <row r="17" spans="1:15" x14ac:dyDescent="0.25">
      <c r="A17" s="479" t="s">
        <v>114</v>
      </c>
      <c r="B17" s="479"/>
      <c r="C17" s="479"/>
      <c r="D17" s="479"/>
      <c r="E17" s="479"/>
      <c r="F17" s="479"/>
      <c r="G17" s="479"/>
      <c r="H17" s="479"/>
      <c r="I17" s="479"/>
    </row>
    <row r="18" spans="1:15" ht="16.5" thickBot="1" x14ac:dyDescent="0.3">
      <c r="A18" s="52"/>
      <c r="B18" s="52"/>
      <c r="C18" s="52"/>
      <c r="D18" s="52"/>
      <c r="E18" s="52"/>
      <c r="F18" s="52"/>
      <c r="G18" s="52"/>
      <c r="H18" s="52"/>
      <c r="I18" s="52"/>
    </row>
    <row r="19" spans="1:15" ht="16.5" thickBot="1" x14ac:dyDescent="0.3">
      <c r="A19" s="490" t="s">
        <v>106</v>
      </c>
      <c r="B19" s="491"/>
      <c r="C19" s="54" t="s">
        <v>107</v>
      </c>
      <c r="H19" s="488"/>
      <c r="I19" s="488"/>
    </row>
    <row r="20" spans="1:15" ht="16.5" thickBot="1" x14ac:dyDescent="0.3">
      <c r="A20" s="486" t="s">
        <v>115</v>
      </c>
      <c r="B20" s="487"/>
      <c r="C20" s="55">
        <f>Mesures_Congel!N49</f>
        <v>0</v>
      </c>
      <c r="D20" s="488" t="s">
        <v>116</v>
      </c>
      <c r="E20" s="488"/>
      <c r="F20" s="488"/>
      <c r="G20" s="64">
        <f>Mesures_Congel!O49</f>
        <v>0</v>
      </c>
      <c r="H20" s="65" t="s">
        <v>117</v>
      </c>
    </row>
    <row r="21" spans="1:15" ht="16.5" thickBot="1" x14ac:dyDescent="0.3">
      <c r="A21" s="486" t="s">
        <v>118</v>
      </c>
      <c r="B21" s="487"/>
      <c r="C21" s="55">
        <f>Mesures_Congel!N50</f>
        <v>0</v>
      </c>
      <c r="D21" s="488" t="s">
        <v>116</v>
      </c>
      <c r="E21" s="488"/>
      <c r="F21" s="488"/>
      <c r="G21" s="64">
        <f>Mesures_Congel!O50</f>
        <v>0</v>
      </c>
      <c r="H21" s="65" t="s">
        <v>119</v>
      </c>
    </row>
    <row r="22" spans="1:15" ht="16.5" thickBot="1" x14ac:dyDescent="0.3">
      <c r="A22" s="486" t="s">
        <v>120</v>
      </c>
      <c r="B22" s="487"/>
      <c r="C22" s="55">
        <f>Mesures_Congel!N51</f>
        <v>0</v>
      </c>
      <c r="D22" s="488" t="s">
        <v>116</v>
      </c>
      <c r="E22" s="488"/>
      <c r="F22" s="488"/>
      <c r="G22" s="64">
        <f>Mesures_Congel!O51</f>
        <v>0</v>
      </c>
      <c r="H22" s="65" t="s">
        <v>121</v>
      </c>
    </row>
    <row r="23" spans="1:15" x14ac:dyDescent="0.25">
      <c r="A23" s="51"/>
      <c r="G23" s="52"/>
      <c r="H23" s="63"/>
      <c r="I23" s="63"/>
      <c r="J23" s="63"/>
      <c r="K23" s="51"/>
    </row>
    <row r="24" spans="1:15" x14ac:dyDescent="0.25">
      <c r="A24" s="489" t="str">
        <f>"TEMPERATURE : "&amp;  Mesures_Congel!B18 &amp; "°C CRITERES D'ACCEPTATION : +/-"&amp; Mesures_Congel!C21 &amp;"°C"</f>
        <v>TEMPERATURE : °C CRITERES D'ACCEPTATION : +/-°C</v>
      </c>
      <c r="B24" s="489"/>
      <c r="C24" s="489"/>
      <c r="D24" s="489"/>
      <c r="E24" s="489"/>
      <c r="F24" s="489"/>
      <c r="G24" s="489"/>
      <c r="H24" s="489"/>
      <c r="I24" s="489"/>
      <c r="K24" s="51"/>
    </row>
    <row r="25" spans="1:15" ht="16.5" thickBot="1" x14ac:dyDescent="0.3">
      <c r="A25" s="479"/>
      <c r="B25" s="479"/>
      <c r="C25" s="479"/>
      <c r="D25" s="479"/>
      <c r="E25" s="479"/>
      <c r="F25" s="479"/>
      <c r="G25" s="479"/>
      <c r="H25" s="479"/>
      <c r="I25" s="479"/>
    </row>
    <row r="26" spans="1:15" ht="15.75" customHeight="1" x14ac:dyDescent="0.25">
      <c r="A26" s="482" t="s">
        <v>28</v>
      </c>
      <c r="B26" s="483"/>
      <c r="C26" s="483"/>
      <c r="D26" s="483"/>
      <c r="E26" s="483"/>
      <c r="F26" s="483"/>
      <c r="G26" s="483"/>
      <c r="H26" s="484"/>
      <c r="I26" s="66" t="s">
        <v>122</v>
      </c>
      <c r="K26" s="67"/>
      <c r="L26" s="67"/>
    </row>
    <row r="27" spans="1:15" s="63" customFormat="1" ht="63.75" customHeight="1" x14ac:dyDescent="0.25">
      <c r="A27" s="68" t="s">
        <v>123</v>
      </c>
      <c r="B27" s="69" t="s">
        <v>124</v>
      </c>
      <c r="C27" s="69" t="s">
        <v>125</v>
      </c>
      <c r="D27" s="70" t="s">
        <v>126</v>
      </c>
      <c r="E27" s="71" t="s">
        <v>127</v>
      </c>
      <c r="F27" s="72" t="s">
        <v>128</v>
      </c>
      <c r="G27" s="73" t="s">
        <v>129</v>
      </c>
      <c r="H27" s="69" t="s">
        <v>130</v>
      </c>
      <c r="I27" s="69" t="s">
        <v>131</v>
      </c>
      <c r="J27" s="49"/>
      <c r="K27" s="67"/>
      <c r="L27" s="67"/>
      <c r="N27" s="67"/>
      <c r="O27" s="74"/>
    </row>
    <row r="28" spans="1:15" ht="19.5" thickBot="1" x14ac:dyDescent="0.3">
      <c r="A28" s="75">
        <f>Congel!test_propagation</f>
        <v>0</v>
      </c>
      <c r="B28" s="76" t="s">
        <v>132</v>
      </c>
      <c r="C28" s="76" t="str">
        <f>CONCATENATE("Sonde ",B15)</f>
        <v>Sonde 0</v>
      </c>
      <c r="D28" s="77" t="e">
        <f ca="1">AVERAGE(INDIRECT("Valeurs_Brutes_Congel["&amp; CONCATENATE("Connecteur ", SUBSTITUTE(I10, "Voie ","")) &amp;"]"))</f>
        <v>#N/A</v>
      </c>
      <c r="E28" s="78" t="e">
        <f ca="1">D28+H11+H14</f>
        <v>#N/A</v>
      </c>
      <c r="F28" s="79">
        <f>Mesures_Congel!M49</f>
        <v>0</v>
      </c>
      <c r="G28" s="79">
        <f>F28+G20</f>
        <v>0</v>
      </c>
      <c r="H28" s="79" t="e">
        <f ca="1">G28-E28</f>
        <v>#N/A</v>
      </c>
      <c r="I28" s="80" t="e">
        <f ca="1">IF(OR(E28&gt;Mesures_Congel!B18+Mesures_Congel!C21,E28&lt;Mesures_Congel!B18-Mesures_Congel!C21),"NON CONFORME","CONFORME")</f>
        <v>#N/A</v>
      </c>
    </row>
    <row r="29" spans="1:15" ht="15.75" customHeight="1" x14ac:dyDescent="0.25">
      <c r="A29" s="482" t="s">
        <v>29</v>
      </c>
      <c r="B29" s="483"/>
      <c r="C29" s="483"/>
      <c r="D29" s="483"/>
      <c r="E29" s="483"/>
      <c r="F29" s="483"/>
      <c r="G29" s="483"/>
      <c r="H29" s="484"/>
      <c r="I29" s="66" t="s">
        <v>122</v>
      </c>
      <c r="K29" s="67"/>
      <c r="L29" s="67"/>
    </row>
    <row r="30" spans="1:15" s="63" customFormat="1" ht="78.75" customHeight="1" x14ac:dyDescent="0.25">
      <c r="A30" s="68" t="s">
        <v>123</v>
      </c>
      <c r="B30" s="69" t="s">
        <v>124</v>
      </c>
      <c r="C30" s="69" t="s">
        <v>125</v>
      </c>
      <c r="D30" s="70" t="s">
        <v>126</v>
      </c>
      <c r="E30" s="71" t="s">
        <v>127</v>
      </c>
      <c r="F30" s="70" t="s">
        <v>128</v>
      </c>
      <c r="G30" s="73" t="s">
        <v>129</v>
      </c>
      <c r="H30" s="69" t="s">
        <v>130</v>
      </c>
      <c r="I30" s="69" t="s">
        <v>131</v>
      </c>
      <c r="J30" s="49"/>
      <c r="K30" s="67"/>
      <c r="L30" s="67"/>
      <c r="N30" s="67"/>
      <c r="O30" s="74"/>
    </row>
    <row r="31" spans="1:15" ht="19.5" thickBot="1" x14ac:dyDescent="0.3">
      <c r="A31" s="75">
        <f>A28</f>
        <v>0</v>
      </c>
      <c r="B31" s="76" t="str">
        <f>B28</f>
        <v>E.LAGASSY</v>
      </c>
      <c r="C31" s="76" t="str">
        <f>CONCATENATE("Sonde ",B14)</f>
        <v>Sonde 0</v>
      </c>
      <c r="D31" s="81" t="e">
        <f ca="1">AVERAGE(INDIRECT("Valeurs_Brutes_Congel["&amp; CONCATENATE("Connecteur ", SUBSTITUTE(H10, "Voie ","")) &amp;"]"))</f>
        <v>#N/A</v>
      </c>
      <c r="E31" s="78" t="e">
        <f ca="1">D31+G11+G13</f>
        <v>#N/A</v>
      </c>
      <c r="F31" s="79">
        <f>Mesures_Congel!M50</f>
        <v>0</v>
      </c>
      <c r="G31" s="79">
        <f>F31+G21</f>
        <v>0</v>
      </c>
      <c r="H31" s="79" t="e">
        <f ca="1">G31-E31</f>
        <v>#N/A</v>
      </c>
      <c r="I31" s="80" t="e">
        <f ca="1">IF(OR(E31&gt;Mesures_Congel!B18+Mesures_Congel!C21,E31&lt;Mesures_Congel!B18-Mesures_Congel!C21),"NON CONFORME","CONFORME")</f>
        <v>#N/A</v>
      </c>
    </row>
    <row r="32" spans="1:15" x14ac:dyDescent="0.25">
      <c r="A32" s="482" t="s">
        <v>30</v>
      </c>
      <c r="B32" s="483"/>
      <c r="C32" s="483"/>
      <c r="D32" s="483"/>
      <c r="E32" s="483"/>
      <c r="F32" s="483"/>
      <c r="G32" s="483"/>
      <c r="H32" s="484"/>
      <c r="I32" s="66" t="s">
        <v>122</v>
      </c>
      <c r="K32" s="67"/>
      <c r="L32" s="67"/>
    </row>
    <row r="33" spans="1:15" s="63" customFormat="1" ht="105.75" customHeight="1" x14ac:dyDescent="0.25">
      <c r="A33" s="68" t="s">
        <v>123</v>
      </c>
      <c r="B33" s="69" t="s">
        <v>124</v>
      </c>
      <c r="C33" s="69" t="s">
        <v>125</v>
      </c>
      <c r="D33" s="70" t="s">
        <v>126</v>
      </c>
      <c r="E33" s="71" t="s">
        <v>127</v>
      </c>
      <c r="F33" s="70" t="s">
        <v>128</v>
      </c>
      <c r="G33" s="73" t="s">
        <v>129</v>
      </c>
      <c r="H33" s="69" t="s">
        <v>130</v>
      </c>
      <c r="I33" s="69" t="s">
        <v>131</v>
      </c>
      <c r="J33" s="49"/>
      <c r="K33" s="67"/>
      <c r="L33" s="67"/>
      <c r="N33" s="67"/>
      <c r="O33" s="74"/>
    </row>
    <row r="34" spans="1:15" ht="19.5" thickBot="1" x14ac:dyDescent="0.3">
      <c r="A34" s="75">
        <f>A28</f>
        <v>0</v>
      </c>
      <c r="B34" s="76" t="str">
        <f>B28</f>
        <v>E.LAGASSY</v>
      </c>
      <c r="C34" s="76" t="str">
        <f>CONCATENATE("Sonde ",B13)</f>
        <v>Sonde 0</v>
      </c>
      <c r="D34" s="76" t="e">
        <f ca="1">AVERAGE(INDIRECT("Valeurs_Brutes_Congel["&amp; CONCATENATE("Connecteur ", SUBSTITUTE(G10, "Voie ","")) &amp;"]"))</f>
        <v>#N/A</v>
      </c>
      <c r="E34" s="78" t="e">
        <f ca="1">D34+I11+I15</f>
        <v>#N/A</v>
      </c>
      <c r="F34" s="79">
        <f>Mesures_Congel!M51</f>
        <v>0</v>
      </c>
      <c r="G34" s="79">
        <f>F34+G22</f>
        <v>0</v>
      </c>
      <c r="H34" s="79" t="e">
        <f ca="1">G34-E34</f>
        <v>#N/A</v>
      </c>
      <c r="I34" s="80" t="e">
        <f ca="1">IF(OR(E34&gt;Mesures_Congel!B18+Mesures_Congel!C21,E34&lt;Mesures_Congel!B18-Mesures_Congel!C21),"NON CONFORME","CONFORME")</f>
        <v>#N/A</v>
      </c>
    </row>
    <row r="35" spans="1:15" ht="16.5" thickBot="1" x14ac:dyDescent="0.3"/>
    <row r="36" spans="1:15" ht="18.75" customHeight="1" x14ac:dyDescent="0.25">
      <c r="A36" s="485" t="s">
        <v>133</v>
      </c>
      <c r="B36" s="485"/>
      <c r="C36" s="485"/>
      <c r="D36" s="485"/>
      <c r="E36" s="485"/>
      <c r="F36" s="485"/>
      <c r="G36" s="485"/>
      <c r="H36" s="485"/>
      <c r="I36" s="485"/>
      <c r="J36" s="82" t="s">
        <v>134</v>
      </c>
      <c r="K36" s="83">
        <f ca="1">TODAY()</f>
        <v>45345</v>
      </c>
    </row>
    <row r="37" spans="1:15" ht="19.5" thickBot="1" x14ac:dyDescent="0.3">
      <c r="D37" s="84"/>
      <c r="E37" s="84"/>
      <c r="F37" s="84"/>
      <c r="G37" s="84"/>
      <c r="H37" s="84"/>
      <c r="I37" s="49" t="s">
        <v>135</v>
      </c>
      <c r="J37" s="85" t="s">
        <v>136</v>
      </c>
      <c r="K37" s="86">
        <f ca="1">EDATE(K36,6)</f>
        <v>45527</v>
      </c>
    </row>
  </sheetData>
  <sheetProtection algorithmName="SHA-512" hashValue="mf0HH/h6SAhuNe677T322rYdKXFplHwBzESACHbHEuapLX8DKxqdLF5fyjtjD98wBKbU0X1nnYj+pnfHBttpgg==" saltValue="x3K3p6ntM+UtdcOEaJTdrg==" spinCount="100000" sheet="1" objects="1" scenarios="1"/>
  <mergeCells count="26">
    <mergeCell ref="A17:I17"/>
    <mergeCell ref="B1:I1"/>
    <mergeCell ref="A3:I3"/>
    <mergeCell ref="A4:I4"/>
    <mergeCell ref="A5:I5"/>
    <mergeCell ref="A6:I6"/>
    <mergeCell ref="A8:I8"/>
    <mergeCell ref="D10:F10"/>
    <mergeCell ref="D11:F11"/>
    <mergeCell ref="D13:F13"/>
    <mergeCell ref="D14:F14"/>
    <mergeCell ref="D15:F15"/>
    <mergeCell ref="A19:B19"/>
    <mergeCell ref="H19:I19"/>
    <mergeCell ref="A20:B20"/>
    <mergeCell ref="D20:F20"/>
    <mergeCell ref="A21:B21"/>
    <mergeCell ref="D21:F21"/>
    <mergeCell ref="A32:H32"/>
    <mergeCell ref="A36:I36"/>
    <mergeCell ref="A22:B22"/>
    <mergeCell ref="D22:F22"/>
    <mergeCell ref="A24:I24"/>
    <mergeCell ref="A25:I25"/>
    <mergeCell ref="A26:H26"/>
    <mergeCell ref="A29:H29"/>
  </mergeCells>
  <conditionalFormatting sqref="I28">
    <cfRule type="containsText" dxfId="50" priority="5" operator="containsText" text="NON CONFORME">
      <formula>NOT(ISERROR(SEARCH("NON CONFORME",I28)))</formula>
    </cfRule>
    <cfRule type="containsText" dxfId="49" priority="6" operator="containsText" text="CONFORME">
      <formula>NOT(ISERROR(SEARCH("CONFORME",I28)))</formula>
    </cfRule>
  </conditionalFormatting>
  <conditionalFormatting sqref="I31">
    <cfRule type="containsText" dxfId="48" priority="3" operator="containsText" text="NON CONFORME">
      <formula>NOT(ISERROR(SEARCH("NON CONFORME",I31)))</formula>
    </cfRule>
    <cfRule type="containsText" dxfId="47" priority="4" operator="containsText" text="CONFORME">
      <formula>NOT(ISERROR(SEARCH("CONFORME",I31)))</formula>
    </cfRule>
  </conditionalFormatting>
  <conditionalFormatting sqref="I34">
    <cfRule type="containsText" dxfId="46" priority="1" operator="containsText" text="NON CONFORME">
      <formula>NOT(ISERROR(SEARCH("NON CONFORME",I34)))</formula>
    </cfRule>
    <cfRule type="containsText" dxfId="45" priority="2" operator="containsText" text="CONFORME">
      <formula>NOT(ISERROR(SEARCH("CONFORME",I34)))</formula>
    </cfRule>
  </conditionalFormatting>
  <pageMargins left="0.7" right="0.7" top="0.75" bottom="0.75" header="0.3" footer="0.3"/>
  <pageSetup paperSize="9" scale="26" orientation="portrait" r:id="rId1"/>
  <headerFooter>
    <oddFooter>&amp;RIMP 472 ind O du 07-02-2024 (PV/SAT du Congélateur)</oddFooter>
  </headerFooter>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BE5C2-320B-49A7-92F1-F2166232F601}">
  <sheetPr codeName="Feuil15">
    <tabColor theme="5" tint="0.39997558519241921"/>
  </sheetPr>
  <dimension ref="A1:O54"/>
  <sheetViews>
    <sheetView workbookViewId="0">
      <selection activeCell="B4" sqref="B4"/>
    </sheetView>
  </sheetViews>
  <sheetFormatPr baseColWidth="10" defaultRowHeight="15" x14ac:dyDescent="0.25"/>
  <cols>
    <col min="1" max="1" width="15.85546875" bestFit="1" customWidth="1"/>
    <col min="2" max="2" width="14.7109375" bestFit="1" customWidth="1"/>
    <col min="3" max="3" width="18.85546875" bestFit="1" customWidth="1"/>
    <col min="4" max="4" width="35.7109375" bestFit="1" customWidth="1"/>
    <col min="5" max="5" width="13.85546875" bestFit="1" customWidth="1"/>
    <col min="6" max="6" width="8.42578125" bestFit="1" customWidth="1"/>
    <col min="7" max="7" width="8.140625" customWidth="1"/>
    <col min="11" max="11" width="16.7109375" customWidth="1"/>
    <col min="12" max="12" width="24.28515625" customWidth="1"/>
    <col min="13" max="13" width="21.42578125" bestFit="1" customWidth="1"/>
    <col min="14" max="14" width="17.28515625" bestFit="1" customWidth="1"/>
    <col min="15" max="15" width="25.85546875" bestFit="1" customWidth="1"/>
  </cols>
  <sheetData>
    <row r="1" spans="1:15" x14ac:dyDescent="0.25">
      <c r="A1" s="325"/>
      <c r="B1" s="1"/>
      <c r="C1" s="1"/>
      <c r="D1" s="1"/>
      <c r="E1" s="1"/>
      <c r="F1" s="1"/>
      <c r="G1" s="1"/>
      <c r="H1" s="1"/>
      <c r="I1" s="1"/>
      <c r="J1" s="1"/>
      <c r="K1" s="1"/>
      <c r="L1" s="1"/>
      <c r="M1" s="1"/>
      <c r="N1" s="1"/>
      <c r="O1" s="1"/>
    </row>
    <row r="2" spans="1:15" x14ac:dyDescent="0.25">
      <c r="A2" s="1"/>
      <c r="B2" s="454" t="s">
        <v>575</v>
      </c>
      <c r="C2" s="455"/>
      <c r="D2" s="455"/>
      <c r="E2" s="455"/>
      <c r="F2" s="455"/>
      <c r="G2" s="455"/>
      <c r="H2" s="455"/>
      <c r="I2" s="455"/>
      <c r="J2" s="455"/>
      <c r="K2" s="455"/>
      <c r="L2" s="1"/>
      <c r="M2" s="1"/>
      <c r="N2" s="1"/>
      <c r="O2" s="1"/>
    </row>
    <row r="3" spans="1:15" ht="27.75" customHeight="1" x14ac:dyDescent="0.25">
      <c r="A3" s="1"/>
      <c r="B3" s="455"/>
      <c r="C3" s="455"/>
      <c r="D3" s="455"/>
      <c r="E3" s="455"/>
      <c r="F3" s="455"/>
      <c r="G3" s="455"/>
      <c r="H3" s="455"/>
      <c r="I3" s="455"/>
      <c r="J3" s="455"/>
      <c r="K3" s="455"/>
      <c r="L3" s="1"/>
      <c r="M3" s="1"/>
      <c r="N3" s="1"/>
      <c r="O3" s="1"/>
    </row>
    <row r="4" spans="1:15" ht="57" x14ac:dyDescent="0.25">
      <c r="A4" s="1"/>
      <c r="B4" s="2"/>
      <c r="C4" s="2"/>
      <c r="D4" s="2"/>
      <c r="E4" s="2"/>
      <c r="F4" s="2"/>
      <c r="G4" s="2"/>
      <c r="H4" s="2"/>
      <c r="I4" s="2"/>
      <c r="J4" s="2"/>
      <c r="K4" s="2"/>
      <c r="L4" s="1"/>
      <c r="M4" s="1"/>
      <c r="N4" s="1"/>
      <c r="O4" s="1"/>
    </row>
    <row r="5" spans="1:15" ht="14.25" customHeight="1" x14ac:dyDescent="0.25">
      <c r="A5" s="447" t="s">
        <v>552</v>
      </c>
      <c r="B5" s="447"/>
      <c r="C5" s="447"/>
      <c r="D5" s="162" t="str">
        <f>Choose_TUS!L2 &amp; "(TUS du séchoir)"</f>
        <v>IMP 472 ind O du 07-02-2024 (TUS du séchoir)</v>
      </c>
      <c r="E5" s="2"/>
      <c r="F5" s="2"/>
      <c r="G5" s="2"/>
      <c r="H5" s="2"/>
      <c r="I5" s="2"/>
      <c r="J5" s="2"/>
      <c r="K5" s="2"/>
      <c r="L5" s="1"/>
      <c r="M5" s="1"/>
      <c r="N5" s="1"/>
      <c r="O5" s="1"/>
    </row>
    <row r="6" spans="1:15" x14ac:dyDescent="0.25">
      <c r="A6" s="447" t="s">
        <v>0</v>
      </c>
      <c r="B6" s="447"/>
      <c r="C6" s="447"/>
      <c r="D6" s="162"/>
      <c r="E6" s="1"/>
      <c r="F6" s="1"/>
      <c r="G6" s="1"/>
      <c r="H6" s="1"/>
      <c r="I6" s="1"/>
      <c r="J6" s="1"/>
      <c r="K6" s="1"/>
      <c r="L6" s="1"/>
      <c r="M6" s="1"/>
      <c r="N6" s="1"/>
      <c r="O6" s="24"/>
    </row>
    <row r="7" spans="1:15" x14ac:dyDescent="0.25">
      <c r="A7" s="1"/>
      <c r="B7" s="1"/>
      <c r="C7" s="1"/>
      <c r="D7" s="1"/>
      <c r="E7" s="1"/>
      <c r="F7" s="1"/>
      <c r="G7" s="1"/>
      <c r="H7" s="1"/>
      <c r="I7" s="1"/>
      <c r="J7" s="1"/>
      <c r="K7" s="1"/>
      <c r="L7" s="1"/>
      <c r="M7" s="1"/>
      <c r="N7" s="1"/>
      <c r="O7" s="1"/>
    </row>
    <row r="8" spans="1:15" x14ac:dyDescent="0.25">
      <c r="A8" s="447" t="s">
        <v>1</v>
      </c>
      <c r="B8" s="447"/>
      <c r="C8" s="4"/>
      <c r="D8" s="1"/>
      <c r="E8" s="447" t="s">
        <v>18</v>
      </c>
      <c r="F8" s="447"/>
      <c r="G8" s="4"/>
      <c r="H8" s="1"/>
      <c r="I8" s="1"/>
      <c r="J8" s="1"/>
      <c r="K8" s="1"/>
      <c r="L8" s="1"/>
      <c r="M8" s="1"/>
      <c r="N8" s="1"/>
      <c r="O8" s="5"/>
    </row>
    <row r="9" spans="1:15" x14ac:dyDescent="0.25">
      <c r="A9" s="447" t="s">
        <v>2</v>
      </c>
      <c r="B9" s="447"/>
      <c r="C9" s="6"/>
      <c r="D9" s="1"/>
      <c r="E9" s="447" t="s">
        <v>19</v>
      </c>
      <c r="F9" s="447"/>
      <c r="G9" s="6"/>
      <c r="H9" s="1"/>
      <c r="I9" s="1"/>
      <c r="J9" s="1"/>
      <c r="K9" s="1"/>
      <c r="L9" s="1"/>
      <c r="M9" s="1"/>
      <c r="N9" s="1"/>
      <c r="O9" s="5"/>
    </row>
    <row r="10" spans="1:15" x14ac:dyDescent="0.25">
      <c r="A10" s="1"/>
      <c r="B10" s="1"/>
      <c r="C10" s="1"/>
      <c r="D10" s="1"/>
      <c r="E10" s="1"/>
      <c r="F10" s="1"/>
      <c r="G10" s="1"/>
      <c r="H10" s="1"/>
      <c r="I10" s="1"/>
      <c r="J10" s="1"/>
      <c r="K10" s="1"/>
      <c r="L10" s="1"/>
      <c r="M10" s="1"/>
      <c r="N10" s="1"/>
      <c r="O10" s="5"/>
    </row>
    <row r="11" spans="1:15" x14ac:dyDescent="0.25">
      <c r="A11" s="443" t="s">
        <v>3</v>
      </c>
      <c r="B11" s="444"/>
      <c r="C11" s="7"/>
      <c r="D11" s="1"/>
      <c r="E11" s="443" t="s">
        <v>20</v>
      </c>
      <c r="F11" s="444"/>
      <c r="G11" s="8"/>
      <c r="H11" s="1"/>
      <c r="I11" s="1"/>
      <c r="J11" s="1"/>
      <c r="K11" s="1"/>
      <c r="L11" s="1"/>
      <c r="M11" s="1"/>
      <c r="N11" s="1"/>
      <c r="O11" s="1"/>
    </row>
    <row r="12" spans="1:15" x14ac:dyDescent="0.25">
      <c r="A12" s="443" t="s">
        <v>4</v>
      </c>
      <c r="B12" s="444"/>
      <c r="C12" s="8"/>
      <c r="D12" s="1"/>
      <c r="E12" s="447" t="s">
        <v>21</v>
      </c>
      <c r="F12" s="447"/>
      <c r="G12" s="159">
        <v>9</v>
      </c>
      <c r="H12" s="1"/>
      <c r="I12" s="1"/>
      <c r="J12" s="1"/>
      <c r="K12" s="1"/>
      <c r="L12" s="1"/>
      <c r="M12" s="1"/>
      <c r="N12" s="1"/>
      <c r="O12" s="1"/>
    </row>
    <row r="13" spans="1:15" x14ac:dyDescent="0.25">
      <c r="A13" s="1"/>
      <c r="B13" s="1"/>
      <c r="C13" s="1"/>
      <c r="D13" s="1"/>
      <c r="E13" s="447" t="s">
        <v>22</v>
      </c>
      <c r="F13" s="447"/>
      <c r="G13" s="10"/>
      <c r="H13" s="1"/>
      <c r="I13" s="1"/>
      <c r="J13" s="1"/>
      <c r="K13" s="1"/>
      <c r="L13" s="1"/>
      <c r="M13" s="1"/>
      <c r="N13" s="1"/>
      <c r="O13" s="1"/>
    </row>
    <row r="14" spans="1:15" x14ac:dyDescent="0.25">
      <c r="A14" s="1"/>
      <c r="B14" s="1"/>
      <c r="C14" s="1"/>
      <c r="D14" s="1"/>
      <c r="E14" s="1"/>
      <c r="F14" s="1"/>
      <c r="G14" s="1"/>
      <c r="H14" s="1"/>
      <c r="I14" s="1"/>
      <c r="J14" s="1"/>
      <c r="K14" s="1"/>
      <c r="L14" s="1"/>
      <c r="M14" s="1"/>
      <c r="N14" s="1"/>
      <c r="O14" s="1"/>
    </row>
    <row r="15" spans="1:15" x14ac:dyDescent="0.25">
      <c r="A15" s="443" t="s">
        <v>5</v>
      </c>
      <c r="B15" s="444"/>
      <c r="C15" s="4"/>
      <c r="D15" s="1"/>
      <c r="E15" s="1"/>
      <c r="F15" s="1"/>
      <c r="G15" s="1"/>
      <c r="H15" s="1"/>
      <c r="I15" s="1"/>
      <c r="J15" s="1"/>
      <c r="K15" s="1"/>
      <c r="L15" s="1"/>
      <c r="M15" s="1"/>
      <c r="N15" s="1"/>
      <c r="O15" s="1"/>
    </row>
    <row r="16" spans="1:15" x14ac:dyDescent="0.25">
      <c r="A16" s="443" t="s">
        <v>6</v>
      </c>
      <c r="B16" s="444"/>
      <c r="C16" s="10"/>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1"/>
      <c r="B19" s="1"/>
      <c r="C19" s="1"/>
      <c r="D19" s="1"/>
      <c r="E19" s="1"/>
      <c r="F19" s="1"/>
      <c r="G19" s="1"/>
      <c r="H19" s="1"/>
      <c r="I19" s="1"/>
      <c r="J19" s="1"/>
      <c r="K19" s="1"/>
      <c r="L19" s="1"/>
      <c r="M19" s="1"/>
      <c r="N19" s="1"/>
      <c r="O19" s="1"/>
    </row>
    <row r="20" spans="1:15" x14ac:dyDescent="0.25">
      <c r="A20" s="3" t="s">
        <v>547</v>
      </c>
      <c r="B20" s="11"/>
      <c r="C20" s="1"/>
      <c r="D20" s="1"/>
      <c r="E20" s="1"/>
      <c r="F20" s="1"/>
      <c r="G20" s="1"/>
      <c r="H20" s="1"/>
      <c r="I20" s="1"/>
      <c r="J20" s="1"/>
      <c r="K20" s="1"/>
      <c r="L20" s="1"/>
      <c r="M20" s="1"/>
      <c r="N20" s="1"/>
      <c r="O20" s="1"/>
    </row>
    <row r="21" spans="1:15" x14ac:dyDescent="0.25">
      <c r="A21" s="3" t="s">
        <v>548</v>
      </c>
      <c r="B21" s="11"/>
      <c r="C21" s="1"/>
      <c r="D21" s="1"/>
      <c r="E21" s="1"/>
      <c r="F21" s="1"/>
      <c r="G21" s="1"/>
      <c r="H21" s="1"/>
      <c r="I21" s="1"/>
      <c r="J21" s="1"/>
      <c r="K21" s="1"/>
      <c r="L21" s="1"/>
      <c r="M21" s="1"/>
      <c r="N21" s="1"/>
      <c r="O21" s="1"/>
    </row>
    <row r="22" spans="1:15" ht="15.75" thickBot="1" x14ac:dyDescent="0.3">
      <c r="A22" s="1"/>
      <c r="B22" s="1"/>
      <c r="C22" s="1"/>
      <c r="D22" s="1"/>
      <c r="E22" s="1"/>
      <c r="F22" s="1"/>
      <c r="G22" s="1"/>
      <c r="H22" s="1"/>
      <c r="I22" s="1"/>
      <c r="J22" s="1"/>
      <c r="K22" s="1"/>
      <c r="L22" s="1"/>
      <c r="M22" s="1"/>
      <c r="N22" s="1"/>
      <c r="O22" s="1"/>
    </row>
    <row r="23" spans="1:15" ht="15.75" thickBot="1" x14ac:dyDescent="0.3">
      <c r="A23" s="12" t="s">
        <v>9</v>
      </c>
      <c r="B23" s="13" t="s">
        <v>12</v>
      </c>
      <c r="C23" s="13" t="s">
        <v>14</v>
      </c>
      <c r="D23" s="13" t="s">
        <v>553</v>
      </c>
      <c r="E23" s="14" t="s">
        <v>554</v>
      </c>
      <c r="F23" s="1"/>
      <c r="G23" s="1"/>
      <c r="H23" s="1"/>
      <c r="I23" s="1"/>
      <c r="J23" s="1"/>
      <c r="K23" s="1"/>
      <c r="L23" s="1"/>
      <c r="M23" s="1"/>
      <c r="N23" s="1"/>
      <c r="O23" s="1"/>
    </row>
    <row r="24" spans="1:15" x14ac:dyDescent="0.25">
      <c r="A24" s="15">
        <v>1</v>
      </c>
      <c r="B24" s="11"/>
      <c r="C24" s="11"/>
      <c r="D24" s="174"/>
      <c r="E24" s="174"/>
      <c r="F24" s="1"/>
      <c r="G24" s="1"/>
      <c r="H24" s="1"/>
      <c r="I24" s="1"/>
      <c r="J24" s="1"/>
      <c r="K24" s="1"/>
      <c r="L24" s="1"/>
      <c r="M24" s="1"/>
      <c r="N24" s="1"/>
      <c r="O24" s="1"/>
    </row>
    <row r="25" spans="1:15" x14ac:dyDescent="0.25">
      <c r="A25" s="19">
        <v>2</v>
      </c>
      <c r="B25" s="11"/>
      <c r="C25" s="11"/>
      <c r="D25" s="174"/>
      <c r="E25" s="174"/>
      <c r="F25" s="1"/>
      <c r="G25" s="1"/>
      <c r="H25" s="1"/>
      <c r="I25" s="1"/>
      <c r="J25" s="1"/>
      <c r="K25" s="1"/>
      <c r="L25" s="1"/>
      <c r="M25" s="1"/>
      <c r="N25" s="1"/>
      <c r="O25" s="1"/>
    </row>
    <row r="26" spans="1:15" x14ac:dyDescent="0.25">
      <c r="A26" s="15">
        <v>3</v>
      </c>
      <c r="B26" s="11"/>
      <c r="C26" s="11"/>
      <c r="D26" s="174"/>
      <c r="E26" s="174"/>
      <c r="F26" s="1"/>
      <c r="G26" s="1"/>
      <c r="H26" s="1"/>
      <c r="I26" s="1"/>
      <c r="J26" s="1"/>
      <c r="K26" s="1"/>
      <c r="L26" s="1"/>
      <c r="M26" s="1"/>
      <c r="N26" s="1"/>
      <c r="O26" s="1"/>
    </row>
    <row r="27" spans="1:15" x14ac:dyDescent="0.25">
      <c r="A27" s="19">
        <v>4</v>
      </c>
      <c r="B27" s="11"/>
      <c r="C27" s="11"/>
      <c r="D27" s="174"/>
      <c r="E27" s="174"/>
      <c r="F27" s="1"/>
      <c r="G27" s="1"/>
      <c r="H27" s="1"/>
      <c r="I27" s="1"/>
      <c r="J27" s="1"/>
      <c r="K27" s="1"/>
      <c r="L27" s="1"/>
      <c r="M27" s="1"/>
      <c r="N27" s="1"/>
      <c r="O27" s="1"/>
    </row>
    <row r="28" spans="1:15" x14ac:dyDescent="0.25">
      <c r="A28" s="15">
        <v>5</v>
      </c>
      <c r="B28" s="11"/>
      <c r="C28" s="11"/>
      <c r="D28" s="174"/>
      <c r="E28" s="174"/>
      <c r="F28" s="1"/>
      <c r="G28" s="1"/>
      <c r="H28" s="1"/>
      <c r="I28" s="1"/>
      <c r="J28" s="1"/>
      <c r="K28" s="1"/>
      <c r="L28" s="1"/>
      <c r="M28" s="1"/>
      <c r="N28" s="1"/>
      <c r="O28" s="1"/>
    </row>
    <row r="29" spans="1:15" x14ac:dyDescent="0.25">
      <c r="A29" s="19">
        <v>6</v>
      </c>
      <c r="B29" s="11"/>
      <c r="C29" s="11"/>
      <c r="D29" s="174"/>
      <c r="E29" s="174"/>
      <c r="F29" s="1"/>
      <c r="G29" s="1"/>
      <c r="H29" s="1"/>
      <c r="I29" s="1"/>
      <c r="J29" s="1"/>
      <c r="K29" s="1"/>
      <c r="L29" s="1"/>
      <c r="M29" s="1"/>
      <c r="N29" s="1"/>
      <c r="O29" s="1"/>
    </row>
    <row r="30" spans="1:15" x14ac:dyDescent="0.25">
      <c r="A30" s="15">
        <v>7</v>
      </c>
      <c r="B30" s="11"/>
      <c r="C30" s="11"/>
      <c r="D30" s="174"/>
      <c r="E30" s="174"/>
      <c r="F30" s="1"/>
      <c r="G30" s="1"/>
      <c r="H30" s="1"/>
      <c r="I30" s="1"/>
      <c r="J30" s="1"/>
      <c r="K30" s="1"/>
      <c r="L30" s="1"/>
      <c r="M30" s="1"/>
      <c r="N30" s="1"/>
      <c r="O30" s="1"/>
    </row>
    <row r="31" spans="1:15" x14ac:dyDescent="0.25">
      <c r="A31" s="19">
        <v>8</v>
      </c>
      <c r="B31" s="11"/>
      <c r="C31" s="11"/>
      <c r="D31" s="174"/>
      <c r="E31" s="174"/>
      <c r="F31" s="1"/>
      <c r="G31" s="1"/>
      <c r="H31" s="1"/>
      <c r="I31" s="1"/>
      <c r="J31" s="1"/>
      <c r="K31" s="1"/>
      <c r="L31" s="1"/>
      <c r="M31" s="1"/>
      <c r="N31" s="1"/>
      <c r="O31" s="1"/>
    </row>
    <row r="32" spans="1:15" x14ac:dyDescent="0.25">
      <c r="A32" s="15">
        <v>9</v>
      </c>
      <c r="B32" s="11"/>
      <c r="C32" s="11"/>
      <c r="D32" s="174"/>
      <c r="E32" s="174"/>
      <c r="F32" s="1"/>
      <c r="G32" s="1"/>
      <c r="H32" s="1"/>
      <c r="I32" s="1"/>
      <c r="J32" s="1"/>
      <c r="K32" s="1"/>
      <c r="L32" s="1"/>
      <c r="M32" s="1"/>
      <c r="N32" s="1"/>
      <c r="O32" s="1"/>
    </row>
    <row r="33" spans="1:15" x14ac:dyDescent="0.25">
      <c r="A33" s="1"/>
      <c r="B33" s="1"/>
      <c r="C33" s="1"/>
      <c r="D33" s="1"/>
      <c r="E33" s="1"/>
      <c r="F33" s="1"/>
      <c r="G33" s="1"/>
      <c r="H33" s="1"/>
      <c r="I33" s="1"/>
      <c r="J33" s="1"/>
    </row>
    <row r="34" spans="1:15" x14ac:dyDescent="0.25">
      <c r="A34" s="1"/>
      <c r="B34" s="1"/>
      <c r="C34" s="1"/>
      <c r="D34" s="1"/>
      <c r="E34" s="1"/>
      <c r="F34" s="1"/>
      <c r="G34" s="1"/>
      <c r="H34" s="1"/>
      <c r="I34" s="1"/>
      <c r="J34" s="1"/>
    </row>
    <row r="35" spans="1:15" x14ac:dyDescent="0.25">
      <c r="A35" s="1"/>
      <c r="B35" s="1"/>
      <c r="C35" s="1"/>
      <c r="D35" s="1"/>
      <c r="E35" s="1"/>
      <c r="F35" s="1"/>
      <c r="G35" s="1"/>
      <c r="H35" s="1"/>
      <c r="I35" s="1"/>
      <c r="J35" s="1"/>
    </row>
    <row r="36" spans="1:15" x14ac:dyDescent="0.25">
      <c r="A36" s="1"/>
      <c r="B36" s="1"/>
      <c r="C36" s="1"/>
      <c r="D36" s="1"/>
      <c r="E36" s="1"/>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x14ac:dyDescent="0.25">
      <c r="A38" s="1"/>
      <c r="B38" s="1"/>
      <c r="C38" s="1"/>
      <c r="D38" s="1"/>
      <c r="E38" s="1"/>
      <c r="F38" s="1"/>
      <c r="G38" s="1"/>
      <c r="H38" s="1"/>
      <c r="I38" s="1"/>
      <c r="J38" s="1"/>
      <c r="K38" s="1"/>
      <c r="L38" s="1"/>
      <c r="M38" s="1"/>
      <c r="N38" s="1"/>
      <c r="O38" s="1"/>
    </row>
    <row r="39" spans="1:15" ht="26.25" x14ac:dyDescent="0.25">
      <c r="A39" s="1"/>
      <c r="B39" s="446" t="s">
        <v>13</v>
      </c>
      <c r="C39" s="446"/>
      <c r="D39" s="1"/>
      <c r="E39" s="1"/>
      <c r="F39" s="1"/>
      <c r="G39" s="1"/>
      <c r="H39" s="1"/>
      <c r="I39" s="1"/>
      <c r="J39" s="1"/>
      <c r="K39" s="1"/>
      <c r="L39" s="446" t="s">
        <v>30</v>
      </c>
      <c r="M39" s="446"/>
      <c r="N39" s="1"/>
      <c r="O39" s="1"/>
    </row>
    <row r="40" spans="1:15" x14ac:dyDescent="0.25">
      <c r="A40" s="1"/>
      <c r="B40" s="1"/>
      <c r="C40" s="1"/>
      <c r="D40" s="1"/>
      <c r="E40" s="1"/>
      <c r="F40" s="1"/>
      <c r="G40" s="1"/>
      <c r="H40" s="1"/>
      <c r="I40" s="1"/>
      <c r="J40" s="1"/>
      <c r="K40" s="1"/>
      <c r="L40" s="1"/>
      <c r="M40" s="1"/>
      <c r="N40" s="1"/>
      <c r="O40" s="1"/>
    </row>
    <row r="41" spans="1:15" x14ac:dyDescent="0.25">
      <c r="B41" s="443" t="s">
        <v>10</v>
      </c>
      <c r="C41" s="453"/>
      <c r="D41" s="453"/>
      <c r="E41" s="453"/>
      <c r="F41" s="444"/>
      <c r="G41" s="1"/>
      <c r="H41" s="1"/>
      <c r="I41" s="1"/>
      <c r="J41" s="1"/>
      <c r="K41" s="447" t="s">
        <v>26</v>
      </c>
      <c r="L41" s="447"/>
      <c r="M41" s="447"/>
      <c r="N41" s="447"/>
      <c r="O41" s="447"/>
    </row>
    <row r="42" spans="1:15" ht="30" x14ac:dyDescent="0.25">
      <c r="B42" s="3"/>
      <c r="C42" s="3" t="s">
        <v>15</v>
      </c>
      <c r="D42" s="20" t="s">
        <v>17</v>
      </c>
      <c r="E42" s="20" t="s">
        <v>24</v>
      </c>
      <c r="F42" s="20" t="s">
        <v>25</v>
      </c>
      <c r="G42" s="1"/>
      <c r="H42" s="1"/>
      <c r="I42" s="1"/>
      <c r="J42" s="1"/>
      <c r="K42" s="450"/>
      <c r="L42" s="450"/>
      <c r="M42" s="3" t="s">
        <v>32</v>
      </c>
      <c r="N42" s="3" t="s">
        <v>34</v>
      </c>
      <c r="O42" s="3" t="s">
        <v>35</v>
      </c>
    </row>
    <row r="43" spans="1:15" x14ac:dyDescent="0.25">
      <c r="B43" s="319" t="str">
        <f>CONCATENATE("Sonde ", B24)</f>
        <v xml:space="preserve">Sonde </v>
      </c>
      <c r="C43" s="10"/>
      <c r="D43" s="10"/>
      <c r="E43" s="10"/>
      <c r="F43" s="10"/>
      <c r="G43" s="1"/>
      <c r="H43" s="1"/>
      <c r="I43" s="1"/>
      <c r="J43" s="1"/>
      <c r="K43" s="451" t="s">
        <v>27</v>
      </c>
      <c r="L43" s="452"/>
      <c r="M43" s="10"/>
      <c r="N43" s="10"/>
      <c r="O43" s="10"/>
    </row>
    <row r="44" spans="1:15" x14ac:dyDescent="0.25">
      <c r="B44" s="319" t="str">
        <f t="shared" ref="B44:B51" si="0">"Sonde " &amp; B25</f>
        <v xml:space="preserve">Sonde </v>
      </c>
      <c r="C44" s="10"/>
      <c r="D44" s="10"/>
      <c r="E44" s="10"/>
      <c r="F44" s="10"/>
      <c r="G44" s="1"/>
      <c r="H44" s="1"/>
      <c r="I44" s="1"/>
      <c r="J44" s="1"/>
      <c r="K44" s="1"/>
      <c r="L44" s="1"/>
      <c r="M44" s="1"/>
      <c r="N44" s="1"/>
      <c r="O44" s="1"/>
    </row>
    <row r="45" spans="1:15" x14ac:dyDescent="0.25">
      <c r="B45" s="319" t="str">
        <f t="shared" si="0"/>
        <v xml:space="preserve">Sonde </v>
      </c>
      <c r="C45" s="10"/>
      <c r="D45" s="10"/>
      <c r="E45" s="10"/>
      <c r="F45" s="10"/>
      <c r="G45" s="1"/>
      <c r="H45" s="1"/>
      <c r="I45" s="1"/>
      <c r="J45" s="1"/>
      <c r="K45" s="1"/>
      <c r="L45" s="1"/>
      <c r="M45" s="1"/>
      <c r="N45" s="1"/>
      <c r="O45" s="1"/>
    </row>
    <row r="46" spans="1:15" x14ac:dyDescent="0.25">
      <c r="B46" s="319" t="str">
        <f t="shared" si="0"/>
        <v xml:space="preserve">Sonde </v>
      </c>
      <c r="C46" s="10"/>
      <c r="D46" s="10"/>
      <c r="E46" s="10"/>
      <c r="F46" s="10"/>
      <c r="G46" s="1"/>
      <c r="H46" s="1"/>
      <c r="I46" s="1"/>
      <c r="J46" s="1"/>
      <c r="K46" s="1"/>
      <c r="L46" s="1"/>
      <c r="M46" s="1"/>
      <c r="N46" s="1"/>
      <c r="O46" s="1"/>
    </row>
    <row r="47" spans="1:15" x14ac:dyDescent="0.25">
      <c r="B47" s="319" t="str">
        <f t="shared" si="0"/>
        <v xml:space="preserve">Sonde </v>
      </c>
      <c r="C47" s="10"/>
      <c r="D47" s="10"/>
      <c r="E47" s="10"/>
      <c r="F47" s="10"/>
      <c r="G47" s="1"/>
      <c r="H47" s="1"/>
      <c r="I47" s="1"/>
      <c r="J47" s="1"/>
      <c r="K47" s="1"/>
      <c r="L47" s="1"/>
    </row>
    <row r="48" spans="1:15" x14ac:dyDescent="0.25">
      <c r="B48" s="319" t="str">
        <f t="shared" si="0"/>
        <v xml:space="preserve">Sonde </v>
      </c>
      <c r="C48" s="10"/>
      <c r="D48" s="10"/>
      <c r="E48" s="10"/>
      <c r="F48" s="10"/>
      <c r="G48" s="1"/>
      <c r="H48" s="1"/>
      <c r="I48" s="1"/>
      <c r="J48" s="1"/>
      <c r="K48" s="1"/>
      <c r="L48" s="1"/>
    </row>
    <row r="49" spans="1:12" x14ac:dyDescent="0.25">
      <c r="B49" s="319" t="str">
        <f t="shared" si="0"/>
        <v xml:space="preserve">Sonde </v>
      </c>
      <c r="C49" s="10"/>
      <c r="D49" s="10"/>
      <c r="E49" s="10"/>
      <c r="F49" s="10"/>
      <c r="G49" s="1"/>
      <c r="H49" s="1"/>
      <c r="I49" s="1"/>
      <c r="J49" s="1"/>
      <c r="K49" s="1"/>
      <c r="L49" s="1"/>
    </row>
    <row r="50" spans="1:12" x14ac:dyDescent="0.25">
      <c r="B50" s="319" t="str">
        <f t="shared" si="0"/>
        <v xml:space="preserve">Sonde </v>
      </c>
      <c r="C50" s="10"/>
      <c r="D50" s="10"/>
      <c r="E50" s="10"/>
      <c r="F50" s="10"/>
      <c r="G50" s="1"/>
      <c r="H50" s="1"/>
      <c r="I50" s="1"/>
      <c r="J50" s="1"/>
      <c r="K50" s="1"/>
      <c r="L50" s="1"/>
    </row>
    <row r="51" spans="1:12" x14ac:dyDescent="0.25">
      <c r="B51" s="319" t="str">
        <f t="shared" si="0"/>
        <v xml:space="preserve">Sonde </v>
      </c>
      <c r="C51" s="10"/>
      <c r="D51" s="10"/>
      <c r="E51" s="10"/>
      <c r="F51" s="10"/>
      <c r="G51" s="1"/>
      <c r="H51" s="1"/>
      <c r="I51" s="1"/>
      <c r="J51" s="1"/>
      <c r="K51" s="1"/>
      <c r="L51" s="1"/>
    </row>
    <row r="52" spans="1:12" x14ac:dyDescent="0.25">
      <c r="A52" s="1"/>
      <c r="B52" s="1"/>
      <c r="C52" s="1"/>
      <c r="D52" s="1"/>
      <c r="E52" s="1"/>
      <c r="F52" s="1"/>
      <c r="G52" s="1"/>
      <c r="H52" s="1"/>
      <c r="I52" s="1"/>
    </row>
    <row r="53" spans="1:12" x14ac:dyDescent="0.25">
      <c r="A53" s="1"/>
      <c r="B53" s="1"/>
      <c r="C53" s="1"/>
      <c r="D53" s="1"/>
      <c r="E53" s="1"/>
      <c r="F53" s="1"/>
      <c r="G53" s="1"/>
      <c r="H53" s="1"/>
      <c r="I53" s="1"/>
    </row>
    <row r="54" spans="1:12" x14ac:dyDescent="0.25">
      <c r="A54" s="1"/>
      <c r="B54" s="1"/>
      <c r="C54" s="1"/>
      <c r="D54" s="1"/>
      <c r="E54" s="1"/>
      <c r="F54" s="1"/>
      <c r="G54" s="1"/>
      <c r="H54" s="1"/>
      <c r="I54" s="1"/>
    </row>
  </sheetData>
  <sheetProtection algorithmName="SHA-512" hashValue="ambA5bKXBKgExaBsbkAuM3IdzX5FzuAPVafI2rxuYiK0Adxx7zDjQxjN/VjVPxW5xeg9wQlkJInxZpV7mpoI/w==" saltValue="3Lql1NuUS6dXnltFckb9fw==" spinCount="100000" sheet="1" objects="1" scenarios="1"/>
  <protectedRanges>
    <protectedRange sqref="C11" name="Donnees controleur_8"/>
  </protectedRanges>
  <dataConsolidate/>
  <mergeCells count="20">
    <mergeCell ref="B2:K3"/>
    <mergeCell ref="A6:C6"/>
    <mergeCell ref="A8:B8"/>
    <mergeCell ref="E8:F8"/>
    <mergeCell ref="A9:B9"/>
    <mergeCell ref="E9:F9"/>
    <mergeCell ref="A5:C5"/>
    <mergeCell ref="K43:L43"/>
    <mergeCell ref="K42:L42"/>
    <mergeCell ref="A11:B11"/>
    <mergeCell ref="E11:F11"/>
    <mergeCell ref="A12:B12"/>
    <mergeCell ref="E12:F12"/>
    <mergeCell ref="E13:F13"/>
    <mergeCell ref="A15:B15"/>
    <mergeCell ref="A16:B16"/>
    <mergeCell ref="B39:C39"/>
    <mergeCell ref="L39:M39"/>
    <mergeCell ref="K41:O41"/>
    <mergeCell ref="B41:F41"/>
  </mergeCells>
  <conditionalFormatting sqref="A52:R60 B42:R51 B41 G41:R41 A1:R40">
    <cfRule type="expression" dxfId="44" priority="1">
      <formula>AND(NOT(CELL("protege", A1)), A1="")</formula>
    </cfRule>
  </conditionalFormatting>
  <dataValidations count="3">
    <dataValidation type="list" allowBlank="1" showInputMessage="1" showErrorMessage="1" sqref="C11" xr:uid="{25E045EC-33D2-484B-ADD3-DE8ED1EF285D}">
      <formula1>"BCH , LV"</formula1>
    </dataValidation>
    <dataValidation type="list" showInputMessage="1" showErrorMessage="1" sqref="D17:D18" xr:uid="{5B7E2A97-04E4-4FBF-AE91-355DB11E2DE7}">
      <formula1>$C$16:$C$18</formula1>
    </dataValidation>
    <dataValidation type="list" showErrorMessage="1" promptTitle="Périodicité" prompt="Veuillez choisir" sqref="C16" xr:uid="{EF9E56E7-DAAB-4A20-A7BE-3609228CEFED}">
      <formula1>" ,Annuelle,Trimestrielle,Mensuelle"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96" r:id="rId4" name="Button 8">
              <controlPr defaultSize="0" print="0" autoFill="0" autoPict="0" macro="[0]!Realisation_TUS_Etuve_Sechoir">
                <anchor moveWithCells="1" sizeWithCells="1">
                  <from>
                    <xdr:col>8</xdr:col>
                    <xdr:colOff>419100</xdr:colOff>
                    <xdr:row>7</xdr:row>
                    <xdr:rowOff>123825</xdr:rowOff>
                  </from>
                  <to>
                    <xdr:col>12</xdr:col>
                    <xdr:colOff>895350</xdr:colOff>
                    <xdr:row>14</xdr:row>
                    <xdr:rowOff>38100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E69A7-DCDE-445E-8BC8-C22A398FCDA9}">
  <sheetPr codeName="Feuil26">
    <tabColor theme="5" tint="0.39997558519241921"/>
  </sheetPr>
  <dimension ref="A1:J2"/>
  <sheetViews>
    <sheetView topLeftCell="A13" workbookViewId="0">
      <selection activeCell="A2" sqref="A2"/>
    </sheetView>
  </sheetViews>
  <sheetFormatPr baseColWidth="10" defaultRowHeight="15" x14ac:dyDescent="0.25"/>
  <cols>
    <col min="1" max="1" width="15.7109375" bestFit="1" customWidth="1"/>
    <col min="2" max="10" width="15" bestFit="1" customWidth="1"/>
  </cols>
  <sheetData>
    <row r="1" spans="1:10" x14ac:dyDescent="0.25">
      <c r="A1" s="23" t="s">
        <v>36</v>
      </c>
      <c r="B1" t="s">
        <v>37</v>
      </c>
      <c r="C1" t="s">
        <v>38</v>
      </c>
      <c r="D1" t="s">
        <v>39</v>
      </c>
      <c r="E1" t="s">
        <v>40</v>
      </c>
      <c r="F1" t="s">
        <v>41</v>
      </c>
      <c r="G1" t="s">
        <v>42</v>
      </c>
      <c r="H1" t="s">
        <v>43</v>
      </c>
      <c r="I1" t="s">
        <v>44</v>
      </c>
      <c r="J1" t="s">
        <v>45</v>
      </c>
    </row>
    <row r="2" spans="1:10" x14ac:dyDescent="0.25">
      <c r="A2" s="23"/>
      <c r="G2" s="134"/>
      <c r="H2" s="134"/>
      <c r="I2" s="134"/>
      <c r="J2" s="134"/>
    </row>
  </sheetData>
  <sheetProtection algorithmName="SHA-512" hashValue="JmEFWzLoNtUYOFNUgsFu4B1AjDr3m1q/bH9pPc/3fqS1rSCTYwKplZIrOvKtdi8/Y8lIPExZuPh0hR0TQ2i7wg==" saltValue="fwGOennGjoTpriqj9p/C9w==" spinCount="100000" sheet="1" objects="1" scenarios="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831D2-BFB4-4F8F-9C44-D9F277EA6281}">
  <sheetPr codeName="Feuil27">
    <tabColor theme="5" tint="0.39997558519241921"/>
  </sheetPr>
  <dimension ref="A1:P25"/>
  <sheetViews>
    <sheetView topLeftCell="A54" workbookViewId="0">
      <selection activeCell="K74" sqref="K74"/>
    </sheetView>
  </sheetViews>
  <sheetFormatPr baseColWidth="10" defaultRowHeight="15" x14ac:dyDescent="0.25"/>
  <cols>
    <col min="2" max="3" width="16.42578125" bestFit="1" customWidth="1"/>
    <col min="4" max="11" width="12.7109375" bestFit="1" customWidth="1"/>
    <col min="12" max="12" width="7.140625" customWidth="1"/>
    <col min="14" max="14" width="17.7109375" bestFit="1" customWidth="1"/>
  </cols>
  <sheetData>
    <row r="1" spans="1:16" s="27" customFormat="1" x14ac:dyDescent="0.25">
      <c r="A1" s="456" t="str">
        <f>Mesures_Sechoir!B20 &amp; "°C"</f>
        <v>°C</v>
      </c>
      <c r="B1" s="456"/>
      <c r="C1" s="456"/>
      <c r="D1" s="456"/>
      <c r="E1" s="456"/>
      <c r="F1" s="456"/>
      <c r="G1" s="456"/>
      <c r="H1" s="456"/>
      <c r="I1" s="456"/>
      <c r="J1" s="456"/>
      <c r="K1" s="456"/>
      <c r="L1" s="456"/>
      <c r="M1" s="456"/>
      <c r="N1" s="456"/>
      <c r="O1" s="456"/>
      <c r="P1" s="456"/>
    </row>
    <row r="2" spans="1:16" s="27" customFormat="1" x14ac:dyDescent="0.25">
      <c r="A2" s="456"/>
      <c r="B2" s="456"/>
      <c r="C2" s="456"/>
      <c r="D2" s="456"/>
      <c r="E2" s="456"/>
      <c r="F2" s="456"/>
      <c r="G2" s="456"/>
      <c r="H2" s="456"/>
      <c r="I2" s="456"/>
      <c r="J2" s="456"/>
      <c r="K2" s="456"/>
      <c r="L2" s="456"/>
      <c r="M2" s="456"/>
      <c r="N2" s="456"/>
      <c r="O2" s="456"/>
      <c r="P2" s="456"/>
    </row>
    <row r="3" spans="1:16" s="27" customFormat="1" x14ac:dyDescent="0.25">
      <c r="A3" s="456"/>
      <c r="B3" s="456"/>
      <c r="C3" s="456"/>
      <c r="D3" s="456"/>
      <c r="E3" s="456"/>
      <c r="F3" s="456"/>
      <c r="G3" s="456"/>
      <c r="H3" s="456"/>
      <c r="I3" s="456"/>
      <c r="J3" s="456"/>
      <c r="K3" s="456"/>
      <c r="L3" s="456"/>
      <c r="M3" s="456"/>
      <c r="N3" s="456"/>
      <c r="O3" s="456"/>
      <c r="P3" s="456"/>
    </row>
    <row r="4" spans="1:16" s="27" customFormat="1" x14ac:dyDescent="0.25">
      <c r="M4" s="33"/>
    </row>
    <row r="5" spans="1:16" s="27" customFormat="1" x14ac:dyDescent="0.25">
      <c r="B5" s="34" t="s">
        <v>23</v>
      </c>
      <c r="C5" s="35" t="e">
        <f>_xlfn.XLOOKUP(INT(SUBSTITUTE(C14,"Connecteur ","")),Mesures_Sechoir!C24:C32,Mesures_Sechoir!D24:D32)</f>
        <v>#N/A</v>
      </c>
      <c r="D5" s="35" t="e">
        <f>_xlfn.XLOOKUP(INT(SUBSTITUTE(D14,"Connecteur ","")),Mesures_Sechoir!C24:C32,Mesures_Sechoir!D24:D32)</f>
        <v>#N/A</v>
      </c>
      <c r="E5" s="35" t="e">
        <f>_xlfn.XLOOKUP(INT(SUBSTITUTE(E14,"Connecteur ","")),Mesures_Sechoir!C24:C32,Mesures_Sechoir!D24:D32)</f>
        <v>#N/A</v>
      </c>
      <c r="F5" s="35" t="e">
        <f>_xlfn.XLOOKUP(INT(SUBSTITUTE(F14,"Connecteur ","")),Mesures_Sechoir!C24:C32,Mesures_Sechoir!D24:D32)</f>
        <v>#N/A</v>
      </c>
      <c r="G5" s="35" t="e">
        <f>_xlfn.XLOOKUP(INT(SUBSTITUTE(G14,"Connecteur ","")),Mesures_Sechoir!C24:C32,Mesures_Sechoir!D24:D32)</f>
        <v>#N/A</v>
      </c>
      <c r="H5" s="35" t="e">
        <f>_xlfn.XLOOKUP(INT(SUBSTITUTE(H14,"Connecteur ","")),Mesures_Sechoir!C24:C32,Mesures_Sechoir!D24:D32)</f>
        <v>#N/A</v>
      </c>
      <c r="I5" s="35" t="e">
        <f>_xlfn.XLOOKUP(INT(SUBSTITUTE(I14,"Connecteur ","")),Mesures_Sechoir!C24:C32,Mesures_Sechoir!D24:D32)</f>
        <v>#N/A</v>
      </c>
      <c r="J5" s="35" t="e">
        <f>_xlfn.XLOOKUP(INT(SUBSTITUTE(J14,"Connecteur ","")),Mesures_Sechoir!C24:C32,Mesures_Sechoir!D24:D32)</f>
        <v>#N/A</v>
      </c>
      <c r="K5" s="35" t="e">
        <f>_xlfn.XLOOKUP(INT(SUBSTITUTE(K14,"Connecteur ","")),Mesures_Sechoir!C24:C32,Mesures_Sechoir!D24:D32)</f>
        <v>#N/A</v>
      </c>
      <c r="M5" s="33"/>
    </row>
    <row r="6" spans="1:16" s="27" customFormat="1" x14ac:dyDescent="0.25">
      <c r="B6" s="34" t="s">
        <v>87</v>
      </c>
      <c r="C6" s="35" t="e">
        <f>_xlfn.XLOOKUP(INT(SUBSTITUTE(C14,"Connecteur ","")),Mesures_Sechoir!C24:C32,Mesures_Sechoir!E24:E32)</f>
        <v>#N/A</v>
      </c>
      <c r="D6" s="35" t="e">
        <f>_xlfn.XLOOKUP(INT(SUBSTITUTE(D14,"Connecteur ","")),Mesures_Sechoir!C24:C32,Mesures_Sechoir!E24:E32)</f>
        <v>#N/A</v>
      </c>
      <c r="E6" s="35" t="e">
        <f>_xlfn.XLOOKUP(INT(SUBSTITUTE(E14,"Connecteur ","")),Mesures_Sechoir!C24:C32,Mesures_Sechoir!E24:E32)</f>
        <v>#N/A</v>
      </c>
      <c r="F6" s="35" t="e">
        <f>_xlfn.XLOOKUP(INT(SUBSTITUTE(F14,"Connecteur ","")),Mesures_Sechoir!C24:C32,Mesures_Sechoir!E24:E32)</f>
        <v>#N/A</v>
      </c>
      <c r="G6" s="35" t="e">
        <f>_xlfn.XLOOKUP(INT(SUBSTITUTE(G14,"Connecteur ","")),Mesures_Sechoir!C24:C32,Mesures_Sechoir!E24:E32)</f>
        <v>#N/A</v>
      </c>
      <c r="H6" s="35" t="e">
        <f>_xlfn.XLOOKUP(INT(SUBSTITUTE(H14,"Connecteur ","")),Mesures_Sechoir!C24:C32,Mesures_Sechoir!E24:E32)</f>
        <v>#N/A</v>
      </c>
      <c r="I6" s="35" t="e">
        <f>_xlfn.XLOOKUP(INT(SUBSTITUTE(I14,"Connecteur ","")),Mesures_Sechoir!C24:C32,Mesures_Sechoir!E24:E32)</f>
        <v>#N/A</v>
      </c>
      <c r="J6" s="35" t="e">
        <f>_xlfn.XLOOKUP(INT(SUBSTITUTE(J14,"Connecteur ","")),Mesures_Sechoir!C24:C32,Mesures_Sechoir!E24:E32)</f>
        <v>#N/A</v>
      </c>
      <c r="K6" s="35" t="e">
        <f>_xlfn.XLOOKUP(INT(SUBSTITUTE(K14,"Connecteur ","")),Mesures_Sechoir!C24:C32,Mesures_Sechoir!E24:E32)</f>
        <v>#N/A</v>
      </c>
      <c r="M6" s="33"/>
    </row>
    <row r="7" spans="1:16" s="27" customFormat="1" x14ac:dyDescent="0.25">
      <c r="M7" s="33"/>
    </row>
    <row r="8" spans="1:16" s="27" customFormat="1" x14ac:dyDescent="0.25">
      <c r="M8" s="33"/>
    </row>
    <row r="9" spans="1:16" s="27" customFormat="1" x14ac:dyDescent="0.25">
      <c r="A9" s="342" t="s">
        <v>88</v>
      </c>
      <c r="B9" s="342"/>
      <c r="C9" s="342"/>
      <c r="D9" s="342"/>
      <c r="E9" s="342"/>
      <c r="F9" s="342"/>
      <c r="G9" s="342"/>
      <c r="H9" s="342"/>
      <c r="I9" s="342"/>
      <c r="J9" s="342"/>
      <c r="K9" s="342"/>
      <c r="M9" s="33"/>
    </row>
    <row r="10" spans="1:16" s="27" customFormat="1" ht="15" customHeight="1" x14ac:dyDescent="0.25">
      <c r="A10" s="33"/>
      <c r="B10" s="34" t="str" cm="1">
        <f t="array" ref="B10:K10">Valeurs_Brutes_Sechoir[#Headers]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M10" s="33"/>
    </row>
    <row r="11" spans="1:16" s="27" customFormat="1" ht="13.5" customHeight="1" x14ac:dyDescent="0.25">
      <c r="A11" s="143" t="s">
        <v>89</v>
      </c>
      <c r="B11" s="37" cm="1">
        <f t="array" ref="B11">Valeurs_Brutes_Sechoir[Date/Heure]</f>
        <v>0</v>
      </c>
      <c r="C11" s="133" cm="1">
        <f t="array" ref="C11:K11">Valeurs_Brutes_Sechoir[[Connecteur 1]:[Connecteur 9]]</f>
        <v>0</v>
      </c>
      <c r="D11" s="133">
        <v>0</v>
      </c>
      <c r="E11" s="133">
        <v>0</v>
      </c>
      <c r="F11" s="133">
        <v>0</v>
      </c>
      <c r="G11" s="133">
        <v>0</v>
      </c>
      <c r="H11" s="133">
        <v>0</v>
      </c>
      <c r="I11" s="133">
        <v>0</v>
      </c>
      <c r="J11" s="133">
        <v>0</v>
      </c>
      <c r="K11" s="133">
        <v>0</v>
      </c>
      <c r="M11" s="33"/>
    </row>
    <row r="12" spans="1:16" s="27" customFormat="1" ht="13.5" customHeight="1" x14ac:dyDescent="0.25">
      <c r="A12" s="142" t="s">
        <v>89</v>
      </c>
      <c r="B12" s="39"/>
      <c r="C12" s="175"/>
      <c r="D12" s="175"/>
      <c r="E12" s="175"/>
      <c r="F12" s="175"/>
      <c r="G12" s="175"/>
      <c r="H12" s="175"/>
      <c r="I12" s="175"/>
      <c r="J12" s="175"/>
      <c r="K12" s="175"/>
      <c r="M12" s="33"/>
    </row>
    <row r="13" spans="1:16" s="457" customFormat="1" x14ac:dyDescent="0.25"/>
    <row r="14" spans="1:16" s="27" customFormat="1" x14ac:dyDescent="0.25">
      <c r="C14" s="41" t="str" cm="1">
        <f t="array" ref="C14:K14">Valeurs_Brutes_Sechoir[[#Headers],[Connecteur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6" s="27" customFormat="1" x14ac:dyDescent="0.25">
      <c r="B15" s="42" t="s">
        <v>90</v>
      </c>
      <c r="C15" s="43" t="e">
        <f>MAX(Valeurs_Brutes_Sechoir[Connecteur 1])+Sechoir!C5+Sechoir!C6</f>
        <v>#N/A</v>
      </c>
      <c r="D15" s="43" t="e">
        <f>MAX(Valeurs_Brutes_Sechoir[Connecteur 2])+Sechoir!D5+Sechoir!D6</f>
        <v>#N/A</v>
      </c>
      <c r="E15" s="43" t="e">
        <f>MAX(Valeurs_Brutes_Sechoir[Connecteur 3])+Sechoir!E5+Sechoir!E6</f>
        <v>#N/A</v>
      </c>
      <c r="F15" s="43" t="e">
        <f>MAX(Valeurs_Brutes_Sechoir[Connecteur 4])+Sechoir!F5+Sechoir!F6</f>
        <v>#N/A</v>
      </c>
      <c r="G15" s="43" t="e">
        <f>MAX(Valeurs_Brutes_Sechoir[Connecteur 5])+Sechoir!G5+Sechoir!G6</f>
        <v>#N/A</v>
      </c>
      <c r="H15" s="43" t="e">
        <f>MAX(Valeurs_Brutes_Sechoir[Connecteur 6])+Sechoir!H5+Sechoir!H6</f>
        <v>#N/A</v>
      </c>
      <c r="I15" s="43" t="e">
        <f>MAX(Valeurs_Brutes_Sechoir[Connecteur 7])+Sechoir!I5+Sechoir!I6</f>
        <v>#N/A</v>
      </c>
      <c r="J15" s="43" t="e">
        <f>MAX(Valeurs_Brutes_Sechoir[Connecteur 8])+Sechoir!J5+Sechoir!J6</f>
        <v>#N/A</v>
      </c>
      <c r="K15" s="43" t="e">
        <f>MAX(Valeurs_Brutes_Sechoir[Connecteur 9])+Sechoir!K5+Sechoir!K6</f>
        <v>#N/A</v>
      </c>
      <c r="L15" s="48">
        <f>O15+Mesures_Sechoir!B21</f>
        <v>0</v>
      </c>
      <c r="M15" s="33"/>
      <c r="N15" s="36" t="s">
        <v>547</v>
      </c>
      <c r="O15" s="48">
        <f>Mesures_Sechoir!B20</f>
        <v>0</v>
      </c>
    </row>
    <row r="16" spans="1:16" s="27" customFormat="1" x14ac:dyDescent="0.25">
      <c r="B16" s="42" t="s">
        <v>91</v>
      </c>
      <c r="C16" s="43" t="e">
        <f ca="1">MAX(OFFSET(INDEX(Valeurs_Brutes_Sechoir[Connecteur 1],1),COUNT(Valeurs_Brutes_Sechoir[Connecteur 1])-30,0,30))+C5+C6</f>
        <v>#REF!</v>
      </c>
      <c r="D16" s="43" t="e">
        <f ca="1">MAX(OFFSET(INDEX(Valeurs_Brutes_Sechoir[Connecteur 2],1),COUNT(Valeurs_Brutes_Sechoir[Connecteur 2])-30,0,30))+D5+D6</f>
        <v>#REF!</v>
      </c>
      <c r="E16" s="43" t="e">
        <f ca="1">MAX(OFFSET(INDEX(Valeurs_Brutes_Sechoir[Connecteur 3],1),COUNT(Valeurs_Brutes_Sechoir[Connecteur 3])-30,0,30))+E5+E6</f>
        <v>#REF!</v>
      </c>
      <c r="F16" s="43" t="e">
        <f ca="1">MAX(OFFSET(INDEX(Valeurs_Brutes_Sechoir[Connecteur 4],1),COUNT(Valeurs_Brutes_Sechoir[Connecteur 4])-30,0,30))+F5+F6</f>
        <v>#REF!</v>
      </c>
      <c r="G16" s="43" t="e">
        <f ca="1">MAX(OFFSET(INDEX(Valeurs_Brutes_Sechoir[Connecteur 5],1),COUNT(Valeurs_Brutes_Sechoir[Connecteur 5])-30,0,30))+G5+G6</f>
        <v>#REF!</v>
      </c>
      <c r="H16" s="43" t="e">
        <f ca="1">MAX(OFFSET(INDEX(Valeurs_Brutes_Sechoir[Connecteur 6],1),COUNT(Valeurs_Brutes_Sechoir[Connecteur 6])-30,0,30))+H5+H6</f>
        <v>#REF!</v>
      </c>
      <c r="I16" s="43" t="e">
        <f ca="1">MAX(OFFSET(INDEX(Valeurs_Brutes_Sechoir[Connecteur 7],1),COUNT(Valeurs_Brutes_Sechoir[Connecteur 7])-30,0,30))+I5+I6</f>
        <v>#REF!</v>
      </c>
      <c r="J16" s="43" t="e">
        <f ca="1">MAX(OFFSET(INDEX(Valeurs_Brutes_Sechoir[Connecteur 8],1),COUNT(Valeurs_Brutes_Sechoir[Connecteur 8])-30,0,30))+J5+J6</f>
        <v>#REF!</v>
      </c>
      <c r="K16" s="43" t="e">
        <f ca="1">MAX(OFFSET(INDEX(Valeurs_Brutes_Sechoir[Connecteur 9],1),COUNT(Valeurs_Brutes_Sechoir[Connecteur 9])-30,0,30))+K5+K6</f>
        <v>#REF!</v>
      </c>
      <c r="L16" s="48">
        <f>O15+Mesures_Sechoir!B21</f>
        <v>0</v>
      </c>
      <c r="M16" s="33"/>
      <c r="N16" s="36" t="s">
        <v>555</v>
      </c>
      <c r="O16" s="35" t="str">
        <f>"+" &amp; Mesures_Sechoir!B21 &amp; "°C"</f>
        <v>+°C</v>
      </c>
    </row>
    <row r="17" spans="2:15" s="27" customFormat="1" x14ac:dyDescent="0.25">
      <c r="B17" s="42" t="s">
        <v>93</v>
      </c>
      <c r="C17" s="43" t="e">
        <f ca="1">MIN(OFFSET(INDEX(Valeurs_Brutes_Sechoir[Connecteur 1],1),COUNT(Valeurs_Brutes_Sechoir[Connecteur 1])-30,0,30))+C5+C6</f>
        <v>#REF!</v>
      </c>
      <c r="D17" s="43" t="e">
        <f ca="1">MIN(OFFSET(INDEX(Valeurs_Brutes_Sechoir[Connecteur 2],1),COUNT(Valeurs_Brutes_Sechoir[Connecteur 2])-30,0,30))+D5+D6</f>
        <v>#REF!</v>
      </c>
      <c r="E17" s="43" t="e">
        <f ca="1">MIN(OFFSET(INDEX(Valeurs_Brutes_Sechoir[Connecteur 3],1),COUNT(Valeurs_Brutes_Sechoir[Connecteur 3])-30,0,30))+E5+E6</f>
        <v>#REF!</v>
      </c>
      <c r="F17" s="43" t="e">
        <f ca="1">MIN(OFFSET(INDEX(Valeurs_Brutes_Sechoir[Connecteur 4],1),COUNT(Valeurs_Brutes_Sechoir[Connecteur 4])-30,0,30))+F5+F6</f>
        <v>#REF!</v>
      </c>
      <c r="G17" s="43" t="e">
        <f ca="1">MIN(OFFSET(INDEX(Valeurs_Brutes_Sechoir[Connecteur 5],1),COUNT(Valeurs_Brutes_Sechoir[Connecteur 5])-30,0,30))+G5+G6</f>
        <v>#REF!</v>
      </c>
      <c r="H17" s="43" t="e">
        <f ca="1">MIN(OFFSET(INDEX(Valeurs_Brutes_Sechoir[Connecteur 6],1),COUNT(Valeurs_Brutes_Sechoir[Connecteur 6])-30,0,30))+H5+H6</f>
        <v>#REF!</v>
      </c>
      <c r="I17" s="43" t="e">
        <f ca="1">MIN(OFFSET(INDEX(Valeurs_Brutes_Sechoir[Connecteur 7],1),COUNT(Valeurs_Brutes_Sechoir[Connecteur 7])-30,0,30))+I5+I6</f>
        <v>#REF!</v>
      </c>
      <c r="J17" s="43" t="e">
        <f ca="1">MIN(OFFSET(INDEX(Valeurs_Brutes_Sechoir[Connecteur 8],1),COUNT(Valeurs_Brutes_Sechoir[Connecteur 8])-30,0,30))+J5+J6</f>
        <v>#REF!</v>
      </c>
      <c r="K17" s="43" t="e">
        <f ca="1">MIN(OFFSET(INDEX(Valeurs_Brutes_Sechoir[Connecteur 9],1),COUNT(Valeurs_Brutes_Sechoir[Connecteur 9])-30,0,30))+K5+K6</f>
        <v>#REF!</v>
      </c>
      <c r="L17" s="48">
        <f>O15 - Mesures_Sechoir!B21</f>
        <v>0</v>
      </c>
      <c r="M17" s="33"/>
      <c r="N17" s="36" t="s">
        <v>556</v>
      </c>
      <c r="O17" s="35" t="str">
        <f>"-" &amp; Mesures_Sechoir!B21 &amp; "°C"</f>
        <v>-°C</v>
      </c>
    </row>
    <row r="18" spans="2:15" s="27" customFormat="1" x14ac:dyDescent="0.25">
      <c r="B18" s="42" t="s">
        <v>95</v>
      </c>
      <c r="C18" s="43" t="e">
        <f ca="1">AVERAGE(OFFSET(INDEX(Valeurs_Brutes_Sechoir[Connecteur 1],1),COUNT(Valeurs_Brutes_Sechoir[Connecteur 1])-30,0,30))+C5+C6</f>
        <v>#REF!</v>
      </c>
      <c r="D18" s="43" t="e">
        <f ca="1">AVERAGE(OFFSET(INDEX(Valeurs_Brutes_Sechoir[Connecteur 2],1),COUNT(Valeurs_Brutes_Sechoir[Connecteur 2])-30,0,30))+D5+D6</f>
        <v>#REF!</v>
      </c>
      <c r="E18" s="43" t="e">
        <f ca="1">AVERAGE(OFFSET(INDEX(Valeurs_Brutes_Sechoir[Connecteur 3],1),COUNT(Valeurs_Brutes_Sechoir[Connecteur 3])-30,0,30))+E5+E6</f>
        <v>#REF!</v>
      </c>
      <c r="F18" s="43" t="e">
        <f ca="1">AVERAGE(OFFSET(INDEX(Valeurs_Brutes_Sechoir[Connecteur 4],1),COUNT(Valeurs_Brutes_Sechoir[Connecteur 4])-30,0,30))+F5+F6</f>
        <v>#REF!</v>
      </c>
      <c r="G18" s="43" t="e">
        <f ca="1">AVERAGE(OFFSET(INDEX(Valeurs_Brutes_Sechoir[Connecteur 5],1),COUNT(Valeurs_Brutes_Sechoir[Connecteur 5])-30,0,30))+G5+G6</f>
        <v>#REF!</v>
      </c>
      <c r="H18" s="43" t="e">
        <f ca="1">AVERAGE(OFFSET(INDEX(Valeurs_Brutes_Sechoir[Connecteur 6],1),COUNT(Valeurs_Brutes_Sechoir[Connecteur 6])-30,0,30))+H5+H6</f>
        <v>#REF!</v>
      </c>
      <c r="I18" s="43" t="e">
        <f ca="1">AVERAGE(OFFSET(INDEX(Valeurs_Brutes_Sechoir[Connecteur 7],1),COUNT(Valeurs_Brutes_Sechoir[Connecteur 7])-30,0,30))+I5+I6</f>
        <v>#REF!</v>
      </c>
      <c r="J18" s="43" t="e">
        <f ca="1">AVERAGE(OFFSET(INDEX(Valeurs_Brutes_Sechoir[Connecteur 8],1),COUNT(Valeurs_Brutes_Sechoir[Connecteur 8])-30,0,30))+J5+J6</f>
        <v>#REF!</v>
      </c>
      <c r="K18" s="43" t="e">
        <f ca="1">AVERAGE(OFFSET(INDEX(Valeurs_Brutes_Sechoir[Connecteur 9],1),COUNT(Valeurs_Brutes_Sechoir[Connecteur 9])-30,0,30))+K5+K6</f>
        <v>#REF!</v>
      </c>
      <c r="L18" s="44"/>
      <c r="M18" s="33"/>
    </row>
    <row r="19" spans="2:15" s="27" customFormat="1" x14ac:dyDescent="0.25">
      <c r="B19" s="42" t="s">
        <v>96</v>
      </c>
      <c r="C19" s="45" t="e">
        <f ca="1">C16-C17</f>
        <v>#REF!</v>
      </c>
      <c r="D19" s="45" t="e">
        <f t="shared" ref="D19:K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4"/>
      <c r="M19" s="33"/>
    </row>
    <row r="20" spans="2:15" s="27" customFormat="1" x14ac:dyDescent="0.25">
      <c r="B20" s="42" t="s">
        <v>97</v>
      </c>
      <c r="C20" s="376" t="e">
        <f ca="1">ABS(MAX(C16:K16)- MIN(C17:K17))</f>
        <v>#REF!</v>
      </c>
      <c r="D20" s="376"/>
      <c r="E20" s="376"/>
      <c r="F20" s="376"/>
      <c r="G20" s="376"/>
      <c r="H20" s="376"/>
      <c r="I20" s="376"/>
      <c r="J20" s="376"/>
      <c r="K20" s="376"/>
      <c r="L20" s="376"/>
      <c r="M20" s="33"/>
    </row>
    <row r="21" spans="2:15" s="27" customFormat="1" x14ac:dyDescent="0.25">
      <c r="B21" s="42" t="s">
        <v>98</v>
      </c>
      <c r="C21" s="376" t="e">
        <f ca="1">AVERAGE(C18:K18)</f>
        <v>#REF!</v>
      </c>
      <c r="D21" s="376"/>
      <c r="E21" s="376"/>
      <c r="F21" s="376"/>
      <c r="G21" s="376"/>
      <c r="H21" s="376"/>
      <c r="I21" s="376"/>
      <c r="J21" s="376"/>
      <c r="K21" s="376"/>
      <c r="L21" s="376"/>
      <c r="M21" s="33"/>
    </row>
    <row r="22" spans="2:15" s="27" customFormat="1" x14ac:dyDescent="0.25">
      <c r="B22" s="36" t="s">
        <v>99</v>
      </c>
      <c r="C22" s="46" t="e">
        <f ca="1">STDEV(OFFSET(INDEX(Valeurs_Brutes_Sechoir[Connecteur 1],1),COUNT(Valeurs_Brutes_Sechoir[Connecteur 1])-30,0,30))+C5+C6</f>
        <v>#REF!</v>
      </c>
      <c r="D22" s="46" t="e">
        <f ca="1">STDEV(OFFSET(INDEX(Valeurs_Brutes_Sechoir[Connecteur 2],1),COUNT(Valeurs_Brutes_Sechoir[Connecteur 2])-30,0,30))+D5+D6</f>
        <v>#REF!</v>
      </c>
      <c r="E22" s="46" t="e">
        <f ca="1">STDEV(OFFSET(INDEX(Valeurs_Brutes_Sechoir[Connecteur 3],1),COUNT(Valeurs_Brutes_Sechoir[Connecteur 3])-30,0,30))+E5+E6</f>
        <v>#REF!</v>
      </c>
      <c r="F22" s="46" t="e">
        <f ca="1">STDEV(OFFSET(INDEX(Valeurs_Brutes_Sechoir[Connecteur 4],1),COUNT(Valeurs_Brutes_Sechoir[Connecteur 4])-30,0,30))+F5+F6</f>
        <v>#REF!</v>
      </c>
      <c r="G22" s="46" t="e">
        <f ca="1">STDEV(OFFSET(INDEX(Valeurs_Brutes_Sechoir[Connecteur 5],1),COUNT(Valeurs_Brutes_Sechoir[Connecteur 5])-30,0,30))+G5+G6</f>
        <v>#REF!</v>
      </c>
      <c r="H22" s="46" t="e">
        <f ca="1">STDEV(OFFSET(INDEX(Valeurs_Brutes_Sechoir[Connecteur 6],1),COUNT(Valeurs_Brutes_Sechoir[Connecteur 6])-30,0,30))+H5+H6</f>
        <v>#REF!</v>
      </c>
      <c r="I22" s="46" t="e">
        <f ca="1">STDEV(OFFSET(INDEX(Valeurs_Brutes_Sechoir[Connecteur 7],1),COUNT(Valeurs_Brutes_Sechoir[Connecteur 7])-30,0,30))+I5+I6</f>
        <v>#REF!</v>
      </c>
      <c r="J22" s="46" t="e">
        <f ca="1">STDEV(OFFSET(INDEX(Valeurs_Brutes_Sechoir[Connecteur 8],1),COUNT(Valeurs_Brutes_Sechoir[Connecteur 8])-30,0,30))+J5+J6</f>
        <v>#REF!</v>
      </c>
      <c r="K22" s="46" t="e">
        <f ca="1">STDEV(OFFSET(INDEX(Valeurs_Brutes_Sechoir[Connecteur 9],1),COUNT(Valeurs_Brutes_Sechoir[Connecteur 9])-30,0,30))+K5+K6</f>
        <v>#REF!</v>
      </c>
      <c r="L22" s="44"/>
      <c r="M22" s="33"/>
      <c r="N22" s="47"/>
    </row>
    <row r="23" spans="2:15" s="27" customFormat="1" x14ac:dyDescent="0.25">
      <c r="M23" s="33"/>
    </row>
    <row r="24" spans="2:15" s="27" customFormat="1" x14ac:dyDescent="0.25">
      <c r="M24" s="33"/>
    </row>
    <row r="25" spans="2:15" s="27" customFormat="1" x14ac:dyDescent="0.25">
      <c r="M25" s="33"/>
    </row>
  </sheetData>
  <sheetProtection algorithmName="SHA-512" hashValue="alzTaSoX//QN/6/t4/ItMH2yz/G5KRW/P7aYv/ww4cDX5Gta31UvAAboLmigd2mIGx/nhHcP72ceXnRJMbe14Q==" saltValue="4DJQfSuQ36H4sShoDVBTBA==" spinCount="100000" sheet="1" objects="1" scenarios="1"/>
  <dataConsolidate/>
  <mergeCells count="5">
    <mergeCell ref="A1:P3"/>
    <mergeCell ref="A9:K9"/>
    <mergeCell ref="A13:XFD13"/>
    <mergeCell ref="C20:L20"/>
    <mergeCell ref="C21:L21"/>
  </mergeCells>
  <conditionalFormatting sqref="C15:K15">
    <cfRule type="cellIs" dxfId="43" priority="3" operator="greaterThan">
      <formula>$L$15</formula>
    </cfRule>
    <cfRule type="cellIs" dxfId="42" priority="6" operator="greaterThan">
      <formula>$L$15</formula>
    </cfRule>
  </conditionalFormatting>
  <conditionalFormatting sqref="C16:K16">
    <cfRule type="cellIs" dxfId="41" priority="2" operator="greaterThan">
      <formula>$L$16</formula>
    </cfRule>
    <cfRule type="cellIs" dxfId="40" priority="5" operator="greaterThan">
      <formula>$L$16</formula>
    </cfRule>
  </conditionalFormatting>
  <conditionalFormatting sqref="C17:K17">
    <cfRule type="cellIs" dxfId="39" priority="1" operator="lessThan">
      <formula>$L$17</formula>
    </cfRule>
    <cfRule type="cellIs" dxfId="38" priority="4" operator="lessThan">
      <formula>$L$17</formula>
    </cfRule>
  </conditionalFormatting>
  <pageMargins left="0.7" right="0.7" top="0.75" bottom="0.75" header="0.3" footer="0.3"/>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99F71-AD95-44F5-8D35-85301AE974C8}">
  <sheetPr codeName="Feuil28">
    <tabColor theme="5" tint="0.39997558519241921"/>
  </sheetPr>
  <dimension ref="A5:J307"/>
  <sheetViews>
    <sheetView view="pageLayout" topLeftCell="A25" zoomScale="70" zoomScaleNormal="60" zoomScaleSheetLayoutView="77" zoomScalePageLayoutView="70" workbookViewId="0">
      <selection activeCell="A48" sqref="A48"/>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7" t="s">
        <v>561</v>
      </c>
      <c r="C5" s="87"/>
      <c r="D5" s="87"/>
      <c r="E5" s="87"/>
      <c r="F5" s="87"/>
      <c r="G5" s="87"/>
      <c r="H5" s="87"/>
      <c r="I5" s="88"/>
    </row>
    <row r="10" spans="2:9" ht="21" x14ac:dyDescent="0.25">
      <c r="C10" s="381" t="s">
        <v>138</v>
      </c>
      <c r="D10" s="381"/>
      <c r="E10" s="474">
        <f>Mesures_Sechoir!D6</f>
        <v>0</v>
      </c>
      <c r="F10" s="474"/>
    </row>
    <row r="11" spans="2:9" ht="21" x14ac:dyDescent="0.25">
      <c r="C11" s="89"/>
      <c r="D11" s="89"/>
      <c r="E11" s="90"/>
      <c r="F11" s="90"/>
    </row>
    <row r="12" spans="2:9" x14ac:dyDescent="0.25">
      <c r="C12" s="91" t="s">
        <v>1</v>
      </c>
      <c r="D12" s="92">
        <f>Mesures_Sechoir!C8</f>
        <v>0</v>
      </c>
      <c r="F12" s="91" t="s">
        <v>18</v>
      </c>
      <c r="G12" s="92">
        <f>Mesures_Sechoir!G8</f>
        <v>0</v>
      </c>
    </row>
    <row r="13" spans="2:9" ht="15.75" x14ac:dyDescent="0.25">
      <c r="C13" s="93" t="s">
        <v>2</v>
      </c>
      <c r="D13" s="94">
        <f>Mesures_Sechoir!C9</f>
        <v>0</v>
      </c>
      <c r="F13" s="95" t="s">
        <v>19</v>
      </c>
      <c r="G13" s="94">
        <f>Mesures_Sechoir!G9</f>
        <v>0</v>
      </c>
    </row>
    <row r="14" spans="2:9" ht="15.75" x14ac:dyDescent="0.25">
      <c r="C14" s="96"/>
      <c r="D14" s="97"/>
      <c r="G14" s="98"/>
    </row>
    <row r="15" spans="2:9" ht="15.75" x14ac:dyDescent="0.25">
      <c r="C15" s="99" t="s">
        <v>139</v>
      </c>
      <c r="D15" s="100">
        <f>Mesures_Sechoir!C15</f>
        <v>0</v>
      </c>
      <c r="F15" s="91" t="s">
        <v>140</v>
      </c>
      <c r="G15" s="101">
        <f>Mesures_Sechoir!C16</f>
        <v>0</v>
      </c>
    </row>
    <row r="16" spans="2:9" ht="15.75" x14ac:dyDescent="0.25">
      <c r="C16" s="99" t="s">
        <v>141</v>
      </c>
      <c r="D16" s="102">
        <f>Mesures_Sechoir!G12</f>
        <v>9</v>
      </c>
      <c r="F16" s="91" t="s">
        <v>142</v>
      </c>
      <c r="G16" s="101">
        <f>Mesures_Sechoir!G13</f>
        <v>0</v>
      </c>
    </row>
    <row r="17" spans="1:9" ht="15.75" x14ac:dyDescent="0.25">
      <c r="C17" s="96"/>
      <c r="D17" s="97"/>
      <c r="F17" s="96"/>
      <c r="G17" s="27"/>
    </row>
    <row r="18" spans="1:9" ht="15.75" x14ac:dyDescent="0.25">
      <c r="C18" s="99" t="s">
        <v>143</v>
      </c>
      <c r="D18" s="139">
        <f>Mesures_Sechoir!C12</f>
        <v>0</v>
      </c>
      <c r="F18" s="91" t="s">
        <v>144</v>
      </c>
      <c r="G18" s="140">
        <f>Mesures_Sechoir!G11</f>
        <v>0</v>
      </c>
    </row>
    <row r="19" spans="1:9" ht="15.75" x14ac:dyDescent="0.25">
      <c r="C19" s="93" t="s">
        <v>145</v>
      </c>
      <c r="D19" s="100">
        <f>Mesures_Sechoir!C11</f>
        <v>0</v>
      </c>
    </row>
    <row r="20" spans="1:9" ht="15.75" x14ac:dyDescent="0.25">
      <c r="C20" s="96"/>
      <c r="D20" s="97"/>
    </row>
    <row r="21" spans="1:9" ht="15.75" x14ac:dyDescent="0.25">
      <c r="C21" s="96"/>
      <c r="D21" s="97"/>
    </row>
    <row r="28" spans="1:9" ht="36" x14ac:dyDescent="0.55000000000000004">
      <c r="A28" s="462" t="s">
        <v>146</v>
      </c>
      <c r="B28" s="462"/>
    </row>
    <row r="30" spans="1:9" x14ac:dyDescent="0.25">
      <c r="A30" s="383" t="s">
        <v>576</v>
      </c>
      <c r="B30" s="383"/>
      <c r="C30" s="383"/>
      <c r="D30" s="383"/>
      <c r="E30" s="383"/>
      <c r="F30" s="383"/>
      <c r="G30" s="383"/>
      <c r="H30" s="383"/>
      <c r="I30" s="383"/>
    </row>
    <row r="31" spans="1:9" x14ac:dyDescent="0.25">
      <c r="A31" s="383"/>
      <c r="B31" s="383"/>
      <c r="C31" s="383"/>
      <c r="D31" s="383"/>
      <c r="E31" s="383"/>
      <c r="F31" s="383"/>
      <c r="G31" s="383"/>
      <c r="H31" s="383"/>
      <c r="I31" s="383"/>
    </row>
    <row r="32" spans="1:9" x14ac:dyDescent="0.25">
      <c r="A32" s="383"/>
      <c r="B32" s="383"/>
      <c r="C32" s="383"/>
      <c r="D32" s="383"/>
      <c r="E32" s="383"/>
      <c r="F32" s="383"/>
      <c r="G32" s="383"/>
      <c r="H32" s="383"/>
      <c r="I32" s="383"/>
    </row>
    <row r="33" spans="1:9" x14ac:dyDescent="0.25">
      <c r="A33" s="383"/>
      <c r="B33" s="383"/>
      <c r="C33" s="383"/>
      <c r="D33" s="383"/>
      <c r="E33" s="383"/>
      <c r="F33" s="383"/>
      <c r="G33" s="383"/>
      <c r="H33" s="383"/>
      <c r="I33" s="383"/>
    </row>
    <row r="34" spans="1:9" x14ac:dyDescent="0.25">
      <c r="A34" s="383"/>
      <c r="B34" s="383"/>
      <c r="C34" s="383"/>
      <c r="D34" s="383"/>
      <c r="E34" s="383"/>
      <c r="F34" s="383"/>
      <c r="G34" s="383"/>
      <c r="H34" s="383"/>
      <c r="I34" s="383"/>
    </row>
    <row r="35" spans="1:9" x14ac:dyDescent="0.25">
      <c r="A35" s="383"/>
      <c r="B35" s="383"/>
      <c r="C35" s="383"/>
      <c r="D35" s="383"/>
      <c r="E35" s="383"/>
      <c r="F35" s="383"/>
      <c r="G35" s="383"/>
      <c r="H35" s="383"/>
      <c r="I35" s="383"/>
    </row>
    <row r="36" spans="1:9" x14ac:dyDescent="0.25">
      <c r="A36" s="383"/>
      <c r="B36" s="383"/>
      <c r="C36" s="383"/>
      <c r="D36" s="383"/>
      <c r="E36" s="383"/>
      <c r="F36" s="383"/>
      <c r="G36" s="383"/>
      <c r="H36" s="383"/>
      <c r="I36" s="383"/>
    </row>
    <row r="37" spans="1:9" x14ac:dyDescent="0.25">
      <c r="A37" s="383"/>
      <c r="B37" s="383"/>
      <c r="C37" s="383"/>
      <c r="D37" s="383"/>
      <c r="E37" s="383"/>
      <c r="F37" s="383"/>
      <c r="G37" s="383"/>
      <c r="H37" s="383"/>
      <c r="I37" s="383"/>
    </row>
    <row r="38" spans="1:9" x14ac:dyDescent="0.25">
      <c r="A38" s="383"/>
      <c r="B38" s="383"/>
      <c r="C38" s="383"/>
      <c r="D38" s="383"/>
      <c r="E38" s="383"/>
      <c r="F38" s="383"/>
      <c r="G38" s="383"/>
      <c r="H38" s="383"/>
      <c r="I38" s="383"/>
    </row>
    <row r="39" spans="1:9" x14ac:dyDescent="0.25">
      <c r="A39" s="383"/>
      <c r="B39" s="383"/>
      <c r="C39" s="383"/>
      <c r="D39" s="383"/>
      <c r="E39" s="383"/>
      <c r="F39" s="383"/>
      <c r="G39" s="383"/>
      <c r="H39" s="383"/>
      <c r="I39" s="383"/>
    </row>
    <row r="40" spans="1:9" x14ac:dyDescent="0.25">
      <c r="A40" s="383"/>
      <c r="B40" s="383"/>
      <c r="C40" s="383"/>
      <c r="D40" s="383"/>
      <c r="E40" s="383"/>
      <c r="F40" s="383"/>
      <c r="G40" s="383"/>
      <c r="H40" s="383"/>
      <c r="I40" s="383"/>
    </row>
    <row r="41" spans="1:9" x14ac:dyDescent="0.25">
      <c r="A41" s="383"/>
      <c r="B41" s="383"/>
      <c r="C41" s="383"/>
      <c r="D41" s="383"/>
      <c r="E41" s="383"/>
      <c r="F41" s="383"/>
      <c r="G41" s="383"/>
      <c r="H41" s="383"/>
      <c r="I41" s="383"/>
    </row>
    <row r="42" spans="1:9" x14ac:dyDescent="0.25">
      <c r="A42" s="383"/>
      <c r="B42" s="383"/>
      <c r="C42" s="383"/>
      <c r="D42" s="383"/>
      <c r="E42" s="383"/>
      <c r="F42" s="383"/>
      <c r="G42" s="383"/>
      <c r="H42" s="383"/>
      <c r="I42" s="383"/>
    </row>
    <row r="43" spans="1:9" x14ac:dyDescent="0.25">
      <c r="A43" s="383"/>
      <c r="B43" s="383"/>
      <c r="C43" s="383"/>
      <c r="D43" s="383"/>
      <c r="E43" s="383"/>
      <c r="F43" s="383"/>
      <c r="G43" s="383"/>
      <c r="H43" s="383"/>
      <c r="I43" s="383"/>
    </row>
    <row r="44" spans="1:9" x14ac:dyDescent="0.25">
      <c r="A44" s="383"/>
      <c r="B44" s="383"/>
      <c r="C44" s="383"/>
      <c r="D44" s="383"/>
      <c r="E44" s="383"/>
      <c r="F44" s="383"/>
      <c r="G44" s="383"/>
      <c r="H44" s="383"/>
      <c r="I44" s="383"/>
    </row>
    <row r="45" spans="1:9" x14ac:dyDescent="0.25">
      <c r="A45" s="383"/>
      <c r="B45" s="383"/>
      <c r="C45" s="383"/>
      <c r="D45" s="383"/>
      <c r="E45" s="383"/>
      <c r="F45" s="383"/>
      <c r="G45" s="383"/>
      <c r="H45" s="383"/>
      <c r="I45" s="383"/>
    </row>
    <row r="46" spans="1:9" x14ac:dyDescent="0.25">
      <c r="A46" s="383"/>
      <c r="B46" s="383"/>
      <c r="C46" s="383"/>
      <c r="D46" s="383"/>
      <c r="E46" s="383"/>
      <c r="F46" s="383"/>
      <c r="G46" s="383"/>
      <c r="H46" s="383"/>
      <c r="I46" s="383"/>
    </row>
    <row r="47" spans="1:9" x14ac:dyDescent="0.25">
      <c r="A47" s="383"/>
      <c r="B47" s="383"/>
      <c r="C47" s="383"/>
      <c r="D47" s="383"/>
      <c r="E47" s="383"/>
      <c r="F47" s="383"/>
      <c r="G47" s="383"/>
      <c r="H47" s="383"/>
      <c r="I47" s="383"/>
    </row>
    <row r="51" spans="2:8" ht="36" x14ac:dyDescent="0.25">
      <c r="C51" s="464" t="s">
        <v>148</v>
      </c>
      <c r="D51" s="464"/>
      <c r="E51" s="464"/>
      <c r="F51" s="464"/>
    </row>
    <row r="52" spans="2:8" ht="20.25" customHeight="1" x14ac:dyDescent="0.25">
      <c r="B52" s="104"/>
    </row>
    <row r="53" spans="2:8" ht="23.25" x14ac:dyDescent="0.25">
      <c r="B53" s="105" t="s">
        <v>149</v>
      </c>
    </row>
    <row r="55" spans="2:8" ht="21" x14ac:dyDescent="0.25">
      <c r="B55" s="106" t="s">
        <v>562</v>
      </c>
      <c r="C55" t="s">
        <v>563</v>
      </c>
      <c r="E55" s="109" t="s">
        <v>564</v>
      </c>
      <c r="F55" s="107" t="s">
        <v>565</v>
      </c>
      <c r="G55" s="109"/>
    </row>
    <row r="56" spans="2:8" ht="21" customHeight="1" x14ac:dyDescent="0.25">
      <c r="B56" s="106" t="s">
        <v>566</v>
      </c>
      <c r="C56" t="s">
        <v>567</v>
      </c>
      <c r="E56" s="109" t="s">
        <v>568</v>
      </c>
      <c r="F56" s="109" t="s">
        <v>569</v>
      </c>
      <c r="G56" s="109"/>
      <c r="H56" s="109"/>
    </row>
    <row r="57" spans="2:8" ht="21" x14ac:dyDescent="0.25">
      <c r="B57" s="106" t="s">
        <v>570</v>
      </c>
      <c r="C57" t="s">
        <v>571</v>
      </c>
      <c r="E57" s="109" t="s">
        <v>572</v>
      </c>
      <c r="F57" s="109" t="s">
        <v>573</v>
      </c>
      <c r="G57" s="107"/>
      <c r="H57" s="107"/>
    </row>
    <row r="59" spans="2:8" ht="23.25" x14ac:dyDescent="0.25">
      <c r="B59" s="105" t="s">
        <v>156</v>
      </c>
    </row>
    <row r="61" spans="2:8" ht="21" x14ac:dyDescent="0.25">
      <c r="B61" s="473" t="s">
        <v>574</v>
      </c>
      <c r="C61" s="473"/>
      <c r="D61" s="473"/>
      <c r="E61" s="473"/>
      <c r="F61" s="473"/>
      <c r="G61" s="473"/>
    </row>
    <row r="62" spans="2:8" ht="21" x14ac:dyDescent="0.25">
      <c r="B62" s="473"/>
      <c r="C62" s="473"/>
      <c r="D62" s="473"/>
    </row>
    <row r="64" spans="2:8" ht="21" x14ac:dyDescent="0.25">
      <c r="B64" s="106"/>
    </row>
    <row r="66" spans="1:10" ht="21" x14ac:dyDescent="0.25">
      <c r="B66" s="473"/>
      <c r="C66" s="473"/>
      <c r="D66" s="473"/>
      <c r="E66" s="473"/>
      <c r="F66" s="473"/>
      <c r="G66" s="473"/>
      <c r="H66" s="473"/>
      <c r="I66" s="473"/>
    </row>
    <row r="67" spans="1:10" ht="21" x14ac:dyDescent="0.25">
      <c r="B67" s="473"/>
      <c r="C67" s="473"/>
      <c r="D67" s="473"/>
      <c r="E67" s="473"/>
      <c r="F67" s="473"/>
      <c r="G67" s="473"/>
      <c r="H67" s="473"/>
      <c r="I67" s="473"/>
    </row>
    <row r="68" spans="1:10" ht="21" x14ac:dyDescent="0.25">
      <c r="B68" s="473"/>
      <c r="C68" s="473"/>
      <c r="D68" s="473"/>
      <c r="E68" s="473"/>
      <c r="F68" s="473"/>
      <c r="G68" s="473"/>
      <c r="H68" s="473"/>
      <c r="I68" s="473"/>
    </row>
    <row r="69" spans="1:10" ht="21" x14ac:dyDescent="0.25">
      <c r="B69" s="473"/>
      <c r="C69" s="473"/>
      <c r="D69" s="473"/>
      <c r="E69" s="473"/>
      <c r="F69" s="473"/>
      <c r="G69" s="473"/>
      <c r="H69" s="473"/>
      <c r="I69" s="107"/>
    </row>
    <row r="72" spans="1:10" ht="21" customHeight="1" x14ac:dyDescent="0.25">
      <c r="A72" s="465"/>
      <c r="B72" s="465"/>
      <c r="C72" s="465"/>
      <c r="D72" s="465"/>
      <c r="E72" s="465"/>
      <c r="F72" s="465"/>
      <c r="G72" s="465"/>
      <c r="H72" s="465"/>
      <c r="I72" s="465"/>
      <c r="J72" s="465"/>
    </row>
    <row r="73" spans="1:10" ht="21" customHeight="1" x14ac:dyDescent="0.25">
      <c r="A73" s="465"/>
      <c r="B73" s="465"/>
      <c r="C73" s="465"/>
      <c r="D73" s="465"/>
      <c r="E73" s="465"/>
      <c r="F73" s="465"/>
      <c r="G73" s="465"/>
      <c r="H73" s="465"/>
      <c r="I73" s="465"/>
      <c r="J73" s="465"/>
    </row>
    <row r="74" spans="1:10" ht="15" customHeight="1" x14ac:dyDescent="0.25">
      <c r="A74" s="465"/>
      <c r="B74" s="465"/>
      <c r="C74" s="465"/>
      <c r="D74" s="465"/>
      <c r="E74" s="465"/>
      <c r="F74" s="465"/>
      <c r="G74" s="465"/>
      <c r="H74" s="465"/>
      <c r="I74" s="465"/>
      <c r="J74" s="465"/>
    </row>
    <row r="75" spans="1:10" ht="15" customHeight="1" x14ac:dyDescent="0.25">
      <c r="A75" s="465"/>
      <c r="B75" s="465"/>
      <c r="C75" s="465"/>
      <c r="D75" s="465"/>
      <c r="E75" s="465"/>
      <c r="F75" s="465"/>
      <c r="G75" s="465"/>
      <c r="H75" s="465"/>
      <c r="I75" s="465"/>
      <c r="J75" s="465"/>
    </row>
    <row r="76" spans="1:10" x14ac:dyDescent="0.25">
      <c r="A76" s="465"/>
      <c r="B76" s="465"/>
      <c r="C76" s="465"/>
      <c r="D76" s="465"/>
      <c r="E76" s="465"/>
      <c r="F76" s="465"/>
      <c r="G76" s="465"/>
      <c r="H76" s="465"/>
      <c r="I76" s="465"/>
      <c r="J76" s="465"/>
    </row>
    <row r="77" spans="1:10" x14ac:dyDescent="0.25">
      <c r="A77" s="465"/>
      <c r="B77" s="465"/>
      <c r="C77" s="465"/>
      <c r="D77" s="465"/>
      <c r="E77" s="465"/>
      <c r="F77" s="465"/>
      <c r="G77" s="465"/>
      <c r="H77" s="465"/>
      <c r="I77" s="465"/>
      <c r="J77" s="465"/>
    </row>
    <row r="78" spans="1:10" x14ac:dyDescent="0.25">
      <c r="A78" s="465"/>
      <c r="B78" s="465"/>
      <c r="C78" s="465"/>
      <c r="D78" s="465"/>
      <c r="E78" s="465"/>
      <c r="F78" s="465"/>
      <c r="G78" s="465"/>
      <c r="H78" s="465"/>
      <c r="I78" s="465"/>
      <c r="J78" s="465"/>
    </row>
    <row r="79" spans="1:10" x14ac:dyDescent="0.25">
      <c r="A79" s="465"/>
      <c r="B79" s="465"/>
      <c r="C79" s="465"/>
      <c r="D79" s="465"/>
      <c r="E79" s="465"/>
      <c r="F79" s="465"/>
      <c r="G79" s="465"/>
      <c r="H79" s="465"/>
      <c r="I79" s="465"/>
      <c r="J79" s="465"/>
    </row>
    <row r="80" spans="1:10" x14ac:dyDescent="0.25">
      <c r="A80" s="465"/>
      <c r="B80" s="465"/>
      <c r="C80" s="465"/>
      <c r="D80" s="465"/>
      <c r="E80" s="465"/>
      <c r="F80" s="465"/>
      <c r="G80" s="465"/>
      <c r="H80" s="465"/>
      <c r="I80" s="465"/>
      <c r="J80" s="465"/>
    </row>
    <row r="81" spans="1:10" x14ac:dyDescent="0.25">
      <c r="A81" s="465"/>
      <c r="B81" s="465"/>
      <c r="C81" s="465"/>
      <c r="D81" s="465"/>
      <c r="E81" s="465"/>
      <c r="F81" s="465"/>
      <c r="G81" s="465"/>
      <c r="H81" s="465"/>
      <c r="I81" s="465"/>
      <c r="J81" s="465"/>
    </row>
    <row r="85" spans="1:10" ht="36" x14ac:dyDescent="0.25">
      <c r="C85" s="464" t="s">
        <v>170</v>
      </c>
      <c r="D85" s="464"/>
      <c r="E85" s="464"/>
      <c r="F85" s="464"/>
      <c r="G85" s="464"/>
    </row>
    <row r="87" spans="1:10" ht="26.25" x14ac:dyDescent="0.25">
      <c r="B87" s="108" t="s">
        <v>171</v>
      </c>
    </row>
    <row r="89" spans="1:10" ht="21" x14ac:dyDescent="0.25">
      <c r="B89" s="106" t="s">
        <v>172</v>
      </c>
      <c r="C89" s="106"/>
      <c r="E89" s="106"/>
      <c r="F89" s="106"/>
      <c r="G89" s="106"/>
      <c r="H89" s="107"/>
    </row>
    <row r="90" spans="1:10" ht="21" x14ac:dyDescent="0.25">
      <c r="B90" s="106" t="s">
        <v>173</v>
      </c>
      <c r="C90" s="106"/>
      <c r="E90" s="106"/>
      <c r="F90" s="106"/>
      <c r="G90" s="106"/>
      <c r="H90" s="107"/>
    </row>
    <row r="91" spans="1:10" ht="21" x14ac:dyDescent="0.25">
      <c r="B91" s="106" t="s">
        <v>174</v>
      </c>
      <c r="C91" s="106"/>
      <c r="E91" s="106"/>
      <c r="F91" s="106"/>
      <c r="G91" s="106"/>
      <c r="H91" s="107"/>
    </row>
    <row r="92" spans="1:10" ht="21" x14ac:dyDescent="0.25">
      <c r="B92" s="106" t="s">
        <v>175</v>
      </c>
      <c r="C92" s="106"/>
      <c r="E92" s="106"/>
      <c r="F92" s="106"/>
      <c r="G92" s="106"/>
      <c r="H92" s="107"/>
    </row>
    <row r="93" spans="1:10" ht="21" x14ac:dyDescent="0.25">
      <c r="B93" s="109"/>
      <c r="C93" s="109"/>
      <c r="E93" s="106"/>
      <c r="F93" s="106"/>
      <c r="G93" s="106"/>
      <c r="H93" s="107"/>
    </row>
    <row r="94" spans="1:10" ht="17.25" x14ac:dyDescent="0.25">
      <c r="A94" s="110"/>
      <c r="C94" s="110"/>
      <c r="D94" s="110"/>
    </row>
    <row r="95" spans="1:10" ht="17.25" x14ac:dyDescent="0.25">
      <c r="A95" s="110"/>
      <c r="B95" s="110"/>
      <c r="C95" s="113"/>
      <c r="D95" s="113"/>
    </row>
    <row r="96" spans="1:10" ht="17.25" x14ac:dyDescent="0.25">
      <c r="A96" s="110"/>
      <c r="B96" s="110"/>
      <c r="D96" s="443" t="s">
        <v>10</v>
      </c>
      <c r="E96" s="453"/>
      <c r="F96" s="453"/>
      <c r="G96" s="453"/>
      <c r="H96" s="444"/>
    </row>
    <row r="97" spans="1:9" ht="30" x14ac:dyDescent="0.25">
      <c r="A97" s="110"/>
      <c r="B97" s="110"/>
      <c r="D97" s="324"/>
      <c r="E97" s="3" t="s">
        <v>15</v>
      </c>
      <c r="F97" s="20" t="s">
        <v>17</v>
      </c>
      <c r="G97" s="20" t="s">
        <v>24</v>
      </c>
      <c r="H97" s="20" t="s">
        <v>25</v>
      </c>
    </row>
    <row r="98" spans="1:9" ht="17.25" x14ac:dyDescent="0.25">
      <c r="A98" s="110"/>
      <c r="B98" s="110"/>
      <c r="D98" s="319" t="str" cm="1">
        <f t="array" ref="D98:H106">Mesures_Sechoir!B43:F51</f>
        <v xml:space="preserve">Sonde </v>
      </c>
      <c r="E98" s="10">
        <v>0</v>
      </c>
      <c r="F98" s="10">
        <v>0</v>
      </c>
      <c r="G98" s="10">
        <v>0</v>
      </c>
      <c r="H98" s="10">
        <v>0</v>
      </c>
    </row>
    <row r="99" spans="1:9" ht="17.25" x14ac:dyDescent="0.25">
      <c r="A99" s="110"/>
      <c r="B99" s="110"/>
      <c r="D99" s="319" t="str">
        <v xml:space="preserve">Sonde </v>
      </c>
      <c r="E99" s="10">
        <v>0</v>
      </c>
      <c r="F99" s="10">
        <v>0</v>
      </c>
      <c r="G99" s="10">
        <v>0</v>
      </c>
      <c r="H99" s="10">
        <v>0</v>
      </c>
    </row>
    <row r="100" spans="1:9" ht="17.25" x14ac:dyDescent="0.25">
      <c r="A100" s="110"/>
      <c r="B100" s="110"/>
      <c r="D100" s="319" t="str">
        <v xml:space="preserve">Sonde </v>
      </c>
      <c r="E100" s="10">
        <v>0</v>
      </c>
      <c r="F100" s="10">
        <v>0</v>
      </c>
      <c r="G100" s="10">
        <v>0</v>
      </c>
      <c r="H100" s="10">
        <v>0</v>
      </c>
    </row>
    <row r="101" spans="1:9" ht="17.25" x14ac:dyDescent="0.25">
      <c r="A101" s="110"/>
      <c r="B101" s="110"/>
      <c r="D101" s="319" t="str">
        <v xml:space="preserve">Sonde </v>
      </c>
      <c r="E101" s="10">
        <v>0</v>
      </c>
      <c r="F101" s="10">
        <v>0</v>
      </c>
      <c r="G101" s="10">
        <v>0</v>
      </c>
      <c r="H101" s="10">
        <v>0</v>
      </c>
    </row>
    <row r="102" spans="1:9" ht="17.25" x14ac:dyDescent="0.25">
      <c r="A102" s="110"/>
      <c r="B102" s="110"/>
      <c r="D102" s="319" t="str">
        <v xml:space="preserve">Sonde </v>
      </c>
      <c r="E102" s="10">
        <v>0</v>
      </c>
      <c r="F102" s="10">
        <v>0</v>
      </c>
      <c r="G102" s="10">
        <v>0</v>
      </c>
      <c r="H102" s="10">
        <v>0</v>
      </c>
    </row>
    <row r="103" spans="1:9" ht="17.25" x14ac:dyDescent="0.25">
      <c r="A103" s="110"/>
      <c r="B103" s="110"/>
      <c r="D103" s="319" t="str">
        <v xml:space="preserve">Sonde </v>
      </c>
      <c r="E103" s="10">
        <v>0</v>
      </c>
      <c r="F103" s="10">
        <v>0</v>
      </c>
      <c r="G103" s="10">
        <v>0</v>
      </c>
      <c r="H103" s="10">
        <v>0</v>
      </c>
    </row>
    <row r="104" spans="1:9" ht="17.25" x14ac:dyDescent="0.25">
      <c r="A104" s="110"/>
      <c r="B104" s="110"/>
      <c r="D104" s="319" t="str">
        <v xml:space="preserve">Sonde </v>
      </c>
      <c r="E104" s="10">
        <v>0</v>
      </c>
      <c r="F104" s="10">
        <v>0</v>
      </c>
      <c r="G104" s="10">
        <v>0</v>
      </c>
      <c r="H104" s="10">
        <v>0</v>
      </c>
    </row>
    <row r="105" spans="1:9" ht="17.25" x14ac:dyDescent="0.25">
      <c r="A105" s="110"/>
      <c r="B105" s="110"/>
      <c r="D105" s="319" t="str">
        <v xml:space="preserve">Sonde </v>
      </c>
      <c r="E105" s="10">
        <v>0</v>
      </c>
      <c r="F105" s="10">
        <v>0</v>
      </c>
      <c r="G105" s="10">
        <v>0</v>
      </c>
      <c r="H105" s="10">
        <v>0</v>
      </c>
    </row>
    <row r="106" spans="1:9" ht="17.25" x14ac:dyDescent="0.25">
      <c r="A106" s="110"/>
      <c r="B106" s="110"/>
      <c r="D106" s="319" t="str">
        <v xml:space="preserve">Sonde </v>
      </c>
      <c r="E106" s="10">
        <v>0</v>
      </c>
      <c r="F106" s="10">
        <v>0</v>
      </c>
      <c r="G106" s="10">
        <v>0</v>
      </c>
      <c r="H106" s="10">
        <v>0</v>
      </c>
    </row>
    <row r="107" spans="1:9" ht="17.25" x14ac:dyDescent="0.25">
      <c r="A107" s="110"/>
      <c r="B107" s="110"/>
      <c r="C107" s="110"/>
      <c r="D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7" t="s">
        <v>176</v>
      </c>
      <c r="C116" s="467"/>
      <c r="D116" s="467"/>
      <c r="E116" s="467"/>
      <c r="F116" s="467"/>
    </row>
    <row r="118" spans="1:9" ht="26.25" x14ac:dyDescent="0.25">
      <c r="B118" s="108" t="s">
        <v>177</v>
      </c>
    </row>
    <row r="120" spans="1:9" ht="21" x14ac:dyDescent="0.3">
      <c r="B120" s="116" t="s">
        <v>179</v>
      </c>
      <c r="C120" s="106" t="s">
        <v>180</v>
      </c>
      <c r="E120" s="106" t="s">
        <v>178</v>
      </c>
      <c r="F120" s="106"/>
      <c r="G120" s="120">
        <f>Mesures_Sechoir!$M$43</f>
        <v>0</v>
      </c>
    </row>
    <row r="121" spans="1:9" ht="21" x14ac:dyDescent="0.3">
      <c r="B121" s="116" t="s">
        <v>182</v>
      </c>
      <c r="C121" s="109" t="s">
        <v>183</v>
      </c>
      <c r="E121" s="106" t="s">
        <v>181</v>
      </c>
      <c r="F121" s="106"/>
      <c r="G121" s="115">
        <f>Mesures_Sechoir!$N$43</f>
        <v>0</v>
      </c>
    </row>
    <row r="122" spans="1:9" ht="21" x14ac:dyDescent="0.35">
      <c r="B122" s="118" t="s">
        <v>185</v>
      </c>
      <c r="C122" s="119" t="s">
        <v>186</v>
      </c>
      <c r="E122" s="106" t="s">
        <v>184</v>
      </c>
      <c r="F122" s="106"/>
      <c r="G122" s="117">
        <f>Mesures_Sechoir!$O$43</f>
        <v>0</v>
      </c>
    </row>
    <row r="127" spans="1:9" ht="36" x14ac:dyDescent="0.25">
      <c r="C127" s="464" t="s">
        <v>188</v>
      </c>
      <c r="D127" s="464"/>
      <c r="E127" s="464"/>
      <c r="F127" s="464"/>
    </row>
    <row r="128" spans="1:9" ht="36" x14ac:dyDescent="0.25">
      <c r="B128" s="103"/>
      <c r="C128" s="103"/>
      <c r="D128" s="103"/>
    </row>
    <row r="129" spans="2:9" x14ac:dyDescent="0.25">
      <c r="B129" s="342"/>
      <c r="C129" s="342"/>
      <c r="D129" s="342"/>
      <c r="E129" s="342"/>
      <c r="F129" s="342"/>
      <c r="G129" s="342"/>
      <c r="H129" s="342"/>
      <c r="I129" s="342"/>
    </row>
    <row r="130" spans="2:9" x14ac:dyDescent="0.25">
      <c r="B130" s="342"/>
      <c r="C130" s="342"/>
      <c r="D130" s="342"/>
      <c r="E130" s="342"/>
      <c r="F130" s="342"/>
      <c r="G130" s="342"/>
      <c r="H130" s="342"/>
      <c r="I130" s="342"/>
    </row>
    <row r="131" spans="2:9" x14ac:dyDescent="0.25">
      <c r="B131" s="342"/>
      <c r="C131" s="342"/>
      <c r="D131" s="342"/>
      <c r="E131" s="342"/>
      <c r="F131" s="342"/>
      <c r="G131" s="342"/>
      <c r="H131" s="342"/>
      <c r="I131" s="342"/>
    </row>
    <row r="132" spans="2:9" x14ac:dyDescent="0.25">
      <c r="B132" s="342"/>
      <c r="C132" s="342"/>
      <c r="D132" s="342"/>
      <c r="E132" s="342"/>
      <c r="F132" s="342"/>
      <c r="G132" s="342"/>
      <c r="H132" s="342"/>
      <c r="I132" s="342"/>
    </row>
    <row r="133" spans="2:9" x14ac:dyDescent="0.25">
      <c r="B133" s="342"/>
      <c r="C133" s="342"/>
      <c r="D133" s="342"/>
      <c r="E133" s="342"/>
      <c r="F133" s="342"/>
      <c r="G133" s="342"/>
      <c r="H133" s="342"/>
      <c r="I133" s="342"/>
    </row>
    <row r="134" spans="2:9" x14ac:dyDescent="0.25">
      <c r="B134" s="342"/>
      <c r="C134" s="342"/>
      <c r="D134" s="342"/>
      <c r="E134" s="342"/>
      <c r="F134" s="342"/>
      <c r="G134" s="342"/>
      <c r="H134" s="342"/>
      <c r="I134" s="342"/>
    </row>
    <row r="135" spans="2:9" x14ac:dyDescent="0.25">
      <c r="B135" s="342"/>
      <c r="C135" s="342"/>
      <c r="D135" s="342"/>
      <c r="E135" s="342"/>
      <c r="F135" s="342"/>
      <c r="G135" s="342"/>
      <c r="H135" s="342"/>
      <c r="I135" s="342"/>
    </row>
    <row r="136" spans="2:9" x14ac:dyDescent="0.25">
      <c r="B136" s="342"/>
      <c r="C136" s="342"/>
      <c r="D136" s="342"/>
      <c r="E136" s="342"/>
      <c r="F136" s="342"/>
      <c r="G136" s="342"/>
      <c r="H136" s="342"/>
      <c r="I136" s="342"/>
    </row>
    <row r="137" spans="2:9" x14ac:dyDescent="0.25">
      <c r="B137" s="342"/>
      <c r="C137" s="342"/>
      <c r="D137" s="342"/>
      <c r="E137" s="342"/>
      <c r="F137" s="342"/>
      <c r="G137" s="342"/>
      <c r="H137" s="342"/>
      <c r="I137" s="342"/>
    </row>
    <row r="138" spans="2:9" x14ac:dyDescent="0.25">
      <c r="B138" s="342"/>
      <c r="C138" s="342"/>
      <c r="D138" s="342"/>
      <c r="E138" s="342"/>
      <c r="F138" s="342"/>
      <c r="G138" s="342"/>
      <c r="H138" s="342"/>
      <c r="I138" s="342"/>
    </row>
    <row r="139" spans="2:9" x14ac:dyDescent="0.25">
      <c r="B139" s="342"/>
      <c r="C139" s="342"/>
      <c r="D139" s="342"/>
      <c r="E139" s="342"/>
      <c r="F139" s="342"/>
      <c r="G139" s="342"/>
      <c r="H139" s="342"/>
      <c r="I139" s="342"/>
    </row>
    <row r="140" spans="2:9" x14ac:dyDescent="0.25">
      <c r="B140" s="342"/>
      <c r="C140" s="342"/>
      <c r="D140" s="342"/>
      <c r="E140" s="342"/>
      <c r="F140" s="342"/>
      <c r="G140" s="342"/>
      <c r="H140" s="342"/>
      <c r="I140" s="342"/>
    </row>
    <row r="141" spans="2:9" x14ac:dyDescent="0.25">
      <c r="B141" s="342"/>
      <c r="C141" s="342"/>
      <c r="D141" s="342"/>
      <c r="E141" s="342"/>
      <c r="F141" s="342"/>
      <c r="G141" s="342"/>
      <c r="H141" s="342"/>
      <c r="I141" s="342"/>
    </row>
    <row r="142" spans="2:9" x14ac:dyDescent="0.25">
      <c r="B142" s="342"/>
      <c r="C142" s="342"/>
      <c r="D142" s="342"/>
      <c r="E142" s="342"/>
      <c r="F142" s="342"/>
      <c r="G142" s="342"/>
      <c r="H142" s="342"/>
      <c r="I142" s="342"/>
    </row>
    <row r="143" spans="2:9" x14ac:dyDescent="0.25">
      <c r="B143" s="342"/>
      <c r="C143" s="342"/>
      <c r="D143" s="342"/>
      <c r="E143" s="342"/>
      <c r="F143" s="342"/>
      <c r="G143" s="342"/>
      <c r="H143" s="342"/>
      <c r="I143" s="342"/>
    </row>
    <row r="144" spans="2:9" x14ac:dyDescent="0.25">
      <c r="B144" s="342"/>
      <c r="C144" s="342"/>
      <c r="D144" s="342"/>
      <c r="E144" s="342"/>
      <c r="F144" s="342"/>
      <c r="G144" s="342"/>
      <c r="H144" s="342"/>
      <c r="I144" s="342"/>
    </row>
    <row r="163" spans="1:8" ht="36" x14ac:dyDescent="0.25">
      <c r="C163" s="464" t="s">
        <v>282</v>
      </c>
      <c r="D163" s="464"/>
      <c r="E163" s="464"/>
      <c r="F163" s="464"/>
      <c r="G163" s="464"/>
      <c r="H163" s="464"/>
    </row>
    <row r="167" spans="1:8" x14ac:dyDescent="0.25">
      <c r="A167" s="121" t="str" cm="1">
        <f t="array" ref="A167:C176">Mesures_Sechoir!A23:C32</f>
        <v>Positions</v>
      </c>
      <c r="B167" s="121" t="str">
        <v>Thermocouples</v>
      </c>
      <c r="C167" s="121" t="str">
        <v>N° voie Enregistreur</v>
      </c>
    </row>
    <row r="168" spans="1:8" x14ac:dyDescent="0.25">
      <c r="A168" s="121">
        <v>1</v>
      </c>
      <c r="B168" s="122">
        <v>0</v>
      </c>
      <c r="C168" s="123">
        <v>0</v>
      </c>
    </row>
    <row r="169" spans="1:8" x14ac:dyDescent="0.25">
      <c r="A169" s="121">
        <v>2</v>
      </c>
      <c r="B169" s="122">
        <v>0</v>
      </c>
      <c r="C169" s="123">
        <v>0</v>
      </c>
    </row>
    <row r="170" spans="1:8" x14ac:dyDescent="0.25">
      <c r="A170" s="121">
        <v>3</v>
      </c>
      <c r="B170" s="122">
        <v>0</v>
      </c>
      <c r="C170" s="123">
        <v>0</v>
      </c>
    </row>
    <row r="171" spans="1:8" x14ac:dyDescent="0.25">
      <c r="A171" s="121">
        <v>4</v>
      </c>
      <c r="B171" s="122">
        <v>0</v>
      </c>
      <c r="C171" s="123">
        <v>0</v>
      </c>
    </row>
    <row r="172" spans="1:8" x14ac:dyDescent="0.25">
      <c r="A172" s="121">
        <v>5</v>
      </c>
      <c r="B172" s="122">
        <v>0</v>
      </c>
      <c r="C172" s="123">
        <v>0</v>
      </c>
    </row>
    <row r="173" spans="1:8" x14ac:dyDescent="0.25">
      <c r="A173" s="121">
        <v>6</v>
      </c>
      <c r="B173" s="122">
        <v>0</v>
      </c>
      <c r="C173" s="123">
        <v>0</v>
      </c>
    </row>
    <row r="174" spans="1:8" x14ac:dyDescent="0.25">
      <c r="A174" s="121">
        <v>7</v>
      </c>
      <c r="B174" s="122">
        <v>0</v>
      </c>
      <c r="C174" s="123">
        <v>0</v>
      </c>
    </row>
    <row r="175" spans="1:8" x14ac:dyDescent="0.25">
      <c r="A175" s="121">
        <v>8</v>
      </c>
      <c r="B175" s="122">
        <v>0</v>
      </c>
      <c r="C175" s="123">
        <v>0</v>
      </c>
    </row>
    <row r="176" spans="1:8" x14ac:dyDescent="0.25">
      <c r="A176" s="121">
        <v>9</v>
      </c>
      <c r="B176" s="122">
        <v>0</v>
      </c>
      <c r="C176" s="123">
        <v>0</v>
      </c>
    </row>
    <row r="196" spans="1:9" ht="36" x14ac:dyDescent="0.25">
      <c r="C196" s="464" t="str">
        <f>"6. Résultats et exploitation des résultats à " &amp; Mesures_Sechoir!B20 &amp; "°C"</f>
        <v>6. Résultats et exploitation des résultats à °C</v>
      </c>
      <c r="D196" s="464"/>
      <c r="E196" s="464"/>
      <c r="F196" s="464"/>
      <c r="G196" s="464"/>
      <c r="H196" s="464"/>
    </row>
    <row r="200" spans="1:9" x14ac:dyDescent="0.25">
      <c r="A200" s="121" t="str" cm="1">
        <f t="array" ref="A200:B201">Mesures_Sechoir!$A$20:$B$21</f>
        <v>Consignes °C</v>
      </c>
      <c r="B200" s="123">
        <v>0</v>
      </c>
      <c r="G200" s="468" t="s">
        <v>190</v>
      </c>
      <c r="H200" s="469"/>
      <c r="I200" s="470"/>
    </row>
    <row r="201" spans="1:9" x14ac:dyDescent="0.25">
      <c r="A201" s="121" t="str">
        <v>Tolérances +/- °C</v>
      </c>
      <c r="B201" s="123">
        <v>0</v>
      </c>
      <c r="G201" s="22" t="s">
        <v>191</v>
      </c>
      <c r="H201" s="22" t="s">
        <v>192</v>
      </c>
      <c r="I201" s="22" t="s">
        <v>193</v>
      </c>
    </row>
    <row r="202" spans="1:9" x14ac:dyDescent="0.25">
      <c r="G202" s="124" t="e" cm="1">
        <f t="array" ref="G202">INDEX(Valeurs_Brutes_Congel[Date/Heure], COUNTA(Valeurs_Brutes_Congel[Date/Heure])-30)</f>
        <v>#VALUE!</v>
      </c>
      <c r="H202" s="124" cm="1">
        <f t="array" ref="H202">INDEX(Valeurs_Brutes_Congel[Date/Heure], COUNTA(Valeurs_Brutes_Congel[Date/Heure]))</f>
        <v>0</v>
      </c>
      <c r="I202" s="124" t="e">
        <f>H202-G202</f>
        <v>#VALUE!</v>
      </c>
    </row>
    <row r="205" spans="1:9" ht="23.25" x14ac:dyDescent="0.25">
      <c r="B205" s="471" t="s">
        <v>194</v>
      </c>
      <c r="C205" s="471"/>
    </row>
    <row r="208" spans="1:9" ht="30" x14ac:dyDescent="0.25">
      <c r="B208" s="125" t="s">
        <v>195</v>
      </c>
      <c r="C208" s="126" t="s">
        <v>196</v>
      </c>
      <c r="D208" s="126" t="s">
        <v>112</v>
      </c>
      <c r="E208" s="127" t="s">
        <v>197</v>
      </c>
      <c r="F208" s="126" t="s">
        <v>198</v>
      </c>
    </row>
    <row r="209" spans="1:6" x14ac:dyDescent="0.25">
      <c r="B209" s="128" t="s">
        <v>199</v>
      </c>
      <c r="C209" s="129" t="str">
        <f>B200 &amp; "°C"</f>
        <v>0°C</v>
      </c>
      <c r="D209" s="129" t="s">
        <v>200</v>
      </c>
      <c r="E209" s="129" t="s">
        <v>200</v>
      </c>
      <c r="F209" s="130" t="s">
        <v>200</v>
      </c>
    </row>
    <row r="210" spans="1:6" x14ac:dyDescent="0.25">
      <c r="B210" s="128" t="s">
        <v>201</v>
      </c>
      <c r="C210" s="129" t="str">
        <f>B200 &amp; "°C"</f>
        <v>0°C</v>
      </c>
      <c r="D210" s="129" t="s">
        <v>200</v>
      </c>
      <c r="E210" s="129" t="s">
        <v>200</v>
      </c>
      <c r="F210" s="130" t="s">
        <v>200</v>
      </c>
    </row>
    <row r="211" spans="1:6" ht="15" customHeight="1" x14ac:dyDescent="0.25">
      <c r="A211" s="472" t="s">
        <v>202</v>
      </c>
      <c r="B211" s="128" t="s">
        <v>203</v>
      </c>
      <c r="C211" s="131" t="e">
        <f ca="1">MAX(Sechoir!C16:K16)</f>
        <v>#REF!</v>
      </c>
      <c r="D211" s="129" t="e">
        <f ca="1">_xlfn.XLOOKUP(INT(SUBSTITUTE(E211,"Connecteur ","")),Mesures_Sechoir!$C$24:$C$35,Mesures_Sechoir!$A$24:$A$35)</f>
        <v>#REF!</v>
      </c>
      <c r="E211" s="129" t="e" cm="1">
        <f t="array" aca="1" ref="E211" ca="1">_xlfn.XLOOKUP(C211,Sechoir!C16:K16,_xlfn.ANCHORARRAY(Sechoir!C14))</f>
        <v>#REF!</v>
      </c>
      <c r="F211" s="129" t="e">
        <f ca="1">_xlfn.XLOOKUP(INT(SUBSTITUTE(E211,"Connecteur ","")),Mesures_Sechoir!$C$24:$C$35,Mesures_Sechoir!$B$24:$B$35)</f>
        <v>#REF!</v>
      </c>
    </row>
    <row r="212" spans="1:6" x14ac:dyDescent="0.25">
      <c r="A212" s="472"/>
      <c r="B212" s="128" t="s">
        <v>204</v>
      </c>
      <c r="C212" s="131" t="e">
        <f ca="1">MIN(Sechoir!C16:K16)</f>
        <v>#REF!</v>
      </c>
      <c r="D212" s="129" t="e">
        <f ca="1">_xlfn.XLOOKUP(INT(SUBSTITUTE(E212,"Connecteur ","")),Mesures_Sechoir!$C$24:$C$35,Mesures_Sechoir!$A$24:$A$35)</f>
        <v>#REF!</v>
      </c>
      <c r="E212" s="129" t="e" cm="1">
        <f t="array" aca="1" ref="E212" ca="1">_xlfn.XLOOKUP(C212,Sechoir!C16:K16,_xlfn.ANCHORARRAY(Sechoir!C14))</f>
        <v>#REF!</v>
      </c>
      <c r="F212" s="130" t="e">
        <f ca="1">_xlfn.XLOOKUP(INT(SUBSTITUTE(E212,"Connecteur ","")),Mesures_Sechoir!$C$24:$C$35,Mesures_Sechoir!$B$24:$B$35)</f>
        <v>#REF!</v>
      </c>
    </row>
    <row r="213" spans="1:6" ht="34.5" customHeight="1" x14ac:dyDescent="0.25">
      <c r="A213" s="472"/>
      <c r="B213" s="128" t="s">
        <v>205</v>
      </c>
      <c r="C213" s="131" t="e">
        <f ca="1">MIN(Sechoir!C17:K17)</f>
        <v>#REF!</v>
      </c>
      <c r="D213" s="129" t="e">
        <f ca="1">_xlfn.XLOOKUP(INT(SUBSTITUTE(E213,"Connecteur ","")),Mesures_Sechoir!$C$24:$C$35,Mesures_Sechoir!$A$24:$A$35)</f>
        <v>#REF!</v>
      </c>
      <c r="E213" s="129" t="e" cm="1">
        <f t="array" aca="1" ref="E213" ca="1">_xlfn.XLOOKUP(C213,Sechoir!C17:K17,_xlfn.ANCHORARRAY(Sechoir!C14))</f>
        <v>#REF!</v>
      </c>
      <c r="F213" s="130" t="e">
        <f ca="1">_xlfn.XLOOKUP(INT(SUBSTITUTE(E213,"Connecteur ","")),Mesures_Sechoir!$C$24:$C$35,Mesures_Sechoir!$B$24:$B$35)</f>
        <v>#REF!</v>
      </c>
    </row>
    <row r="214" spans="1:6" x14ac:dyDescent="0.25">
      <c r="A214" s="472"/>
      <c r="B214" s="128" t="s">
        <v>206</v>
      </c>
      <c r="C214" s="131" t="e">
        <f ca="1">Sechoir!C21</f>
        <v>#REF!</v>
      </c>
      <c r="D214" s="129" t="s">
        <v>200</v>
      </c>
      <c r="E214" s="129" t="s">
        <v>200</v>
      </c>
      <c r="F214" s="130" t="s">
        <v>200</v>
      </c>
    </row>
    <row r="215" spans="1:6" x14ac:dyDescent="0.25">
      <c r="C215" s="88"/>
      <c r="D215" s="88"/>
      <c r="E215" s="88"/>
      <c r="F215" s="88"/>
    </row>
    <row r="226" spans="2:9" ht="36" x14ac:dyDescent="0.25">
      <c r="B226" s="464" t="str">
        <f>"6. Résultats et exploitation des résultats à " &amp; Mesures_Sechoir!B20&amp; "°C"</f>
        <v>6. Résultats et exploitation des résultats à °C</v>
      </c>
      <c r="C226" s="464"/>
      <c r="D226" s="464"/>
      <c r="E226" s="464"/>
      <c r="F226" s="464"/>
    </row>
    <row r="229" spans="2:9" x14ac:dyDescent="0.25">
      <c r="B229" s="342" t="s">
        <v>207</v>
      </c>
      <c r="C229" s="342"/>
    </row>
    <row r="232" spans="2:9" x14ac:dyDescent="0.25">
      <c r="C232" s="27"/>
      <c r="D232" s="27"/>
      <c r="E232" s="27"/>
      <c r="F232" s="459" t="s">
        <v>190</v>
      </c>
      <c r="G232" s="461"/>
      <c r="H232" s="461"/>
      <c r="I232" s="460"/>
    </row>
    <row r="233" spans="2:9" ht="30" x14ac:dyDescent="0.25">
      <c r="C233" s="36" t="s">
        <v>9</v>
      </c>
      <c r="D233" s="36" t="s">
        <v>12</v>
      </c>
      <c r="E233" s="132" t="s">
        <v>208</v>
      </c>
      <c r="F233" s="36" t="s">
        <v>209</v>
      </c>
      <c r="G233" s="36" t="s">
        <v>210</v>
      </c>
      <c r="H233" s="36" t="s">
        <v>211</v>
      </c>
      <c r="I233" s="36" t="s">
        <v>212</v>
      </c>
    </row>
    <row r="234" spans="2:9" x14ac:dyDescent="0.25">
      <c r="C234" s="38" cm="1">
        <f t="array" ref="C234:E242">Mesures_Sechoir!$A$24:$C$32</f>
        <v>1</v>
      </c>
      <c r="D234" s="38">
        <v>0</v>
      </c>
      <c r="E234" s="38">
        <v>0</v>
      </c>
      <c r="F234" s="133" t="e" cm="1">
        <f t="array" ref="F234">_xlfn.XLOOKUP(SUBSTITUTE(Sechoir_PV!E234,Sechoir_PV!E234,"Connecteur " &amp; Sechoir_PV!E234),_xlfn.ANCHORARRAY(Sechoir!C14),Sechoir!C17:K17)</f>
        <v>#N/A</v>
      </c>
      <c r="G234" s="133" t="e" cm="1">
        <f t="array" ref="G234">_xlfn.XLOOKUP(SUBSTITUTE(Sechoir_PV!E234,Sechoir_PV!E234,"Connecteur " &amp; Sechoir_PV!E234),_xlfn.ANCHORARRAY(Sechoir!C14),Sechoir!C16:K16)</f>
        <v>#N/A</v>
      </c>
      <c r="H234" s="133" t="e" cm="1">
        <f t="array" ref="H234">_xlfn.XLOOKUP(SUBSTITUTE(Sechoir_PV!E234,Sechoir_PV!E234,"Connecteur " &amp; Sechoir_PV!E234),_xlfn.ANCHORARRAY(Sechoir!C14),Sechoir!C18:K18)</f>
        <v>#N/A</v>
      </c>
      <c r="I234" s="133" t="e" cm="1">
        <f t="array" ref="I234">_xlfn.XLOOKUP(SUBSTITUTE(Sechoir_PV!E234,Sechoir_PV!E234,"Connecteur " &amp; Sechoir_PV!E234),_xlfn.ANCHORARRAY(Sechoir!C14),Sechoir!C19:K19)</f>
        <v>#N/A</v>
      </c>
    </row>
    <row r="235" spans="2:9" x14ac:dyDescent="0.25">
      <c r="C235" s="38">
        <v>2</v>
      </c>
      <c r="D235" s="38">
        <v>0</v>
      </c>
      <c r="E235" s="38">
        <v>0</v>
      </c>
      <c r="F235" s="133" t="e" cm="1">
        <f t="array" ref="F235">_xlfn.XLOOKUP(SUBSTITUTE(Sechoir_PV!E235,Sechoir_PV!E235,"Connecteur " &amp; Sechoir_PV!E235),_xlfn.ANCHORARRAY(Sechoir!C14),Sechoir!C17:K17)</f>
        <v>#N/A</v>
      </c>
      <c r="G235" s="133" t="e" cm="1">
        <f t="array" ref="G235">_xlfn.XLOOKUP(SUBSTITUTE(Sechoir_PV!E235,Sechoir_PV!E235,"Connecteur " &amp; Sechoir_PV!E235),_xlfn.ANCHORARRAY(Sechoir!C14),Sechoir!C16:K16)</f>
        <v>#N/A</v>
      </c>
      <c r="H235" s="133" t="e" cm="1">
        <f t="array" ref="H235">_xlfn.XLOOKUP(SUBSTITUTE(Sechoir_PV!E235,Sechoir_PV!E235,"Connecteur " &amp; Sechoir_PV!E235),_xlfn.ANCHORARRAY(Sechoir!C14),Sechoir!C18:K18)</f>
        <v>#N/A</v>
      </c>
      <c r="I235" s="133" t="e" cm="1">
        <f t="array" ref="I235">_xlfn.XLOOKUP(SUBSTITUTE(Sechoir_PV!E235,Sechoir_PV!E235,"Connecteur " &amp; Sechoir_PV!E235),_xlfn.ANCHORARRAY(Sechoir!C14),Sechoir!C19:K19)</f>
        <v>#N/A</v>
      </c>
    </row>
    <row r="236" spans="2:9" x14ac:dyDescent="0.25">
      <c r="C236" s="38">
        <v>3</v>
      </c>
      <c r="D236" s="38">
        <v>0</v>
      </c>
      <c r="E236" s="38">
        <v>0</v>
      </c>
      <c r="F236" s="133" t="e" cm="1">
        <f t="array" ref="F236">_xlfn.XLOOKUP(SUBSTITUTE(Sechoir_PV!E236,Sechoir_PV!E236,"Connecteur " &amp; Sechoir_PV!E236),_xlfn.ANCHORARRAY(Sechoir!C14),Sechoir!C17:K17)</f>
        <v>#N/A</v>
      </c>
      <c r="G236" s="133" t="e" cm="1">
        <f t="array" ref="G236">_xlfn.XLOOKUP(SUBSTITUTE(Sechoir_PV!E236,Sechoir_PV!E236,"Connecteur " &amp; Sechoir_PV!E236),_xlfn.ANCHORARRAY(Sechoir!C14),Sechoir!C16:K16)</f>
        <v>#N/A</v>
      </c>
      <c r="H236" s="133" t="e" cm="1">
        <f t="array" ref="H236">_xlfn.XLOOKUP(SUBSTITUTE(Sechoir_PV!E236,Sechoir_PV!E236,"Connecteur " &amp; Sechoir_PV!E236),_xlfn.ANCHORARRAY(Sechoir!C14),Sechoir!C18:K18)</f>
        <v>#N/A</v>
      </c>
      <c r="I236" s="133" t="e" cm="1">
        <f t="array" ref="I236">_xlfn.XLOOKUP(SUBSTITUTE(Sechoir_PV!E236,Sechoir_PV!E236,"Connecteur " &amp; Sechoir_PV!E236),_xlfn.ANCHORARRAY(Sechoir!C14),Sechoir!C19:K19)</f>
        <v>#N/A</v>
      </c>
    </row>
    <row r="237" spans="2:9" x14ac:dyDescent="0.25">
      <c r="C237" s="38">
        <v>4</v>
      </c>
      <c r="D237" s="38">
        <v>0</v>
      </c>
      <c r="E237" s="38">
        <v>0</v>
      </c>
      <c r="F237" s="133" t="e" cm="1">
        <f t="array" ref="F237">_xlfn.XLOOKUP(SUBSTITUTE(Sechoir_PV!E237,Sechoir_PV!E237,"Connecteur " &amp; Sechoir_PV!E237),_xlfn.ANCHORARRAY(Sechoir!C14),Sechoir!C17:K17)</f>
        <v>#N/A</v>
      </c>
      <c r="G237" s="133" t="e" cm="1">
        <f t="array" ref="G237">_xlfn.XLOOKUP(SUBSTITUTE(Sechoir_PV!E237,Sechoir_PV!E237,"Connecteur " &amp; Sechoir_PV!E237),_xlfn.ANCHORARRAY(Sechoir!C14),Sechoir!C16:K16)</f>
        <v>#N/A</v>
      </c>
      <c r="H237" s="133" t="e" cm="1">
        <f t="array" ref="H237">_xlfn.XLOOKUP(SUBSTITUTE(Sechoir_PV!E237,Sechoir_PV!E237,"Connecteur " &amp; Sechoir_PV!E237),_xlfn.ANCHORARRAY(Sechoir!C14),Sechoir!C18:K18)</f>
        <v>#N/A</v>
      </c>
      <c r="I237" s="133" t="e" cm="1">
        <f t="array" ref="I237">_xlfn.XLOOKUP(SUBSTITUTE(Sechoir_PV!E237,Sechoir_PV!E237,"Connecteur " &amp; Sechoir_PV!E237),_xlfn.ANCHORARRAY(Sechoir!C14),Sechoir!C19:K19)</f>
        <v>#N/A</v>
      </c>
    </row>
    <row r="238" spans="2:9" x14ac:dyDescent="0.25">
      <c r="C238" s="38">
        <v>5</v>
      </c>
      <c r="D238" s="38">
        <v>0</v>
      </c>
      <c r="E238" s="38">
        <v>0</v>
      </c>
      <c r="F238" s="133" t="e" cm="1">
        <f t="array" ref="F238">_xlfn.XLOOKUP(SUBSTITUTE(Sechoir_PV!E238,Sechoir_PV!E238,"Connecteur " &amp; Sechoir_PV!E238),_xlfn.ANCHORARRAY(Sechoir!C14),Sechoir!C17:K17)</f>
        <v>#N/A</v>
      </c>
      <c r="G238" s="133" t="e" cm="1">
        <f t="array" ref="G238">_xlfn.XLOOKUP(SUBSTITUTE(Sechoir_PV!E238,Sechoir_PV!E238,"Connecteur "&amp;Sechoir_PV!E238),_xlfn.ANCHORARRAY(Sechoir!C14),Sechoir!C16:K16)</f>
        <v>#N/A</v>
      </c>
      <c r="H238" s="133" t="e" cm="1">
        <f t="array" ref="H238">_xlfn.XLOOKUP(SUBSTITUTE(Sechoir_PV!E238,Sechoir_PV!E238,"Connecteur " &amp; Sechoir_PV!E238),_xlfn.ANCHORARRAY(Sechoir!C14),Sechoir!C18:K18)</f>
        <v>#N/A</v>
      </c>
      <c r="I238" s="133" t="e" cm="1">
        <f t="array" ref="I238">_xlfn.XLOOKUP(SUBSTITUTE(Sechoir_PV!E238,Sechoir_PV!E238,"Connecteur " &amp; Sechoir_PV!E238),_xlfn.ANCHORARRAY(Sechoir!C14),Sechoir!C19:K19)</f>
        <v>#N/A</v>
      </c>
    </row>
    <row r="239" spans="2:9" x14ac:dyDescent="0.25">
      <c r="C239" s="38">
        <v>6</v>
      </c>
      <c r="D239" s="38">
        <v>0</v>
      </c>
      <c r="E239" s="38">
        <v>0</v>
      </c>
      <c r="F239" s="133" t="e" cm="1">
        <f t="array" ref="F239">_xlfn.XLOOKUP(SUBSTITUTE(Sechoir_PV!E239,Sechoir_PV!E239,"Connecteur " &amp; Sechoir_PV!E239),_xlfn.ANCHORARRAY(Sechoir!C14),Sechoir!C17:K17)</f>
        <v>#N/A</v>
      </c>
      <c r="G239" s="133" t="e" cm="1">
        <f t="array" ref="G239">_xlfn.XLOOKUP(SUBSTITUTE(Sechoir_PV!E239,Sechoir_PV!E239,"Connecteur " &amp; Sechoir_PV!E239),_xlfn.ANCHORARRAY(Sechoir!C14),Sechoir!C16:K16)</f>
        <v>#N/A</v>
      </c>
      <c r="H239" s="133" t="e" cm="1">
        <f t="array" ref="H239">_xlfn.XLOOKUP(SUBSTITUTE(Sechoir_PV!E239,Sechoir_PV!E239,"Connecteur " &amp; Sechoir_PV!E239),_xlfn.ANCHORARRAY(Sechoir!C14),Sechoir!C18:K18)</f>
        <v>#N/A</v>
      </c>
      <c r="I239" s="133" t="e" cm="1">
        <f t="array" ref="I239">_xlfn.XLOOKUP(SUBSTITUTE(Sechoir_PV!E239,Sechoir_PV!E239,"Connecteur " &amp; Sechoir_PV!E239),_xlfn.ANCHORARRAY(Sechoir!C14),Sechoir!C19:K19)</f>
        <v>#N/A</v>
      </c>
    </row>
    <row r="240" spans="2:9" x14ac:dyDescent="0.25">
      <c r="C240" s="38">
        <v>7</v>
      </c>
      <c r="D240" s="38">
        <v>0</v>
      </c>
      <c r="E240" s="38">
        <v>0</v>
      </c>
      <c r="F240" s="133" t="e" cm="1">
        <f t="array" ref="F240">_xlfn.XLOOKUP(SUBSTITUTE(Sechoir_PV!E240,Sechoir_PV!E240,"Connecteur " &amp; Sechoir_PV!E240),_xlfn.ANCHORARRAY(Sechoir!C14),Sechoir!C17:K17)</f>
        <v>#N/A</v>
      </c>
      <c r="G240" s="133" t="e" cm="1">
        <f t="array" ref="G240">_xlfn.XLOOKUP(SUBSTITUTE(Sechoir_PV!E240,Sechoir_PV!E240,"Connecteur " &amp; Sechoir_PV!E240),_xlfn.ANCHORARRAY(Sechoir!C14),Sechoir!C16:K16)</f>
        <v>#N/A</v>
      </c>
      <c r="H240" s="133" t="e" cm="1">
        <f t="array" ref="H240">_xlfn.XLOOKUP(SUBSTITUTE(Sechoir_PV!E240,Sechoir_PV!E240,"Connecteur " &amp; Sechoir_PV!E240),_xlfn.ANCHORARRAY(Sechoir!C14),Sechoir!C18:K18)</f>
        <v>#N/A</v>
      </c>
      <c r="I240" s="133" t="e" cm="1">
        <f t="array" ref="I240">_xlfn.XLOOKUP(SUBSTITUTE(Sechoir_PV!E240,Sechoir_PV!E240,"Connecteur " &amp; Sechoir_PV!E240),_xlfn.ANCHORARRAY(Sechoir!C14),Sechoir!C19:K19)</f>
        <v>#N/A</v>
      </c>
    </row>
    <row r="241" spans="2:9" x14ac:dyDescent="0.25">
      <c r="C241" s="38">
        <v>8</v>
      </c>
      <c r="D241" s="38">
        <v>0</v>
      </c>
      <c r="E241" s="38">
        <v>0</v>
      </c>
      <c r="F241" s="133" t="e" cm="1">
        <f t="array" ref="F241">_xlfn.XLOOKUP(SUBSTITUTE(Sechoir_PV!E241,Sechoir_PV!E241,"Connecteur " &amp; Sechoir_PV!E241),_xlfn.ANCHORARRAY(Sechoir!C14),Sechoir!C17:K17)</f>
        <v>#N/A</v>
      </c>
      <c r="G241" s="133" t="e" cm="1">
        <f t="array" ref="G241">_xlfn.XLOOKUP(SUBSTITUTE(Sechoir_PV!E241,Sechoir_PV!E241,"Connecteur " &amp; Sechoir_PV!E241),_xlfn.ANCHORARRAY(Sechoir!C14),Sechoir!C16:K16)</f>
        <v>#N/A</v>
      </c>
      <c r="H241" s="133" t="e" cm="1">
        <f t="array" ref="H241">_xlfn.XLOOKUP(SUBSTITUTE(Sechoir_PV!E241,Sechoir_PV!E241,"Connecteur " &amp; Sechoir_PV!E241),_xlfn.ANCHORARRAY(Sechoir!C14),Sechoir!C18:K18)</f>
        <v>#N/A</v>
      </c>
      <c r="I241" s="133" t="e" cm="1">
        <f t="array" ref="I241">_xlfn.XLOOKUP(SUBSTITUTE(Sechoir_PV!E241,Sechoir_PV!E241,"Connecteur " &amp; Sechoir_PV!E241),_xlfn.ANCHORARRAY(Sechoir!C14),Sechoir!C19:K19)</f>
        <v>#N/A</v>
      </c>
    </row>
    <row r="242" spans="2:9" x14ac:dyDescent="0.25">
      <c r="C242" s="38">
        <v>9</v>
      </c>
      <c r="D242" s="38">
        <v>0</v>
      </c>
      <c r="E242" s="38">
        <v>0</v>
      </c>
      <c r="F242" s="133" t="e" cm="1">
        <f t="array" ref="F242">_xlfn.XLOOKUP(SUBSTITUTE(Sechoir_PV!E242,Sechoir_PV!E242,"Connecteur " &amp; Sechoir_PV!E242),_xlfn.ANCHORARRAY(Sechoir!C14),Sechoir!C17:K17)</f>
        <v>#N/A</v>
      </c>
      <c r="G242" s="133" t="e" cm="1">
        <f t="array" ref="G242">_xlfn.XLOOKUP(SUBSTITUTE(Sechoir_PV!E242,Sechoir_PV!E242,"Connecteur " &amp; Sechoir_PV!E242),_xlfn.ANCHORARRAY(Sechoir!C14),Sechoir!C16:K16)</f>
        <v>#N/A</v>
      </c>
      <c r="H242" s="133" t="e" cm="1">
        <f t="array" ref="H242">_xlfn.XLOOKUP(SUBSTITUTE(Sechoir_PV!E242,Sechoir_PV!E242,"Connecteur " &amp; Sechoir_PV!E242),_xlfn.ANCHORARRAY(Sechoir!C14),Sechoir!C18:K18)</f>
        <v>#N/A</v>
      </c>
      <c r="I242" s="133" t="e" cm="1">
        <f t="array" ref="I242">_xlfn.XLOOKUP(SUBSTITUTE(Sechoir_PV!E242,Sechoir_PV!E242,"Connecteur " &amp; Sechoir_PV!E242),_xlfn.ANCHORARRAY(Sechoir!C14),Sechoir!C19:K19)</f>
        <v>#N/A</v>
      </c>
    </row>
    <row r="252" spans="2:9" x14ac:dyDescent="0.25">
      <c r="B252" s="134"/>
    </row>
    <row r="254" spans="2:9" ht="36" x14ac:dyDescent="0.3">
      <c r="C254" s="135" t="str">
        <f>"8. Résultats et exploitation des résultats à " &amp; Mesures_Sechoir!B20 &amp; "°C"</f>
        <v>8. Résultats et exploitation des résultats à °C</v>
      </c>
      <c r="D254" s="136"/>
      <c r="E254" s="136"/>
      <c r="F254" s="136"/>
    </row>
    <row r="257" spans="2:2" x14ac:dyDescent="0.25">
      <c r="B257" t="s">
        <v>213</v>
      </c>
    </row>
    <row r="293" spans="2:8" ht="36" x14ac:dyDescent="0.55000000000000004">
      <c r="G293" s="462" t="s">
        <v>214</v>
      </c>
      <c r="H293" s="462"/>
    </row>
    <row r="297" spans="2:8" ht="23.25" customHeight="1" x14ac:dyDescent="0.25">
      <c r="B297" s="463" t="s">
        <v>551</v>
      </c>
      <c r="C297" s="463"/>
      <c r="D297" s="463"/>
      <c r="E297" s="463"/>
      <c r="F297" s="137" t="e">
        <f ca="1">IF(OR(AVERAGE(Sechoir!C16:K16)&gt;Sechoir!L16,AVERAGE(Sechoir!C17:K17)&lt;Sechoir!L17),"NON CONFORME","CONFORME")</f>
        <v>#REF!</v>
      </c>
      <c r="G297" s="138"/>
    </row>
    <row r="298" spans="2:8" ht="23.25" customHeight="1" x14ac:dyDescent="0.25">
      <c r="B298" s="463"/>
      <c r="C298" s="463"/>
      <c r="D298" s="463"/>
      <c r="E298" s="463"/>
      <c r="F298" s="138"/>
      <c r="G298" s="138"/>
    </row>
    <row r="299" spans="2:8" ht="15" customHeight="1" x14ac:dyDescent="0.25">
      <c r="B299" s="138"/>
      <c r="C299" s="138"/>
      <c r="D299" s="138"/>
      <c r="E299" s="138"/>
      <c r="F299" s="138"/>
      <c r="G299" s="138"/>
    </row>
    <row r="303" spans="2:8" x14ac:dyDescent="0.25">
      <c r="C303" s="128" t="s">
        <v>215</v>
      </c>
      <c r="D303" s="128"/>
      <c r="E303" s="176">
        <f>Mesures_Sechoir!B20</f>
        <v>0</v>
      </c>
    </row>
    <row r="304" spans="2:8" x14ac:dyDescent="0.25">
      <c r="C304" s="458" t="s">
        <v>216</v>
      </c>
      <c r="D304" s="458"/>
      <c r="E304" s="141">
        <f>Mesures_Sechoir!$B$20</f>
        <v>0</v>
      </c>
    </row>
    <row r="305" spans="3:5" x14ac:dyDescent="0.25">
      <c r="C305" s="458" t="s">
        <v>217</v>
      </c>
      <c r="D305" s="458"/>
      <c r="E305" s="133" t="e">
        <f ca="1">Sechoir!C20</f>
        <v>#REF!</v>
      </c>
    </row>
    <row r="306" spans="3:5" x14ac:dyDescent="0.25">
      <c r="C306" s="458" t="s">
        <v>218</v>
      </c>
      <c r="D306" s="458"/>
      <c r="E306" s="38" t="str">
        <f>"±" &amp; Mesures_Sechoir!$B$21</f>
        <v>±</v>
      </c>
    </row>
    <row r="307" spans="3:5" x14ac:dyDescent="0.25">
      <c r="C307" s="459" t="s">
        <v>219</v>
      </c>
      <c r="D307" s="460"/>
      <c r="E307" s="38" t="e">
        <f ca="1">IF(F297="CONFORME","OUI","NON")</f>
        <v>#REF!</v>
      </c>
    </row>
  </sheetData>
  <sheetProtection algorithmName="SHA-512" hashValue="zrgXyaKwOFPL9Te3m3+MQbggLOx7Xy5pwGmvm5Ti6gCZAXFCfgeRMKqgJt/5JMkBb6AHIdldgyP4XxY4orevTQ==" saltValue="GF3UxVG21+3kqh36Y+Wu0Q==" spinCount="100000" sheet="1" objects="1" scenarios="1"/>
  <mergeCells count="36">
    <mergeCell ref="B67:D67"/>
    <mergeCell ref="E67:I67"/>
    <mergeCell ref="B66:D66"/>
    <mergeCell ref="E66:I66"/>
    <mergeCell ref="C10:D10"/>
    <mergeCell ref="E10:F10"/>
    <mergeCell ref="A28:B28"/>
    <mergeCell ref="A30:I47"/>
    <mergeCell ref="C51:F51"/>
    <mergeCell ref="B61:D61"/>
    <mergeCell ref="E61:G61"/>
    <mergeCell ref="B62:D62"/>
    <mergeCell ref="B68:D68"/>
    <mergeCell ref="E68:I68"/>
    <mergeCell ref="B69:D69"/>
    <mergeCell ref="E69:H69"/>
    <mergeCell ref="B226:F226"/>
    <mergeCell ref="A72:J81"/>
    <mergeCell ref="C85:G85"/>
    <mergeCell ref="B116:F116"/>
    <mergeCell ref="C127:F127"/>
    <mergeCell ref="B129:I144"/>
    <mergeCell ref="C163:H163"/>
    <mergeCell ref="C196:H196"/>
    <mergeCell ref="G200:I200"/>
    <mergeCell ref="B205:C205"/>
    <mergeCell ref="A211:A214"/>
    <mergeCell ref="D96:H96"/>
    <mergeCell ref="C306:D306"/>
    <mergeCell ref="C307:D307"/>
    <mergeCell ref="B229:C229"/>
    <mergeCell ref="F232:I232"/>
    <mergeCell ref="G293:H293"/>
    <mergeCell ref="B297:E298"/>
    <mergeCell ref="C304:D304"/>
    <mergeCell ref="C305:D305"/>
  </mergeCells>
  <conditionalFormatting sqref="F297">
    <cfRule type="containsText" dxfId="37" priority="2" operator="containsText" text="NON CONFORME">
      <formula>NOT(ISERROR(SEARCH("NON CONFORME",F297)))</formula>
    </cfRule>
    <cfRule type="containsText" dxfId="36" priority="3" operator="containsText" text="CONFORME">
      <formula>NOT(ISERROR(SEARCH("CONFORME",F297)))</formula>
    </cfRule>
  </conditionalFormatting>
  <pageMargins left="0.7" right="0.7" top="0.75" bottom="0.75" header="0.3" footer="0.3"/>
  <pageSetup paperSize="9" scale="55" orientation="landscape" r:id="rId1"/>
  <headerFooter>
    <oddFooter>&amp;RIMP 472 ind O du 07-02-2024 (TUS du séchoir)</oddFooter>
  </headerFooter>
  <rowBreaks count="8" manualBreakCount="8">
    <brk id="47" max="9" man="1"/>
    <brk id="81" max="9" man="1"/>
    <brk id="124" max="9" man="1"/>
    <brk id="160" max="9" man="1"/>
    <brk id="192" max="16383" man="1"/>
    <brk id="220" max="9" man="1"/>
    <brk id="252" max="9" man="1"/>
    <brk id="291" max="9" man="1"/>
  </rowBreaks>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13F67-BBEA-4B9F-B353-E57FFFC1990C}">
  <sheetPr codeName="Feuil5">
    <tabColor theme="7" tint="0.39997558519241921"/>
  </sheetPr>
  <dimension ref="A1:O57"/>
  <sheetViews>
    <sheetView topLeftCell="A7" workbookViewId="0">
      <selection activeCell="J7" sqref="J1:J1048576"/>
    </sheetView>
  </sheetViews>
  <sheetFormatPr baseColWidth="10" defaultRowHeight="15" x14ac:dyDescent="0.25"/>
  <cols>
    <col min="1" max="1" width="13.5703125" bestFit="1" customWidth="1"/>
    <col min="2" max="2" width="14.7109375" bestFit="1" customWidth="1"/>
    <col min="3" max="3" width="18.85546875" bestFit="1" customWidth="1"/>
    <col min="4" max="4" width="17.140625" customWidth="1"/>
    <col min="5" max="5" width="17" customWidth="1"/>
    <col min="6" max="6" width="16.42578125" customWidth="1"/>
    <col min="7" max="7" width="14.7109375" customWidth="1"/>
    <col min="8" max="8" width="15.5703125" customWidth="1"/>
    <col min="9" max="9" width="13.140625" customWidth="1"/>
    <col min="11" max="11" width="24.140625" customWidth="1"/>
    <col min="12" max="12" width="18.7109375" customWidth="1"/>
    <col min="13" max="13" width="32.28515625" customWidth="1"/>
  </cols>
  <sheetData>
    <row r="1" spans="1:13" x14ac:dyDescent="0.25">
      <c r="A1" s="326"/>
    </row>
    <row r="2" spans="1:13" x14ac:dyDescent="0.25">
      <c r="B2" s="454" t="s">
        <v>49</v>
      </c>
      <c r="C2" s="455"/>
      <c r="D2" s="455"/>
      <c r="E2" s="455"/>
      <c r="F2" s="455"/>
      <c r="G2" s="455"/>
      <c r="H2" s="455"/>
      <c r="I2" s="455"/>
      <c r="J2" s="455"/>
      <c r="K2" s="455"/>
    </row>
    <row r="3" spans="1:13" x14ac:dyDescent="0.25">
      <c r="B3" s="455"/>
      <c r="C3" s="455"/>
      <c r="D3" s="455"/>
      <c r="E3" s="455"/>
      <c r="F3" s="455"/>
      <c r="G3" s="455"/>
      <c r="H3" s="455"/>
      <c r="I3" s="455"/>
      <c r="J3" s="455"/>
      <c r="K3" s="455"/>
    </row>
    <row r="4" spans="1:13" ht="57" x14ac:dyDescent="0.25">
      <c r="B4" s="2"/>
      <c r="C4" s="2"/>
      <c r="D4" s="2"/>
      <c r="E4" s="2"/>
      <c r="F4" s="2"/>
      <c r="G4" s="2"/>
      <c r="H4" s="2"/>
      <c r="I4" s="2"/>
      <c r="J4" s="2"/>
      <c r="K4" s="2"/>
    </row>
    <row r="5" spans="1:13" ht="14.25" customHeight="1" x14ac:dyDescent="0.25">
      <c r="A5" s="447" t="s">
        <v>536</v>
      </c>
      <c r="B5" s="447"/>
      <c r="C5" s="447"/>
      <c r="D5" s="161" t="str">
        <f>Choose_TUS!L2 &amp; "(PV de l'étuve OMIA LVT)"</f>
        <v>IMP 472 ind O du 07-02-2024 (PV de l'étuve OMIA LVT)</v>
      </c>
      <c r="E5" s="2"/>
      <c r="F5" s="2"/>
      <c r="G5" s="2"/>
    </row>
    <row r="6" spans="1:13" x14ac:dyDescent="0.25">
      <c r="A6" s="447" t="s">
        <v>0</v>
      </c>
      <c r="B6" s="447"/>
      <c r="C6" s="447"/>
      <c r="D6" s="161"/>
      <c r="E6" s="1"/>
      <c r="F6" s="1"/>
    </row>
    <row r="7" spans="1:13" x14ac:dyDescent="0.25">
      <c r="A7" s="1"/>
      <c r="B7" s="1"/>
      <c r="C7" s="1"/>
      <c r="D7" s="1"/>
      <c r="E7" s="1"/>
      <c r="F7" s="1"/>
      <c r="G7" s="1"/>
    </row>
    <row r="8" spans="1:13" x14ac:dyDescent="0.25">
      <c r="A8" s="447" t="s">
        <v>1</v>
      </c>
      <c r="B8" s="447"/>
      <c r="C8" s="4"/>
      <c r="D8" s="1"/>
      <c r="E8" s="447" t="s">
        <v>18</v>
      </c>
      <c r="F8" s="447"/>
      <c r="G8" s="4"/>
      <c r="H8" s="156"/>
      <c r="M8" s="5"/>
    </row>
    <row r="9" spans="1:13" x14ac:dyDescent="0.25">
      <c r="A9" s="447" t="s">
        <v>2</v>
      </c>
      <c r="B9" s="447"/>
      <c r="C9" s="6"/>
      <c r="D9" s="1"/>
      <c r="E9" s="447" t="s">
        <v>19</v>
      </c>
      <c r="F9" s="447"/>
      <c r="G9" s="6"/>
      <c r="M9" s="5"/>
    </row>
    <row r="10" spans="1:13" x14ac:dyDescent="0.25">
      <c r="A10" s="1"/>
      <c r="B10" s="1"/>
      <c r="C10" s="1"/>
      <c r="D10" s="1"/>
      <c r="E10" s="1"/>
      <c r="F10" s="1"/>
      <c r="G10" s="1"/>
      <c r="M10" s="5"/>
    </row>
    <row r="11" spans="1:13" x14ac:dyDescent="0.25">
      <c r="A11" s="443" t="s">
        <v>3</v>
      </c>
      <c r="B11" s="444"/>
      <c r="C11" s="7"/>
      <c r="D11" s="1"/>
      <c r="E11" s="443" t="s">
        <v>20</v>
      </c>
      <c r="F11" s="444"/>
      <c r="G11" s="8"/>
    </row>
    <row r="12" spans="1:13" x14ac:dyDescent="0.25">
      <c r="A12" s="443" t="s">
        <v>4</v>
      </c>
      <c r="B12" s="444"/>
      <c r="C12" s="8"/>
      <c r="D12" s="1"/>
      <c r="E12" s="447" t="s">
        <v>21</v>
      </c>
      <c r="F12" s="447"/>
      <c r="G12" s="159">
        <v>15</v>
      </c>
    </row>
    <row r="13" spans="1:13" x14ac:dyDescent="0.25">
      <c r="A13" s="1"/>
      <c r="B13" s="1"/>
      <c r="C13" s="1"/>
      <c r="D13" s="1"/>
      <c r="E13" s="447" t="s">
        <v>22</v>
      </c>
      <c r="F13" s="447"/>
      <c r="G13" s="10"/>
    </row>
    <row r="14" spans="1:13" x14ac:dyDescent="0.25">
      <c r="A14" s="1"/>
      <c r="B14" s="1"/>
      <c r="C14" s="1"/>
      <c r="D14" s="1"/>
      <c r="E14" s="1"/>
      <c r="F14" s="1"/>
      <c r="G14" s="1"/>
    </row>
    <row r="15" spans="1:13" x14ac:dyDescent="0.25">
      <c r="A15" s="443" t="s">
        <v>5</v>
      </c>
      <c r="B15" s="444"/>
      <c r="C15" s="4"/>
      <c r="D15" s="1"/>
      <c r="E15" s="1"/>
      <c r="F15" s="1"/>
      <c r="G15" s="1"/>
    </row>
    <row r="16" spans="1:13" x14ac:dyDescent="0.25">
      <c r="A16" s="443" t="s">
        <v>6</v>
      </c>
      <c r="B16" s="444"/>
      <c r="C16" s="10"/>
      <c r="D16" s="1"/>
      <c r="E16" s="1"/>
      <c r="F16" s="1"/>
      <c r="G16" s="1"/>
    </row>
    <row r="17" spans="1:9" x14ac:dyDescent="0.25">
      <c r="A17" s="1"/>
      <c r="B17" s="1"/>
      <c r="C17" s="1"/>
      <c r="D17" s="5"/>
      <c r="E17" s="1"/>
      <c r="F17" s="1"/>
      <c r="G17" s="1"/>
    </row>
    <row r="18" spans="1:9" x14ac:dyDescent="0.25">
      <c r="A18" s="1"/>
      <c r="B18" s="1"/>
      <c r="C18" s="1"/>
      <c r="D18" s="5"/>
      <c r="E18" s="1"/>
      <c r="F18" s="1"/>
      <c r="G18" s="1"/>
      <c r="H18" s="1"/>
    </row>
    <row r="19" spans="1:9" x14ac:dyDescent="0.25">
      <c r="A19" s="1"/>
      <c r="B19" s="3" t="s">
        <v>279</v>
      </c>
      <c r="C19" s="3" t="s">
        <v>280</v>
      </c>
      <c r="D19" s="3" t="s">
        <v>281</v>
      </c>
      <c r="E19" s="1"/>
      <c r="F19" s="1"/>
      <c r="G19" s="1"/>
      <c r="H19" s="1"/>
    </row>
    <row r="20" spans="1:9" x14ac:dyDescent="0.25">
      <c r="A20" s="3" t="s">
        <v>237</v>
      </c>
      <c r="B20" s="10"/>
      <c r="C20" s="10"/>
      <c r="D20" s="10"/>
      <c r="E20" s="1"/>
    </row>
    <row r="21" spans="1:9" x14ac:dyDescent="0.25">
      <c r="A21" s="3" t="s">
        <v>8</v>
      </c>
      <c r="B21" s="11"/>
      <c r="C21" s="1"/>
      <c r="D21" s="1"/>
      <c r="E21" s="1"/>
      <c r="F21" s="1"/>
      <c r="G21" s="1"/>
    </row>
    <row r="22" spans="1:9" ht="15.75" thickBot="1" x14ac:dyDescent="0.3">
      <c r="A22" s="1"/>
      <c r="B22" s="1"/>
      <c r="C22" s="1"/>
      <c r="D22" s="1"/>
      <c r="E22" s="1"/>
      <c r="F22" s="1"/>
      <c r="G22" s="1"/>
    </row>
    <row r="23" spans="1:9" ht="30.75" thickBot="1" x14ac:dyDescent="0.3">
      <c r="A23" s="12" t="s">
        <v>9</v>
      </c>
      <c r="B23" s="13" t="s">
        <v>12</v>
      </c>
      <c r="C23" s="13" t="s">
        <v>14</v>
      </c>
      <c r="D23" s="25" t="str">
        <f>"Décalage Enregistreur " &amp; B20 &amp; "°C"</f>
        <v>Décalage Enregistreur °C</v>
      </c>
      <c r="E23" s="25" t="str">
        <f>"Décalage Enregistreur " &amp; C20 &amp; "°C"</f>
        <v>Décalage Enregistreur °C</v>
      </c>
      <c r="F23" s="25" t="str">
        <f>"Décalage Enregistreur " &amp; D20 &amp; "°C"</f>
        <v>Décalage Enregistreur °C</v>
      </c>
      <c r="G23" s="26" t="str">
        <f>"Décalage TC " &amp; B20 &amp; "°C"</f>
        <v>Décalage TC °C</v>
      </c>
      <c r="H23" s="26" t="str">
        <f>"Décalage TC " &amp; C20 &amp; "°C"</f>
        <v>Décalage TC °C</v>
      </c>
      <c r="I23" s="26" t="str">
        <f>"Décalage TC " &amp; D20 &amp; "°C"</f>
        <v>Décalage TC °C</v>
      </c>
    </row>
    <row r="24" spans="1:9" x14ac:dyDescent="0.25">
      <c r="A24" s="15">
        <v>1</v>
      </c>
      <c r="B24" s="11"/>
      <c r="C24" s="11"/>
      <c r="D24" s="18"/>
      <c r="E24" s="18"/>
      <c r="F24" s="18"/>
      <c r="G24" s="18"/>
      <c r="H24" s="18"/>
      <c r="I24" s="18"/>
    </row>
    <row r="25" spans="1:9" x14ac:dyDescent="0.25">
      <c r="A25" s="19">
        <v>2</v>
      </c>
      <c r="B25" s="11"/>
      <c r="C25" s="11"/>
      <c r="D25" s="18"/>
      <c r="E25" s="18"/>
      <c r="F25" s="18"/>
      <c r="G25" s="18"/>
      <c r="H25" s="18"/>
      <c r="I25" s="18"/>
    </row>
    <row r="26" spans="1:9" x14ac:dyDescent="0.25">
      <c r="A26" s="15">
        <v>3</v>
      </c>
      <c r="B26" s="11"/>
      <c r="C26" s="11"/>
      <c r="D26" s="18"/>
      <c r="E26" s="18"/>
      <c r="F26" s="18"/>
      <c r="G26" s="18"/>
      <c r="H26" s="18"/>
      <c r="I26" s="18"/>
    </row>
    <row r="27" spans="1:9" x14ac:dyDescent="0.25">
      <c r="A27" s="19">
        <v>4</v>
      </c>
      <c r="B27" s="11"/>
      <c r="C27" s="11"/>
      <c r="D27" s="18"/>
      <c r="E27" s="18"/>
      <c r="F27" s="18"/>
      <c r="G27" s="18"/>
      <c r="H27" s="18"/>
      <c r="I27" s="18"/>
    </row>
    <row r="28" spans="1:9" x14ac:dyDescent="0.25">
      <c r="A28" s="15">
        <v>5</v>
      </c>
      <c r="B28" s="11"/>
      <c r="C28" s="11"/>
      <c r="D28" s="18"/>
      <c r="E28" s="18"/>
      <c r="F28" s="18"/>
      <c r="G28" s="18"/>
      <c r="H28" s="18"/>
      <c r="I28" s="18"/>
    </row>
    <row r="29" spans="1:9" x14ac:dyDescent="0.25">
      <c r="A29" s="19">
        <v>6</v>
      </c>
      <c r="B29" s="11"/>
      <c r="C29" s="11"/>
      <c r="D29" s="18"/>
      <c r="E29" s="18"/>
      <c r="F29" s="18"/>
      <c r="G29" s="18"/>
      <c r="H29" s="18"/>
      <c r="I29" s="18"/>
    </row>
    <row r="30" spans="1:9" x14ac:dyDescent="0.25">
      <c r="A30" s="15">
        <v>7</v>
      </c>
      <c r="B30" s="11"/>
      <c r="C30" s="11"/>
      <c r="D30" s="18"/>
      <c r="E30" s="18"/>
      <c r="F30" s="18"/>
      <c r="G30" s="18"/>
      <c r="H30" s="18"/>
      <c r="I30" s="18"/>
    </row>
    <row r="31" spans="1:9" x14ac:dyDescent="0.25">
      <c r="A31" s="19">
        <v>8</v>
      </c>
      <c r="B31" s="11"/>
      <c r="C31" s="11"/>
      <c r="D31" s="18"/>
      <c r="E31" s="18"/>
      <c r="F31" s="18"/>
      <c r="G31" s="18"/>
      <c r="H31" s="18"/>
      <c r="I31" s="18"/>
    </row>
    <row r="32" spans="1:9" x14ac:dyDescent="0.25">
      <c r="A32" s="15">
        <v>9</v>
      </c>
      <c r="B32" s="11"/>
      <c r="C32" s="11"/>
      <c r="D32" s="18"/>
      <c r="E32" s="18"/>
      <c r="F32" s="18"/>
      <c r="G32" s="18"/>
      <c r="H32" s="18"/>
      <c r="I32" s="18"/>
    </row>
    <row r="33" spans="1:15" x14ac:dyDescent="0.25">
      <c r="A33" s="19">
        <v>10</v>
      </c>
      <c r="B33" s="11"/>
      <c r="C33" s="11"/>
      <c r="D33" s="18"/>
      <c r="E33" s="18"/>
      <c r="F33" s="18"/>
      <c r="G33" s="18"/>
      <c r="H33" s="18"/>
      <c r="I33" s="18"/>
    </row>
    <row r="34" spans="1:15" x14ac:dyDescent="0.25">
      <c r="A34" s="15">
        <v>11</v>
      </c>
      <c r="B34" s="11"/>
      <c r="C34" s="11"/>
      <c r="D34" s="18"/>
      <c r="E34" s="18"/>
      <c r="F34" s="18"/>
      <c r="G34" s="18"/>
      <c r="H34" s="18"/>
      <c r="I34" s="18"/>
    </row>
    <row r="35" spans="1:15" x14ac:dyDescent="0.25">
      <c r="A35" s="19">
        <v>12</v>
      </c>
      <c r="B35" s="11"/>
      <c r="C35" s="11"/>
      <c r="D35" s="18"/>
      <c r="E35" s="18"/>
      <c r="F35" s="18"/>
      <c r="G35" s="18"/>
      <c r="H35" s="18"/>
      <c r="I35" s="18"/>
    </row>
    <row r="36" spans="1:15" x14ac:dyDescent="0.25">
      <c r="A36" s="19">
        <v>13</v>
      </c>
      <c r="B36" s="11"/>
      <c r="C36" s="11"/>
      <c r="D36" s="18"/>
      <c r="E36" s="18"/>
      <c r="F36" s="18"/>
      <c r="G36" s="18"/>
      <c r="H36" s="18"/>
      <c r="I36" s="18"/>
    </row>
    <row r="41" spans="1:15" ht="26.25" x14ac:dyDescent="0.25">
      <c r="A41" s="1"/>
      <c r="B41" s="446" t="s">
        <v>13</v>
      </c>
      <c r="C41" s="446"/>
      <c r="D41" s="1"/>
      <c r="E41" s="1"/>
      <c r="F41" s="1"/>
      <c r="G41" s="1"/>
      <c r="H41" s="1"/>
      <c r="I41" s="1"/>
      <c r="J41" s="446" t="s">
        <v>30</v>
      </c>
      <c r="K41" s="446"/>
      <c r="L41" s="1"/>
      <c r="M41" s="1"/>
    </row>
    <row r="42" spans="1:15" x14ac:dyDescent="0.25">
      <c r="A42" s="1"/>
      <c r="B42" s="1"/>
      <c r="C42" s="1"/>
      <c r="D42" s="1"/>
      <c r="E42" s="1"/>
      <c r="F42" s="1"/>
      <c r="G42" s="1"/>
      <c r="H42" s="1"/>
      <c r="I42" s="1"/>
      <c r="J42" s="1"/>
      <c r="K42" s="1"/>
      <c r="L42" s="1"/>
      <c r="M42" s="1"/>
      <c r="N42" s="1"/>
      <c r="O42" s="1"/>
    </row>
    <row r="43" spans="1:15" x14ac:dyDescent="0.25">
      <c r="A43" s="443" t="s">
        <v>10</v>
      </c>
      <c r="B43" s="453"/>
      <c r="C43" s="453"/>
      <c r="D43" s="453"/>
      <c r="E43" s="453"/>
      <c r="F43" s="444"/>
      <c r="G43" s="1"/>
      <c r="H43" s="1"/>
      <c r="I43" s="447" t="s">
        <v>26</v>
      </c>
      <c r="J43" s="447"/>
      <c r="K43" s="447"/>
      <c r="L43" s="447"/>
      <c r="M43" s="447"/>
    </row>
    <row r="44" spans="1:15" ht="30" x14ac:dyDescent="0.25">
      <c r="A44" s="447"/>
      <c r="B44" s="447"/>
      <c r="C44" s="3" t="s">
        <v>15</v>
      </c>
      <c r="D44" s="20" t="s">
        <v>17</v>
      </c>
      <c r="E44" s="20" t="s">
        <v>24</v>
      </c>
      <c r="F44" s="20" t="s">
        <v>25</v>
      </c>
      <c r="G44" s="1"/>
      <c r="H44" s="1"/>
      <c r="I44" s="450"/>
      <c r="J44" s="450"/>
      <c r="K44" s="3" t="s">
        <v>32</v>
      </c>
      <c r="L44" s="3" t="s">
        <v>34</v>
      </c>
      <c r="M44" s="3" t="s">
        <v>35</v>
      </c>
    </row>
    <row r="45" spans="1:15" x14ac:dyDescent="0.25">
      <c r="A45" s="443" t="str">
        <f>CONCATENATE("Sonde ", B24)</f>
        <v xml:space="preserve">Sonde </v>
      </c>
      <c r="B45" s="444"/>
      <c r="C45" s="10"/>
      <c r="D45" s="10"/>
      <c r="E45" s="10"/>
      <c r="F45" s="4"/>
      <c r="G45" s="1"/>
      <c r="H45" s="1"/>
      <c r="I45" s="451" t="s">
        <v>27</v>
      </c>
      <c r="J45" s="452"/>
      <c r="K45" s="10"/>
      <c r="L45" s="4"/>
      <c r="M45" s="4"/>
    </row>
    <row r="46" spans="1:15" x14ac:dyDescent="0.25">
      <c r="A46" s="443" t="str">
        <f t="shared" ref="A46:A57" si="0">CONCATENATE("Sonde ", B25)</f>
        <v xml:space="preserve">Sonde </v>
      </c>
      <c r="B46" s="444"/>
      <c r="C46" s="10"/>
      <c r="D46" s="10"/>
      <c r="E46" s="10"/>
      <c r="F46" s="4"/>
      <c r="G46" s="1"/>
      <c r="H46" s="1"/>
      <c r="I46" s="1"/>
      <c r="J46" s="1"/>
      <c r="K46" s="1"/>
      <c r="L46" s="1"/>
      <c r="M46" s="1"/>
    </row>
    <row r="47" spans="1:15" x14ac:dyDescent="0.25">
      <c r="A47" s="443" t="str">
        <f t="shared" si="0"/>
        <v xml:space="preserve">Sonde </v>
      </c>
      <c r="B47" s="444"/>
      <c r="C47" s="10"/>
      <c r="D47" s="10"/>
      <c r="E47" s="10"/>
      <c r="F47" s="4"/>
      <c r="G47" s="1"/>
      <c r="H47" s="1"/>
      <c r="I47" s="1"/>
      <c r="J47" s="1"/>
      <c r="K47" s="1"/>
      <c r="L47" s="1"/>
      <c r="M47" s="1"/>
    </row>
    <row r="48" spans="1:15" x14ac:dyDescent="0.25">
      <c r="A48" s="443" t="str">
        <f t="shared" si="0"/>
        <v xml:space="preserve">Sonde </v>
      </c>
      <c r="B48" s="444"/>
      <c r="C48" s="10"/>
      <c r="D48" s="10"/>
      <c r="E48" s="10"/>
      <c r="F48" s="4"/>
      <c r="G48" s="1"/>
      <c r="H48" s="1"/>
      <c r="I48" s="1"/>
      <c r="J48" s="1"/>
      <c r="K48" s="1"/>
      <c r="L48" s="1"/>
      <c r="M48" s="1"/>
    </row>
    <row r="49" spans="1:15" x14ac:dyDescent="0.25">
      <c r="A49" s="443" t="str">
        <f t="shared" si="0"/>
        <v xml:space="preserve">Sonde </v>
      </c>
      <c r="B49" s="444"/>
      <c r="C49" s="10"/>
      <c r="D49" s="10"/>
      <c r="E49" s="10"/>
      <c r="F49" s="4"/>
      <c r="G49" s="1"/>
      <c r="H49" s="1"/>
      <c r="I49" s="1"/>
      <c r="J49" s="1"/>
    </row>
    <row r="50" spans="1:15" x14ac:dyDescent="0.25">
      <c r="A50" s="443" t="str">
        <f t="shared" si="0"/>
        <v xml:space="preserve">Sonde </v>
      </c>
      <c r="B50" s="444"/>
      <c r="C50" s="10"/>
      <c r="D50" s="10"/>
      <c r="E50" s="10"/>
      <c r="F50" s="4"/>
      <c r="G50" s="1"/>
      <c r="H50" s="1"/>
      <c r="I50" s="1"/>
      <c r="J50" s="1"/>
    </row>
    <row r="51" spans="1:15" x14ac:dyDescent="0.25">
      <c r="A51" s="443" t="str">
        <f t="shared" si="0"/>
        <v xml:space="preserve">Sonde </v>
      </c>
      <c r="B51" s="444"/>
      <c r="C51" s="10"/>
      <c r="D51" s="10"/>
      <c r="E51" s="10"/>
      <c r="F51" s="4"/>
      <c r="G51" s="1"/>
      <c r="H51" s="1"/>
      <c r="I51" s="1"/>
      <c r="J51" s="1"/>
    </row>
    <row r="52" spans="1:15" x14ac:dyDescent="0.25">
      <c r="A52" s="443" t="str">
        <f t="shared" si="0"/>
        <v xml:space="preserve">Sonde </v>
      </c>
      <c r="B52" s="444"/>
      <c r="C52" s="10"/>
      <c r="D52" s="10"/>
      <c r="E52" s="10"/>
      <c r="F52" s="4"/>
      <c r="G52" s="1"/>
      <c r="H52" s="1"/>
      <c r="I52" s="1"/>
      <c r="J52" s="1"/>
    </row>
    <row r="53" spans="1:15" x14ac:dyDescent="0.25">
      <c r="A53" s="443" t="str">
        <f t="shared" si="0"/>
        <v xml:space="preserve">Sonde </v>
      </c>
      <c r="B53" s="444"/>
      <c r="C53" s="10"/>
      <c r="D53" s="10"/>
      <c r="E53" s="10"/>
      <c r="F53" s="4"/>
      <c r="G53" s="1"/>
      <c r="H53" s="1"/>
      <c r="I53" s="1"/>
      <c r="J53" s="1"/>
    </row>
    <row r="54" spans="1:15" x14ac:dyDescent="0.25">
      <c r="A54" s="443" t="str">
        <f t="shared" si="0"/>
        <v xml:space="preserve">Sonde </v>
      </c>
      <c r="B54" s="444"/>
      <c r="C54" s="10"/>
      <c r="D54" s="10"/>
      <c r="E54" s="10"/>
      <c r="F54" s="4"/>
      <c r="G54" s="1"/>
      <c r="H54" s="1"/>
      <c r="I54" s="1"/>
      <c r="J54" s="1"/>
    </row>
    <row r="55" spans="1:15" x14ac:dyDescent="0.25">
      <c r="A55" s="443" t="str">
        <f t="shared" si="0"/>
        <v xml:space="preserve">Sonde </v>
      </c>
      <c r="B55" s="444"/>
      <c r="C55" s="10"/>
      <c r="D55" s="10"/>
      <c r="E55" s="10"/>
      <c r="F55" s="4"/>
      <c r="G55" s="1"/>
      <c r="H55" s="1"/>
      <c r="I55" s="1"/>
      <c r="J55" s="1"/>
      <c r="K55" s="1"/>
      <c r="L55" s="1"/>
      <c r="M55" s="1"/>
    </row>
    <row r="56" spans="1:15" x14ac:dyDescent="0.25">
      <c r="A56" s="443" t="str">
        <f t="shared" si="0"/>
        <v xml:space="preserve">Sonde </v>
      </c>
      <c r="B56" s="444"/>
      <c r="C56" s="10"/>
      <c r="D56" s="10"/>
      <c r="E56" s="10"/>
      <c r="F56" s="4"/>
      <c r="G56" s="1"/>
      <c r="H56" s="1"/>
      <c r="I56" s="1"/>
      <c r="J56" s="1"/>
      <c r="K56" s="1"/>
      <c r="L56" s="1"/>
      <c r="M56" s="1"/>
    </row>
    <row r="57" spans="1:15" x14ac:dyDescent="0.25">
      <c r="A57" s="443" t="str">
        <f t="shared" si="0"/>
        <v xml:space="preserve">Sonde </v>
      </c>
      <c r="B57" s="444"/>
      <c r="C57" s="10"/>
      <c r="D57" s="10"/>
      <c r="E57" s="10"/>
      <c r="F57" s="4"/>
      <c r="G57" s="1"/>
      <c r="H57" s="1"/>
      <c r="I57" s="1"/>
      <c r="J57" s="1"/>
      <c r="K57" s="1"/>
      <c r="L57" s="1"/>
      <c r="M57" s="1"/>
      <c r="N57" s="1"/>
      <c r="O57" s="1"/>
    </row>
  </sheetData>
  <sheetProtection algorithmName="SHA-512" hashValue="nw9yoZNzXQxqboe3iy6UfVa8MROQn6Mn1DBKameLOnGK3uiC5Hk0rlbpLH7mckpiuvdc4q9D8gURb1Cy2Oh+rg==" saltValue="z019r6UlXokp9e5saI6scA==" spinCount="100000" sheet="1" objects="1" scenarios="1"/>
  <protectedRanges>
    <protectedRange sqref="C11" name="Donnees controleur"/>
  </protectedRanges>
  <dataConsolidate/>
  <mergeCells count="34">
    <mergeCell ref="A56:B56"/>
    <mergeCell ref="A57:B57"/>
    <mergeCell ref="A50:B50"/>
    <mergeCell ref="A51:B51"/>
    <mergeCell ref="A52:B52"/>
    <mergeCell ref="A53:B53"/>
    <mergeCell ref="A54:B54"/>
    <mergeCell ref="A55:B55"/>
    <mergeCell ref="A49:B49"/>
    <mergeCell ref="A16:B16"/>
    <mergeCell ref="B41:C41"/>
    <mergeCell ref="J41:K41"/>
    <mergeCell ref="A43:F43"/>
    <mergeCell ref="I43:M43"/>
    <mergeCell ref="A44:B44"/>
    <mergeCell ref="I44:J44"/>
    <mergeCell ref="A45:B45"/>
    <mergeCell ref="I45:J45"/>
    <mergeCell ref="A46:B46"/>
    <mergeCell ref="A47:B47"/>
    <mergeCell ref="A48:B48"/>
    <mergeCell ref="A15:B15"/>
    <mergeCell ref="B2:K3"/>
    <mergeCell ref="A6:C6"/>
    <mergeCell ref="A8:B8"/>
    <mergeCell ref="E8:F8"/>
    <mergeCell ref="A9:B9"/>
    <mergeCell ref="E9:F9"/>
    <mergeCell ref="A11:B11"/>
    <mergeCell ref="E11:F11"/>
    <mergeCell ref="A12:B12"/>
    <mergeCell ref="E12:F12"/>
    <mergeCell ref="E13:F13"/>
    <mergeCell ref="A5:C5"/>
  </mergeCells>
  <conditionalFormatting sqref="A6:M6 A1:N5 A7:N59">
    <cfRule type="expression" dxfId="35" priority="1">
      <formula>AND(NOT(CELL("protege", A1)), A1="")</formula>
    </cfRule>
  </conditionalFormatting>
  <dataValidations count="2">
    <dataValidation type="list" allowBlank="1" showInputMessage="1" showErrorMessage="1" sqref="C16" xr:uid="{BF2A2463-3FA1-41DE-BA1C-423DBF5686F9}">
      <formula1>"Trimestrielle,Annuelle,Mensuelle"</formula1>
    </dataValidation>
    <dataValidation type="list" allowBlank="1" showInputMessage="1" showErrorMessage="1" sqref="C11" xr:uid="{8938F4D2-BB0F-4E12-A34E-6D00BA089B9D}">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Realisation_TUS_OMIA">
                <anchor moveWithCells="1" sizeWithCells="1">
                  <from>
                    <xdr:col>7</xdr:col>
                    <xdr:colOff>666750</xdr:colOff>
                    <xdr:row>6</xdr:row>
                    <xdr:rowOff>38100</xdr:rowOff>
                  </from>
                  <to>
                    <xdr:col>10</xdr:col>
                    <xdr:colOff>781050</xdr:colOff>
                    <xdr:row>13</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7DB94-88D5-4F78-A2D3-09257B8528DF}">
  <sheetPr codeName="Feuil19">
    <tabColor theme="7" tint="0.39997558519241921"/>
  </sheetPr>
  <dimension ref="A1:N2"/>
  <sheetViews>
    <sheetView topLeftCell="A19" workbookViewId="0">
      <selection activeCell="B36" sqref="B36"/>
    </sheetView>
  </sheetViews>
  <sheetFormatPr baseColWidth="10" defaultRowHeight="15" x14ac:dyDescent="0.25"/>
  <cols>
    <col min="1" max="1" width="15.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221</v>
      </c>
    </row>
    <row r="2" spans="1:14" x14ac:dyDescent="0.25">
      <c r="A2" s="23"/>
    </row>
  </sheetData>
  <sheetProtection algorithmName="SHA-512" hashValue="ZFxUO3UrDZB+uloyFPZZSpPYZxR7yPrc/cXtbRnkSe8xdWugnkR2CmRhsWCOYizXiZ1O5sNryJ4AVkG5kPvacA==" saltValue="hbBoecrUaEKXHXO02Td7SA==" spinCount="100000" sheet="1" objects="1" scenarios="1"/>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0ED09-149C-44C3-9F5D-AA1BF9DB6D58}">
  <sheetPr codeName="Feuil20">
    <tabColor theme="7" tint="0.39997558519241921"/>
  </sheetPr>
  <dimension ref="A1:N2"/>
  <sheetViews>
    <sheetView workbookViewId="0">
      <selection activeCell="C2" sqref="C2"/>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221</v>
      </c>
    </row>
    <row r="2" spans="1:14" x14ac:dyDescent="0.25">
      <c r="A2" s="23"/>
    </row>
  </sheetData>
  <sheetProtection algorithmName="SHA-512" hashValue="X5QJWlIZElIjFdSM2GPzu7Ko4SucmDlbLqAEYkvh10nbOWtDy8Mbtaxojh3pwmG5DmWd0RzpGsRq/qNvO5rARQ==" saltValue="EpI4z6KcQcDiEL0GGiPAAA==" spinCount="100000" sheet="1" objects="1" scenarios="1"/>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39A91-AA7E-4460-B0FD-83D8F05AAF8C}">
  <sheetPr codeName="Feuil21">
    <tabColor theme="7" tint="0.39997558519241921"/>
  </sheetPr>
  <dimension ref="A1:N2"/>
  <sheetViews>
    <sheetView workbookViewId="0">
      <selection activeCell="A47" sqref="A47"/>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221</v>
      </c>
    </row>
    <row r="2" spans="1:14" x14ac:dyDescent="0.25">
      <c r="A2" s="23"/>
    </row>
  </sheetData>
  <sheetProtection algorithmName="SHA-512" hashValue="irfmUK1omribTLA27tk1M1T5y1Ozyvx9JJs64K35GSev7Kv0SVfJNrtp7WL9ZhwdLaaZfuCgCB1nhC4MtnSP6Q==" saltValue="LjD4uDD1pfZJx9j9lWwsPg==" spinCount="100000" sheet="1" objects="1" scenarios="1"/>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227-6E41-476F-B630-9036A092B7A7}">
  <sheetPr codeName="Feuil7">
    <tabColor theme="7" tint="0.39997558519241921"/>
  </sheetPr>
  <dimension ref="A1:S52"/>
  <sheetViews>
    <sheetView workbookViewId="0">
      <selection activeCell="Q23" sqref="Q23"/>
    </sheetView>
  </sheetViews>
  <sheetFormatPr baseColWidth="10" defaultRowHeight="15" x14ac:dyDescent="0.25"/>
  <cols>
    <col min="2" max="3" width="16.42578125" bestFit="1" customWidth="1"/>
    <col min="4" max="11" width="12.7109375" bestFit="1" customWidth="1"/>
    <col min="12" max="15" width="13.7109375" bestFit="1" customWidth="1"/>
    <col min="16" max="16" width="8.85546875" customWidth="1"/>
    <col min="18" max="18" width="17.7109375" bestFit="1" customWidth="1"/>
    <col min="19" max="19" width="4.85546875" bestFit="1" customWidth="1"/>
  </cols>
  <sheetData>
    <row r="1" spans="1:19" s="27" customFormat="1" x14ac:dyDescent="0.25">
      <c r="A1" s="456" t="str">
        <f>Mesures_Omia!B20 &amp; "°C"</f>
        <v>°C</v>
      </c>
      <c r="B1" s="456"/>
      <c r="C1" s="456"/>
      <c r="D1" s="456"/>
      <c r="E1" s="456"/>
      <c r="F1" s="456"/>
      <c r="G1" s="456"/>
      <c r="H1" s="456"/>
      <c r="I1" s="456"/>
      <c r="J1" s="456"/>
      <c r="K1" s="456"/>
      <c r="L1" s="456"/>
      <c r="M1" s="456"/>
      <c r="N1" s="456"/>
      <c r="O1" s="456"/>
      <c r="P1" s="456"/>
      <c r="Q1" s="456"/>
      <c r="R1" s="456"/>
      <c r="S1" s="456"/>
    </row>
    <row r="2" spans="1:19" s="27" customFormat="1" x14ac:dyDescent="0.25">
      <c r="A2" s="456"/>
      <c r="B2" s="456"/>
      <c r="C2" s="456"/>
      <c r="D2" s="456"/>
      <c r="E2" s="456"/>
      <c r="F2" s="456"/>
      <c r="G2" s="456"/>
      <c r="H2" s="456"/>
      <c r="I2" s="456"/>
      <c r="J2" s="456"/>
      <c r="K2" s="456"/>
      <c r="L2" s="456"/>
      <c r="M2" s="456"/>
      <c r="N2" s="456"/>
      <c r="O2" s="456"/>
      <c r="P2" s="456"/>
      <c r="Q2" s="456"/>
      <c r="R2" s="456"/>
      <c r="S2" s="456"/>
    </row>
    <row r="3" spans="1:19" s="27" customFormat="1" x14ac:dyDescent="0.25">
      <c r="A3" s="456"/>
      <c r="B3" s="456"/>
      <c r="C3" s="456"/>
      <c r="D3" s="456"/>
      <c r="E3" s="456"/>
      <c r="F3" s="456"/>
      <c r="G3" s="456"/>
      <c r="H3" s="456"/>
      <c r="I3" s="456"/>
      <c r="J3" s="456"/>
      <c r="K3" s="456"/>
      <c r="L3" s="456"/>
      <c r="M3" s="456"/>
      <c r="N3" s="456"/>
      <c r="O3" s="456"/>
      <c r="P3" s="456"/>
      <c r="Q3" s="456"/>
      <c r="R3" s="456"/>
      <c r="S3" s="456"/>
    </row>
    <row r="4" spans="1:19" s="27" customFormat="1" x14ac:dyDescent="0.25">
      <c r="P4" s="33"/>
    </row>
    <row r="5" spans="1:19" s="27" customFormat="1" x14ac:dyDescent="0.25">
      <c r="B5" s="34" t="s">
        <v>23</v>
      </c>
      <c r="C5" s="35" t="e">
        <f>_xlfn.XLOOKUP(INT(SUBSTITUTE(C14,"Connecteur ","")),Mesures_Omia!C24:C36,Mesures_Omia!G24:G36)</f>
        <v>#N/A</v>
      </c>
      <c r="D5" s="35" t="e">
        <f>_xlfn.XLOOKUP(INT(SUBSTITUTE(D14,"Connecteur ","")),Mesures_Omia!C24:C36,Mesures_Omia!G24:G36)</f>
        <v>#N/A</v>
      </c>
      <c r="E5" s="35" t="e">
        <f>_xlfn.XLOOKUP(INT(SUBSTITUTE(E14,"Connecteur ","")),Mesures_Omia!C24:C36,Mesures_Omia!G24:G36)</f>
        <v>#N/A</v>
      </c>
      <c r="F5" s="35" t="e">
        <f>_xlfn.XLOOKUP(INT(SUBSTITUTE(F14,"Connecteur ","")),Mesures_Omia!C24:C36,Mesures_Omia!G24:G36)</f>
        <v>#N/A</v>
      </c>
      <c r="G5" s="35" t="e">
        <f>_xlfn.XLOOKUP(INT(SUBSTITUTE(G14,"Connecteur ","")),Mesures_Omia!C24:C36,Mesures_Omia!G24:G36)</f>
        <v>#N/A</v>
      </c>
      <c r="H5" s="35" t="e">
        <f>_xlfn.XLOOKUP(INT(SUBSTITUTE(H14,"Connecteur ","")),Mesures_Omia!C24:C36,Mesures_Omia!G24:G36)</f>
        <v>#N/A</v>
      </c>
      <c r="I5" s="35" t="e">
        <f>_xlfn.XLOOKUP(INT(SUBSTITUTE(I14,"Connecteur ","")),Mesures_Omia!C24:C36,Mesures_Omia!G24:G36)</f>
        <v>#N/A</v>
      </c>
      <c r="J5" s="35" t="e">
        <f>_xlfn.XLOOKUP(INT(SUBSTITUTE(J14,"Connecteur ","")),Mesures_Omia!C24:C36,Mesures_Omia!G24:G36)</f>
        <v>#N/A</v>
      </c>
      <c r="K5" s="35" t="e">
        <f>_xlfn.XLOOKUP(INT(SUBSTITUTE(K14,"Connecteur ","")),Mesures_Omia!C24:C36,Mesures_Omia!G24:G36)</f>
        <v>#N/A</v>
      </c>
      <c r="L5" s="35" t="e">
        <f>_xlfn.XLOOKUP(INT(SUBSTITUTE(L14,"Connecteur ","")),Mesures_Omia!C24:C36,Mesures_Omia!G24:G36)</f>
        <v>#N/A</v>
      </c>
      <c r="M5" s="35" t="e">
        <f>_xlfn.XLOOKUP(INT(SUBSTITUTE(M14,"Connecteur ","")),Mesures_Omia!C24:C36,Mesures_Omia!G24:G36)</f>
        <v>#N/A</v>
      </c>
      <c r="N5" s="35" t="e">
        <f>_xlfn.XLOOKUP(INT(SUBSTITUTE(N14,"Connecteur ","")),Mesures_Omia!C24:C36,Mesures_Omia!G24:G36)</f>
        <v>#N/A</v>
      </c>
      <c r="O5" s="35" t="e">
        <f>_xlfn.XLOOKUP(INT(SUBSTITUTE(O14,"Connecteur ","")),Mesures_Omia!C24:C36,Mesures_Omia!G24:G36)</f>
        <v>#N/A</v>
      </c>
      <c r="P5" s="33"/>
    </row>
    <row r="6" spans="1:19" s="27" customFormat="1" x14ac:dyDescent="0.25">
      <c r="B6" s="34" t="s">
        <v>87</v>
      </c>
      <c r="C6" s="35" t="e">
        <f>_xlfn.XLOOKUP(INT(SUBSTITUTE(C14,"Connecteur ","")),Mesures_Omia!C24:C36,Mesures_Omia!D24:D36)</f>
        <v>#N/A</v>
      </c>
      <c r="D6" s="35" t="e">
        <f>_xlfn.XLOOKUP(INT(SUBSTITUTE(D14,"Connecteur ","")),Mesures_Omia!C24:C36,Mesures_Omia!D24:D36)</f>
        <v>#N/A</v>
      </c>
      <c r="E6" s="35" t="e">
        <f>_xlfn.XLOOKUP(INT(SUBSTITUTE(E14,"Connecteur ","")),Mesures_Omia!C24:C36,Mesures_Omia!D24:D36)</f>
        <v>#N/A</v>
      </c>
      <c r="F6" s="35" t="e">
        <f>_xlfn.XLOOKUP(INT(SUBSTITUTE(F14,"Connecteur ","")),Mesures_Omia!C24:C36,Mesures_Omia!D24:D36)</f>
        <v>#N/A</v>
      </c>
      <c r="G6" s="35" t="e">
        <f>_xlfn.XLOOKUP(INT(SUBSTITUTE(G14,"Connecteur ","")),Mesures_Omia!C24:C36,Mesures_Omia!D24:D36)</f>
        <v>#N/A</v>
      </c>
      <c r="H6" s="35" t="e">
        <f>_xlfn.XLOOKUP(INT(SUBSTITUTE(H14,"Connecteur ","")),Mesures_Omia!C24:C36,Mesures_Omia!D24:D36)</f>
        <v>#N/A</v>
      </c>
      <c r="I6" s="35" t="e">
        <f>_xlfn.XLOOKUP(INT(SUBSTITUTE(I14,"Connecteur ","")),Mesures_Omia!C24:C36,Mesures_Omia!D24:D36)</f>
        <v>#N/A</v>
      </c>
      <c r="J6" s="35" t="e">
        <f>_xlfn.XLOOKUP(INT(SUBSTITUTE(J14,"Connecteur ","")),Mesures_Omia!C24:C36,Mesures_Omia!D24:D36)</f>
        <v>#N/A</v>
      </c>
      <c r="K6" s="35" t="e">
        <f>_xlfn.XLOOKUP(INT(SUBSTITUTE(K14,"Connecteur ","")),Mesures_Omia!C24:C36,Mesures_Omia!D24:D36)</f>
        <v>#N/A</v>
      </c>
      <c r="L6" s="35" t="e">
        <f>_xlfn.XLOOKUP(INT(SUBSTITUTE(L14,"Connecteur ","")),Mesures_Omia!C24:C36,Mesures_Omia!D24:D36)</f>
        <v>#N/A</v>
      </c>
      <c r="M6" s="35" t="e">
        <f>_xlfn.XLOOKUP(INT(SUBSTITUTE(M14,"Connecteur ","")),Mesures_Omia!C24:C36,Mesures_Omia!D24:D36)</f>
        <v>#N/A</v>
      </c>
      <c r="N6" s="35" t="e">
        <f>_xlfn.XLOOKUP(INT(SUBSTITUTE(N14,"Connecteur ","")),Mesures_Omia!C24:C36,Mesures_Omia!D24:D36)</f>
        <v>#N/A</v>
      </c>
      <c r="O6" s="35" t="e">
        <f>_xlfn.XLOOKUP(INT(SUBSTITUTE(O14,"Connecteur ","")),Mesures_Omia!C24:C36,Mesures_Omia!D24:D36)</f>
        <v>#N/A</v>
      </c>
      <c r="P6" s="33"/>
    </row>
    <row r="7" spans="1:19" s="27" customFormat="1" x14ac:dyDescent="0.25">
      <c r="P7" s="33"/>
    </row>
    <row r="8" spans="1:19" s="27" customFormat="1" x14ac:dyDescent="0.25">
      <c r="P8" s="33"/>
    </row>
    <row r="9" spans="1:19" s="27" customFormat="1" x14ac:dyDescent="0.25">
      <c r="A9" s="375" t="s">
        <v>88</v>
      </c>
      <c r="B9" s="375"/>
      <c r="C9" s="375"/>
      <c r="D9" s="375"/>
      <c r="E9" s="375"/>
      <c r="F9" s="375"/>
      <c r="G9" s="375"/>
      <c r="H9" s="375"/>
      <c r="I9" s="375"/>
      <c r="J9" s="375"/>
      <c r="K9" s="375"/>
      <c r="L9" s="375"/>
      <c r="M9" s="375"/>
      <c r="N9" s="375"/>
      <c r="P9" s="33"/>
      <c r="R9"/>
      <c r="S9"/>
    </row>
    <row r="10" spans="1:19" s="27" customFormat="1" x14ac:dyDescent="0.25">
      <c r="A10" s="33"/>
      <c r="B10" s="34" t="str">
        <f>Donnees_Brutes_Omia_1[[#Headers],[Date/Heure]]</f>
        <v>Date/Heure</v>
      </c>
      <c r="C10" s="36" t="str" cm="1">
        <f t="array" ref="C10:O10">Donnees_Brutes_Omia_1[[#Headers],[Connecteur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17" t="s">
        <v>285</v>
      </c>
      <c r="B11" s="144" cm="1">
        <f t="array" ref="B11">Donnees_Brutes_Omia_1[Date/Heure]</f>
        <v>0</v>
      </c>
      <c r="C11" s="129" cm="1">
        <f t="array" ref="C11:O11">Donnees_Brutes_Omia_1[[Connecteur 1]:[Connecteur 13]]</f>
        <v>0</v>
      </c>
      <c r="D11" s="129">
        <v>0</v>
      </c>
      <c r="E11" s="129">
        <v>0</v>
      </c>
      <c r="F11" s="129">
        <v>0</v>
      </c>
      <c r="G11" s="129">
        <v>0</v>
      </c>
      <c r="H11" s="129">
        <v>0</v>
      </c>
      <c r="I11" s="129">
        <v>0</v>
      </c>
      <c r="J11" s="129">
        <v>0</v>
      </c>
      <c r="K11" s="129">
        <v>0</v>
      </c>
      <c r="L11" s="129">
        <v>0</v>
      </c>
      <c r="M11" s="129">
        <v>0</v>
      </c>
      <c r="N11" s="129">
        <v>0</v>
      </c>
      <c r="O11" s="129">
        <v>0</v>
      </c>
      <c r="P11" s="33"/>
    </row>
    <row r="12" spans="1:19" s="27" customFormat="1" ht="13.5" customHeight="1" x14ac:dyDescent="0.25">
      <c r="A12" s="318" t="s">
        <v>89</v>
      </c>
      <c r="B12" s="178"/>
      <c r="C12" s="190"/>
      <c r="D12" s="190"/>
      <c r="E12" s="190"/>
      <c r="F12" s="190"/>
      <c r="G12" s="190"/>
      <c r="H12" s="190"/>
      <c r="I12" s="190"/>
      <c r="J12" s="190"/>
      <c r="K12" s="190"/>
      <c r="L12" s="190"/>
      <c r="M12" s="190"/>
      <c r="N12" s="190"/>
      <c r="O12" s="190"/>
      <c r="P12" s="33"/>
    </row>
    <row r="13" spans="1:19" s="33" customFormat="1" x14ac:dyDescent="0.25">
      <c r="A13" s="496"/>
      <c r="B13" s="496"/>
      <c r="C13" s="496"/>
      <c r="D13" s="496"/>
      <c r="E13" s="496"/>
      <c r="F13" s="496"/>
      <c r="G13" s="496"/>
      <c r="H13" s="496"/>
      <c r="I13" s="496"/>
      <c r="J13" s="496"/>
      <c r="K13" s="496"/>
      <c r="L13" s="496"/>
      <c r="M13" s="496"/>
      <c r="N13" s="496"/>
      <c r="O13" s="496"/>
    </row>
    <row r="14" spans="1:19" s="27" customFormat="1" x14ac:dyDescent="0.25">
      <c r="C14" s="41" t="str" cm="1">
        <f t="array" ref="C14:O14">Donnees_Brutes_Omia_1[[#Headers],[Connecteur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41" t="str">
        <v>Connecteur 13</v>
      </c>
      <c r="Q14" s="33"/>
    </row>
    <row r="15" spans="1:19" s="27" customFormat="1" x14ac:dyDescent="0.25">
      <c r="B15" s="36" t="s">
        <v>90</v>
      </c>
      <c r="C15" s="35" t="e">
        <f>MAX(Donnees_Brutes_Omia_1[Connecteur 1]) + C5 + C6</f>
        <v>#N/A</v>
      </c>
      <c r="D15" s="35" t="e">
        <f>MAX(Donnees_Brutes_Omia_1[Connecteur 2]) + D5 + D6</f>
        <v>#N/A</v>
      </c>
      <c r="E15" s="35" t="e">
        <f>MAX(Donnees_Brutes_Omia_1[Connecteur 3]) + E5 + E6</f>
        <v>#N/A</v>
      </c>
      <c r="F15" s="35" t="e">
        <f>MAX(Donnees_Brutes_Omia_1[Connecteur 4]) + F5 + F6</f>
        <v>#N/A</v>
      </c>
      <c r="G15" s="35" t="e">
        <f>MAX(Donnees_Brutes_Omia_1[Connecteur 5]) + G5 + G6</f>
        <v>#N/A</v>
      </c>
      <c r="H15" s="35" t="e">
        <f>MAX(Donnees_Brutes_Omia_1[Connecteur 6]) + H5 + H6</f>
        <v>#N/A</v>
      </c>
      <c r="I15" s="35" t="e">
        <f>MAX(Donnees_Brutes_Omia_1[Connecteur 7]) + I5 + I6</f>
        <v>#N/A</v>
      </c>
      <c r="J15" s="35" t="e">
        <f>MAX(Donnees_Brutes_Omia_1[Connecteur 8]) + J5 + J6</f>
        <v>#N/A</v>
      </c>
      <c r="K15" s="35" t="e">
        <f>MAX(Donnees_Brutes_Omia_1[Connecteur 9]) + K5 + K6</f>
        <v>#N/A</v>
      </c>
      <c r="L15" s="35" t="e">
        <f>MAX(Donnees_Brutes_Omia_1[Connecteur 10]) + L5 + L6</f>
        <v>#N/A</v>
      </c>
      <c r="M15" s="35" t="e">
        <f>MAX(Donnees_Brutes_Omia_1[Connecteur 11]) + M5 + M6</f>
        <v>#N/A</v>
      </c>
      <c r="N15" s="35" t="e">
        <f>MAX(Donnees_Brutes_Omia_1[Connecteur 12]) + N5 + N6</f>
        <v>#N/A</v>
      </c>
      <c r="O15" s="35" t="e">
        <f>MAX(Donnees_Brutes_Omia_1[Connecteur 13]) + O5 + O6</f>
        <v>#N/A</v>
      </c>
      <c r="Q15" s="33"/>
    </row>
    <row r="16" spans="1:19" s="27" customFormat="1" x14ac:dyDescent="0.25">
      <c r="B16" s="42" t="s">
        <v>91</v>
      </c>
      <c r="C16" s="43" t="e">
        <f ca="1">MAX(OFFSET(INDEX(Donnees_Brutes_Omia_1[Connecteur 1],1),COUNT(Donnees_Brutes_Omia_1[Connecteur 1])-30,0,30))+C5+C6</f>
        <v>#REF!</v>
      </c>
      <c r="D16" s="43" t="e">
        <f ca="1">MAX(OFFSET(INDEX(Donnees_Brutes_Omia_1[Connecteur 2],1),COUNT(Donnees_Brutes_Omia_1[Connecteur 2])-30,0,30))+D5+D6</f>
        <v>#REF!</v>
      </c>
      <c r="E16" s="43" t="e">
        <f ca="1">MAX(OFFSET(INDEX(Donnees_Brutes_Omia_1[Connecteur 3],1),COUNT(Donnees_Brutes_Omia_1[Connecteur 3])-30,0,30))+E5+E6</f>
        <v>#REF!</v>
      </c>
      <c r="F16" s="43" t="e">
        <f ca="1">MAX(OFFSET(INDEX(Donnees_Brutes_Omia_1[Connecteur 4],1),COUNT(Donnees_Brutes_Omia_1[Connecteur 4])-30,0,30))+F5+F6</f>
        <v>#REF!</v>
      </c>
      <c r="G16" s="43" t="e">
        <f ca="1">MAX(OFFSET(INDEX(Donnees_Brutes_Omia_1[Connecteur 5],1),COUNT(Donnees_Brutes_Omia_1[Connecteur 5])-30,0,30))+G5+G6</f>
        <v>#REF!</v>
      </c>
      <c r="H16" s="43" t="e">
        <f ca="1">MAX(OFFSET(INDEX(Donnees_Brutes_Omia_1[Connecteur 6],1),COUNT(Donnees_Brutes_Omia_1[Connecteur 6])-30,0,30))+H5+H6</f>
        <v>#REF!</v>
      </c>
      <c r="I16" s="43" t="e">
        <f ca="1">MAX(OFFSET(INDEX(Donnees_Brutes_Omia_1[Connecteur 7],1),COUNT(Donnees_Brutes_Omia_1[Connecteur 7])-30,0,30))+I5+I6</f>
        <v>#REF!</v>
      </c>
      <c r="J16" s="43" t="e">
        <f ca="1">MAX(OFFSET(INDEX(Donnees_Brutes_Omia_1[Connecteur 8],1),COUNT(Donnees_Brutes_Omia_1[Connecteur 8])-30,0,30))+J5+J6</f>
        <v>#REF!</v>
      </c>
      <c r="K16" s="43" t="e">
        <f ca="1">MAX(OFFSET(INDEX(Donnees_Brutes_Omia_1[Connecteur 9],1),COUNT(Donnees_Brutes_Omia_1[Connecteur 9])-30,0,30))+K5+K6</f>
        <v>#REF!</v>
      </c>
      <c r="L16" s="43" t="e">
        <f ca="1">MAX(OFFSET(INDEX(Donnees_Brutes_Omia_1[Connecteur 10],1),COUNT(Donnees_Brutes_Omia_1[Connecteur 10])-30,0,30))+L5+L6</f>
        <v>#REF!</v>
      </c>
      <c r="M16" s="43" t="e">
        <f ca="1">MAX(OFFSET(INDEX(Donnees_Brutes_Omia_1[Connecteur 11],1),COUNT(Donnees_Brutes_Omia_1[Connecteur 11])-30,0,30))+M5+M6</f>
        <v>#REF!</v>
      </c>
      <c r="N16" s="43" t="e">
        <f ca="1">MAX(OFFSET(INDEX(Donnees_Brutes_Omia_1[Connecteur 12],1),COUNT(Donnees_Brutes_Omia_1[Connecteur 12])-30,0,30))+N5+N6</f>
        <v>#REF!</v>
      </c>
      <c r="O16" s="43" t="e">
        <f ca="1">MAX(OFFSET(INDEX(Donnees_Brutes_Omia_1[Connecteur 13],1),COUNT(Donnees_Brutes_Omia_1[Connecteur 13])-30,0,30))+O5+O6</f>
        <v>#REF!</v>
      </c>
      <c r="P16" s="48">
        <f>S16+Mesures_Omia!B21</f>
        <v>0</v>
      </c>
      <c r="Q16" s="33"/>
      <c r="R16" s="36" t="s">
        <v>547</v>
      </c>
      <c r="S16" s="48">
        <f>Mesures_Omia!B20</f>
        <v>0</v>
      </c>
    </row>
    <row r="17" spans="2:19" s="27" customFormat="1" x14ac:dyDescent="0.25">
      <c r="B17" s="42" t="s">
        <v>93</v>
      </c>
      <c r="C17" s="43" t="e">
        <f ca="1">MIN(OFFSET(INDEX(Donnees_Brutes_Omia_1[Connecteur 1],1),COUNT(Donnees_Brutes_Omia_1[Connecteur 1])-30,0,30))+C5+C6</f>
        <v>#REF!</v>
      </c>
      <c r="D17" s="43" t="e">
        <f ca="1">MIN(OFFSET(INDEX(Donnees_Brutes_Omia_1[Connecteur 2],1),COUNT(Donnees_Brutes_Omia_1[Connecteur 2])-30,0,30))+D5+D6</f>
        <v>#REF!</v>
      </c>
      <c r="E17" s="43" t="e">
        <f ca="1">MIN(OFFSET(INDEX(Donnees_Brutes_Omia_1[Connecteur 3],1),COUNT(Donnees_Brutes_Omia_1[Connecteur 3])-30,0,30))+E5+E6</f>
        <v>#REF!</v>
      </c>
      <c r="F17" s="43" t="e">
        <f ca="1">MIN(OFFSET(INDEX(Donnees_Brutes_Omia_1[Connecteur 4],1),COUNT(Donnees_Brutes_Omia_1[Connecteur 4])-30,0,30))+F5+F6</f>
        <v>#REF!</v>
      </c>
      <c r="G17" s="43" t="e">
        <f ca="1">MIN(OFFSET(INDEX(Donnees_Brutes_Omia_1[Connecteur 5],1),COUNT(Donnees_Brutes_Omia_1[Connecteur 5])-30,0,30))+G5+G6</f>
        <v>#REF!</v>
      </c>
      <c r="H17" s="43" t="e">
        <f ca="1">MIN(OFFSET(INDEX(Donnees_Brutes_Omia_1[Connecteur 6],1),COUNT(Donnees_Brutes_Omia_1[Connecteur 6])-30,0,30))+H5+H6</f>
        <v>#REF!</v>
      </c>
      <c r="I17" s="43" t="e">
        <f ca="1">MIN(OFFSET(INDEX(Donnees_Brutes_Omia_1[Connecteur 7],1),COUNT(Donnees_Brutes_Omia_1[Connecteur 7])-30,0,30))+I5+I6</f>
        <v>#REF!</v>
      </c>
      <c r="J17" s="43" t="e">
        <f ca="1">MIN(OFFSET(INDEX(Donnees_Brutes_Omia_1[Connecteur 8],1),COUNT(Donnees_Brutes_Omia_1[Connecteur 8])-30,0,30))+J5+J6</f>
        <v>#REF!</v>
      </c>
      <c r="K17" s="43" t="e">
        <f ca="1">MIN(OFFSET(INDEX(Donnees_Brutes_Omia_1[Connecteur 9],1),COUNT(Donnees_Brutes_Omia_1[Connecteur 9])-30,0,30))+K5+K6</f>
        <v>#REF!</v>
      </c>
      <c r="L17" s="43" t="e">
        <f ca="1">MIN(OFFSET(INDEX(Donnees_Brutes_Omia_1[Connecteur 10],1),COUNT(Donnees_Brutes_Omia_1[Connecteur 10])-30,0,30))+L5+L6</f>
        <v>#REF!</v>
      </c>
      <c r="M17" s="43" t="e">
        <f ca="1">MIN(OFFSET(INDEX(Donnees_Brutes_Omia_1[Connecteur 11],1),COUNT(Donnees_Brutes_Omia_1[Connecteur 11])-30,0,30))+M5+M6</f>
        <v>#REF!</v>
      </c>
      <c r="N17" s="43" t="e">
        <f ca="1">MIN(OFFSET(INDEX(Donnees_Brutes_Omia_1[Connecteur 12],1),COUNT(Donnees_Brutes_Omia_1[Connecteur 12])-30,0,30))+N5+N6</f>
        <v>#REF!</v>
      </c>
      <c r="O17" s="43" t="e">
        <f ca="1">MIN(OFFSET(INDEX(Donnees_Brutes_Omia_1[Connecteur 13],1),COUNT(Donnees_Brutes_Omia_1[Connecteur 13])-30,0,30))+O5+O6</f>
        <v>#REF!</v>
      </c>
      <c r="P17" s="48">
        <f>S16-Mesures_Omia!B21</f>
        <v>0</v>
      </c>
      <c r="Q17" s="33"/>
      <c r="R17" s="36" t="s">
        <v>555</v>
      </c>
      <c r="S17" s="35" t="str">
        <f>"+" &amp; Mesures_Omia!B21 &amp; "°C"</f>
        <v>+°C</v>
      </c>
    </row>
    <row r="18" spans="2:19" s="27" customFormat="1" x14ac:dyDescent="0.25">
      <c r="B18" s="42" t="s">
        <v>95</v>
      </c>
      <c r="C18" s="43" t="e">
        <f ca="1">AVERAGE(OFFSET(INDEX(Donnees_Brutes_Omia_1[Connecteur 1],1),COUNT(Donnees_Brutes_Omia_1[Connecteur 1])-30,0,30))+C5+C6</f>
        <v>#REF!</v>
      </c>
      <c r="D18" s="43" t="e">
        <f ca="1">AVERAGE(OFFSET(INDEX(Donnees_Brutes_Omia_1[Connecteur 2],1),COUNT(Donnees_Brutes_Omia_1[Connecteur 2])-30,0,30))+D5+D6</f>
        <v>#REF!</v>
      </c>
      <c r="E18" s="43" t="e">
        <f ca="1">AVERAGE(OFFSET(INDEX(Donnees_Brutes_Omia_1[Connecteur 3],1),COUNT(Donnees_Brutes_Omia_1[Connecteur 3])-30,0,30))+E5+E6</f>
        <v>#REF!</v>
      </c>
      <c r="F18" s="43" t="e">
        <f ca="1">AVERAGE(OFFSET(INDEX(Donnees_Brutes_Omia_1[Connecteur 4],1),COUNT(Donnees_Brutes_Omia_1[Connecteur 4])-30,0,30))+F5+F6</f>
        <v>#REF!</v>
      </c>
      <c r="G18" s="43" t="e">
        <f ca="1">AVERAGE(OFFSET(INDEX(Donnees_Brutes_Omia_1[Connecteur 5],1),COUNT(Donnees_Brutes_Omia_1[Connecteur 5])-30,0,30))+G5+G6</f>
        <v>#REF!</v>
      </c>
      <c r="H18" s="43" t="e">
        <f ca="1">AVERAGE(OFFSET(INDEX(Donnees_Brutes_Omia_1[Connecteur 6],1),COUNT(Donnees_Brutes_Omia_1[Connecteur 6])-30,0,30))+H5+H6</f>
        <v>#REF!</v>
      </c>
      <c r="I18" s="43" t="e">
        <f ca="1">AVERAGE(OFFSET(INDEX(Donnees_Brutes_Omia_1[Connecteur 7],1),COUNT(Donnees_Brutes_Omia_1[Connecteur 7])-30,0,30))+I5+I6</f>
        <v>#REF!</v>
      </c>
      <c r="J18" s="43" t="e">
        <f ca="1">AVERAGE(OFFSET(INDEX(Donnees_Brutes_Omia_1[Connecteur 8],1),COUNT(Donnees_Brutes_Omia_1[Connecteur 8])-30,0,30))+J5+J6</f>
        <v>#REF!</v>
      </c>
      <c r="K18" s="43" t="e">
        <f ca="1">AVERAGE(OFFSET(INDEX(Donnees_Brutes_Omia_1[Connecteur 9],1),COUNT(Donnees_Brutes_Omia_1[Connecteur 9])-30,0,30))+K5+K6</f>
        <v>#REF!</v>
      </c>
      <c r="L18" s="43" t="e">
        <f ca="1">AVERAGE(OFFSET(INDEX(Donnees_Brutes_Omia_1[Connecteur 10],1),COUNT(Donnees_Brutes_Omia_1[Connecteur 10])-30,0,30))+L5+L6</f>
        <v>#REF!</v>
      </c>
      <c r="M18" s="43" t="e">
        <f ca="1">AVERAGE(OFFSET(INDEX(Donnees_Brutes_Omia_1[Connecteur 11],1),COUNT(Donnees_Brutes_Omia_1[Connecteur 11])-30,0,30))+M5+M6</f>
        <v>#REF!</v>
      </c>
      <c r="N18" s="43" t="e">
        <f ca="1">AVERAGE(OFFSET(INDEX(Donnees_Brutes_Omia_1[Connecteur 12],1),COUNT(Donnees_Brutes_Omia_1[Connecteur 12])-30,0,30))+N5+N6</f>
        <v>#REF!</v>
      </c>
      <c r="O18" s="43" t="e">
        <f ca="1">AVERAGE(OFFSET(INDEX(Donnees_Brutes_Omia_1[Connecteur 13],1),COUNT(Donnees_Brutes_Omia_1[Connecteur 13])-30,0,30))+O5+O6</f>
        <v>#REF!</v>
      </c>
      <c r="P18" s="33"/>
      <c r="Q18" s="33"/>
      <c r="R18" s="36" t="s">
        <v>556</v>
      </c>
      <c r="S18" s="35" t="str">
        <f>"-" &amp; Mesures_Omia!B21 &amp; "°C"</f>
        <v>-°C</v>
      </c>
    </row>
    <row r="19" spans="2:19" s="27" customFormat="1" x14ac:dyDescent="0.25">
      <c r="B19" s="42" t="s">
        <v>96</v>
      </c>
      <c r="C19" s="45" t="e">
        <f ca="1">C16-C17</f>
        <v>#REF!</v>
      </c>
      <c r="D19" s="45" t="e">
        <f t="shared" ref="D19:O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5" t="e">
        <f t="shared" ca="1" si="0"/>
        <v>#REF!</v>
      </c>
      <c r="P19" s="33"/>
    </row>
    <row r="20" spans="2:19" s="27" customFormat="1" x14ac:dyDescent="0.25">
      <c r="B20" s="42" t="s">
        <v>97</v>
      </c>
      <c r="C20" s="493" t="e">
        <f ca="1">ABS(MAX(C16:O16)-MIN(C17:O17))</f>
        <v>#REF!</v>
      </c>
      <c r="D20" s="494"/>
      <c r="E20" s="494"/>
      <c r="F20" s="494"/>
      <c r="G20" s="494"/>
      <c r="H20" s="494"/>
      <c r="I20" s="494"/>
      <c r="J20" s="494"/>
      <c r="K20" s="494"/>
      <c r="L20" s="494"/>
      <c r="M20" s="494"/>
      <c r="N20" s="494"/>
      <c r="O20" s="495"/>
      <c r="P20" s="33"/>
    </row>
    <row r="21" spans="2:19" s="27" customFormat="1" x14ac:dyDescent="0.25">
      <c r="B21" s="42" t="s">
        <v>98</v>
      </c>
      <c r="C21" s="493" t="e">
        <f ca="1">AVERAGE(C18:O18)</f>
        <v>#REF!</v>
      </c>
      <c r="D21" s="494"/>
      <c r="E21" s="494"/>
      <c r="F21" s="494"/>
      <c r="G21" s="494"/>
      <c r="H21" s="494"/>
      <c r="I21" s="494"/>
      <c r="J21" s="494"/>
      <c r="K21" s="494"/>
      <c r="L21" s="494"/>
      <c r="M21" s="494"/>
      <c r="N21" s="494"/>
      <c r="O21" s="495"/>
      <c r="P21" s="33"/>
    </row>
    <row r="22" spans="2:19" s="27" customFormat="1" x14ac:dyDescent="0.25">
      <c r="B22" s="36" t="s">
        <v>99</v>
      </c>
      <c r="C22" s="46" t="e">
        <f ca="1">STDEV(OFFSET(INDEX(Donnees_Brutes_Omia_1[Connecteur 1],1),COUNT(Donnees_Brutes_Omia_1[Connecteur 1])-30,0,30))+C5+C6</f>
        <v>#REF!</v>
      </c>
      <c r="D22" s="46" t="e">
        <f ca="1">STDEV(OFFSET(INDEX(Donnees_Brutes_Omia_1[Connecteur 2],1),COUNT(Donnees_Brutes_Omia_1[Connecteur 2])-30,0,30))+D5+D6</f>
        <v>#REF!</v>
      </c>
      <c r="E22" s="46" t="e">
        <f ca="1">STDEV(OFFSET(INDEX(Donnees_Brutes_Omia_1[Connecteur 3],1),COUNT(Donnees_Brutes_Omia_1[Connecteur 3])-30,0,30))+E5+E6</f>
        <v>#REF!</v>
      </c>
      <c r="F22" s="46" t="e">
        <f ca="1">STDEV(OFFSET(INDEX(Donnees_Brutes_Omia_1[Connecteur 4],1),COUNT(Donnees_Brutes_Omia_1[Connecteur 4])-30,0,30))+F5+F6</f>
        <v>#REF!</v>
      </c>
      <c r="G22" s="46" t="e">
        <f ca="1">STDEV(OFFSET(INDEX(Donnees_Brutes_Omia_1[Connecteur 5],1),COUNT(Donnees_Brutes_Omia_1[Connecteur 5])-30,0,30))+G5+G6</f>
        <v>#REF!</v>
      </c>
      <c r="H22" s="46" t="e">
        <f ca="1">STDEV(OFFSET(INDEX(Donnees_Brutes_Omia_1[Connecteur 6],1),COUNT(Donnees_Brutes_Omia_1[Connecteur 6])-30,0,30))+H5+H6</f>
        <v>#REF!</v>
      </c>
      <c r="I22" s="46" t="e">
        <f ca="1">STDEV(OFFSET(INDEX(Donnees_Brutes_Omia_1[Connecteur 7],1),COUNT(Donnees_Brutes_Omia_1[Connecteur 7])-30,0,30))+I5+I6</f>
        <v>#REF!</v>
      </c>
      <c r="J22" s="46" t="e">
        <f ca="1">STDEV(OFFSET(INDEX(Donnees_Brutes_Omia_1[Connecteur 8],1),COUNT(Donnees_Brutes_Omia_1[Connecteur 8])-30,0,30))+J5+J6</f>
        <v>#REF!</v>
      </c>
      <c r="K22" s="46" t="e">
        <f ca="1">STDEV(OFFSET(INDEX(Donnees_Brutes_Omia_1[Connecteur 9],1),COUNT(Donnees_Brutes_Omia_1[Connecteur 9])-30,0,30))+K5+K6</f>
        <v>#REF!</v>
      </c>
      <c r="L22" s="46" t="e">
        <f ca="1">STDEV(OFFSET(INDEX(Donnees_Brutes_Omia_1[Connecteur 10],1),COUNT(Donnees_Brutes_Omia_1[Connecteur 10])-30,0,30))+L5+L6</f>
        <v>#REF!</v>
      </c>
      <c r="M22" s="46" t="e">
        <f ca="1">STDEV(OFFSET(INDEX(Donnees_Brutes_Omia_1[Connecteur 11],1),COUNT(Donnees_Brutes_Omia_1[Connecteur 11])-30,0,30))+M5+M6</f>
        <v>#REF!</v>
      </c>
      <c r="N22" s="46" t="e">
        <f ca="1">STDEV(OFFSET(INDEX(Donnees_Brutes_Omia_1[Connecteur 12],1),COUNT(Donnees_Brutes_Omia_1[Connecteur 12])-30,0,30))+N5+N6</f>
        <v>#REF!</v>
      </c>
      <c r="O22" s="46" t="e">
        <f ca="1">STDEV(OFFSET(INDEX(Donnees_Brutes_Omia_1[Connecteur 13],1),COUNT(Donnees_Brutes_Omia_1[Connecteur 13])-30,0,30))+O5+O6</f>
        <v>#REF!</v>
      </c>
      <c r="P22" s="33"/>
    </row>
    <row r="23" spans="2:19" s="27" customFormat="1" x14ac:dyDescent="0.25">
      <c r="B23"/>
      <c r="C23"/>
      <c r="D23"/>
      <c r="E23"/>
      <c r="F23"/>
      <c r="G23"/>
      <c r="H23"/>
      <c r="I23"/>
      <c r="J23"/>
      <c r="K23"/>
      <c r="L23"/>
      <c r="M23"/>
      <c r="N23"/>
      <c r="O23"/>
      <c r="P23"/>
    </row>
    <row r="52" spans="3:3" x14ac:dyDescent="0.25">
      <c r="C52" s="27"/>
    </row>
  </sheetData>
  <sheetProtection algorithmName="SHA-512" hashValue="ZvuhOH04W7423oS7fhdj0HshdmxkQDspd4P39uItzIKVPKIt5ehbDIzy/gvt65d64++epz8yA5YAd/ExUCRfIQ==" saltValue="b1s3PhIi6QVTp/Zw78ZwWg==" spinCount="100000" sheet="1" objects="1" scenarios="1"/>
  <dataConsolidate/>
  <mergeCells count="5">
    <mergeCell ref="C21:O21"/>
    <mergeCell ref="A1:S3"/>
    <mergeCell ref="A9:N9"/>
    <mergeCell ref="C20:O20"/>
    <mergeCell ref="A13:O13"/>
  </mergeCells>
  <conditionalFormatting sqref="C16:O16">
    <cfRule type="cellIs" dxfId="34" priority="1" operator="greaterThan">
      <formula>$P$16</formula>
    </cfRule>
  </conditionalFormatting>
  <conditionalFormatting sqref="C17:O17">
    <cfRule type="cellIs" dxfId="33" priority="2" operator="lessThan">
      <formula>$P$17</formula>
    </cfRule>
  </conditionalFormatting>
  <pageMargins left="0.7" right="0.7" top="0.75" bottom="0.75" header="0.3" footer="0.3"/>
  <pageSetup paperSize="9"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8124A-109E-4164-A6EC-FE130807D216}">
  <sheetPr codeName="Feuil8">
    <tabColor theme="7" tint="0.39997558519241921"/>
  </sheetPr>
  <dimension ref="A1:S24"/>
  <sheetViews>
    <sheetView topLeftCell="A4" workbookViewId="0">
      <selection activeCell="S5" sqref="S5"/>
    </sheetView>
  </sheetViews>
  <sheetFormatPr baseColWidth="10" defaultRowHeight="15" x14ac:dyDescent="0.25"/>
  <cols>
    <col min="2" max="2" width="15" bestFit="1" customWidth="1"/>
    <col min="3" max="3" width="16.42578125" bestFit="1" customWidth="1"/>
    <col min="4" max="11" width="12.7109375" bestFit="1" customWidth="1"/>
    <col min="12" max="15" width="13.7109375" bestFit="1" customWidth="1"/>
    <col min="16" max="16" width="8.28515625" customWidth="1"/>
    <col min="17" max="17" width="15.28515625" bestFit="1" customWidth="1"/>
    <col min="18" max="18" width="17.7109375" bestFit="1" customWidth="1"/>
  </cols>
  <sheetData>
    <row r="1" spans="1:19" s="27" customFormat="1" ht="46.5" customHeight="1" x14ac:dyDescent="0.25">
      <c r="A1" s="456" t="str">
        <f>Mesures_Omia!C20 &amp; "°C"</f>
        <v>°C</v>
      </c>
      <c r="B1" s="456"/>
      <c r="C1" s="456"/>
      <c r="D1" s="456"/>
      <c r="E1" s="456"/>
      <c r="F1" s="456"/>
      <c r="G1" s="456"/>
      <c r="H1" s="456"/>
      <c r="I1" s="456"/>
      <c r="J1" s="456"/>
      <c r="K1" s="456"/>
      <c r="L1" s="456"/>
      <c r="M1" s="456"/>
      <c r="N1" s="456"/>
      <c r="O1" s="456"/>
      <c r="P1" s="456"/>
      <c r="Q1" s="456"/>
      <c r="R1" s="456"/>
      <c r="S1" s="456"/>
    </row>
    <row r="2" spans="1:19" s="27" customFormat="1" ht="15" customHeight="1" x14ac:dyDescent="0.25">
      <c r="A2" s="320"/>
      <c r="B2" s="320"/>
      <c r="C2" s="320"/>
      <c r="D2" s="320"/>
      <c r="E2" s="320"/>
      <c r="F2" s="320"/>
      <c r="G2" s="320"/>
      <c r="H2" s="320"/>
      <c r="I2" s="320"/>
      <c r="J2" s="320"/>
      <c r="K2" s="320"/>
      <c r="L2" s="320"/>
      <c r="M2" s="320"/>
      <c r="N2" s="320"/>
      <c r="O2" s="320"/>
      <c r="P2" s="320"/>
      <c r="Q2" s="320"/>
      <c r="R2" s="320"/>
      <c r="S2" s="320"/>
    </row>
    <row r="3" spans="1:19" s="27" customFormat="1" ht="15" customHeight="1" x14ac:dyDescent="0.25">
      <c r="A3" s="320"/>
      <c r="B3" s="320"/>
      <c r="C3" s="320"/>
      <c r="D3" s="320"/>
      <c r="E3" s="320"/>
      <c r="F3" s="320"/>
      <c r="G3" s="320"/>
      <c r="H3" s="320"/>
      <c r="I3" s="320"/>
      <c r="J3" s="320"/>
      <c r="K3" s="320"/>
      <c r="L3" s="320"/>
      <c r="M3" s="320"/>
      <c r="N3" s="320"/>
      <c r="O3" s="320"/>
      <c r="P3" s="320"/>
      <c r="Q3" s="320"/>
      <c r="R3" s="320"/>
      <c r="S3" s="320"/>
    </row>
    <row r="4" spans="1:19" s="27" customFormat="1" x14ac:dyDescent="0.25">
      <c r="P4" s="33"/>
    </row>
    <row r="5" spans="1:19" s="27" customFormat="1" x14ac:dyDescent="0.25">
      <c r="B5" s="34" t="s">
        <v>23</v>
      </c>
      <c r="C5" s="35" t="e">
        <f>_xlfn.XLOOKUP(INT(SUBSTITUTE(C14,"Connecteur ","")),Mesures_Omia!C24:C36,Mesures_Omia!E24:E36)</f>
        <v>#N/A</v>
      </c>
      <c r="D5" s="35" t="e">
        <f>_xlfn.XLOOKUP(INT(SUBSTITUTE(D14,"Connecteur ","")),Mesures_Omia!C24:C36,Mesures_Omia!E24:E36)</f>
        <v>#N/A</v>
      </c>
      <c r="E5" s="35" t="e">
        <f>_xlfn.XLOOKUP(INT(SUBSTITUTE(E14,"Connecteur ","")),Mesures_Omia!C24:C36,Mesures_Omia!E24:E36)</f>
        <v>#N/A</v>
      </c>
      <c r="F5" s="35" t="e">
        <f>_xlfn.XLOOKUP(INT(SUBSTITUTE(F14,"Connecteur ","")),Mesures_Omia!C24:C36,Mesures_Omia!E24:E36)</f>
        <v>#N/A</v>
      </c>
      <c r="G5" s="35" t="e">
        <f>_xlfn.XLOOKUP(INT(SUBSTITUTE(G14,"Connecteur ","")),Mesures_Omia!C24:C36,Mesures_Omia!E24:E36)</f>
        <v>#N/A</v>
      </c>
      <c r="H5" s="35" t="e">
        <f>_xlfn.XLOOKUP(INT(SUBSTITUTE(H14,"Connecteur ","")),Mesures_Omia!C24:C36,Mesures_Omia!E24:E36)</f>
        <v>#N/A</v>
      </c>
      <c r="I5" s="35" t="e">
        <f>_xlfn.XLOOKUP(INT(SUBSTITUTE(I14,"Connecteur ","")),Mesures_Omia!C24:C36,Mesures_Omia!E24:E36)</f>
        <v>#N/A</v>
      </c>
      <c r="J5" s="35" t="e">
        <f>_xlfn.XLOOKUP(INT(SUBSTITUTE(J14,"Connecteur ","")),Mesures_Omia!C24:C36,Mesures_Omia!E24:E36)</f>
        <v>#N/A</v>
      </c>
      <c r="K5" s="35" t="e">
        <f>_xlfn.XLOOKUP(INT(SUBSTITUTE(K14,"Connecteur ","")),Mesures_Omia!C24:C36,Mesures_Omia!E24:E36)</f>
        <v>#N/A</v>
      </c>
      <c r="L5" s="35" t="e">
        <f>_xlfn.XLOOKUP(INT(SUBSTITUTE(L14,"Connecteur ","")),Mesures_Omia!C24:C36,Mesures_Omia!E24:E36)</f>
        <v>#N/A</v>
      </c>
      <c r="M5" s="35" t="e">
        <f>_xlfn.XLOOKUP(INT(SUBSTITUTE(M14,"Connecteur ","")),Mesures_Omia!C24:C36,Mesures_Omia!E24:E36)</f>
        <v>#N/A</v>
      </c>
      <c r="N5" s="35" t="e">
        <f>_xlfn.XLOOKUP(INT(SUBSTITUTE(N14,"Connecteur ","")),Mesures_Omia!C24:C36,Mesures_Omia!E24:E36)</f>
        <v>#N/A</v>
      </c>
      <c r="O5" s="35" t="e">
        <f>_xlfn.XLOOKUP(INT(SUBSTITUTE(O14,"Connecteur ","")),Mesures_Omia!C24:C36,Mesures_Omia!E24:E36)</f>
        <v>#N/A</v>
      </c>
      <c r="P5" s="33"/>
    </row>
    <row r="6" spans="1:19" s="27" customFormat="1" x14ac:dyDescent="0.25">
      <c r="B6" s="34" t="s">
        <v>87</v>
      </c>
      <c r="C6" s="35" t="e">
        <f>_xlfn.XLOOKUP(INT(SUBSTITUTE(C14,"Connecteur ","")),Mesures_Omia!C24:C36,Mesures_Omia!H24:H36)</f>
        <v>#N/A</v>
      </c>
      <c r="D6" s="35" t="e">
        <f>_xlfn.XLOOKUP(INT(SUBSTITUTE(D14,"Connecteur ","")),Mesures_Omia!C24:C36,Mesures_Omia!H24:H36)</f>
        <v>#N/A</v>
      </c>
      <c r="E6" s="35" t="e">
        <f>_xlfn.XLOOKUP(INT(SUBSTITUTE(E14,"Connecteur ","")),Mesures_Omia!C24:C36,Mesures_Omia!H24:H36)</f>
        <v>#N/A</v>
      </c>
      <c r="F6" s="35" t="e">
        <f>_xlfn.XLOOKUP(INT(SUBSTITUTE(F14,"Connecteur ","")),Mesures_Omia!C24:C36,Mesures_Omia!H24:H36)</f>
        <v>#N/A</v>
      </c>
      <c r="G6" s="35" t="e">
        <f>_xlfn.XLOOKUP(INT(SUBSTITUTE(G14,"Connecteur ","")),Mesures_Omia!C24:C36,Mesures_Omia!H24:H36)</f>
        <v>#N/A</v>
      </c>
      <c r="H6" s="35" t="e">
        <f>_xlfn.XLOOKUP(INT(SUBSTITUTE(H14,"Connecteur ","")),Mesures_Omia!C24:C36,Mesures_Omia!H24:H36)</f>
        <v>#N/A</v>
      </c>
      <c r="I6" s="35" t="e">
        <f>_xlfn.XLOOKUP(INT(SUBSTITUTE(I14,"Connecteur ","")),Mesures_Omia!C24:C36,Mesures_Omia!H24:H36)</f>
        <v>#N/A</v>
      </c>
      <c r="J6" s="35" t="e">
        <f>_xlfn.XLOOKUP(INT(SUBSTITUTE(J14,"Connecteur ","")),Mesures_Omia!C24:C36,Mesures_Omia!H24:H36)</f>
        <v>#N/A</v>
      </c>
      <c r="K6" s="35" t="e">
        <f>_xlfn.XLOOKUP(INT(SUBSTITUTE(K14,"Connecteur ","")),Mesures_Omia!C24:C36,Mesures_Omia!H24:H36)</f>
        <v>#N/A</v>
      </c>
      <c r="L6" s="35" t="e">
        <f>_xlfn.XLOOKUP(INT(SUBSTITUTE(L14,"Connecteur ","")),Mesures_Omia!C24:C36,Mesures_Omia!H24:H36)</f>
        <v>#N/A</v>
      </c>
      <c r="M6" s="35" t="e">
        <f>_xlfn.XLOOKUP(INT(SUBSTITUTE(M14,"Connecteur ","")),Mesures_Omia!C24:C36,Mesures_Omia!H24:H36)</f>
        <v>#N/A</v>
      </c>
      <c r="N6" s="35" t="e">
        <f>_xlfn.XLOOKUP(INT(SUBSTITUTE(N14,"Connecteur ","")),Mesures_Omia!C24:C36,Mesures_Omia!H24:H36)</f>
        <v>#N/A</v>
      </c>
      <c r="O6" s="35" t="e">
        <f>_xlfn.XLOOKUP(INT(SUBSTITUTE(O14,"Connecteur ","")),Mesures_Omia!C24:C36,Mesures_Omia!H24:H36)</f>
        <v>#N/A</v>
      </c>
      <c r="P6" s="33"/>
    </row>
    <row r="7" spans="1:19" s="27" customFormat="1" x14ac:dyDescent="0.25">
      <c r="P7" s="33"/>
    </row>
    <row r="8" spans="1:19" s="27" customFormat="1" x14ac:dyDescent="0.25">
      <c r="P8" s="33"/>
    </row>
    <row r="9" spans="1:19" s="27" customFormat="1" x14ac:dyDescent="0.25">
      <c r="A9" s="342" t="s">
        <v>88</v>
      </c>
      <c r="B9" s="342"/>
      <c r="C9" s="342"/>
      <c r="D9" s="342"/>
      <c r="E9" s="342"/>
      <c r="F9" s="342"/>
      <c r="G9" s="342"/>
      <c r="H9" s="342"/>
      <c r="I9" s="342"/>
      <c r="J9" s="342"/>
      <c r="K9" s="342"/>
      <c r="L9" s="342"/>
      <c r="M9" s="342"/>
      <c r="N9" s="342"/>
      <c r="O9" s="342"/>
      <c r="P9" s="33"/>
    </row>
    <row r="10" spans="1:19" s="27" customFormat="1" x14ac:dyDescent="0.25">
      <c r="A10" s="33"/>
      <c r="B10" s="34" t="str">
        <f>Donnees_Brutes_Omia_2[[#Headers],[Date/Heure]]</f>
        <v>Date/Heure</v>
      </c>
      <c r="C10" s="36" t="str" cm="1">
        <f t="array" ref="C10:O10">Donnees_Brutes_Omia_2[[#Headers],[Connecteur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17" t="s">
        <v>285</v>
      </c>
      <c r="B11" s="144" cm="1">
        <f t="array" ref="B11">Donnees_Brutes_Omia_2[Date/Heure]</f>
        <v>0</v>
      </c>
      <c r="C11" s="129" cm="1">
        <f t="array" ref="C11:O11">Donnees_Brutes_Omia_2[[Connecteur 1]:[Connecteur 13]]</f>
        <v>0</v>
      </c>
      <c r="D11" s="129">
        <v>0</v>
      </c>
      <c r="E11" s="129">
        <v>0</v>
      </c>
      <c r="F11" s="129">
        <v>0</v>
      </c>
      <c r="G11" s="129">
        <v>0</v>
      </c>
      <c r="H11" s="129">
        <v>0</v>
      </c>
      <c r="I11" s="129">
        <v>0</v>
      </c>
      <c r="J11" s="129">
        <v>0</v>
      </c>
      <c r="K11" s="129">
        <v>0</v>
      </c>
      <c r="L11" s="129">
        <v>0</v>
      </c>
      <c r="M11" s="129">
        <v>0</v>
      </c>
      <c r="N11" s="129">
        <v>0</v>
      </c>
      <c r="O11" s="129">
        <v>0</v>
      </c>
      <c r="P11" s="33"/>
    </row>
    <row r="12" spans="1:19" s="27" customFormat="1" ht="13.5" customHeight="1" x14ac:dyDescent="0.25">
      <c r="A12" s="318" t="s">
        <v>89</v>
      </c>
      <c r="B12" s="178"/>
      <c r="C12" s="190"/>
      <c r="D12" s="190"/>
      <c r="E12" s="190"/>
      <c r="F12" s="190"/>
      <c r="G12" s="190"/>
      <c r="H12" s="190"/>
      <c r="I12" s="190"/>
      <c r="J12" s="190"/>
      <c r="K12" s="190"/>
      <c r="L12" s="190"/>
      <c r="M12" s="190"/>
      <c r="N12" s="190"/>
      <c r="O12" s="190"/>
      <c r="P12" s="33"/>
    </row>
    <row r="13" spans="1:19" s="33" customFormat="1" x14ac:dyDescent="0.25">
      <c r="A13" s="496"/>
      <c r="B13" s="496"/>
      <c r="C13" s="496"/>
      <c r="D13" s="496"/>
      <c r="E13" s="496"/>
      <c r="F13" s="496"/>
      <c r="G13" s="496"/>
      <c r="H13" s="496"/>
      <c r="I13" s="496"/>
      <c r="J13" s="496"/>
      <c r="K13" s="496"/>
      <c r="L13" s="496"/>
      <c r="M13" s="496"/>
      <c r="N13" s="496"/>
      <c r="O13" s="496"/>
    </row>
    <row r="14" spans="1:19" x14ac:dyDescent="0.25">
      <c r="A14" s="27"/>
      <c r="B14" s="27"/>
      <c r="C14" s="41" t="str" cm="1">
        <f t="array" ref="C14:O14">Donnees_Brutes_Omia_2[[#Headers],[Connecteur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41" t="str">
        <v>Connecteur 13</v>
      </c>
      <c r="P14" s="33"/>
      <c r="Q14" s="27"/>
      <c r="R14" s="27"/>
    </row>
    <row r="15" spans="1:19" x14ac:dyDescent="0.25">
      <c r="A15" s="27"/>
      <c r="B15" s="42" t="s">
        <v>90</v>
      </c>
      <c r="C15" s="35" t="e">
        <f>MAX(Donnees_Brutes_Omia_2[Connecteur 1]) + C5 + C6</f>
        <v>#N/A</v>
      </c>
      <c r="D15" s="35" t="e">
        <f>MAX(Donnees_Brutes_Omia_2[Connecteur 2]) + D5 + D6</f>
        <v>#N/A</v>
      </c>
      <c r="E15" s="35" t="e">
        <f>MAX(Donnees_Brutes_Omia_2[Connecteur 3]) + E5 + E6</f>
        <v>#N/A</v>
      </c>
      <c r="F15" s="35" t="e">
        <f>MAX(Donnees_Brutes_Omia_2[Connecteur 4]) + F5 + F6</f>
        <v>#N/A</v>
      </c>
      <c r="G15" s="35" t="e">
        <f>MAX(Donnees_Brutes_Omia_2[Connecteur 5]) + G5 + G6</f>
        <v>#N/A</v>
      </c>
      <c r="H15" s="35" t="e">
        <f>MAX(Donnees_Brutes_Omia_2[Connecteur 6]) + H5 + H6</f>
        <v>#N/A</v>
      </c>
      <c r="I15" s="35" t="e">
        <f>MAX(Donnees_Brutes_Omia_2[Connecteur 7]) + I5 + I6</f>
        <v>#N/A</v>
      </c>
      <c r="J15" s="35" t="e">
        <f>MAX(Donnees_Brutes_Omia_2[Connecteur 8]) + J5 + J6</f>
        <v>#N/A</v>
      </c>
      <c r="K15" s="35" t="e">
        <f>MAX(Donnees_Brutes_Omia_2[Connecteur 9]) + K5 + K6</f>
        <v>#N/A</v>
      </c>
      <c r="L15" s="35" t="e">
        <f>MAX(Donnees_Brutes_Omia_2[Connecteur 10]) + L5 + L6</f>
        <v>#N/A</v>
      </c>
      <c r="M15" s="35" t="e">
        <f>MAX(Donnees_Brutes_Omia_2[Connecteur 11]) + M5 + M6</f>
        <v>#N/A</v>
      </c>
      <c r="N15" s="35" t="e">
        <f>MAX(Donnees_Brutes_Omia_2[Connecteur 12]) + N5 + N6</f>
        <v>#N/A</v>
      </c>
      <c r="O15" s="35" t="e">
        <f>MAX(Donnees_Brutes_Omia_2[Connecteur 13]) + O5 + O6</f>
        <v>#N/A</v>
      </c>
      <c r="P15" s="33"/>
      <c r="Q15" s="27"/>
      <c r="R15" s="27"/>
    </row>
    <row r="16" spans="1:19" x14ac:dyDescent="0.25">
      <c r="A16" s="27"/>
      <c r="B16" s="42" t="s">
        <v>91</v>
      </c>
      <c r="C16" s="43" t="e">
        <f ca="1">MAX(OFFSET(INDEX(Donnees_Brutes_Omia_2[Connecteur 1],1),COUNT(Donnees_Brutes_Omia_2[Connecteur 1])-30,0,30))+C5+C6</f>
        <v>#REF!</v>
      </c>
      <c r="D16" s="43" t="e">
        <f ca="1">MAX(OFFSET(INDEX(Donnees_Brutes_Omia_2[Connecteur 2],1),COUNT(Donnees_Brutes_Omia_2[Connecteur 2])-30,0,30))+D5+D6</f>
        <v>#REF!</v>
      </c>
      <c r="E16" s="43" t="e">
        <f ca="1">MAX(OFFSET(INDEX(Donnees_Brutes_Omia_2[Connecteur 3],1),COUNT(Donnees_Brutes_Omia_2[Connecteur 3])-30,0,30))+E5+E6</f>
        <v>#REF!</v>
      </c>
      <c r="F16" s="43" t="e">
        <f ca="1">MAX(OFFSET(INDEX(Donnees_Brutes_Omia_2[Connecteur 4],1),COUNT(Donnees_Brutes_Omia_2[Connecteur 4])-30,0,30))+F5+F6</f>
        <v>#REF!</v>
      </c>
      <c r="G16" s="43" t="e">
        <f ca="1">MAX(OFFSET(INDEX(Donnees_Brutes_Omia_2[Connecteur 5],1),COUNT(Donnees_Brutes_Omia_2[Connecteur 5])-30,0,30))+G5+G6</f>
        <v>#REF!</v>
      </c>
      <c r="H16" s="43" t="e">
        <f ca="1">MAX(OFFSET(INDEX(Donnees_Brutes_Omia_2[Connecteur 6],1),COUNT(Donnees_Brutes_Omia_2[Connecteur 6])-30,0,30))+H5+H6</f>
        <v>#REF!</v>
      </c>
      <c r="I16" s="43" t="e">
        <f ca="1">MAX(OFFSET(INDEX(Donnees_Brutes_Omia_2[Connecteur 7],1),COUNT(Donnees_Brutes_Omia_2[Connecteur 7])-30,0,30))+I5+I6</f>
        <v>#REF!</v>
      </c>
      <c r="J16" s="43" t="e">
        <f ca="1">MAX(OFFSET(INDEX(Donnees_Brutes_Omia_2[Connecteur 8],1),COUNT(Donnees_Brutes_Omia_2[Connecteur 8])-30,0,30))+J5+J6</f>
        <v>#REF!</v>
      </c>
      <c r="K16" s="43" t="e">
        <f ca="1">MAX(OFFSET(INDEX(Donnees_Brutes_Omia_2[Connecteur 9],1),COUNT(Donnees_Brutes_Omia_2[Connecteur 9])-30,0,30))+K5+K6</f>
        <v>#REF!</v>
      </c>
      <c r="L16" s="43" t="e">
        <f ca="1">MAX(OFFSET(INDEX(Donnees_Brutes_Omia_2[Connecteur 10],1),COUNT(Donnees_Brutes_Omia_2[Connecteur 10])-30,0,30))+L5+L6</f>
        <v>#REF!</v>
      </c>
      <c r="M16" s="43" t="e">
        <f ca="1">MAX(OFFSET(INDEX(Donnees_Brutes_Omia_2[Connecteur 11],1),COUNT(Donnees_Brutes_Omia_2[Connecteur 11])-30,0,30))+M5+M6</f>
        <v>#REF!</v>
      </c>
      <c r="N16" s="43" t="e">
        <f ca="1">MAX(OFFSET(INDEX(Donnees_Brutes_Omia_2[Connecteur 12],1),COUNT(Donnees_Brutes_Omia_2[Connecteur 12])-30,0,30))+N5+N6</f>
        <v>#REF!</v>
      </c>
      <c r="O16" s="43" t="e">
        <f ca="1">MAX(OFFSET(INDEX(Donnees_Brutes_Omia_2[Connecteur 13],1),COUNT(Donnees_Brutes_Omia_2[Connecteur 13])-30,0,30))+O5+O6</f>
        <v>#REF!</v>
      </c>
      <c r="P16" s="48">
        <f>S16+Mesures_Omia!B21</f>
        <v>0</v>
      </c>
      <c r="Q16" s="33"/>
      <c r="R16" s="36" t="s">
        <v>547</v>
      </c>
      <c r="S16" s="48">
        <f>Mesures_Omia!C20</f>
        <v>0</v>
      </c>
    </row>
    <row r="17" spans="1:19" s="27" customFormat="1" x14ac:dyDescent="0.25">
      <c r="B17" s="42" t="s">
        <v>93</v>
      </c>
      <c r="C17" s="43" t="e">
        <f ca="1">MIN(OFFSET(INDEX(Donnees_Brutes_Omia_2[Connecteur 1],1),COUNT(Donnees_Brutes_Omia_2[Connecteur 1])-30,0,30))+C5+C6</f>
        <v>#REF!</v>
      </c>
      <c r="D17" s="43" t="e">
        <f ca="1">MIN(OFFSET(INDEX(Donnees_Brutes_Omia_2[Connecteur 2],1),COUNT(Donnees_Brutes_Omia_2[Connecteur 2])-30,0,30))+D5+D6</f>
        <v>#REF!</v>
      </c>
      <c r="E17" s="43" t="e">
        <f ca="1">MIN(OFFSET(INDEX(Donnees_Brutes_Omia_2[Connecteur 3],1),COUNT(Donnees_Brutes_Omia_2[Connecteur 3])-30,0,30))+E5+E6</f>
        <v>#REF!</v>
      </c>
      <c r="F17" s="43" t="e">
        <f ca="1">MIN(OFFSET(INDEX(Donnees_Brutes_Omia_2[Connecteur 4],1),COUNT(Donnees_Brutes_Omia_2[Connecteur 4])-30,0,30))+F5+F6</f>
        <v>#REF!</v>
      </c>
      <c r="G17" s="43" t="e">
        <f ca="1">MIN(OFFSET(INDEX(Donnees_Brutes_Omia_2[Connecteur 5],1),COUNT(Donnees_Brutes_Omia_2[Connecteur 5])-30,0,30))+G5+G6</f>
        <v>#REF!</v>
      </c>
      <c r="H17" s="43" t="e">
        <f ca="1">MIN(OFFSET(INDEX(Donnees_Brutes_Omia_2[Connecteur 6],1),COUNT(Donnees_Brutes_Omia_2[Connecteur 6])-30,0,30))+H5+H6</f>
        <v>#REF!</v>
      </c>
      <c r="I17" s="43" t="e">
        <f ca="1">MIN(OFFSET(INDEX(Donnees_Brutes_Omia_2[Connecteur 7],1),COUNT(Donnees_Brutes_Omia_2[Connecteur 7])-30,0,30))+I5+I6</f>
        <v>#REF!</v>
      </c>
      <c r="J17" s="43" t="e">
        <f ca="1">MIN(OFFSET(INDEX(Donnees_Brutes_Omia_2[Connecteur 8],1),COUNT(Donnees_Brutes_Omia_2[Connecteur 8])-30,0,30))+J5+J6</f>
        <v>#REF!</v>
      </c>
      <c r="K17" s="43" t="e">
        <f ca="1">MIN(OFFSET(INDEX(Donnees_Brutes_Omia_2[Connecteur 9],1),COUNT(Donnees_Brutes_Omia_2[Connecteur 9])-30,0,30))+K5+K6</f>
        <v>#REF!</v>
      </c>
      <c r="L17" s="43" t="e">
        <f ca="1">MIN(OFFSET(INDEX(Donnees_Brutes_Omia_2[Connecteur 10],1),COUNT(Donnees_Brutes_Omia_2[Connecteur 10])-30,0,30))+L5+L6</f>
        <v>#REF!</v>
      </c>
      <c r="M17" s="43" t="e">
        <f ca="1">MIN(OFFSET(INDEX(Donnees_Brutes_Omia_2[Connecteur 11],1),COUNT(Donnees_Brutes_Omia_2[Connecteur 11])-30,0,30))+M5+M6</f>
        <v>#REF!</v>
      </c>
      <c r="N17" s="43" t="e">
        <f ca="1">MIN(OFFSET(INDEX(Donnees_Brutes_Omia_2[Connecteur 12],1),COUNT(Donnees_Brutes_Omia_2[Connecteur 12])-30,0,30))+N5+N6</f>
        <v>#REF!</v>
      </c>
      <c r="O17" s="43" t="e">
        <f ca="1">MIN(OFFSET(INDEX(Donnees_Brutes_Omia_2[Connecteur 13],1),COUNT(Donnees_Brutes_Omia_2[Connecteur 13])-30,0,30))+O5+O6</f>
        <v>#REF!</v>
      </c>
      <c r="P17" s="48">
        <f>S16-Mesures_Omia!B21</f>
        <v>0</v>
      </c>
      <c r="Q17" s="33"/>
      <c r="R17" s="36" t="s">
        <v>555</v>
      </c>
      <c r="S17" s="35" t="str">
        <f>"+" &amp; Mesures_Omia!B21 &amp; "°C"</f>
        <v>+°C</v>
      </c>
    </row>
    <row r="18" spans="1:19" s="27" customFormat="1" x14ac:dyDescent="0.25">
      <c r="B18" s="42" t="s">
        <v>95</v>
      </c>
      <c r="C18" s="43" t="e">
        <f ca="1">AVERAGE(OFFSET(INDEX(Donnees_Brutes_Omia_2[Connecteur 1],1),COUNT(Donnees_Brutes_Omia_2[Connecteur 1])-30,0,30))+C5+C6</f>
        <v>#REF!</v>
      </c>
      <c r="D18" s="43" t="e">
        <f ca="1">AVERAGE(OFFSET(INDEX(Donnees_Brutes_Omia_2[Connecteur 2],1),COUNT(Donnees_Brutes_Omia_2[Connecteur 2])-30,0,30))+D5+D6</f>
        <v>#REF!</v>
      </c>
      <c r="E18" s="43" t="e">
        <f ca="1">AVERAGE(OFFSET(INDEX(Donnees_Brutes_Omia_2[Connecteur 3],1),COUNT(Donnees_Brutes_Omia_2[Connecteur 3])-30,0,30))+E5+E6</f>
        <v>#REF!</v>
      </c>
      <c r="F18" s="43" t="e">
        <f ca="1">AVERAGE(OFFSET(INDEX(Donnees_Brutes_Omia_2[Connecteur 4],1),COUNT(Donnees_Brutes_Omia_2[Connecteur 4])-30,0,30))+F5+F6</f>
        <v>#REF!</v>
      </c>
      <c r="G18" s="43" t="e">
        <f ca="1">AVERAGE(OFFSET(INDEX(Donnees_Brutes_Omia_2[Connecteur 5],1),COUNT(Donnees_Brutes_Omia_2[Connecteur 5])-30,0,30))+G5+G6</f>
        <v>#REF!</v>
      </c>
      <c r="H18" s="43" t="e">
        <f ca="1">AVERAGE(OFFSET(INDEX(Donnees_Brutes_Omia_2[Connecteur 6],1),COUNT(Donnees_Brutes_Omia_2[Connecteur 6])-30,0,30))+H5+H6</f>
        <v>#REF!</v>
      </c>
      <c r="I18" s="43" t="e">
        <f ca="1">AVERAGE(OFFSET(INDEX(Donnees_Brutes_Omia_2[Connecteur 7],1),COUNT(Donnees_Brutes_Omia_2[Connecteur 7])-30,0,30))+I5+I6</f>
        <v>#REF!</v>
      </c>
      <c r="J18" s="43" t="e">
        <f ca="1">AVERAGE(OFFSET(INDEX(Donnees_Brutes_Omia_2[Connecteur 8],1),COUNT(Donnees_Brutes_Omia_2[Connecteur 8])-30,0,30))+J5+J6</f>
        <v>#REF!</v>
      </c>
      <c r="K18" s="43" t="e">
        <f ca="1">AVERAGE(OFFSET(INDEX(Donnees_Brutes_Omia_2[Connecteur 9],1),COUNT(Donnees_Brutes_Omia_2[Connecteur 9])-30,0,30))+K5+K6</f>
        <v>#REF!</v>
      </c>
      <c r="L18" s="43" t="e">
        <f ca="1">AVERAGE(OFFSET(INDEX(Donnees_Brutes_Omia_2[Connecteur 10],1),COUNT(Donnees_Brutes_Omia_2[Connecteur 10])-30,0,30))+L5+L6</f>
        <v>#REF!</v>
      </c>
      <c r="M18" s="43" t="e">
        <f ca="1">AVERAGE(OFFSET(INDEX(Donnees_Brutes_Omia_2[Connecteur 11],1),COUNT(Donnees_Brutes_Omia_2[Connecteur 11])-30,0,30))+M5+M6</f>
        <v>#REF!</v>
      </c>
      <c r="N18" s="43" t="e">
        <f ca="1">AVERAGE(OFFSET(INDEX(Donnees_Brutes_Omia_2[Connecteur 12],1),COUNT(Donnees_Brutes_Omia_2[Connecteur 12])-30,0,30))+N5+N6</f>
        <v>#REF!</v>
      </c>
      <c r="O18" s="43" t="e">
        <f ca="1">AVERAGE(OFFSET(INDEX(Donnees_Brutes_Omia_2[Connecteur 13],1),COUNT(Donnees_Brutes_Omia_2[Connecteur 13])-30,0,30))+O5+O6</f>
        <v>#REF!</v>
      </c>
      <c r="P18" s="44"/>
      <c r="Q18" s="33"/>
      <c r="R18" s="36" t="s">
        <v>556</v>
      </c>
      <c r="S18" s="35" t="str">
        <f>"-" &amp; Mesures_Omia!B21 &amp; "°C"</f>
        <v>-°C</v>
      </c>
    </row>
    <row r="19" spans="1:19" s="27" customFormat="1" x14ac:dyDescent="0.25">
      <c r="B19" s="42" t="s">
        <v>96</v>
      </c>
      <c r="C19" s="45" t="e">
        <f ca="1">C16-C17</f>
        <v>#REF!</v>
      </c>
      <c r="D19" s="45" t="e">
        <f t="shared" ref="D19:O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5" t="e">
        <f t="shared" ca="1" si="0"/>
        <v>#REF!</v>
      </c>
      <c r="P19" s="33"/>
    </row>
    <row r="20" spans="1:19" s="27" customFormat="1" x14ac:dyDescent="0.25">
      <c r="B20" s="42" t="s">
        <v>97</v>
      </c>
      <c r="C20" s="493" t="e">
        <f ca="1">ABS(MAX(C16:N16)-MIN(C17:N17))</f>
        <v>#REF!</v>
      </c>
      <c r="D20" s="494"/>
      <c r="E20" s="494"/>
      <c r="F20" s="494"/>
      <c r="G20" s="494"/>
      <c r="H20" s="494"/>
      <c r="I20" s="494"/>
      <c r="J20" s="494"/>
      <c r="K20" s="494"/>
      <c r="L20" s="494"/>
      <c r="M20" s="494"/>
      <c r="N20" s="494"/>
      <c r="O20" s="495"/>
      <c r="P20" s="33"/>
    </row>
    <row r="21" spans="1:19" s="27" customFormat="1" x14ac:dyDescent="0.25">
      <c r="B21" s="42" t="s">
        <v>98</v>
      </c>
      <c r="C21" s="493" t="e">
        <f ca="1">AVERAGE(C18:N18)</f>
        <v>#REF!</v>
      </c>
      <c r="D21" s="494"/>
      <c r="E21" s="494"/>
      <c r="F21" s="494"/>
      <c r="G21" s="494"/>
      <c r="H21" s="494"/>
      <c r="I21" s="494"/>
      <c r="J21" s="494"/>
      <c r="K21" s="494"/>
      <c r="L21" s="494"/>
      <c r="M21" s="494"/>
      <c r="N21" s="494"/>
      <c r="O21" s="495"/>
      <c r="P21" s="33"/>
    </row>
    <row r="22" spans="1:19" s="27" customFormat="1" x14ac:dyDescent="0.25">
      <c r="B22" s="36" t="s">
        <v>99</v>
      </c>
      <c r="C22" s="46" t="e">
        <f ca="1">STDEV(OFFSET(INDEX(Donnees_Brutes_Omia_2[Connecteur 1],1),COUNT(Donnees_Brutes_Omia_2[Connecteur 1])-30,0,30))+C5+C6</f>
        <v>#REF!</v>
      </c>
      <c r="D22" s="46" t="e">
        <f ca="1">STDEV(OFFSET(INDEX(Donnees_Brutes_Omia_2[Connecteur 2],1),COUNT(Donnees_Brutes_Omia_2[Connecteur 2])-30,0,30))+D5+D6</f>
        <v>#REF!</v>
      </c>
      <c r="E22" s="46" t="e">
        <f ca="1">STDEV(OFFSET(INDEX(Donnees_Brutes_Omia_2[Connecteur 3],1),COUNT(Donnees_Brutes_Omia_2[Connecteur 3])-30,0,30))+E5+E6</f>
        <v>#REF!</v>
      </c>
      <c r="F22" s="46" t="e">
        <f ca="1">STDEV(OFFSET(INDEX(Donnees_Brutes_Omia_2[Connecteur 4],1),COUNT(Donnees_Brutes_Omia_2[Connecteur 4])-30,0,30))+F5+F6</f>
        <v>#REF!</v>
      </c>
      <c r="G22" s="46" t="e">
        <f ca="1">STDEV(OFFSET(INDEX(Donnees_Brutes_Omia_2[Connecteur 5],1),COUNT(Donnees_Brutes_Omia_2[Connecteur 5])-30,0,30))+G5+G6</f>
        <v>#REF!</v>
      </c>
      <c r="H22" s="46" t="e">
        <f ca="1">STDEV(OFFSET(INDEX(Donnees_Brutes_Omia_2[Connecteur 6],1),COUNT(Donnees_Brutes_Omia_2[Connecteur 6])-30,0,30))+H5+H6</f>
        <v>#REF!</v>
      </c>
      <c r="I22" s="46" t="e">
        <f ca="1">STDEV(OFFSET(INDEX(Donnees_Brutes_Omia_2[Connecteur 7],1),COUNT(Donnees_Brutes_Omia_2[Connecteur 7])-30,0,30))+I5+I6</f>
        <v>#REF!</v>
      </c>
      <c r="J22" s="46" t="e">
        <f ca="1">STDEV(OFFSET(INDEX(Donnees_Brutes_Omia_2[Connecteur 8],1),COUNT(Donnees_Brutes_Omia_2[Connecteur 8])-30,0,30))+J5+J6</f>
        <v>#REF!</v>
      </c>
      <c r="K22" s="46" t="e">
        <f ca="1">STDEV(OFFSET(INDEX(Donnees_Brutes_Omia_2[Connecteur 9],1),COUNT(Donnees_Brutes_Omia_2[Connecteur 9])-30,0,30))+K5+K6</f>
        <v>#REF!</v>
      </c>
      <c r="L22" s="46" t="e">
        <f ca="1">STDEV(OFFSET(INDEX(Donnees_Brutes_Omia_2[Connecteur 10],1),COUNT(Donnees_Brutes_Omia_2[Connecteur 10])-30,0,30))+L5+L6</f>
        <v>#REF!</v>
      </c>
      <c r="M22" s="46" t="e">
        <f ca="1">STDEV(OFFSET(INDEX(Donnees_Brutes_Omia_2[Connecteur 11],1),COUNT(Donnees_Brutes_Omia_2[Connecteur 11])-30,0,30))+M5+M6</f>
        <v>#REF!</v>
      </c>
      <c r="N22" s="46" t="e">
        <f ca="1">STDEV(OFFSET(INDEX(Donnees_Brutes_Omia_2[Connecteur 12],1),COUNT(Donnees_Brutes_Omia_2[Connecteur 12])-30,0,30))+N5+N6</f>
        <v>#REF!</v>
      </c>
      <c r="O22" s="46" t="e">
        <f ca="1">STDEV(OFFSET(INDEX(Donnees_Brutes_Omia_2[Connecteur 13],1),COUNT(Donnees_Brutes_Omia_2[Connecteur 13])-30,0,30))+O5+O6</f>
        <v>#REF!</v>
      </c>
      <c r="P22" s="33"/>
    </row>
    <row r="23" spans="1:19" s="27" customFormat="1" x14ac:dyDescent="0.25">
      <c r="A23"/>
      <c r="B23"/>
      <c r="C23"/>
      <c r="D23"/>
      <c r="E23"/>
      <c r="F23"/>
      <c r="G23"/>
      <c r="H23"/>
      <c r="I23"/>
      <c r="J23"/>
      <c r="K23"/>
      <c r="L23"/>
      <c r="M23"/>
      <c r="N23"/>
      <c r="O23"/>
      <c r="P23"/>
      <c r="Q23"/>
      <c r="R23"/>
    </row>
    <row r="24" spans="1:19" s="27" customFormat="1" x14ac:dyDescent="0.25"/>
  </sheetData>
  <sheetProtection algorithmName="SHA-512" hashValue="X+QcJdHN8ZXVVdq7CpUbhDWuisVZmyYozhlMAlM/IwKEyWkZoFI0Rj/caXk6pDl0bu1YyqdH/vs6UNsRMJ/uuw==" saltValue="mONSfZpJu0ebSxwtEtKiaQ==" spinCount="100000" sheet="1" objects="1" scenarios="1"/>
  <dataConsolidate/>
  <mergeCells count="5">
    <mergeCell ref="C20:O20"/>
    <mergeCell ref="C21:O21"/>
    <mergeCell ref="A1:S1"/>
    <mergeCell ref="A9:O9"/>
    <mergeCell ref="A13:O13"/>
  </mergeCells>
  <conditionalFormatting sqref="C16:O16">
    <cfRule type="cellIs" dxfId="32" priority="2" operator="greaterThan">
      <formula>$P$16</formula>
    </cfRule>
    <cfRule type="cellIs" dxfId="31" priority="3" operator="greaterThan">
      <formula>$P$16</formula>
    </cfRule>
  </conditionalFormatting>
  <conditionalFormatting sqref="C17:O17">
    <cfRule type="cellIs" dxfId="30" priority="1" operator="lessThan">
      <formula>$P$17</formula>
    </cfRule>
    <cfRule type="cellIs" dxfId="29" priority="4" operator="lessThan">
      <formula>$P$17</formula>
    </cfRule>
  </conditionalFormatting>
  <pageMargins left="0.7" right="0.7" top="0.75" bottom="0.75" header="0.3" footer="0.3"/>
  <pageSetup paperSize="9"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6213D-8465-48CF-BFB4-CA4445F49474}">
  <sheetPr codeName="Feuil9">
    <tabColor theme="7" tint="0.39997558519241921"/>
  </sheetPr>
  <dimension ref="A1:S23"/>
  <sheetViews>
    <sheetView topLeftCell="A6" workbookViewId="0">
      <selection activeCell="R11" sqref="R11"/>
    </sheetView>
  </sheetViews>
  <sheetFormatPr baseColWidth="10" defaultRowHeight="15" x14ac:dyDescent="0.25"/>
  <cols>
    <col min="1" max="1" width="11.140625" customWidth="1"/>
    <col min="2" max="3" width="16.42578125" bestFit="1" customWidth="1"/>
    <col min="4" max="11" width="12.7109375" bestFit="1" customWidth="1"/>
    <col min="12" max="15" width="13.7109375" bestFit="1" customWidth="1"/>
    <col min="18" max="18" width="17.7109375" bestFit="1" customWidth="1"/>
  </cols>
  <sheetData>
    <row r="1" spans="1:19" s="27" customFormat="1" x14ac:dyDescent="0.25">
      <c r="A1" s="456" t="str">
        <f>Mesures_Omia!D20 &amp; "°C"</f>
        <v>°C</v>
      </c>
      <c r="B1" s="456"/>
      <c r="C1" s="456"/>
      <c r="D1" s="456"/>
      <c r="E1" s="456"/>
      <c r="F1" s="456"/>
      <c r="G1" s="456"/>
      <c r="H1" s="456"/>
      <c r="I1" s="456"/>
      <c r="J1" s="456"/>
      <c r="K1" s="456"/>
      <c r="L1" s="456"/>
      <c r="M1" s="456"/>
      <c r="N1" s="456"/>
      <c r="O1" s="456"/>
      <c r="P1" s="456"/>
      <c r="Q1" s="456"/>
      <c r="R1" s="456"/>
      <c r="S1" s="456"/>
    </row>
    <row r="2" spans="1:19" s="27" customFormat="1" x14ac:dyDescent="0.25">
      <c r="A2" s="456"/>
      <c r="B2" s="456"/>
      <c r="C2" s="456"/>
      <c r="D2" s="456"/>
      <c r="E2" s="456"/>
      <c r="F2" s="456"/>
      <c r="G2" s="456"/>
      <c r="H2" s="456"/>
      <c r="I2" s="456"/>
      <c r="J2" s="456"/>
      <c r="K2" s="456"/>
      <c r="L2" s="456"/>
      <c r="M2" s="456"/>
      <c r="N2" s="456"/>
      <c r="O2" s="456"/>
      <c r="P2" s="456"/>
      <c r="Q2" s="456"/>
      <c r="R2" s="456"/>
      <c r="S2" s="456"/>
    </row>
    <row r="3" spans="1:19" s="27" customFormat="1" x14ac:dyDescent="0.25">
      <c r="A3" s="456"/>
      <c r="B3" s="456"/>
      <c r="C3" s="456"/>
      <c r="D3" s="456"/>
      <c r="E3" s="456"/>
      <c r="F3" s="456"/>
      <c r="G3" s="456"/>
      <c r="H3" s="456"/>
      <c r="I3" s="456"/>
      <c r="J3" s="456"/>
      <c r="K3" s="456"/>
      <c r="L3" s="456"/>
      <c r="M3" s="456"/>
      <c r="N3" s="456"/>
      <c r="O3" s="456"/>
      <c r="P3" s="456"/>
      <c r="Q3" s="456"/>
      <c r="R3" s="456"/>
      <c r="S3" s="456"/>
    </row>
    <row r="4" spans="1:19" s="27" customFormat="1" x14ac:dyDescent="0.25">
      <c r="P4" s="33"/>
    </row>
    <row r="5" spans="1:19" s="27" customFormat="1" x14ac:dyDescent="0.25">
      <c r="A5" s="145"/>
      <c r="B5" s="34" t="s">
        <v>23</v>
      </c>
      <c r="C5" s="35" t="e">
        <f>_xlfn.XLOOKUP(INT(SUBSTITUTE(C14,"Connecteur ","")),Mesures_Omia!C24:C36,Mesures_Omia!I24:I36)</f>
        <v>#N/A</v>
      </c>
      <c r="D5" s="35" t="e">
        <f>_xlfn.XLOOKUP(INT(SUBSTITUTE(D14,"Connecteur ","")),Mesures_Omia!C24:C36,Mesures_Omia!I24:I36)</f>
        <v>#N/A</v>
      </c>
      <c r="E5" s="35" t="e">
        <f>_xlfn.XLOOKUP(INT(SUBSTITUTE(E14,"Connecteur ","")),Mesures_Omia!C24:C36,Mesures_Omia!I24:I36)</f>
        <v>#N/A</v>
      </c>
      <c r="F5" s="35" t="e">
        <f>_xlfn.XLOOKUP(INT(SUBSTITUTE(F14,"Connecteur ","")),Mesures_Omia!C24:C36,Mesures_Omia!I24:I36)</f>
        <v>#N/A</v>
      </c>
      <c r="G5" s="35" t="e">
        <f>_xlfn.XLOOKUP(INT(SUBSTITUTE(G14,"Connecteur ","")),Mesures_Omia!C24:C36,Mesures_Omia!I24:I36)</f>
        <v>#N/A</v>
      </c>
      <c r="H5" s="35" t="e">
        <f>_xlfn.XLOOKUP(INT(SUBSTITUTE(H14,"Connecteur ","")),Mesures_Omia!C24:C36,Mesures_Omia!I24:I36)</f>
        <v>#N/A</v>
      </c>
      <c r="I5" s="35" t="e">
        <f>_xlfn.XLOOKUP(INT(SUBSTITUTE(I14,"Connecteur ","")),Mesures_Omia!C24:C36,Mesures_Omia!I24:I36)</f>
        <v>#N/A</v>
      </c>
      <c r="J5" s="35" t="e">
        <f>_xlfn.XLOOKUP(INT(SUBSTITUTE(J14,"Connecteur ","")),Mesures_Omia!C24:C36,Mesures_Omia!I24:I36)</f>
        <v>#N/A</v>
      </c>
      <c r="K5" s="35" t="e">
        <f>_xlfn.XLOOKUP(INT(SUBSTITUTE(K14,"Connecteur ","")),Mesures_Omia!C24:C36,Mesures_Omia!I24:I36)</f>
        <v>#N/A</v>
      </c>
      <c r="L5" s="35" t="e">
        <f>_xlfn.XLOOKUP(INT(SUBSTITUTE(L14,"Connecteur ","")),Mesures_Omia!C24:C36,Mesures_Omia!I24:I36)</f>
        <v>#N/A</v>
      </c>
      <c r="M5" s="35" t="e">
        <f>_xlfn.XLOOKUP(INT(SUBSTITUTE(M14,"Connecteur ","")),Mesures_Omia!C24:C36,Mesures_Omia!I24:I36)</f>
        <v>#N/A</v>
      </c>
      <c r="N5" s="35" t="e">
        <f>_xlfn.XLOOKUP(INT(SUBSTITUTE(N14,"Connecteur ","")),Mesures_Omia!C24:C36,Mesures_Omia!I24:I36)</f>
        <v>#N/A</v>
      </c>
      <c r="O5" s="35" t="e">
        <f>_xlfn.XLOOKUP(INT(SUBSTITUTE(O14,"Connecteur ","")),Mesures_Omia!C24:C36,Mesures_Omia!I24:I36)</f>
        <v>#N/A</v>
      </c>
      <c r="P5" s="33"/>
    </row>
    <row r="6" spans="1:19" s="27" customFormat="1" x14ac:dyDescent="0.25">
      <c r="A6" s="145"/>
      <c r="B6" s="34" t="s">
        <v>87</v>
      </c>
      <c r="C6" s="35" t="e">
        <f>_xlfn.XLOOKUP(INT(SUBSTITUTE(C14,"Connecteur ","")),Mesures_Omia!C24:C36,Mesures_Omia!F24:F36)</f>
        <v>#N/A</v>
      </c>
      <c r="D6" s="35" t="e">
        <f>_xlfn.XLOOKUP(INT(SUBSTITUTE(D14,"Connecteur ","")),Mesures_Omia!C24:C36,Mesures_Omia!F24:F36)</f>
        <v>#N/A</v>
      </c>
      <c r="E6" s="35" t="e">
        <f>_xlfn.XLOOKUP(INT(SUBSTITUTE(E14,"Connecteur ","")),Mesures_Omia!C24:C36,Mesures_Omia!F24:F36)</f>
        <v>#N/A</v>
      </c>
      <c r="F6" s="35" t="e">
        <f>_xlfn.XLOOKUP(INT(SUBSTITUTE(F14,"Connecteur ","")),Mesures_Omia!C24:C36,Mesures_Omia!F24:F36)</f>
        <v>#N/A</v>
      </c>
      <c r="G6" s="35" t="e">
        <f>_xlfn.XLOOKUP(INT(SUBSTITUTE(G14,"Connecteur ","")),Mesures_Omia!C24:C36,Mesures_Omia!F24:F36)</f>
        <v>#N/A</v>
      </c>
      <c r="H6" s="35" t="e">
        <f>_xlfn.XLOOKUP(INT(SUBSTITUTE(H14,"Connecteur ","")),Mesures_Omia!C24:C36,Mesures_Omia!F24:F36)</f>
        <v>#N/A</v>
      </c>
      <c r="I6" s="35" t="e">
        <f>_xlfn.XLOOKUP(INT(SUBSTITUTE(I14,"Connecteur ","")),Mesures_Omia!C24:C36,Mesures_Omia!F24:F36)</f>
        <v>#N/A</v>
      </c>
      <c r="J6" s="35" t="e">
        <f>_xlfn.XLOOKUP(INT(SUBSTITUTE(J14,"Connecteur ","")),Mesures_Omia!C24:C36,Mesures_Omia!F24:F36)</f>
        <v>#N/A</v>
      </c>
      <c r="K6" s="35" t="e">
        <f>_xlfn.XLOOKUP(INT(SUBSTITUTE(K14,"Connecteur ","")),Mesures_Omia!C24:C36,Mesures_Omia!F24:F36)</f>
        <v>#N/A</v>
      </c>
      <c r="L6" s="35" t="e">
        <f>_xlfn.XLOOKUP(INT(SUBSTITUTE(L14,"Connecteur ","")),Mesures_Omia!C24:C36,Mesures_Omia!F24:F36)</f>
        <v>#N/A</v>
      </c>
      <c r="M6" s="35" t="e">
        <f>_xlfn.XLOOKUP(INT(SUBSTITUTE(M14,"Connecteur ","")),Mesures_Omia!C24:C36,Mesures_Omia!F24:F36)</f>
        <v>#N/A</v>
      </c>
      <c r="N6" s="35" t="e">
        <f>_xlfn.XLOOKUP(INT(SUBSTITUTE(N14,"Connecteur ","")),Mesures_Omia!C24:C36,Mesures_Omia!F24:F36)</f>
        <v>#N/A</v>
      </c>
      <c r="O6" s="35" t="e">
        <f>_xlfn.XLOOKUP(INT(SUBSTITUTE(O14,"Connecteur ","")),Mesures_Omia!C24:C36,Mesures_Omia!F24:F36)</f>
        <v>#N/A</v>
      </c>
      <c r="P6" s="33"/>
    </row>
    <row r="7" spans="1:19" s="27" customFormat="1" x14ac:dyDescent="0.25">
      <c r="P7" s="33"/>
    </row>
    <row r="8" spans="1:19" s="27" customFormat="1" x14ac:dyDescent="0.25">
      <c r="P8" s="33"/>
    </row>
    <row r="9" spans="1:19" s="27" customFormat="1" x14ac:dyDescent="0.25">
      <c r="A9" s="342" t="s">
        <v>88</v>
      </c>
      <c r="B9" s="342"/>
      <c r="C9" s="342"/>
      <c r="D9" s="342"/>
      <c r="E9" s="342"/>
      <c r="F9" s="342"/>
      <c r="G9" s="342"/>
      <c r="H9" s="342"/>
      <c r="I9" s="342"/>
      <c r="J9" s="342"/>
      <c r="K9" s="342"/>
      <c r="L9" s="342"/>
      <c r="M9" s="342"/>
      <c r="N9" s="342"/>
      <c r="P9" s="33"/>
    </row>
    <row r="10" spans="1:19" s="27" customFormat="1" x14ac:dyDescent="0.25">
      <c r="A10" s="33"/>
      <c r="B10" s="34" t="str">
        <f>Donnees_Brutes_Omia_3[[#Headers],[Date/Heure]]</f>
        <v>Date/Heure</v>
      </c>
      <c r="C10" s="36" t="str" cm="1">
        <f t="array" ref="C10:O10">Donnees_Brutes_Omia_3[[#Headers],[Connecteur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17" t="s">
        <v>285</v>
      </c>
      <c r="B11" s="144" cm="1">
        <f t="array" ref="B11">Donnees_Brutes_Omia_3[Date/Heure]</f>
        <v>0</v>
      </c>
      <c r="C11" s="129" t="e" cm="1">
        <f t="array" ref="C11:O11">Donnees_Brutes_Omia_3[[Connecteur 1]:[Connecteur 13]] + C5:O5 +C6:O6</f>
        <v>#N/A</v>
      </c>
      <c r="D11" s="129" t="e">
        <v>#N/A</v>
      </c>
      <c r="E11" s="129" t="e">
        <v>#N/A</v>
      </c>
      <c r="F11" s="129" t="e">
        <v>#N/A</v>
      </c>
      <c r="G11" s="129" t="e">
        <v>#N/A</v>
      </c>
      <c r="H11" s="129" t="e">
        <v>#N/A</v>
      </c>
      <c r="I11" s="129" t="e">
        <v>#N/A</v>
      </c>
      <c r="J11" s="129" t="e">
        <v>#N/A</v>
      </c>
      <c r="K11" s="129" t="e">
        <v>#N/A</v>
      </c>
      <c r="L11" s="129" t="e">
        <v>#N/A</v>
      </c>
      <c r="M11" s="129" t="e">
        <v>#N/A</v>
      </c>
      <c r="N11" s="129" t="e">
        <v>#N/A</v>
      </c>
      <c r="O11" s="129" t="e">
        <v>#N/A</v>
      </c>
      <c r="P11" s="33"/>
    </row>
    <row r="12" spans="1:19" s="27" customFormat="1" ht="13.5" customHeight="1" x14ac:dyDescent="0.25">
      <c r="A12" s="318" t="s">
        <v>89</v>
      </c>
      <c r="B12" s="178"/>
      <c r="C12" s="190"/>
      <c r="D12" s="190"/>
      <c r="E12" s="190"/>
      <c r="F12" s="190"/>
      <c r="G12" s="190"/>
      <c r="H12" s="190"/>
      <c r="I12" s="190"/>
      <c r="J12" s="190"/>
      <c r="K12" s="190"/>
      <c r="L12" s="190"/>
      <c r="M12" s="190"/>
      <c r="N12" s="190"/>
      <c r="O12" s="190"/>
      <c r="P12" s="33"/>
    </row>
    <row r="13" spans="1:19" s="33" customFormat="1" x14ac:dyDescent="0.25">
      <c r="A13" s="496"/>
      <c r="B13" s="496"/>
      <c r="C13" s="496"/>
      <c r="D13" s="496"/>
      <c r="E13" s="496"/>
      <c r="F13" s="496"/>
      <c r="G13" s="496"/>
      <c r="H13" s="496"/>
      <c r="I13" s="496"/>
      <c r="J13" s="496"/>
      <c r="K13" s="496"/>
      <c r="L13" s="496"/>
      <c r="M13" s="496"/>
      <c r="N13" s="496"/>
      <c r="O13" s="496"/>
    </row>
    <row r="14" spans="1:19" s="27" customFormat="1" x14ac:dyDescent="0.25">
      <c r="C14" s="41" t="str" cm="1">
        <f t="array" ref="C14:O14">Donnees_Brutes_Omia_3[[#Headers],[Connecteur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41" t="str">
        <v>Connecteur 13</v>
      </c>
      <c r="P14" s="33"/>
    </row>
    <row r="15" spans="1:19" s="27" customFormat="1" x14ac:dyDescent="0.25">
      <c r="B15" s="42" t="s">
        <v>90</v>
      </c>
      <c r="C15" s="35" t="e">
        <f>MAX(Donnees_Brutes_Omia_3[Connecteur 1]) + C5 + C6</f>
        <v>#N/A</v>
      </c>
      <c r="D15" s="35" t="e">
        <f>MAX(Donnees_Brutes_Omia_3[Connecteur 2]) + D5 + D6</f>
        <v>#N/A</v>
      </c>
      <c r="E15" s="35" t="e">
        <f>MAX(Donnees_Brutes_Omia_3[Connecteur 3]) + E5 + E6</f>
        <v>#N/A</v>
      </c>
      <c r="F15" s="35" t="e">
        <f>MAX(Donnees_Brutes_Omia_3[Connecteur 4]) + F5 + F6</f>
        <v>#N/A</v>
      </c>
      <c r="G15" s="35" t="e">
        <f>MAX(Donnees_Brutes_Omia_3[Connecteur 5]) + G5 + G6</f>
        <v>#N/A</v>
      </c>
      <c r="H15" s="35" t="e">
        <f>MAX(Donnees_Brutes_Omia_3[Connecteur 6]) + H5 + H6</f>
        <v>#N/A</v>
      </c>
      <c r="I15" s="35" t="e">
        <f>MAX(Donnees_Brutes_Omia_3[Connecteur 7]) + I5 + I6</f>
        <v>#N/A</v>
      </c>
      <c r="J15" s="35" t="e">
        <f>MAX(Donnees_Brutes_Omia_3[Connecteur 8]) + J5 + J6</f>
        <v>#N/A</v>
      </c>
      <c r="K15" s="35" t="e">
        <f>MAX(Donnees_Brutes_Omia_3[Connecteur 9]) + K5 + K6</f>
        <v>#N/A</v>
      </c>
      <c r="L15" s="35" t="e">
        <f>MAX(Donnees_Brutes_Omia_3[Connecteur 10]) + L5 + L6</f>
        <v>#N/A</v>
      </c>
      <c r="M15" s="35" t="e">
        <f>MAX(Donnees_Brutes_Omia_3[Connecteur 11]) + M5 + M6</f>
        <v>#N/A</v>
      </c>
      <c r="N15" s="35" t="e">
        <f>MAX(Donnees_Brutes_Omia_3[Connecteur 12]) + N5 + N6</f>
        <v>#N/A</v>
      </c>
      <c r="O15" s="35" t="e">
        <f>MAX(Donnees_Brutes_Omia_3[Connecteur 13]) + O5 + O6</f>
        <v>#N/A</v>
      </c>
      <c r="P15" s="35">
        <f>S16+Mesures_Omia!B21</f>
        <v>0</v>
      </c>
    </row>
    <row r="16" spans="1:19" s="27" customFormat="1" x14ac:dyDescent="0.25">
      <c r="B16" s="42" t="s">
        <v>91</v>
      </c>
      <c r="C16" s="43" t="e">
        <f ca="1">MAX(OFFSET(INDEX(Donnees_Brutes_Omia_3[Connecteur 1],1),COUNT(Donnees_Brutes_Omia_3[Connecteur 1])-30,0,30))+C5+C6</f>
        <v>#REF!</v>
      </c>
      <c r="D16" s="43" t="e">
        <f ca="1">MAX(OFFSET(INDEX(Donnees_Brutes_Omia_3[Connecteur 2],1),COUNT(Donnees_Brutes_Omia_3[Connecteur 2])-30,0,30))+D5+D6</f>
        <v>#REF!</v>
      </c>
      <c r="E16" s="43" t="e">
        <f ca="1">MAX(OFFSET(INDEX(Donnees_Brutes_Omia_3[Connecteur 3],1),COUNT(Donnees_Brutes_Omia_3[Connecteur 3])-30,0,30))+E5+E6</f>
        <v>#REF!</v>
      </c>
      <c r="F16" s="43" t="e">
        <f ca="1">MAX(OFFSET(INDEX(Donnees_Brutes_Omia_3[Connecteur 4],1),COUNT(Donnees_Brutes_Omia_3[Connecteur 4])-30,0,30))+F5+F6</f>
        <v>#REF!</v>
      </c>
      <c r="G16" s="43" t="e">
        <f ca="1">MAX(OFFSET(INDEX(Donnees_Brutes_Omia_3[Connecteur 5],1),COUNT(Donnees_Brutes_Omia_3[Connecteur 5])-30,0,30))+G5+G6</f>
        <v>#REF!</v>
      </c>
      <c r="H16" s="43" t="e">
        <f ca="1">MAX(OFFSET(INDEX(Donnees_Brutes_Omia_3[Connecteur 6],1),COUNT(Donnees_Brutes_Omia_3[Connecteur 6])-30,0,30))+H5+H6</f>
        <v>#REF!</v>
      </c>
      <c r="I16" s="43" t="e">
        <f ca="1">MAX(OFFSET(INDEX(Donnees_Brutes_Omia_3[Connecteur 7],1),COUNT(Donnees_Brutes_Omia_3[Connecteur 7])-30,0,30))+I5+I6</f>
        <v>#REF!</v>
      </c>
      <c r="J16" s="43" t="e">
        <f ca="1">MAX(OFFSET(INDEX(Donnees_Brutes_Omia_3[Connecteur 8],1),COUNT(Donnees_Brutes_Omia_3[Connecteur 8])-30,0,30))+J5+J6</f>
        <v>#REF!</v>
      </c>
      <c r="K16" s="43" t="e">
        <f ca="1">MAX(OFFSET(INDEX(Donnees_Brutes_Omia_3[Connecteur 9],1),COUNT(Donnees_Brutes_Omia_3[Connecteur 9])-30,0,30))+K5+K6</f>
        <v>#REF!</v>
      </c>
      <c r="L16" s="43" t="e">
        <f ca="1">MAX(OFFSET(INDEX(Donnees_Brutes_Omia_3[Connecteur 10],1),COUNT(Donnees_Brutes_Omia_3[Connecteur 10])-30,0,30))+L5+L6</f>
        <v>#REF!</v>
      </c>
      <c r="M16" s="43" t="e">
        <f ca="1">MAX(OFFSET(INDEX(Donnees_Brutes_Omia_3[Connecteur 11],1),COUNT(Donnees_Brutes_Omia_3[Connecteur 11])-30,0,30))+M5+M6</f>
        <v>#REF!</v>
      </c>
      <c r="N16" s="43" t="e">
        <f ca="1">MAX(OFFSET(INDEX(Donnees_Brutes_Omia_3[Connecteur 12],1),COUNT(Donnees_Brutes_Omia_3[Connecteur 12])-30,0,30))+N5+N6</f>
        <v>#REF!</v>
      </c>
      <c r="O16" s="43" t="e">
        <f ca="1">MAX(OFFSET(INDEX(Donnees_Brutes_Omia_3[Connecteur 13],1),COUNT(Donnees_Brutes_Omia_3[Connecteur 13])-30,0,30))+O5+O6</f>
        <v>#REF!</v>
      </c>
      <c r="P16" s="48">
        <f>S16+Mesures_Omia!B21</f>
        <v>0</v>
      </c>
      <c r="Q16" s="33"/>
      <c r="R16" s="36" t="s">
        <v>547</v>
      </c>
      <c r="S16" s="48">
        <f>Mesures_Omia!D20</f>
        <v>0</v>
      </c>
    </row>
    <row r="17" spans="1:19" s="27" customFormat="1" x14ac:dyDescent="0.25">
      <c r="B17" s="42" t="s">
        <v>93</v>
      </c>
      <c r="C17" s="43" t="e">
        <f ca="1">MIN(OFFSET(INDEX(Donnees_Brutes_Omia_3[Connecteur 1],1),COUNT(Donnees_Brutes_Omia_3[Connecteur 1])-30,0,30))+C5+C6</f>
        <v>#REF!</v>
      </c>
      <c r="D17" s="43" t="e">
        <f ca="1">MIN(OFFSET(INDEX(Donnees_Brutes_Omia_3[Connecteur 2],1),COUNT(Donnees_Brutes_Omia_3[Connecteur 2])-30,0,30))+D5+D6</f>
        <v>#REF!</v>
      </c>
      <c r="E17" s="43" t="e">
        <f ca="1">MIN(OFFSET(INDEX(Donnees_Brutes_Omia_3[Connecteur 3],1),COUNT(Donnees_Brutes_Omia_3[Connecteur 3])-30,0,30))+E5+E6</f>
        <v>#REF!</v>
      </c>
      <c r="F17" s="43" t="e">
        <f ca="1">MIN(OFFSET(INDEX(Donnees_Brutes_Omia_3[Connecteur 4],1),COUNT(Donnees_Brutes_Omia_3[Connecteur 4])-30,0,30))+F5+F6</f>
        <v>#REF!</v>
      </c>
      <c r="G17" s="43" t="e">
        <f ca="1">MIN(OFFSET(INDEX(Donnees_Brutes_Omia_3[Connecteur 5],1),COUNT(Donnees_Brutes_Omia_3[Connecteur 5])-30,0,30))+G5+G6</f>
        <v>#REF!</v>
      </c>
      <c r="H17" s="43" t="e">
        <f ca="1">MIN(OFFSET(INDEX(Donnees_Brutes_Omia_3[Connecteur 6],1),COUNT(Donnees_Brutes_Omia_3[Connecteur 6])-30,0,30))+H5+H6</f>
        <v>#REF!</v>
      </c>
      <c r="I17" s="43" t="e">
        <f ca="1">MIN(OFFSET(INDEX(Donnees_Brutes_Omia_3[Connecteur 7],1),COUNT(Donnees_Brutes_Omia_3[Connecteur 7])-30,0,30))+I5+I6</f>
        <v>#REF!</v>
      </c>
      <c r="J17" s="43" t="e">
        <f ca="1">MIN(OFFSET(INDEX(Donnees_Brutes_Omia_3[Connecteur 8],1),COUNT(Donnees_Brutes_Omia_3[Connecteur 8])-30,0,30))+J5+J6</f>
        <v>#REF!</v>
      </c>
      <c r="K17" s="43" t="e">
        <f ca="1">MIN(OFFSET(INDEX(Donnees_Brutes_Omia_3[Connecteur 9],1),COUNT(Donnees_Brutes_Omia_3[Connecteur 9])-30,0,30))+K5+K6</f>
        <v>#REF!</v>
      </c>
      <c r="L17" s="43" t="e">
        <f ca="1">MIN(OFFSET(INDEX(Donnees_Brutes_Omia_3[Connecteur 10],1),COUNT(Donnees_Brutes_Omia_3[Connecteur 10])-30,0,30))+L5+L6</f>
        <v>#REF!</v>
      </c>
      <c r="M17" s="43" t="e">
        <f ca="1">MIN(OFFSET(INDEX(Donnees_Brutes_Omia_3[Connecteur 11],1),COUNT(Donnees_Brutes_Omia_3[Connecteur 11])-30,0,30))+M5+M6</f>
        <v>#REF!</v>
      </c>
      <c r="N17" s="43" t="e">
        <f ca="1">MIN(OFFSET(INDEX(Donnees_Brutes_Omia_3[Connecteur 12],1),COUNT(Donnees_Brutes_Omia_3[Connecteur 12])-30,0,30))+N5+N6</f>
        <v>#REF!</v>
      </c>
      <c r="O17" s="43" t="e">
        <f ca="1">MIN(OFFSET(INDEX(Donnees_Brutes_Omia_3[Connecteur 13],1),COUNT(Donnees_Brutes_Omia_3[Connecteur 13])-30,0,30))+O5+O6</f>
        <v>#REF!</v>
      </c>
      <c r="P17" s="48">
        <f>S16-Mesures_Omia!B21</f>
        <v>0</v>
      </c>
      <c r="Q17" s="33"/>
      <c r="R17" s="36" t="s">
        <v>555</v>
      </c>
      <c r="S17" s="35" t="str">
        <f>"+" &amp; Mesures_Omia!B21 &amp; "°C"</f>
        <v>+°C</v>
      </c>
    </row>
    <row r="18" spans="1:19" s="27" customFormat="1" x14ac:dyDescent="0.25">
      <c r="B18" s="42" t="s">
        <v>95</v>
      </c>
      <c r="C18" s="43" t="e">
        <f ca="1">AVERAGE(OFFSET(INDEX(Donnees_Brutes_Omia_3[Connecteur 1],1),COUNT(Donnees_Brutes_Omia_3[Connecteur 1])-30,0,30))+C5+C6</f>
        <v>#REF!</v>
      </c>
      <c r="D18" s="43" t="e">
        <f ca="1">AVERAGE(OFFSET(INDEX(Donnees_Brutes_Omia_3[Connecteur 2],1),COUNT(Donnees_Brutes_Omia_3[Connecteur 2])-30,0,30))+D5+D6</f>
        <v>#REF!</v>
      </c>
      <c r="E18" s="43" t="e">
        <f ca="1">AVERAGE(OFFSET(INDEX(Donnees_Brutes_Omia_3[Connecteur 3],1),COUNT(Donnees_Brutes_Omia_3[Connecteur 3])-30,0,30))+E5+E6</f>
        <v>#REF!</v>
      </c>
      <c r="F18" s="43" t="e">
        <f ca="1">AVERAGE(OFFSET(INDEX(Donnees_Brutes_Omia_3[Connecteur 4],1),COUNT(Donnees_Brutes_Omia_3[Connecteur 4])-30,0,30))+F5+F6</f>
        <v>#REF!</v>
      </c>
      <c r="G18" s="43" t="e">
        <f ca="1">AVERAGE(OFFSET(INDEX(Donnees_Brutes_Omia_3[Connecteur 5],1),COUNT(Donnees_Brutes_Omia_3[Connecteur 5])-30,0,30))+G5+G6</f>
        <v>#REF!</v>
      </c>
      <c r="H18" s="43" t="e">
        <f ca="1">AVERAGE(OFFSET(INDEX(Donnees_Brutes_Omia_3[Connecteur 6],1),COUNT(Donnees_Brutes_Omia_3[Connecteur 6])-30,0,30))+H5+H6</f>
        <v>#REF!</v>
      </c>
      <c r="I18" s="43" t="e">
        <f ca="1">AVERAGE(OFFSET(INDEX(Donnees_Brutes_Omia_3[Connecteur 7],1),COUNT(Donnees_Brutes_Omia_3[Connecteur 7])-30,0,30))+I5+I6</f>
        <v>#REF!</v>
      </c>
      <c r="J18" s="43" t="e">
        <f ca="1">AVERAGE(OFFSET(INDEX(Donnees_Brutes_Omia_3[Connecteur 8],1),COUNT(Donnees_Brutes_Omia_3[Connecteur 8])-30,0,30))+J5+J6</f>
        <v>#REF!</v>
      </c>
      <c r="K18" s="43" t="e">
        <f ca="1">AVERAGE(OFFSET(INDEX(Donnees_Brutes_Omia_3[Connecteur 9],1),COUNT(Donnees_Brutes_Omia_3[Connecteur 9])-30,0,30))+K5+K6</f>
        <v>#REF!</v>
      </c>
      <c r="L18" s="43" t="e">
        <f ca="1">AVERAGE(OFFSET(INDEX(Donnees_Brutes_Omia_3[Connecteur 10],1),COUNT(Donnees_Brutes_Omia_3[Connecteur 10])-30,0,30))+L5+L6</f>
        <v>#REF!</v>
      </c>
      <c r="M18" s="43" t="e">
        <f ca="1">AVERAGE(OFFSET(INDEX(Donnees_Brutes_Omia_3[Connecteur 11],1),COUNT(Donnees_Brutes_Omia_3[Connecteur 11])-30,0,30))+M5+M6</f>
        <v>#REF!</v>
      </c>
      <c r="N18" s="43" t="e">
        <f ca="1">AVERAGE(OFFSET(INDEX(Donnees_Brutes_Omia_3[Connecteur 12],1),COUNT(Donnees_Brutes_Omia_3[Connecteur 12])-30,0,30))+N5+N6</f>
        <v>#REF!</v>
      </c>
      <c r="O18" s="43" t="e">
        <f ca="1">AVERAGE(OFFSET(INDEX(Donnees_Brutes_Omia_3[Connecteur 13],1),COUNT(Donnees_Brutes_Omia_3[Connecteur 13])-30,0,30))+O5+O6</f>
        <v>#REF!</v>
      </c>
      <c r="P18" s="33"/>
      <c r="Q18" s="33"/>
      <c r="R18" s="36" t="s">
        <v>556</v>
      </c>
      <c r="S18" s="35" t="str">
        <f>"-" &amp; Mesures_Omia!B21 &amp; "°C"</f>
        <v>-°C</v>
      </c>
    </row>
    <row r="19" spans="1:19" s="27" customFormat="1" x14ac:dyDescent="0.25">
      <c r="B19" s="42" t="s">
        <v>96</v>
      </c>
      <c r="C19" s="45" t="e">
        <f ca="1">C16-C17</f>
        <v>#REF!</v>
      </c>
      <c r="D19" s="45" t="e">
        <f ca="1">D16-D17</f>
        <v>#REF!</v>
      </c>
      <c r="E19" s="45" t="e">
        <f t="shared" ref="E19:O19" ca="1" si="0">E16-E17</f>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5" t="e">
        <f t="shared" ca="1" si="0"/>
        <v>#REF!</v>
      </c>
      <c r="P19" s="33"/>
    </row>
    <row r="20" spans="1:19" s="27" customFormat="1" x14ac:dyDescent="0.25">
      <c r="B20" s="42" t="s">
        <v>97</v>
      </c>
      <c r="C20" s="493" t="e">
        <f ca="1">ABS(MAX(C16:N16)-MIN(C17:N17))</f>
        <v>#REF!</v>
      </c>
      <c r="D20" s="494"/>
      <c r="E20" s="494"/>
      <c r="F20" s="494"/>
      <c r="G20" s="494"/>
      <c r="H20" s="494"/>
      <c r="I20" s="494"/>
      <c r="J20" s="494"/>
      <c r="K20" s="494"/>
      <c r="L20" s="494"/>
      <c r="M20" s="494"/>
      <c r="N20" s="494"/>
      <c r="O20" s="494"/>
      <c r="P20" s="495"/>
    </row>
    <row r="21" spans="1:19" s="27" customFormat="1" x14ac:dyDescent="0.25">
      <c r="B21" s="42" t="s">
        <v>98</v>
      </c>
      <c r="C21" s="493" t="e">
        <f ca="1">AVERAGE(C18:N18)</f>
        <v>#REF!</v>
      </c>
      <c r="D21" s="494"/>
      <c r="E21" s="494"/>
      <c r="F21" s="494"/>
      <c r="G21" s="494"/>
      <c r="H21" s="494"/>
      <c r="I21" s="494"/>
      <c r="J21" s="494"/>
      <c r="K21" s="494"/>
      <c r="L21" s="494"/>
      <c r="M21" s="494"/>
      <c r="N21" s="494"/>
      <c r="O21" s="494"/>
      <c r="P21" s="495"/>
    </row>
    <row r="22" spans="1:19" s="27" customFormat="1" x14ac:dyDescent="0.25">
      <c r="B22" s="36" t="s">
        <v>99</v>
      </c>
      <c r="C22" s="46" t="e">
        <f ca="1">STDEV(OFFSET(INDEX(Donnees_Brutes_Omia_3[Connecteur 1],1),COUNT(Donnees_Brutes_Omia_3[Connecteur 1])-30,0,30))+C5+C6</f>
        <v>#REF!</v>
      </c>
      <c r="D22" s="46" t="e">
        <f ca="1">STDEV(OFFSET(INDEX(Donnees_Brutes_Omia_3[Connecteur 2],1),COUNT(Donnees_Brutes_Omia_3[Connecteur 2])-30,0,30))+D5+D6</f>
        <v>#REF!</v>
      </c>
      <c r="E22" s="46" t="e">
        <f ca="1">STDEV(OFFSET(INDEX(Donnees_Brutes_Omia_3[Connecteur 3],1),COUNT(Donnees_Brutes_Omia_3[Connecteur 3])-30,0,30))+E5+E6</f>
        <v>#REF!</v>
      </c>
      <c r="F22" s="46" t="e">
        <f ca="1">STDEV(OFFSET(INDEX(Donnees_Brutes_Omia_3[Connecteur 4],1),COUNT(Donnees_Brutes_Omia_3[Connecteur 4])-30,0,30))+F5+F6</f>
        <v>#REF!</v>
      </c>
      <c r="G22" s="46" t="e">
        <f ca="1">STDEV(OFFSET(INDEX(Donnees_Brutes_Omia_3[Connecteur 5],1),COUNT(Donnees_Brutes_Omia_3[Connecteur 5])-30,0,30))+G5+G6</f>
        <v>#REF!</v>
      </c>
      <c r="H22" s="46" t="e">
        <f ca="1">STDEV(OFFSET(INDEX(Donnees_Brutes_Omia_3[Connecteur 6],1),COUNT(Donnees_Brutes_Omia_3[Connecteur 6])-30,0,30))+H5+H6</f>
        <v>#REF!</v>
      </c>
      <c r="I22" s="46" t="e">
        <f ca="1">STDEV(OFFSET(INDEX(Donnees_Brutes_Omia_3[Connecteur 7],1),COUNT(Donnees_Brutes_Omia_3[Connecteur 7])-30,0,30))+I5+I6</f>
        <v>#REF!</v>
      </c>
      <c r="J22" s="46" t="e">
        <f ca="1">STDEV(OFFSET(INDEX(Donnees_Brutes_Omia_3[Connecteur 8],1),COUNT(Donnees_Brutes_Omia_3[Connecteur 8])-30,0,30))+J5+J6</f>
        <v>#REF!</v>
      </c>
      <c r="K22" s="46" t="e">
        <f ca="1">STDEV(OFFSET(INDEX(Donnees_Brutes_Omia_3[Connecteur 9],1),COUNT(Donnees_Brutes_Omia_3[Connecteur 9])-30,0,30))+K5+K6</f>
        <v>#REF!</v>
      </c>
      <c r="L22" s="46" t="e">
        <f ca="1">STDEV(OFFSET(INDEX(Donnees_Brutes_Omia_3[Connecteur 10],1),COUNT(Donnees_Brutes_Omia_3[Connecteur 10])-30,0,30))+L5+L6</f>
        <v>#REF!</v>
      </c>
      <c r="M22" s="46" t="e">
        <f ca="1">STDEV(OFFSET(INDEX(Donnees_Brutes_Omia_3[Connecteur 11],1),COUNT(Donnees_Brutes_Omia_3[Connecteur 11])-30,0,30))+M5+M6</f>
        <v>#REF!</v>
      </c>
      <c r="N22" s="46" t="e">
        <f ca="1">STDEV(OFFSET(INDEX(Donnees_Brutes_Omia_3[Connecteur 12],1),COUNT(Donnees_Brutes_Omia_3[Connecteur 12])-30,0,30))+N5+N6</f>
        <v>#REF!</v>
      </c>
      <c r="O22" s="46" t="e">
        <f ca="1">STDEV(OFFSET(INDEX(Donnees_Brutes_Omia_3[Connecteur 13],1),COUNT(Donnees_Brutes_Omia_3[Connecteur 13])-30,0,30))+O5+O6</f>
        <v>#REF!</v>
      </c>
      <c r="P22" s="33"/>
    </row>
    <row r="23" spans="1:19" s="27" customFormat="1" x14ac:dyDescent="0.25">
      <c r="A23"/>
      <c r="B23"/>
      <c r="C23"/>
      <c r="D23"/>
      <c r="E23"/>
      <c r="F23"/>
      <c r="G23"/>
      <c r="H23"/>
      <c r="I23"/>
      <c r="J23"/>
      <c r="K23"/>
      <c r="L23"/>
      <c r="M23"/>
      <c r="N23"/>
      <c r="O23"/>
      <c r="P23"/>
    </row>
  </sheetData>
  <sheetProtection algorithmName="SHA-512" hashValue="EC9pMrkDGSwNKRRVtVc3PX35A1qC8RVdQY7O/GKBKMD5chUj+MDxaPjMlWTdLKIiKQ9dDjx4gy9huHaxNmSvww==" saltValue="uqmwzLpghkC4h8zN0kDECg==" spinCount="100000" sheet="1" objects="1" scenarios="1"/>
  <dataConsolidate/>
  <mergeCells count="5">
    <mergeCell ref="C21:P21"/>
    <mergeCell ref="A1:S3"/>
    <mergeCell ref="A9:N9"/>
    <mergeCell ref="C20:P20"/>
    <mergeCell ref="A13:O13"/>
  </mergeCells>
  <conditionalFormatting sqref="C16:O16">
    <cfRule type="cellIs" dxfId="28" priority="3" operator="greaterThan">
      <formula>$P$16</formula>
    </cfRule>
  </conditionalFormatting>
  <conditionalFormatting sqref="C17:O17">
    <cfRule type="cellIs" dxfId="27" priority="4" operator="lessThan">
      <formula>$P$17</formula>
    </cfRule>
  </conditionalFormatting>
  <conditionalFormatting sqref="C15:O15">
    <cfRule type="cellIs" dxfId="26" priority="1" operator="greaterThan">
      <formula>$P$15</formula>
    </cfRule>
    <cfRule type="cellIs" dxfId="25" priority="2" operator="lessThan">
      <formula>$P$17</formula>
    </cfRule>
  </conditionalFormatting>
  <pageMargins left="0.7" right="0.7" top="0.75" bottom="0.75" header="0.3" footer="0.3"/>
  <pageSetup paperSize="9"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736E2-BE61-465C-96E8-4456F0596F91}">
  <sheetPr codeName="Feuil14">
    <tabColor theme="7" tint="0.39997558519241921"/>
  </sheetPr>
  <dimension ref="A4:N511"/>
  <sheetViews>
    <sheetView view="pageBreakPreview" topLeftCell="A460" zoomScale="60" zoomScaleNormal="100" zoomScalePageLayoutView="60" workbookViewId="0">
      <selection activeCell="E507" sqref="E507"/>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501" t="s">
        <v>246</v>
      </c>
      <c r="C4" s="502"/>
      <c r="D4" s="502"/>
      <c r="E4" s="502"/>
      <c r="F4" s="502"/>
    </row>
    <row r="5" spans="2:9" ht="26.25" x14ac:dyDescent="0.25">
      <c r="B5" s="502"/>
      <c r="C5" s="502"/>
      <c r="D5" s="502"/>
      <c r="E5" s="502"/>
      <c r="F5" s="502"/>
      <c r="G5" s="87"/>
      <c r="H5" s="87"/>
      <c r="I5" s="88"/>
    </row>
    <row r="6" spans="2:9" ht="58.5" customHeight="1" x14ac:dyDescent="0.25">
      <c r="B6" s="502"/>
      <c r="C6" s="502"/>
      <c r="D6" s="502"/>
      <c r="E6" s="502"/>
      <c r="F6" s="502"/>
    </row>
    <row r="10" spans="2:9" ht="21" x14ac:dyDescent="0.25">
      <c r="C10" s="381" t="s">
        <v>138</v>
      </c>
      <c r="D10" s="381"/>
      <c r="E10" s="474">
        <f>Mesures_Omia!D6</f>
        <v>0</v>
      </c>
      <c r="F10" s="474"/>
    </row>
    <row r="11" spans="2:9" ht="21" x14ac:dyDescent="0.25">
      <c r="C11" s="89"/>
      <c r="D11" s="89"/>
      <c r="E11" s="90"/>
      <c r="F11" s="90"/>
    </row>
    <row r="12" spans="2:9" x14ac:dyDescent="0.25">
      <c r="C12" s="91" t="s">
        <v>1</v>
      </c>
      <c r="D12" s="146">
        <f>Mesures_Omia!C8</f>
        <v>0</v>
      </c>
      <c r="F12" s="91" t="s">
        <v>18</v>
      </c>
      <c r="G12" s="146">
        <f>Mesures_Omia!G8</f>
        <v>0</v>
      </c>
    </row>
    <row r="13" spans="2:9" ht="15.75" x14ac:dyDescent="0.25">
      <c r="C13" s="93" t="s">
        <v>2</v>
      </c>
      <c r="D13" s="147">
        <f>Mesures_Omia!C9</f>
        <v>0</v>
      </c>
      <c r="F13" s="95" t="s">
        <v>19</v>
      </c>
      <c r="G13" s="147">
        <f>Mesures_Omia!G9</f>
        <v>0</v>
      </c>
    </row>
    <row r="14" spans="2:9" ht="15.75" x14ac:dyDescent="0.25">
      <c r="C14" s="96"/>
      <c r="D14" s="97"/>
      <c r="G14" s="98"/>
    </row>
    <row r="15" spans="2:9" ht="15.75" x14ac:dyDescent="0.25">
      <c r="C15" s="99" t="s">
        <v>139</v>
      </c>
      <c r="D15" s="100">
        <f>Mesures_Omia!C15</f>
        <v>0</v>
      </c>
      <c r="F15" s="91" t="s">
        <v>140</v>
      </c>
      <c r="G15" s="9">
        <f>Mesures_Omia!C16</f>
        <v>0</v>
      </c>
    </row>
    <row r="16" spans="2:9" ht="15.75" x14ac:dyDescent="0.25">
      <c r="C16" s="99" t="s">
        <v>141</v>
      </c>
      <c r="D16" s="102">
        <f>Mesures_Omia!G12</f>
        <v>15</v>
      </c>
      <c r="F16" s="91" t="s">
        <v>142</v>
      </c>
      <c r="G16" s="9">
        <f>Mesures_Omia!G13</f>
        <v>0</v>
      </c>
    </row>
    <row r="17" spans="1:9" ht="15.75" x14ac:dyDescent="0.25">
      <c r="C17" s="96"/>
      <c r="D17" s="97"/>
      <c r="F17" s="96"/>
      <c r="G17" s="1"/>
    </row>
    <row r="18" spans="1:9" ht="15.75" x14ac:dyDescent="0.25">
      <c r="C18" s="99" t="s">
        <v>143</v>
      </c>
      <c r="D18" s="148">
        <f>Mesures_Omia!C12</f>
        <v>0</v>
      </c>
      <c r="F18" s="91" t="s">
        <v>144</v>
      </c>
      <c r="G18" s="155">
        <f>Mesures_Omia!G11</f>
        <v>0</v>
      </c>
    </row>
    <row r="19" spans="1:9" ht="15.75" x14ac:dyDescent="0.25">
      <c r="C19" s="93" t="s">
        <v>145</v>
      </c>
      <c r="D19" s="148">
        <f>Mesures_Omia!C12</f>
        <v>0</v>
      </c>
    </row>
    <row r="20" spans="1:9" ht="15.75" x14ac:dyDescent="0.25">
      <c r="C20" s="96"/>
      <c r="D20" s="97"/>
    </row>
    <row r="21" spans="1:9" ht="15.75" x14ac:dyDescent="0.25">
      <c r="C21" s="96"/>
      <c r="D21" s="97"/>
    </row>
    <row r="28" spans="1:9" ht="36" x14ac:dyDescent="0.55000000000000004">
      <c r="A28" s="462" t="s">
        <v>146</v>
      </c>
      <c r="B28" s="462"/>
    </row>
    <row r="30" spans="1:9" x14ac:dyDescent="0.25">
      <c r="A30" s="383" t="s">
        <v>222</v>
      </c>
      <c r="B30" s="383"/>
      <c r="C30" s="383"/>
      <c r="D30" s="383"/>
      <c r="E30" s="383"/>
      <c r="F30" s="383"/>
      <c r="G30" s="383"/>
      <c r="H30" s="383"/>
      <c r="I30" s="383"/>
    </row>
    <row r="31" spans="1:9" x14ac:dyDescent="0.25">
      <c r="A31" s="383"/>
      <c r="B31" s="383"/>
      <c r="C31" s="383"/>
      <c r="D31" s="383"/>
      <c r="E31" s="383"/>
      <c r="F31" s="383"/>
      <c r="G31" s="383"/>
      <c r="H31" s="383"/>
      <c r="I31" s="383"/>
    </row>
    <row r="32" spans="1:9" x14ac:dyDescent="0.25">
      <c r="A32" s="383"/>
      <c r="B32" s="383"/>
      <c r="C32" s="383"/>
      <c r="D32" s="383"/>
      <c r="E32" s="383"/>
      <c r="F32" s="383"/>
      <c r="G32" s="383"/>
      <c r="H32" s="383"/>
      <c r="I32" s="383"/>
    </row>
    <row r="33" spans="1:9" x14ac:dyDescent="0.25">
      <c r="A33" s="383"/>
      <c r="B33" s="383"/>
      <c r="C33" s="383"/>
      <c r="D33" s="383"/>
      <c r="E33" s="383"/>
      <c r="F33" s="383"/>
      <c r="G33" s="383"/>
      <c r="H33" s="383"/>
      <c r="I33" s="383"/>
    </row>
    <row r="34" spans="1:9" x14ac:dyDescent="0.25">
      <c r="A34" s="383"/>
      <c r="B34" s="383"/>
      <c r="C34" s="383"/>
      <c r="D34" s="383"/>
      <c r="E34" s="383"/>
      <c r="F34" s="383"/>
      <c r="G34" s="383"/>
      <c r="H34" s="383"/>
      <c r="I34" s="383"/>
    </row>
    <row r="35" spans="1:9" x14ac:dyDescent="0.25">
      <c r="A35" s="383"/>
      <c r="B35" s="383"/>
      <c r="C35" s="383"/>
      <c r="D35" s="383"/>
      <c r="E35" s="383"/>
      <c r="F35" s="383"/>
      <c r="G35" s="383"/>
      <c r="H35" s="383"/>
      <c r="I35" s="383"/>
    </row>
    <row r="36" spans="1:9" x14ac:dyDescent="0.25">
      <c r="A36" s="383"/>
      <c r="B36" s="383"/>
      <c r="C36" s="383"/>
      <c r="D36" s="383"/>
      <c r="E36" s="383"/>
      <c r="F36" s="383"/>
      <c r="G36" s="383"/>
      <c r="H36" s="383"/>
      <c r="I36" s="383"/>
    </row>
    <row r="37" spans="1:9" x14ac:dyDescent="0.25">
      <c r="A37" s="383"/>
      <c r="B37" s="383"/>
      <c r="C37" s="383"/>
      <c r="D37" s="383"/>
      <c r="E37" s="383"/>
      <c r="F37" s="383"/>
      <c r="G37" s="383"/>
      <c r="H37" s="383"/>
      <c r="I37" s="383"/>
    </row>
    <row r="38" spans="1:9" x14ac:dyDescent="0.25">
      <c r="A38" s="383"/>
      <c r="B38" s="383"/>
      <c r="C38" s="383"/>
      <c r="D38" s="383"/>
      <c r="E38" s="383"/>
      <c r="F38" s="383"/>
      <c r="G38" s="383"/>
      <c r="H38" s="383"/>
      <c r="I38" s="383"/>
    </row>
    <row r="39" spans="1:9" x14ac:dyDescent="0.25">
      <c r="A39" s="383"/>
      <c r="B39" s="383"/>
      <c r="C39" s="383"/>
      <c r="D39" s="383"/>
      <c r="E39" s="383"/>
      <c r="F39" s="383"/>
      <c r="G39" s="383"/>
      <c r="H39" s="383"/>
      <c r="I39" s="383"/>
    </row>
    <row r="40" spans="1:9" x14ac:dyDescent="0.25">
      <c r="A40" s="383"/>
      <c r="B40" s="383"/>
      <c r="C40" s="383"/>
      <c r="D40" s="383"/>
      <c r="E40" s="383"/>
      <c r="F40" s="383"/>
      <c r="G40" s="383"/>
      <c r="H40" s="383"/>
      <c r="I40" s="383"/>
    </row>
    <row r="41" spans="1:9" x14ac:dyDescent="0.25">
      <c r="A41" s="383"/>
      <c r="B41" s="383"/>
      <c r="C41" s="383"/>
      <c r="D41" s="383"/>
      <c r="E41" s="383"/>
      <c r="F41" s="383"/>
      <c r="G41" s="383"/>
      <c r="H41" s="383"/>
      <c r="I41" s="383"/>
    </row>
    <row r="42" spans="1:9" x14ac:dyDescent="0.25">
      <c r="A42" s="383"/>
      <c r="B42" s="383"/>
      <c r="C42" s="383"/>
      <c r="D42" s="383"/>
      <c r="E42" s="383"/>
      <c r="F42" s="383"/>
      <c r="G42" s="383"/>
      <c r="H42" s="383"/>
      <c r="I42" s="383"/>
    </row>
    <row r="43" spans="1:9" x14ac:dyDescent="0.25">
      <c r="A43" s="383"/>
      <c r="B43" s="383"/>
      <c r="C43" s="383"/>
      <c r="D43" s="383"/>
      <c r="E43" s="383"/>
      <c r="F43" s="383"/>
      <c r="G43" s="383"/>
      <c r="H43" s="383"/>
      <c r="I43" s="383"/>
    </row>
    <row r="44" spans="1:9" x14ac:dyDescent="0.25">
      <c r="A44" s="383"/>
      <c r="B44" s="383"/>
      <c r="C44" s="383"/>
      <c r="D44" s="383"/>
      <c r="E44" s="383"/>
      <c r="F44" s="383"/>
      <c r="G44" s="383"/>
      <c r="H44" s="383"/>
      <c r="I44" s="383"/>
    </row>
    <row r="45" spans="1:9" x14ac:dyDescent="0.25">
      <c r="A45" s="383"/>
      <c r="B45" s="383"/>
      <c r="C45" s="383"/>
      <c r="D45" s="383"/>
      <c r="E45" s="383"/>
      <c r="F45" s="383"/>
      <c r="G45" s="383"/>
      <c r="H45" s="383"/>
      <c r="I45" s="383"/>
    </row>
    <row r="46" spans="1:9" x14ac:dyDescent="0.25">
      <c r="A46" s="383"/>
      <c r="B46" s="383"/>
      <c r="C46" s="383"/>
      <c r="D46" s="383"/>
      <c r="E46" s="383"/>
      <c r="F46" s="383"/>
      <c r="G46" s="383"/>
      <c r="H46" s="383"/>
      <c r="I46" s="383"/>
    </row>
    <row r="47" spans="1:9" x14ac:dyDescent="0.25">
      <c r="A47" s="383"/>
      <c r="B47" s="383"/>
      <c r="C47" s="383"/>
      <c r="D47" s="383"/>
      <c r="E47" s="383"/>
      <c r="F47" s="383"/>
      <c r="G47" s="383"/>
      <c r="H47" s="383"/>
      <c r="I47" s="383"/>
    </row>
    <row r="51" spans="2:8" ht="36" x14ac:dyDescent="0.25">
      <c r="C51" s="464" t="s">
        <v>148</v>
      </c>
      <c r="D51" s="464"/>
      <c r="E51" s="464"/>
      <c r="F51" s="464"/>
    </row>
    <row r="52" spans="2:8" ht="17.25" x14ac:dyDescent="0.25">
      <c r="B52" s="104"/>
    </row>
    <row r="53" spans="2:8" ht="23.25" x14ac:dyDescent="0.25">
      <c r="B53" s="105" t="s">
        <v>149</v>
      </c>
    </row>
    <row r="55" spans="2:8" ht="21" x14ac:dyDescent="0.25">
      <c r="B55" s="106" t="s">
        <v>223</v>
      </c>
      <c r="E55" s="473" t="s">
        <v>224</v>
      </c>
      <c r="F55" s="473"/>
      <c r="G55" s="106"/>
      <c r="H55" s="107"/>
    </row>
    <row r="56" spans="2:8" ht="21" x14ac:dyDescent="0.25">
      <c r="B56" s="106" t="s">
        <v>225</v>
      </c>
      <c r="E56" s="473" t="s">
        <v>226</v>
      </c>
      <c r="F56" s="473"/>
      <c r="G56" s="473"/>
      <c r="H56" s="106"/>
    </row>
    <row r="57" spans="2:8" ht="21" x14ac:dyDescent="0.25">
      <c r="B57" s="473" t="s">
        <v>227</v>
      </c>
      <c r="C57" s="473"/>
      <c r="E57" s="473" t="s">
        <v>155</v>
      </c>
      <c r="F57" s="473"/>
      <c r="G57" s="107"/>
      <c r="H57" s="107"/>
    </row>
    <row r="59" spans="2:8" ht="23.25" x14ac:dyDescent="0.25">
      <c r="B59" s="105" t="s">
        <v>156</v>
      </c>
    </row>
    <row r="61" spans="2:8" ht="21" x14ac:dyDescent="0.25">
      <c r="B61" s="473" t="s">
        <v>228</v>
      </c>
      <c r="C61" s="473"/>
      <c r="D61" s="106"/>
      <c r="E61" s="473"/>
      <c r="F61" s="473"/>
      <c r="G61" s="473"/>
    </row>
    <row r="62" spans="2:8" ht="21" x14ac:dyDescent="0.25">
      <c r="B62" s="473" t="s">
        <v>229</v>
      </c>
      <c r="C62" s="473"/>
      <c r="D62" s="106"/>
    </row>
    <row r="64" spans="2:8" ht="21" x14ac:dyDescent="0.25">
      <c r="B64" s="106" t="s">
        <v>160</v>
      </c>
    </row>
    <row r="66" spans="2:9" ht="21" x14ac:dyDescent="0.25">
      <c r="B66" s="106" t="s">
        <v>230</v>
      </c>
      <c r="C66" s="106"/>
      <c r="D66" s="106"/>
      <c r="E66" s="500" t="s">
        <v>231</v>
      </c>
      <c r="F66" s="500"/>
      <c r="G66" s="106"/>
      <c r="H66" s="106"/>
      <c r="I66" s="106"/>
    </row>
    <row r="67" spans="2:9" ht="21" x14ac:dyDescent="0.25">
      <c r="B67" s="149" t="s">
        <v>231</v>
      </c>
      <c r="C67" s="106"/>
      <c r="D67" s="106"/>
      <c r="E67" s="473" t="s">
        <v>232</v>
      </c>
      <c r="F67" s="473"/>
      <c r="G67" s="473"/>
      <c r="H67" s="473"/>
      <c r="I67" s="106"/>
    </row>
    <row r="68" spans="2:9" ht="21" x14ac:dyDescent="0.25">
      <c r="B68" s="473"/>
      <c r="C68" s="473"/>
      <c r="D68" s="473"/>
      <c r="E68" s="473"/>
      <c r="F68" s="473"/>
      <c r="G68" s="473"/>
      <c r="H68" s="473"/>
      <c r="I68" s="473"/>
    </row>
    <row r="69" spans="2:9" ht="21" x14ac:dyDescent="0.25">
      <c r="B69" s="473"/>
      <c r="C69" s="473"/>
      <c r="D69" s="473"/>
      <c r="E69" s="473"/>
      <c r="F69" s="473"/>
      <c r="G69" s="473"/>
      <c r="H69" s="473"/>
      <c r="I69" s="107"/>
    </row>
    <row r="85" spans="1:9" ht="36" x14ac:dyDescent="0.25">
      <c r="C85" s="464" t="s">
        <v>170</v>
      </c>
      <c r="D85" s="464"/>
      <c r="E85" s="464"/>
      <c r="F85" s="464"/>
      <c r="G85" s="464"/>
    </row>
    <row r="87" spans="1:9" ht="26.25" x14ac:dyDescent="0.25">
      <c r="B87" s="108" t="s">
        <v>171</v>
      </c>
    </row>
    <row r="89" spans="1:9" ht="21" x14ac:dyDescent="0.25">
      <c r="B89" s="106" t="s">
        <v>233</v>
      </c>
      <c r="C89" s="106"/>
      <c r="E89" s="106"/>
      <c r="F89" s="106"/>
      <c r="G89" s="106"/>
      <c r="H89" s="107"/>
    </row>
    <row r="90" spans="1:9" ht="21" x14ac:dyDescent="0.25">
      <c r="B90" s="106" t="s">
        <v>173</v>
      </c>
      <c r="C90" s="106"/>
      <c r="E90" s="106"/>
      <c r="F90" s="106"/>
      <c r="G90" s="106"/>
      <c r="H90" s="107"/>
    </row>
    <row r="91" spans="1:9" ht="21" x14ac:dyDescent="0.25">
      <c r="B91" s="106" t="s">
        <v>234</v>
      </c>
      <c r="C91" s="106"/>
      <c r="E91" s="106"/>
      <c r="F91" s="106"/>
      <c r="G91" s="106"/>
      <c r="H91" s="107"/>
    </row>
    <row r="92" spans="1:9" ht="21" x14ac:dyDescent="0.25">
      <c r="B92" s="106" t="s">
        <v>235</v>
      </c>
      <c r="C92" s="106"/>
      <c r="E92" s="106"/>
      <c r="F92" s="106"/>
      <c r="G92" s="106"/>
      <c r="H92" s="107"/>
    </row>
    <row r="93" spans="1:9" ht="21" x14ac:dyDescent="0.25">
      <c r="B93" s="109"/>
      <c r="C93" s="109"/>
      <c r="E93" s="106"/>
      <c r="F93" s="106"/>
      <c r="G93" s="106"/>
      <c r="H93" s="107"/>
    </row>
    <row r="94" spans="1:9" ht="17.25" x14ac:dyDescent="0.25">
      <c r="A94" s="110"/>
      <c r="C94" s="443" t="s">
        <v>10</v>
      </c>
      <c r="D94" s="453"/>
      <c r="E94" s="453"/>
      <c r="F94" s="453"/>
      <c r="G94" s="453"/>
      <c r="H94" s="444"/>
      <c r="I94" s="110"/>
    </row>
    <row r="95" spans="1:9" ht="30" x14ac:dyDescent="0.25">
      <c r="A95" s="110"/>
      <c r="B95" s="110"/>
      <c r="C95" s="447"/>
      <c r="D95" s="447"/>
      <c r="E95" s="3" t="s">
        <v>15</v>
      </c>
      <c r="F95" s="20" t="s">
        <v>17</v>
      </c>
      <c r="G95" s="20" t="s">
        <v>24</v>
      </c>
      <c r="H95" s="20" t="s">
        <v>25</v>
      </c>
      <c r="I95" s="113"/>
    </row>
    <row r="96" spans="1:9" ht="17.25" x14ac:dyDescent="0.25">
      <c r="A96" s="110"/>
      <c r="B96" s="110"/>
      <c r="C96" s="443" t="str">
        <f>Mesures_Omia!A45</f>
        <v xml:space="preserve">Sonde </v>
      </c>
      <c r="D96" s="444"/>
      <c r="E96" s="10" cm="1">
        <f t="array" ref="E96:H108">Mesures_Omia!C45:F57</f>
        <v>0</v>
      </c>
      <c r="F96" s="10">
        <v>0</v>
      </c>
      <c r="G96" s="10">
        <v>0</v>
      </c>
      <c r="H96" s="10">
        <v>0</v>
      </c>
      <c r="I96" s="110"/>
    </row>
    <row r="97" spans="1:9" ht="17.25" x14ac:dyDescent="0.25">
      <c r="A97" s="110"/>
      <c r="B97" s="110"/>
      <c r="C97" s="443" t="str">
        <f>Mesures_Omia!A46</f>
        <v xml:space="preserve">Sonde </v>
      </c>
      <c r="D97" s="444"/>
      <c r="E97" s="10">
        <v>0</v>
      </c>
      <c r="F97" s="10">
        <v>0</v>
      </c>
      <c r="G97" s="10">
        <v>0</v>
      </c>
      <c r="H97" s="10">
        <v>0</v>
      </c>
      <c r="I97" s="110"/>
    </row>
    <row r="98" spans="1:9" ht="17.25" x14ac:dyDescent="0.25">
      <c r="A98" s="110"/>
      <c r="B98" s="110"/>
      <c r="C98" s="443" t="str">
        <f>Mesures_Omia!A47</f>
        <v xml:space="preserve">Sonde </v>
      </c>
      <c r="D98" s="444"/>
      <c r="E98" s="10">
        <v>0</v>
      </c>
      <c r="F98" s="10">
        <v>0</v>
      </c>
      <c r="G98" s="10">
        <v>0</v>
      </c>
      <c r="H98" s="10">
        <v>0</v>
      </c>
      <c r="I98" s="110"/>
    </row>
    <row r="99" spans="1:9" ht="17.25" x14ac:dyDescent="0.25">
      <c r="A99" s="110"/>
      <c r="B99" s="110"/>
      <c r="C99" s="443" t="str">
        <f>Mesures_Omia!A48</f>
        <v xml:space="preserve">Sonde </v>
      </c>
      <c r="D99" s="444"/>
      <c r="E99" s="10">
        <v>0</v>
      </c>
      <c r="F99" s="10">
        <v>0</v>
      </c>
      <c r="G99" s="10">
        <v>0</v>
      </c>
      <c r="H99" s="10">
        <v>0</v>
      </c>
      <c r="I99" s="110"/>
    </row>
    <row r="100" spans="1:9" ht="17.25" x14ac:dyDescent="0.25">
      <c r="A100" s="110"/>
      <c r="B100" s="110"/>
      <c r="C100" s="443" t="str">
        <f>Mesures_Omia!A49</f>
        <v xml:space="preserve">Sonde </v>
      </c>
      <c r="D100" s="444"/>
      <c r="E100" s="10">
        <v>0</v>
      </c>
      <c r="F100" s="10">
        <v>0</v>
      </c>
      <c r="G100" s="10">
        <v>0</v>
      </c>
      <c r="H100" s="10">
        <v>0</v>
      </c>
      <c r="I100" s="110"/>
    </row>
    <row r="101" spans="1:9" ht="17.25" x14ac:dyDescent="0.25">
      <c r="A101" s="110"/>
      <c r="B101" s="110"/>
      <c r="C101" s="443" t="str">
        <f>Mesures_Omia!A50</f>
        <v xml:space="preserve">Sonde </v>
      </c>
      <c r="D101" s="444"/>
      <c r="E101" s="10">
        <v>0</v>
      </c>
      <c r="F101" s="10">
        <v>0</v>
      </c>
      <c r="G101" s="10">
        <v>0</v>
      </c>
      <c r="H101" s="10">
        <v>0</v>
      </c>
      <c r="I101" s="110"/>
    </row>
    <row r="102" spans="1:9" ht="17.25" x14ac:dyDescent="0.25">
      <c r="A102" s="110"/>
      <c r="B102" s="110"/>
      <c r="C102" s="443" t="str">
        <f>Mesures_Omia!A51</f>
        <v xml:space="preserve">Sonde </v>
      </c>
      <c r="D102" s="444"/>
      <c r="E102" s="10">
        <v>0</v>
      </c>
      <c r="F102" s="10">
        <v>0</v>
      </c>
      <c r="G102" s="10">
        <v>0</v>
      </c>
      <c r="H102" s="10">
        <v>0</v>
      </c>
      <c r="I102" s="110"/>
    </row>
    <row r="103" spans="1:9" ht="17.25" x14ac:dyDescent="0.25">
      <c r="A103" s="110"/>
      <c r="B103" s="110"/>
      <c r="C103" s="443" t="str">
        <f>Mesures_Omia!A52</f>
        <v xml:space="preserve">Sonde </v>
      </c>
      <c r="D103" s="444"/>
      <c r="E103" s="10">
        <v>0</v>
      </c>
      <c r="F103" s="10">
        <v>0</v>
      </c>
      <c r="G103" s="10">
        <v>0</v>
      </c>
      <c r="H103" s="10">
        <v>0</v>
      </c>
      <c r="I103" s="110"/>
    </row>
    <row r="104" spans="1:9" ht="17.25" x14ac:dyDescent="0.25">
      <c r="A104" s="110"/>
      <c r="B104" s="110"/>
      <c r="C104" s="443" t="str">
        <f>Mesures_Omia!A53</f>
        <v xml:space="preserve">Sonde </v>
      </c>
      <c r="D104" s="444"/>
      <c r="E104" s="10">
        <v>0</v>
      </c>
      <c r="F104" s="10">
        <v>0</v>
      </c>
      <c r="G104" s="10">
        <v>0</v>
      </c>
      <c r="H104" s="10">
        <v>0</v>
      </c>
      <c r="I104" s="110"/>
    </row>
    <row r="105" spans="1:9" ht="17.25" x14ac:dyDescent="0.25">
      <c r="A105" s="110"/>
      <c r="B105" s="110"/>
      <c r="C105" s="443" t="str">
        <f>Mesures_Omia!A54</f>
        <v xml:space="preserve">Sonde </v>
      </c>
      <c r="D105" s="444"/>
      <c r="E105" s="10">
        <v>0</v>
      </c>
      <c r="F105" s="10">
        <v>0</v>
      </c>
      <c r="G105" s="10">
        <v>0</v>
      </c>
      <c r="H105" s="10">
        <v>0</v>
      </c>
      <c r="I105" s="110"/>
    </row>
    <row r="106" spans="1:9" ht="17.25" x14ac:dyDescent="0.25">
      <c r="A106" s="110"/>
      <c r="B106" s="110"/>
      <c r="C106" s="443" t="str">
        <f>Mesures_Omia!A55</f>
        <v xml:space="preserve">Sonde </v>
      </c>
      <c r="D106" s="444"/>
      <c r="E106" s="10">
        <v>0</v>
      </c>
      <c r="F106" s="10">
        <v>0</v>
      </c>
      <c r="G106" s="10">
        <v>0</v>
      </c>
      <c r="H106" s="10">
        <v>0</v>
      </c>
      <c r="I106" s="110"/>
    </row>
    <row r="107" spans="1:9" ht="17.25" x14ac:dyDescent="0.25">
      <c r="A107" s="110"/>
      <c r="B107" s="110"/>
      <c r="C107" s="443" t="str">
        <f>Mesures_Omia!A56</f>
        <v xml:space="preserve">Sonde </v>
      </c>
      <c r="D107" s="444"/>
      <c r="E107" s="10">
        <v>0</v>
      </c>
      <c r="F107" s="10">
        <v>0</v>
      </c>
      <c r="G107" s="10">
        <v>0</v>
      </c>
      <c r="H107" s="10">
        <v>0</v>
      </c>
      <c r="I107" s="110"/>
    </row>
    <row r="108" spans="1:9" ht="17.25" x14ac:dyDescent="0.25">
      <c r="A108" s="110"/>
      <c r="B108" s="110"/>
      <c r="C108" s="443" t="str">
        <f>Mesures_Omia!A57</f>
        <v xml:space="preserve">Sonde </v>
      </c>
      <c r="D108" s="444"/>
      <c r="E108" s="10">
        <v>0</v>
      </c>
      <c r="F108" s="10">
        <v>0</v>
      </c>
      <c r="G108" s="10">
        <v>0</v>
      </c>
      <c r="H108" s="10">
        <v>0</v>
      </c>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7" t="s">
        <v>176</v>
      </c>
      <c r="C116" s="467"/>
      <c r="D116" s="467"/>
      <c r="E116" s="467"/>
      <c r="F116" s="467"/>
    </row>
    <row r="118" spans="1:9" ht="26.25" x14ac:dyDescent="0.25">
      <c r="B118" s="108" t="s">
        <v>177</v>
      </c>
    </row>
    <row r="120" spans="1:9" ht="21" x14ac:dyDescent="0.3">
      <c r="B120" s="116" t="s">
        <v>179</v>
      </c>
      <c r="C120" s="106" t="s">
        <v>180</v>
      </c>
      <c r="E120" s="106" t="s">
        <v>178</v>
      </c>
      <c r="F120" s="106"/>
      <c r="G120" s="115">
        <f>Mesures_Omia!K45</f>
        <v>0</v>
      </c>
    </row>
    <row r="121" spans="1:9" ht="21" x14ac:dyDescent="0.3">
      <c r="B121" s="116" t="s">
        <v>182</v>
      </c>
      <c r="C121" s="109" t="s">
        <v>183</v>
      </c>
      <c r="E121" s="106" t="s">
        <v>181</v>
      </c>
      <c r="F121" s="106"/>
      <c r="G121" s="115">
        <f>Mesures_Omia!L45</f>
        <v>0</v>
      </c>
    </row>
    <row r="122" spans="1:9" ht="21" x14ac:dyDescent="0.35">
      <c r="B122" s="118" t="s">
        <v>185</v>
      </c>
      <c r="C122" s="119" t="s">
        <v>186</v>
      </c>
      <c r="E122" s="106" t="s">
        <v>184</v>
      </c>
      <c r="F122" s="106"/>
      <c r="G122" s="117">
        <f>Mesures_Omia!M45</f>
        <v>0</v>
      </c>
    </row>
    <row r="127" spans="1:9" ht="36" x14ac:dyDescent="0.25">
      <c r="C127" s="464" t="s">
        <v>188</v>
      </c>
      <c r="D127" s="464"/>
      <c r="E127" s="464"/>
      <c r="F127" s="464"/>
    </row>
    <row r="128" spans="1:9" ht="36" x14ac:dyDescent="0.25">
      <c r="B128" s="103"/>
      <c r="C128" s="103"/>
      <c r="D128" s="103"/>
    </row>
    <row r="129" spans="2:9" x14ac:dyDescent="0.25">
      <c r="B129" s="342"/>
      <c r="C129" s="342"/>
      <c r="D129" s="342"/>
      <c r="E129" s="342"/>
      <c r="F129" s="342"/>
      <c r="G129" s="342"/>
      <c r="H129" s="342"/>
      <c r="I129" s="342"/>
    </row>
    <row r="130" spans="2:9" x14ac:dyDescent="0.25">
      <c r="B130" s="342"/>
      <c r="C130" s="342"/>
      <c r="D130" s="342"/>
      <c r="E130" s="342"/>
      <c r="F130" s="342"/>
      <c r="G130" s="342"/>
      <c r="H130" s="342"/>
      <c r="I130" s="342"/>
    </row>
    <row r="131" spans="2:9" x14ac:dyDescent="0.25">
      <c r="B131" s="342"/>
      <c r="C131" s="342"/>
      <c r="D131" s="342"/>
      <c r="E131" s="342"/>
      <c r="F131" s="342"/>
      <c r="G131" s="342"/>
      <c r="H131" s="342"/>
      <c r="I131" s="342"/>
    </row>
    <row r="132" spans="2:9" x14ac:dyDescent="0.25">
      <c r="B132" s="342"/>
      <c r="C132" s="342"/>
      <c r="D132" s="342"/>
      <c r="E132" s="342"/>
      <c r="F132" s="342"/>
      <c r="G132" s="342"/>
      <c r="H132" s="342"/>
      <c r="I132" s="342"/>
    </row>
    <row r="133" spans="2:9" x14ac:dyDescent="0.25">
      <c r="B133" s="342"/>
      <c r="C133" s="342"/>
      <c r="D133" s="342"/>
      <c r="E133" s="342"/>
      <c r="F133" s="342"/>
      <c r="G133" s="342"/>
      <c r="H133" s="342"/>
      <c r="I133" s="342"/>
    </row>
    <row r="134" spans="2:9" x14ac:dyDescent="0.25">
      <c r="B134" s="342"/>
      <c r="C134" s="342"/>
      <c r="D134" s="342"/>
      <c r="E134" s="342"/>
      <c r="F134" s="342"/>
      <c r="G134" s="342"/>
      <c r="H134" s="342"/>
      <c r="I134" s="342"/>
    </row>
    <row r="135" spans="2:9" x14ac:dyDescent="0.25">
      <c r="B135" s="342"/>
      <c r="C135" s="342"/>
      <c r="D135" s="342"/>
      <c r="E135" s="342"/>
      <c r="F135" s="342"/>
      <c r="G135" s="342"/>
      <c r="H135" s="342"/>
      <c r="I135" s="342"/>
    </row>
    <row r="136" spans="2:9" x14ac:dyDescent="0.25">
      <c r="B136" s="342"/>
      <c r="C136" s="342"/>
      <c r="D136" s="342"/>
      <c r="E136" s="342"/>
      <c r="F136" s="342"/>
      <c r="G136" s="342"/>
      <c r="H136" s="342"/>
      <c r="I136" s="342"/>
    </row>
    <row r="137" spans="2:9" x14ac:dyDescent="0.25">
      <c r="B137" s="342"/>
      <c r="C137" s="342"/>
      <c r="D137" s="342"/>
      <c r="E137" s="342"/>
      <c r="F137" s="342"/>
      <c r="G137" s="342"/>
      <c r="H137" s="342"/>
      <c r="I137" s="342"/>
    </row>
    <row r="138" spans="2:9" x14ac:dyDescent="0.25">
      <c r="B138" s="342"/>
      <c r="C138" s="342"/>
      <c r="D138" s="342"/>
      <c r="E138" s="342"/>
      <c r="F138" s="342"/>
      <c r="G138" s="342"/>
      <c r="H138" s="342"/>
      <c r="I138" s="342"/>
    </row>
    <row r="139" spans="2:9" x14ac:dyDescent="0.25">
      <c r="B139" s="342"/>
      <c r="C139" s="342"/>
      <c r="D139" s="342"/>
      <c r="E139" s="342"/>
      <c r="F139" s="342"/>
      <c r="G139" s="342"/>
      <c r="H139" s="342"/>
      <c r="I139" s="342"/>
    </row>
    <row r="140" spans="2:9" x14ac:dyDescent="0.25">
      <c r="B140" s="342"/>
      <c r="C140" s="342"/>
      <c r="D140" s="342"/>
      <c r="E140" s="342"/>
      <c r="F140" s="342"/>
      <c r="G140" s="342"/>
      <c r="H140" s="342"/>
      <c r="I140" s="342"/>
    </row>
    <row r="141" spans="2:9" x14ac:dyDescent="0.25">
      <c r="B141" s="342"/>
      <c r="C141" s="342"/>
      <c r="D141" s="342"/>
      <c r="E141" s="342"/>
      <c r="F141" s="342"/>
      <c r="G141" s="342"/>
      <c r="H141" s="342"/>
      <c r="I141" s="342"/>
    </row>
    <row r="142" spans="2:9" x14ac:dyDescent="0.25">
      <c r="B142" s="342"/>
      <c r="C142" s="342"/>
      <c r="D142" s="342"/>
      <c r="E142" s="342"/>
      <c r="F142" s="342"/>
      <c r="G142" s="342"/>
      <c r="H142" s="342"/>
      <c r="I142" s="342"/>
    </row>
    <row r="143" spans="2:9" x14ac:dyDescent="0.25">
      <c r="B143" s="342"/>
      <c r="C143" s="342"/>
      <c r="D143" s="342"/>
      <c r="E143" s="342"/>
      <c r="F143" s="342"/>
      <c r="G143" s="342"/>
      <c r="H143" s="342"/>
      <c r="I143" s="342"/>
    </row>
    <row r="144" spans="2:9" x14ac:dyDescent="0.25">
      <c r="B144" s="342"/>
      <c r="C144" s="342"/>
      <c r="D144" s="342"/>
      <c r="E144" s="342"/>
      <c r="F144" s="342"/>
      <c r="G144" s="342"/>
      <c r="H144" s="342"/>
      <c r="I144" s="342"/>
    </row>
    <row r="163" spans="1:8" ht="36" x14ac:dyDescent="0.25">
      <c r="C163" s="464" t="s">
        <v>236</v>
      </c>
      <c r="D163" s="464"/>
      <c r="E163" s="464"/>
      <c r="F163" s="464"/>
      <c r="G163" s="464"/>
      <c r="H163" s="464"/>
    </row>
    <row r="166" spans="1:8" ht="15.75" thickBot="1" x14ac:dyDescent="0.3"/>
    <row r="167" spans="1:8" ht="15.75" thickBot="1" x14ac:dyDescent="0.3">
      <c r="A167" s="12" t="s">
        <v>9</v>
      </c>
      <c r="B167" s="13" t="s">
        <v>12</v>
      </c>
      <c r="C167" s="13" t="s">
        <v>14</v>
      </c>
    </row>
    <row r="168" spans="1:8" x14ac:dyDescent="0.25">
      <c r="A168" s="15">
        <v>1</v>
      </c>
      <c r="B168" s="16">
        <f>Mesures_Omia!B24</f>
        <v>0</v>
      </c>
      <c r="C168" s="17">
        <f>Mesures_Omia!C24</f>
        <v>0</v>
      </c>
    </row>
    <row r="169" spans="1:8" x14ac:dyDescent="0.25">
      <c r="A169" s="19">
        <v>2</v>
      </c>
      <c r="B169" s="16">
        <f>Mesures_Omia!B25</f>
        <v>0</v>
      </c>
      <c r="C169" s="17">
        <f>Mesures_Omia!C25</f>
        <v>0</v>
      </c>
    </row>
    <row r="170" spans="1:8" x14ac:dyDescent="0.25">
      <c r="A170" s="15">
        <v>3</v>
      </c>
      <c r="B170" s="16">
        <f>Mesures_Omia!B26</f>
        <v>0</v>
      </c>
      <c r="C170" s="17">
        <f>Mesures_Omia!C26</f>
        <v>0</v>
      </c>
    </row>
    <row r="171" spans="1:8" x14ac:dyDescent="0.25">
      <c r="A171" s="19">
        <v>4</v>
      </c>
      <c r="B171" s="16">
        <f>Mesures_Omia!B27</f>
        <v>0</v>
      </c>
      <c r="C171" s="17">
        <f>Mesures_Omia!C27</f>
        <v>0</v>
      </c>
    </row>
    <row r="172" spans="1:8" x14ac:dyDescent="0.25">
      <c r="A172" s="15">
        <v>5</v>
      </c>
      <c r="B172" s="16">
        <f>Mesures_Omia!B28</f>
        <v>0</v>
      </c>
      <c r="C172" s="17">
        <f>Mesures_Omia!C28</f>
        <v>0</v>
      </c>
    </row>
    <row r="173" spans="1:8" x14ac:dyDescent="0.25">
      <c r="A173" s="19">
        <v>6</v>
      </c>
      <c r="B173" s="16">
        <f>Mesures_Omia!B29</f>
        <v>0</v>
      </c>
      <c r="C173" s="17">
        <f>Mesures_Omia!C29</f>
        <v>0</v>
      </c>
    </row>
    <row r="174" spans="1:8" x14ac:dyDescent="0.25">
      <c r="A174" s="15">
        <v>7</v>
      </c>
      <c r="B174" s="16">
        <f>Mesures_Omia!B30</f>
        <v>0</v>
      </c>
      <c r="C174" s="17">
        <f>Mesures_Omia!C30</f>
        <v>0</v>
      </c>
    </row>
    <row r="175" spans="1:8" x14ac:dyDescent="0.25">
      <c r="A175" s="19">
        <v>8</v>
      </c>
      <c r="B175" s="16">
        <f>Mesures_Omia!B31</f>
        <v>0</v>
      </c>
      <c r="C175" s="17">
        <f>Mesures_Omia!C31</f>
        <v>0</v>
      </c>
    </row>
    <row r="176" spans="1:8" x14ac:dyDescent="0.25">
      <c r="A176" s="15">
        <v>9</v>
      </c>
      <c r="B176" s="16">
        <f>Mesures_Omia!B32</f>
        <v>0</v>
      </c>
      <c r="C176" s="17">
        <f>Mesures_Omia!C32</f>
        <v>0</v>
      </c>
    </row>
    <row r="177" spans="1:3" x14ac:dyDescent="0.25">
      <c r="A177" s="19">
        <v>10</v>
      </c>
      <c r="B177" s="16">
        <f>Mesures_Omia!B33</f>
        <v>0</v>
      </c>
      <c r="C177" s="17">
        <f>Mesures_Omia!C33</f>
        <v>0</v>
      </c>
    </row>
    <row r="178" spans="1:3" x14ac:dyDescent="0.25">
      <c r="A178" s="15">
        <v>11</v>
      </c>
      <c r="B178" s="16">
        <f>Mesures_Omia!B34</f>
        <v>0</v>
      </c>
      <c r="C178" s="17">
        <f>Mesures_Omia!C34</f>
        <v>0</v>
      </c>
    </row>
    <row r="179" spans="1:3" x14ac:dyDescent="0.25">
      <c r="A179" s="19">
        <v>12</v>
      </c>
      <c r="B179" s="16">
        <f>Mesures_Omia!B35</f>
        <v>0</v>
      </c>
      <c r="C179" s="17">
        <f>Mesures_Omia!C35</f>
        <v>0</v>
      </c>
    </row>
    <row r="180" spans="1:3" x14ac:dyDescent="0.25">
      <c r="A180" s="19">
        <v>13</v>
      </c>
      <c r="B180" s="16">
        <f>Mesures_Omia!B36</f>
        <v>0</v>
      </c>
      <c r="C180" s="17">
        <f>Mesures_Omia!C36</f>
        <v>0</v>
      </c>
    </row>
    <row r="196" spans="1:9" ht="36" x14ac:dyDescent="0.25">
      <c r="C196" s="464" t="str">
        <f>"6. Résultats et exploitation des résultats à " &amp; Mesures_Omia!B20 &amp; "°C"</f>
        <v>6. Résultats et exploitation des résultats à °C</v>
      </c>
      <c r="D196" s="464"/>
      <c r="E196" s="464"/>
      <c r="F196" s="464"/>
      <c r="G196" s="464"/>
      <c r="H196" s="464"/>
    </row>
    <row r="200" spans="1:9" x14ac:dyDescent="0.25">
      <c r="A200" s="121" t="s">
        <v>237</v>
      </c>
      <c r="B200" s="123">
        <f>Mesures_Omia!B20</f>
        <v>0</v>
      </c>
      <c r="G200" s="468" t="s">
        <v>190</v>
      </c>
      <c r="H200" s="469"/>
      <c r="I200" s="470"/>
    </row>
    <row r="201" spans="1:9" x14ac:dyDescent="0.25">
      <c r="A201" s="121" t="s">
        <v>238</v>
      </c>
      <c r="B201" s="150">
        <f>Mesures_Omia!B21</f>
        <v>0</v>
      </c>
      <c r="G201" s="22" t="s">
        <v>191</v>
      </c>
      <c r="H201" s="22" t="s">
        <v>192</v>
      </c>
      <c r="I201" s="22" t="s">
        <v>193</v>
      </c>
    </row>
    <row r="202" spans="1:9" x14ac:dyDescent="0.25">
      <c r="G202" s="124" t="e" cm="1">
        <f t="array" ref="G202">INDEX(Donnees_Brutes_Omia_1[Date/Heure], COUNTA(Donnees_Brutes_Omia_1[Connecteur 1])-30)</f>
        <v>#VALUE!</v>
      </c>
      <c r="H202" s="124" cm="1">
        <f t="array" ref="H202">INDEX(Donnees_Brutes_Omia_1[Date/Heure], COUNTA(Donnees_Brutes_Omia_1[Connecteur 1]))</f>
        <v>0</v>
      </c>
      <c r="I202" s="124" t="e">
        <f>H202-G202</f>
        <v>#VALUE!</v>
      </c>
    </row>
    <row r="205" spans="1:9" ht="23.25" x14ac:dyDescent="0.25">
      <c r="B205" s="471" t="s">
        <v>194</v>
      </c>
      <c r="C205" s="471"/>
    </row>
    <row r="208" spans="1:9" ht="30" x14ac:dyDescent="0.25">
      <c r="B208" s="125" t="s">
        <v>195</v>
      </c>
      <c r="C208" s="126" t="s">
        <v>196</v>
      </c>
      <c r="D208" s="126" t="s">
        <v>112</v>
      </c>
      <c r="E208" s="127" t="s">
        <v>197</v>
      </c>
      <c r="F208" s="126" t="s">
        <v>198</v>
      </c>
    </row>
    <row r="209" spans="1:6" x14ac:dyDescent="0.25">
      <c r="B209" s="128" t="s">
        <v>199</v>
      </c>
      <c r="C209" s="129" t="str">
        <f>Mesures_Omia!B20 &amp; "°C"</f>
        <v>°C</v>
      </c>
      <c r="D209" s="129" t="s">
        <v>200</v>
      </c>
      <c r="E209" s="129" t="s">
        <v>200</v>
      </c>
      <c r="F209" s="130" t="s">
        <v>200</v>
      </c>
    </row>
    <row r="210" spans="1:6" x14ac:dyDescent="0.25">
      <c r="B210" s="128" t="s">
        <v>201</v>
      </c>
      <c r="C210" s="129" t="str">
        <f>Mesures_Omia!B20 &amp; "°C"</f>
        <v>°C</v>
      </c>
      <c r="D210" s="129" t="s">
        <v>200</v>
      </c>
      <c r="E210" s="129" t="s">
        <v>200</v>
      </c>
      <c r="F210" s="130" t="s">
        <v>200</v>
      </c>
    </row>
    <row r="211" spans="1:6" x14ac:dyDescent="0.25">
      <c r="A211" s="472" t="s">
        <v>202</v>
      </c>
      <c r="B211" s="128" t="s">
        <v>203</v>
      </c>
      <c r="C211" s="131" t="e">
        <f ca="1">MAX(Omia_1!C16:O16)</f>
        <v>#REF!</v>
      </c>
      <c r="D211" s="129" t="e">
        <f ca="1">_xlfn.XLOOKUP(INT(SUBSTITUTE(E211,"Connecteur ","")),Mesures_Omia!C24:C36,Mesures_Omia!A24:A36)</f>
        <v>#REF!</v>
      </c>
      <c r="E211" s="129" t="e" cm="1">
        <f t="array" aca="1" ref="E211" ca="1">_xlfn.XLOOKUP(MAX(Omia_1!C16:O16),Omia_1!C16:O16,_xlfn.ANCHORARRAY(Omia_1!C14))</f>
        <v>#REF!</v>
      </c>
      <c r="F211" s="129" t="e">
        <f ca="1">_xlfn.XLOOKUP(INT(SUBSTITUTE(E211,"Connecteur ","")),Mesures_Omia!C24:C36,Mesures_Omia!B24:B36)</f>
        <v>#REF!</v>
      </c>
    </row>
    <row r="212" spans="1:6" x14ac:dyDescent="0.25">
      <c r="A212" s="472"/>
      <c r="B212" s="128" t="s">
        <v>204</v>
      </c>
      <c r="C212" s="131" t="e">
        <f ca="1">MIN(Omia_1!C16:O16)</f>
        <v>#REF!</v>
      </c>
      <c r="D212" s="129" t="e">
        <f ca="1">_xlfn.XLOOKUP(INT(SUBSTITUTE(E212,"Connecteur ","")),Mesures_Omia!C24:C36,Mesures_Omia!A24:A36)</f>
        <v>#REF!</v>
      </c>
      <c r="E212" s="129" t="e" cm="1">
        <f t="array" aca="1" ref="E212" ca="1">_xlfn.XLOOKUP(MIN(Omia_1!C16:O16),Omia_1!C16:O16,_xlfn.ANCHORARRAY(Omia_1!C14))</f>
        <v>#REF!</v>
      </c>
      <c r="F212" s="130" t="e">
        <f ca="1">_xlfn.XLOOKUP(INT(SUBSTITUTE(E212,"Connecteur ","")),Mesures_Omia!C24:C36,Mesures_Omia!B24:B36)</f>
        <v>#REF!</v>
      </c>
    </row>
    <row r="213" spans="1:6" x14ac:dyDescent="0.25">
      <c r="A213" s="472"/>
      <c r="B213" s="128" t="s">
        <v>205</v>
      </c>
      <c r="C213" s="131" t="e">
        <f ca="1">MIN(Omia_1!C17:O17)</f>
        <v>#REF!</v>
      </c>
      <c r="D213" s="129" t="e">
        <f ca="1">_xlfn.XLOOKUP(INT(SUBSTITUTE(E213,"Connecteur ","")),Mesures_Omia!C24:C36,Mesures_Omia!A24:A36)</f>
        <v>#REF!</v>
      </c>
      <c r="E213" s="129" t="e" cm="1">
        <f t="array" aca="1" ref="E213" ca="1">_xlfn.XLOOKUP(MIN(Omia_1!C17:O17),Omia_1!C17:O17,_xlfn.ANCHORARRAY(Omia_1!C14))</f>
        <v>#REF!</v>
      </c>
      <c r="F213" s="130" t="e">
        <f ca="1">_xlfn.XLOOKUP(INT(SUBSTITUTE(E213,"Connecteur ","")),Mesures_Omia!C24:C36,Mesures_Omia!B24:B36)</f>
        <v>#REF!</v>
      </c>
    </row>
    <row r="214" spans="1:6" x14ac:dyDescent="0.25">
      <c r="A214" s="472"/>
      <c r="B214" s="128" t="s">
        <v>206</v>
      </c>
      <c r="C214" s="131" t="e">
        <f ca="1">AVERAGE(Omia_1!C18:O18)</f>
        <v>#REF!</v>
      </c>
      <c r="D214" s="129" t="s">
        <v>200</v>
      </c>
      <c r="E214" s="129" t="s">
        <v>200</v>
      </c>
      <c r="F214" s="130" t="s">
        <v>200</v>
      </c>
    </row>
    <row r="215" spans="1:6" x14ac:dyDescent="0.25">
      <c r="C215" s="88"/>
      <c r="D215" s="88"/>
      <c r="E215" s="88"/>
      <c r="F215" s="88"/>
    </row>
    <row r="226" spans="1:14" ht="36" x14ac:dyDescent="0.25">
      <c r="B226" s="464" t="str">
        <f>"7. Résultats et exploitation des résultats à " &amp; Mesures_Omia!B20 &amp; "°C"</f>
        <v>7. Résultats et exploitation des résultats à °C</v>
      </c>
      <c r="C226" s="464"/>
      <c r="D226" s="464"/>
      <c r="E226" s="464"/>
      <c r="F226" s="464"/>
    </row>
    <row r="229" spans="1:14" x14ac:dyDescent="0.25">
      <c r="B229" s="342" t="s">
        <v>207</v>
      </c>
      <c r="C229" s="342"/>
    </row>
    <row r="233" spans="1:14" x14ac:dyDescent="0.25">
      <c r="A233" s="1"/>
      <c r="B233" s="151" t="str" cm="1">
        <f t="array" ref="B233:N233">Donnees_Brutes_Omia_1[[#Headers],[Connecteur 1]:[Connecteur 13]]</f>
        <v>Connecteur 1</v>
      </c>
      <c r="C233" s="151" t="str">
        <v>Connecteur 2</v>
      </c>
      <c r="D233" s="151" t="str">
        <v>Connecteur 3</v>
      </c>
      <c r="E233" s="151" t="str">
        <v>Connecteur 4</v>
      </c>
      <c r="F233" s="151" t="str">
        <v>Connecteur 5</v>
      </c>
      <c r="G233" s="151" t="str">
        <v>Connecteur 6</v>
      </c>
      <c r="H233" s="151" t="str">
        <v>Connecteur 7</v>
      </c>
      <c r="I233" s="151" t="str">
        <v>Connecteur 8</v>
      </c>
      <c r="J233" s="151" t="str">
        <v>Connecteur 9</v>
      </c>
      <c r="K233" s="151" t="str">
        <v>Connecteur 10</v>
      </c>
      <c r="L233" s="151" t="str">
        <v>Connecteur 11</v>
      </c>
      <c r="M233" s="151" t="str">
        <v>Connecteur 12</v>
      </c>
      <c r="N233" s="151" t="str">
        <v>Connecteur 13</v>
      </c>
    </row>
    <row r="234" spans="1:14" x14ac:dyDescent="0.25">
      <c r="A234" s="42" t="s">
        <v>91</v>
      </c>
      <c r="B234" s="43" t="e">
        <f ca="1">Omia_1!C16</f>
        <v>#REF!</v>
      </c>
      <c r="C234" s="43" t="e">
        <f ca="1">Omia_1!D16</f>
        <v>#REF!</v>
      </c>
      <c r="D234" s="43" t="e">
        <f ca="1">Omia_1!E16</f>
        <v>#REF!</v>
      </c>
      <c r="E234" s="43" t="e">
        <f ca="1">Omia_1!F16</f>
        <v>#REF!</v>
      </c>
      <c r="F234" s="43" t="e">
        <f ca="1">Omia_1!G16</f>
        <v>#REF!</v>
      </c>
      <c r="G234" s="43" t="e">
        <f ca="1">Omia_1!H16</f>
        <v>#REF!</v>
      </c>
      <c r="H234" s="43" t="e">
        <f ca="1">Omia_1!I16</f>
        <v>#REF!</v>
      </c>
      <c r="I234" s="43" t="e">
        <f ca="1">Omia_1!J16</f>
        <v>#REF!</v>
      </c>
      <c r="J234" s="43" t="e">
        <f ca="1">Omia_1!K16</f>
        <v>#REF!</v>
      </c>
      <c r="K234" s="43" t="e">
        <f ca="1">Omia_1!L16</f>
        <v>#REF!</v>
      </c>
      <c r="L234" s="43" t="e">
        <f ca="1">Omia_1!M16</f>
        <v>#REF!</v>
      </c>
      <c r="M234" s="43" t="e">
        <f ca="1">Omia_1!N16</f>
        <v>#REF!</v>
      </c>
      <c r="N234" s="43" t="e">
        <f ca="1">Omia_1!O16</f>
        <v>#REF!</v>
      </c>
    </row>
    <row r="235" spans="1:14" x14ac:dyDescent="0.25">
      <c r="A235" s="42" t="s">
        <v>93</v>
      </c>
      <c r="B235" s="43" t="e">
        <f ca="1">Omia_1!C17</f>
        <v>#REF!</v>
      </c>
      <c r="C235" s="43" t="e">
        <f ca="1">Omia_1!D17</f>
        <v>#REF!</v>
      </c>
      <c r="D235" s="43" t="e">
        <f ca="1">Omia_1!E17</f>
        <v>#REF!</v>
      </c>
      <c r="E235" s="43" t="e">
        <f ca="1">Omia_1!F17</f>
        <v>#REF!</v>
      </c>
      <c r="F235" s="43" t="e">
        <f ca="1">Omia_1!G17</f>
        <v>#REF!</v>
      </c>
      <c r="G235" s="43" t="e">
        <f ca="1">Omia_1!H17</f>
        <v>#REF!</v>
      </c>
      <c r="H235" s="43" t="e">
        <f ca="1">Omia_1!I17</f>
        <v>#REF!</v>
      </c>
      <c r="I235" s="43" t="e">
        <f ca="1">Omia_1!J17</f>
        <v>#REF!</v>
      </c>
      <c r="J235" s="43" t="e">
        <f ca="1">Omia_1!K17</f>
        <v>#REF!</v>
      </c>
      <c r="K235" s="43" t="e">
        <f ca="1">Omia_1!L17</f>
        <v>#REF!</v>
      </c>
      <c r="L235" s="43" t="e">
        <f ca="1">Omia_1!M17</f>
        <v>#REF!</v>
      </c>
      <c r="M235" s="43" t="e">
        <f ca="1">Omia_1!N17</f>
        <v>#REF!</v>
      </c>
      <c r="N235" s="43" t="e">
        <f ca="1">Omia_1!O17</f>
        <v>#REF!</v>
      </c>
    </row>
    <row r="236" spans="1:14" x14ac:dyDescent="0.25">
      <c r="A236" s="42" t="s">
        <v>95</v>
      </c>
      <c r="B236" s="43" t="e">
        <f ca="1">Omia_1!C18</f>
        <v>#REF!</v>
      </c>
      <c r="C236" s="43" t="e">
        <f ca="1">Omia_1!D18</f>
        <v>#REF!</v>
      </c>
      <c r="D236" s="43" t="e">
        <f ca="1">Omia_1!E18</f>
        <v>#REF!</v>
      </c>
      <c r="E236" s="43" t="e">
        <f ca="1">Omia_1!F18</f>
        <v>#REF!</v>
      </c>
      <c r="F236" s="43" t="e">
        <f ca="1">Omia_1!G18</f>
        <v>#REF!</v>
      </c>
      <c r="G236" s="43" t="e">
        <f ca="1">Omia_1!H18</f>
        <v>#REF!</v>
      </c>
      <c r="H236" s="43" t="e">
        <f ca="1">Omia_1!I18</f>
        <v>#REF!</v>
      </c>
      <c r="I236" s="43" t="e">
        <f ca="1">Omia_1!J18</f>
        <v>#REF!</v>
      </c>
      <c r="J236" s="43" t="e">
        <f ca="1">Omia_1!K18</f>
        <v>#REF!</v>
      </c>
      <c r="K236" s="43" t="e">
        <f ca="1">Omia_1!L18</f>
        <v>#REF!</v>
      </c>
      <c r="L236" s="43" t="e">
        <f ca="1">Omia_1!M18</f>
        <v>#REF!</v>
      </c>
      <c r="M236" s="43" t="e">
        <f ca="1">Omia_1!N18</f>
        <v>#REF!</v>
      </c>
      <c r="N236" s="43" t="e">
        <f ca="1">Omia_1!O18</f>
        <v>#REF!</v>
      </c>
    </row>
    <row r="237" spans="1:14" x14ac:dyDescent="0.25">
      <c r="A237" s="42" t="s">
        <v>96</v>
      </c>
      <c r="B237" s="43" t="e">
        <f ca="1">Omia_1!C19</f>
        <v>#REF!</v>
      </c>
      <c r="C237" s="43" t="e">
        <f ca="1">Omia_1!D19</f>
        <v>#REF!</v>
      </c>
      <c r="D237" s="43" t="e">
        <f ca="1">Omia_1!E19</f>
        <v>#REF!</v>
      </c>
      <c r="E237" s="43" t="e">
        <f ca="1">Omia_1!F19</f>
        <v>#REF!</v>
      </c>
      <c r="F237" s="43" t="e">
        <f ca="1">Omia_1!G19</f>
        <v>#REF!</v>
      </c>
      <c r="G237" s="43" t="e">
        <f ca="1">Omia_1!H19</f>
        <v>#REF!</v>
      </c>
      <c r="H237" s="43" t="e">
        <f ca="1">Omia_1!I19</f>
        <v>#REF!</v>
      </c>
      <c r="I237" s="43" t="e">
        <f ca="1">Omia_1!J19</f>
        <v>#REF!</v>
      </c>
      <c r="J237" s="43" t="e">
        <f ca="1">Omia_1!K19</f>
        <v>#REF!</v>
      </c>
      <c r="K237" s="43" t="e">
        <f ca="1">Omia_1!L19</f>
        <v>#REF!</v>
      </c>
      <c r="L237" s="43" t="e">
        <f ca="1">Omia_1!M19</f>
        <v>#REF!</v>
      </c>
      <c r="M237" s="43" t="e">
        <f ca="1">Omia_1!N19</f>
        <v>#REF!</v>
      </c>
      <c r="N237" s="43" t="e">
        <f ca="1">Omia_1!O19</f>
        <v>#REF!</v>
      </c>
    </row>
    <row r="238" spans="1:14" x14ac:dyDescent="0.25">
      <c r="A238" s="42" t="s">
        <v>97</v>
      </c>
      <c r="B238" s="497" t="e">
        <f ca="1">Omia_1!C20</f>
        <v>#REF!</v>
      </c>
      <c r="C238" s="498"/>
      <c r="D238" s="498"/>
      <c r="E238" s="498"/>
      <c r="F238" s="498"/>
      <c r="G238" s="498"/>
      <c r="H238" s="498"/>
      <c r="I238" s="498"/>
      <c r="J238" s="498"/>
      <c r="K238" s="498"/>
      <c r="L238" s="498"/>
      <c r="M238" s="498"/>
      <c r="N238" s="499"/>
    </row>
    <row r="239" spans="1:14" x14ac:dyDescent="0.25">
      <c r="A239" s="42" t="s">
        <v>98</v>
      </c>
      <c r="B239" s="497" t="e">
        <f ca="1">Omia_1!C21</f>
        <v>#REF!</v>
      </c>
      <c r="C239" s="498"/>
      <c r="D239" s="498"/>
      <c r="E239" s="498"/>
      <c r="F239" s="498"/>
      <c r="G239" s="498"/>
      <c r="H239" s="498"/>
      <c r="I239" s="498"/>
      <c r="J239" s="498"/>
      <c r="K239" s="498"/>
      <c r="L239" s="498"/>
      <c r="M239" s="498"/>
      <c r="N239" s="499"/>
    </row>
    <row r="240" spans="1:14" x14ac:dyDescent="0.25">
      <c r="A240" s="36" t="s">
        <v>99</v>
      </c>
      <c r="B240" s="152" t="e" cm="1">
        <f t="array" aca="1" ref="B240:N240" ca="1">Omia_1!C22:O22</f>
        <v>#REF!</v>
      </c>
      <c r="C240" s="153" t="e">
        <f ca="1"/>
        <v>#REF!</v>
      </c>
      <c r="D240" s="153" t="e">
        <f ca="1"/>
        <v>#REF!</v>
      </c>
      <c r="E240" s="153" t="e">
        <f ca="1"/>
        <v>#REF!</v>
      </c>
      <c r="F240" s="153" t="e">
        <f ca="1"/>
        <v>#REF!</v>
      </c>
      <c r="G240" s="153" t="e">
        <f ca="1"/>
        <v>#REF!</v>
      </c>
      <c r="H240" s="153" t="e">
        <f ca="1"/>
        <v>#REF!</v>
      </c>
      <c r="I240" s="153" t="e">
        <f ca="1"/>
        <v>#REF!</v>
      </c>
      <c r="J240" s="153" t="e">
        <f ca="1"/>
        <v>#REF!</v>
      </c>
      <c r="K240" s="153" t="e">
        <f ca="1"/>
        <v>#REF!</v>
      </c>
      <c r="L240" s="153" t="e">
        <f ca="1"/>
        <v>#REF!</v>
      </c>
      <c r="M240" s="153" t="e">
        <f ca="1"/>
        <v>#REF!</v>
      </c>
      <c r="N240" s="153" t="e">
        <f ca="1"/>
        <v>#REF!</v>
      </c>
    </row>
    <row r="252" spans="2:6" x14ac:dyDescent="0.25">
      <c r="B252" s="134"/>
    </row>
    <row r="254" spans="2:6" ht="36" x14ac:dyDescent="0.3">
      <c r="C254" s="135" t="str">
        <f>"8. Résultats et exploitation des résultats à " &amp; Mesures_Omia!B20 &amp; "°C"</f>
        <v>8. Résultats et exploitation des résultats à °C</v>
      </c>
      <c r="D254" s="136"/>
      <c r="E254" s="136"/>
      <c r="F254" s="136"/>
    </row>
    <row r="257" spans="2:2" x14ac:dyDescent="0.25">
      <c r="B257" t="s">
        <v>213</v>
      </c>
    </row>
    <row r="291" spans="1:9" ht="36" x14ac:dyDescent="0.25">
      <c r="B291" s="135" t="str">
        <f>"9. Résultats et exploitation des résultats à " &amp; Mesures_Omia!C20 &amp; "°C"</f>
        <v>9. Résultats et exploitation des résultats à °C</v>
      </c>
    </row>
    <row r="299" spans="1:9" x14ac:dyDescent="0.25">
      <c r="A299" s="121" t="s">
        <v>237</v>
      </c>
      <c r="B299" s="123">
        <f>Mesures_Omia!C20</f>
        <v>0</v>
      </c>
      <c r="G299" s="468" t="s">
        <v>190</v>
      </c>
      <c r="H299" s="469"/>
      <c r="I299" s="470"/>
    </row>
    <row r="300" spans="1:9" x14ac:dyDescent="0.25">
      <c r="A300" s="121" t="s">
        <v>238</v>
      </c>
      <c r="B300" s="150">
        <f>Mesures_Omia!B21</f>
        <v>0</v>
      </c>
      <c r="G300" s="22" t="s">
        <v>191</v>
      </c>
      <c r="H300" s="22" t="s">
        <v>192</v>
      </c>
      <c r="I300" s="22" t="s">
        <v>193</v>
      </c>
    </row>
    <row r="301" spans="1:9" x14ac:dyDescent="0.25">
      <c r="G301" s="124" t="e" cm="1">
        <f t="array" ref="G301">INDEX(Donnees_Brutes_Omia_2[Date/Heure], COUNTA(Donnees_Brutes_Omia_2[Connecteur 1])-30)</f>
        <v>#VALUE!</v>
      </c>
      <c r="H301" s="124" cm="1">
        <f t="array" ref="H301">INDEX(Donnees_Brutes_Omia_2[Date/Heure], COUNTA(Donnees_Brutes_Omia_2[Connecteur 1]))</f>
        <v>0</v>
      </c>
      <c r="I301" s="124" t="e">
        <f>H301-G301</f>
        <v>#VALUE!</v>
      </c>
    </row>
    <row r="304" spans="1:9" ht="23.25" x14ac:dyDescent="0.25">
      <c r="B304" s="471" t="s">
        <v>194</v>
      </c>
      <c r="C304" s="471"/>
    </row>
    <row r="307" spans="1:6" ht="30" x14ac:dyDescent="0.25">
      <c r="B307" s="125" t="s">
        <v>195</v>
      </c>
      <c r="C307" s="126" t="s">
        <v>196</v>
      </c>
      <c r="D307" s="126" t="s">
        <v>112</v>
      </c>
      <c r="E307" s="127" t="s">
        <v>197</v>
      </c>
      <c r="F307" s="126" t="s">
        <v>198</v>
      </c>
    </row>
    <row r="308" spans="1:6" x14ac:dyDescent="0.25">
      <c r="B308" s="128" t="s">
        <v>199</v>
      </c>
      <c r="C308" s="129" t="str">
        <f>Mesures_Omia!C20 &amp; "°C"</f>
        <v>°C</v>
      </c>
      <c r="D308" s="129" t="s">
        <v>200</v>
      </c>
      <c r="E308" s="129" t="s">
        <v>200</v>
      </c>
      <c r="F308" s="130" t="s">
        <v>200</v>
      </c>
    </row>
    <row r="309" spans="1:6" x14ac:dyDescent="0.25">
      <c r="B309" s="128" t="s">
        <v>201</v>
      </c>
      <c r="C309" s="129" t="str">
        <f>Mesures_Omia!C20 &amp; "°C"</f>
        <v>°C</v>
      </c>
      <c r="D309" s="129" t="s">
        <v>200</v>
      </c>
      <c r="E309" s="129" t="s">
        <v>200</v>
      </c>
      <c r="F309" s="130" t="s">
        <v>200</v>
      </c>
    </row>
    <row r="310" spans="1:6" x14ac:dyDescent="0.25">
      <c r="A310" s="472" t="s">
        <v>202</v>
      </c>
      <c r="B310" s="128" t="s">
        <v>203</v>
      </c>
      <c r="C310" s="131" t="e">
        <f ca="1">MAX(Omia_2!C16:O16)</f>
        <v>#REF!</v>
      </c>
      <c r="D310" s="129" t="e">
        <f ca="1">_xlfn.XLOOKUP(INT(SUBSTITUTE(E310,"Connecteur ","")),Mesures_Omia!C24:C36,Mesures_Omia!A24:A36)</f>
        <v>#REF!</v>
      </c>
      <c r="E310" s="129" t="e" cm="1">
        <f t="array" aca="1" ref="E310" ca="1">_xlfn.XLOOKUP(MAX(Omia_2!C16:O16),Omia_2!C16:O16,_xlfn.ANCHORARRAY(Omia_2!C14))</f>
        <v>#REF!</v>
      </c>
      <c r="F310" s="129" t="e">
        <f ca="1">_xlfn.XLOOKUP(INT(SUBSTITUTE(E310,"Connecteur ","")),Mesures_Omia!C24:C36,Mesures_Omia!B24:B36)</f>
        <v>#REF!</v>
      </c>
    </row>
    <row r="311" spans="1:6" x14ac:dyDescent="0.25">
      <c r="A311" s="472"/>
      <c r="B311" s="128" t="s">
        <v>204</v>
      </c>
      <c r="C311" s="131" t="e">
        <f ca="1">MIN(Omia_2!C16:O16)</f>
        <v>#REF!</v>
      </c>
      <c r="D311" s="129" t="e">
        <f ca="1">_xlfn.XLOOKUP(INT(SUBSTITUTE(E311,"Connecteur ","")),Mesures_Omia!C24:C36,Mesures_Omia!A24:A36)</f>
        <v>#REF!</v>
      </c>
      <c r="E311" s="129" t="e" cm="1">
        <f t="array" aca="1" ref="E311" ca="1">_xlfn.XLOOKUP(MIN(Omia_2!C16:O16),Omia_2!C16:O16,_xlfn.ANCHORARRAY(Omia_2!C14))</f>
        <v>#REF!</v>
      </c>
      <c r="F311" s="130" t="e">
        <f ca="1">_xlfn.XLOOKUP(INT(SUBSTITUTE(E311,"Connecteur ","")),Mesures_Omia!C24:C36,Mesures_Omia!B24:B36)</f>
        <v>#REF!</v>
      </c>
    </row>
    <row r="312" spans="1:6" x14ac:dyDescent="0.25">
      <c r="A312" s="472"/>
      <c r="B312" s="128" t="s">
        <v>205</v>
      </c>
      <c r="C312" s="131" t="e">
        <f ca="1">MIN(Omia_2!C16:O16)</f>
        <v>#REF!</v>
      </c>
      <c r="D312" s="129" t="e">
        <f ca="1">_xlfn.XLOOKUP(INT(SUBSTITUTE(E312,"Connecteur ","")),Mesures_Omia!C25:C37,Mesures_Omia!A25:A37)</f>
        <v>#REF!</v>
      </c>
      <c r="E312" s="129" t="e" cm="1">
        <f t="array" aca="1" ref="E312" ca="1">_xlfn.XLOOKUP(MIN(Omia_2!C17:O17),Omia_2!C17:O17,_xlfn.ANCHORARRAY(Omia_2!C14))</f>
        <v>#REF!</v>
      </c>
      <c r="F312" s="130" t="e">
        <f ca="1">_xlfn.XLOOKUP(INT(SUBSTITUTE(E312,"Connecteur ","")),Mesures_Omia!C25:C37,Mesures_Omia!B25:B37)</f>
        <v>#REF!</v>
      </c>
    </row>
    <row r="313" spans="1:6" x14ac:dyDescent="0.25">
      <c r="A313" s="472"/>
      <c r="B313" s="128" t="s">
        <v>206</v>
      </c>
      <c r="C313" s="131" t="e">
        <f ca="1">AVERAGE(Omia_2!C16:O16)</f>
        <v>#REF!</v>
      </c>
      <c r="D313" s="129" t="s">
        <v>200</v>
      </c>
      <c r="E313" s="129" t="s">
        <v>200</v>
      </c>
      <c r="F313" s="130" t="s">
        <v>200</v>
      </c>
    </row>
    <row r="314" spans="1:6" x14ac:dyDescent="0.25">
      <c r="C314" s="88"/>
      <c r="D314" s="88"/>
      <c r="E314" s="88"/>
      <c r="F314" s="88"/>
    </row>
    <row r="324" spans="1:14" ht="36" x14ac:dyDescent="0.25">
      <c r="B324" s="464" t="str">
        <f>"10. Résultats et exploitation des résultats à " &amp; Mesures_Omia!C20 &amp; "°C"</f>
        <v>10. Résultats et exploitation des résultats à °C</v>
      </c>
      <c r="C324" s="464"/>
      <c r="D324" s="464"/>
      <c r="E324" s="464"/>
      <c r="F324" s="464"/>
    </row>
    <row r="327" spans="1:14" x14ac:dyDescent="0.25">
      <c r="B327" s="342" t="s">
        <v>207</v>
      </c>
      <c r="C327" s="342"/>
    </row>
    <row r="331" spans="1:14" x14ac:dyDescent="0.25">
      <c r="A331" s="1"/>
      <c r="B331" s="151" t="str" cm="1">
        <f t="array" ref="B331:N331">Donnees_Brutes_Omia_1[[#Headers],[Connecteur 1]:[Connecteur 13]]</f>
        <v>Connecteur 1</v>
      </c>
      <c r="C331" s="151" t="str">
        <v>Connecteur 2</v>
      </c>
      <c r="D331" s="151" t="str">
        <v>Connecteur 3</v>
      </c>
      <c r="E331" s="151" t="str">
        <v>Connecteur 4</v>
      </c>
      <c r="F331" s="151" t="str">
        <v>Connecteur 5</v>
      </c>
      <c r="G331" s="151" t="str">
        <v>Connecteur 6</v>
      </c>
      <c r="H331" s="151" t="str">
        <v>Connecteur 7</v>
      </c>
      <c r="I331" s="151" t="str">
        <v>Connecteur 8</v>
      </c>
      <c r="J331" s="151" t="str">
        <v>Connecteur 9</v>
      </c>
      <c r="K331" s="151" t="str">
        <v>Connecteur 10</v>
      </c>
      <c r="L331" s="151" t="str">
        <v>Connecteur 11</v>
      </c>
      <c r="M331" s="151" t="str">
        <v>Connecteur 12</v>
      </c>
      <c r="N331" s="151" t="str">
        <v>Connecteur 13</v>
      </c>
    </row>
    <row r="332" spans="1:14" x14ac:dyDescent="0.25">
      <c r="A332" s="42" t="s">
        <v>91</v>
      </c>
      <c r="B332" s="43" t="e" cm="1">
        <f t="array" aca="1" ref="B332:N335" ca="1">Omia_2!C16:O19</f>
        <v>#REF!</v>
      </c>
      <c r="C332" s="43" t="e">
        <f ca="1"/>
        <v>#REF!</v>
      </c>
      <c r="D332" s="43" t="e">
        <f ca="1"/>
        <v>#REF!</v>
      </c>
      <c r="E332" s="43" t="e">
        <f ca="1"/>
        <v>#REF!</v>
      </c>
      <c r="F332" s="43" t="e">
        <f ca="1"/>
        <v>#REF!</v>
      </c>
      <c r="G332" s="43" t="e">
        <f ca="1"/>
        <v>#REF!</v>
      </c>
      <c r="H332" s="43" t="e">
        <f ca="1"/>
        <v>#REF!</v>
      </c>
      <c r="I332" s="43" t="e">
        <f ca="1"/>
        <v>#REF!</v>
      </c>
      <c r="J332" s="43" t="e">
        <f ca="1"/>
        <v>#REF!</v>
      </c>
      <c r="K332" s="43" t="e">
        <f ca="1"/>
        <v>#REF!</v>
      </c>
      <c r="L332" s="43" t="e">
        <f ca="1"/>
        <v>#REF!</v>
      </c>
      <c r="M332" s="43" t="e">
        <f ca="1"/>
        <v>#REF!</v>
      </c>
      <c r="N332" s="43" t="e">
        <f ca="1"/>
        <v>#REF!</v>
      </c>
    </row>
    <row r="333" spans="1:14" x14ac:dyDescent="0.25">
      <c r="A333" s="42" t="s">
        <v>93</v>
      </c>
      <c r="B333" s="43" t="e">
        <f ca="1"/>
        <v>#REF!</v>
      </c>
      <c r="C333" s="43" t="e">
        <f ca="1"/>
        <v>#REF!</v>
      </c>
      <c r="D333" s="43" t="e">
        <f ca="1"/>
        <v>#REF!</v>
      </c>
      <c r="E333" s="43" t="e">
        <f ca="1"/>
        <v>#REF!</v>
      </c>
      <c r="F333" s="43" t="e">
        <f ca="1"/>
        <v>#REF!</v>
      </c>
      <c r="G333" s="43" t="e">
        <f ca="1"/>
        <v>#REF!</v>
      </c>
      <c r="H333" s="43" t="e">
        <f ca="1"/>
        <v>#REF!</v>
      </c>
      <c r="I333" s="43" t="e">
        <f ca="1"/>
        <v>#REF!</v>
      </c>
      <c r="J333" s="43" t="e">
        <f ca="1"/>
        <v>#REF!</v>
      </c>
      <c r="K333" s="43" t="e">
        <f ca="1"/>
        <v>#REF!</v>
      </c>
      <c r="L333" s="43" t="e">
        <f ca="1"/>
        <v>#REF!</v>
      </c>
      <c r="M333" s="43" t="e">
        <f ca="1"/>
        <v>#REF!</v>
      </c>
      <c r="N333" s="43" t="e">
        <f ca="1"/>
        <v>#REF!</v>
      </c>
    </row>
    <row r="334" spans="1:14" x14ac:dyDescent="0.25">
      <c r="A334" s="42" t="s">
        <v>95</v>
      </c>
      <c r="B334" s="43" t="e">
        <f ca="1"/>
        <v>#REF!</v>
      </c>
      <c r="C334" s="43" t="e">
        <f ca="1"/>
        <v>#REF!</v>
      </c>
      <c r="D334" s="43" t="e">
        <f ca="1"/>
        <v>#REF!</v>
      </c>
      <c r="E334" s="43" t="e">
        <f ca="1"/>
        <v>#REF!</v>
      </c>
      <c r="F334" s="43" t="e">
        <f ca="1"/>
        <v>#REF!</v>
      </c>
      <c r="G334" s="43" t="e">
        <f ca="1"/>
        <v>#REF!</v>
      </c>
      <c r="H334" s="43" t="e">
        <f ca="1"/>
        <v>#REF!</v>
      </c>
      <c r="I334" s="43" t="e">
        <f ca="1"/>
        <v>#REF!</v>
      </c>
      <c r="J334" s="43" t="e">
        <f ca="1"/>
        <v>#REF!</v>
      </c>
      <c r="K334" s="43" t="e">
        <f ca="1"/>
        <v>#REF!</v>
      </c>
      <c r="L334" s="43" t="e">
        <f ca="1"/>
        <v>#REF!</v>
      </c>
      <c r="M334" s="43" t="e">
        <f ca="1"/>
        <v>#REF!</v>
      </c>
      <c r="N334" s="43" t="e">
        <f ca="1"/>
        <v>#REF!</v>
      </c>
    </row>
    <row r="335" spans="1:14" x14ac:dyDescent="0.25">
      <c r="A335" s="42" t="s">
        <v>96</v>
      </c>
      <c r="B335" s="43" t="e">
        <f ca="1"/>
        <v>#REF!</v>
      </c>
      <c r="C335" s="43" t="e">
        <f ca="1"/>
        <v>#REF!</v>
      </c>
      <c r="D335" s="43" t="e">
        <f ca="1"/>
        <v>#REF!</v>
      </c>
      <c r="E335" s="43" t="e">
        <f ca="1"/>
        <v>#REF!</v>
      </c>
      <c r="F335" s="43" t="e">
        <f ca="1"/>
        <v>#REF!</v>
      </c>
      <c r="G335" s="43" t="e">
        <f ca="1"/>
        <v>#REF!</v>
      </c>
      <c r="H335" s="43" t="e">
        <f ca="1"/>
        <v>#REF!</v>
      </c>
      <c r="I335" s="43" t="e">
        <f ca="1"/>
        <v>#REF!</v>
      </c>
      <c r="J335" s="43" t="e">
        <f ca="1"/>
        <v>#REF!</v>
      </c>
      <c r="K335" s="43" t="e">
        <f ca="1"/>
        <v>#REF!</v>
      </c>
      <c r="L335" s="43" t="e">
        <f ca="1"/>
        <v>#REF!</v>
      </c>
      <c r="M335" s="43" t="e">
        <f ca="1"/>
        <v>#REF!</v>
      </c>
      <c r="N335" s="43" t="e">
        <f ca="1"/>
        <v>#REF!</v>
      </c>
    </row>
    <row r="336" spans="1:14" x14ac:dyDescent="0.25">
      <c r="A336" s="42" t="s">
        <v>97</v>
      </c>
      <c r="B336" s="497" t="e">
        <f ca="1">Omia_2!C20</f>
        <v>#REF!</v>
      </c>
      <c r="C336" s="498"/>
      <c r="D336" s="498"/>
      <c r="E336" s="498"/>
      <c r="F336" s="498"/>
      <c r="G336" s="498"/>
      <c r="H336" s="498"/>
      <c r="I336" s="498"/>
      <c r="J336" s="498"/>
      <c r="K336" s="498"/>
      <c r="L336" s="498"/>
      <c r="M336" s="498"/>
      <c r="N336" s="499"/>
    </row>
    <row r="337" spans="1:14" x14ac:dyDescent="0.25">
      <c r="A337" s="42" t="s">
        <v>98</v>
      </c>
      <c r="B337" s="497" t="e">
        <f ca="1">Omia_2!C21</f>
        <v>#REF!</v>
      </c>
      <c r="C337" s="498"/>
      <c r="D337" s="498"/>
      <c r="E337" s="498"/>
      <c r="F337" s="498"/>
      <c r="G337" s="498"/>
      <c r="H337" s="498"/>
      <c r="I337" s="498"/>
      <c r="J337" s="498"/>
      <c r="K337" s="498"/>
      <c r="L337" s="498"/>
      <c r="M337" s="498"/>
      <c r="N337" s="499"/>
    </row>
    <row r="338" spans="1:14" x14ac:dyDescent="0.25">
      <c r="A338" s="36" t="s">
        <v>99</v>
      </c>
      <c r="B338" s="152" t="e" cm="1">
        <f t="array" aca="1" ref="B338:N338" ca="1">Omia_2!C22:O22</f>
        <v>#REF!</v>
      </c>
      <c r="C338" s="153" t="e">
        <f ca="1"/>
        <v>#REF!</v>
      </c>
      <c r="D338" s="153" t="e">
        <f ca="1"/>
        <v>#REF!</v>
      </c>
      <c r="E338" s="153" t="e">
        <f ca="1"/>
        <v>#REF!</v>
      </c>
      <c r="F338" s="153" t="e">
        <f ca="1"/>
        <v>#REF!</v>
      </c>
      <c r="G338" s="153" t="e">
        <f ca="1"/>
        <v>#REF!</v>
      </c>
      <c r="H338" s="153" t="e">
        <f ca="1"/>
        <v>#REF!</v>
      </c>
      <c r="I338" s="153" t="e">
        <f ca="1"/>
        <v>#REF!</v>
      </c>
      <c r="J338" s="153" t="e">
        <f ca="1"/>
        <v>#REF!</v>
      </c>
      <c r="K338" s="153" t="e">
        <f ca="1"/>
        <v>#REF!</v>
      </c>
      <c r="L338" s="153" t="e">
        <f ca="1"/>
        <v>#REF!</v>
      </c>
      <c r="M338" s="153" t="e">
        <f ca="1"/>
        <v>#REF!</v>
      </c>
      <c r="N338" s="153" t="e">
        <f ca="1"/>
        <v>#REF!</v>
      </c>
    </row>
    <row r="348" spans="1:14" x14ac:dyDescent="0.25">
      <c r="B348" s="134"/>
    </row>
    <row r="350" spans="1:14" ht="36" x14ac:dyDescent="0.3">
      <c r="C350" s="135" t="str">
        <f>"11. Résultats et exploitation des résultats à " &amp; Mesures_Omia!C20 &amp; "°C"</f>
        <v>11. Résultats et exploitation des résultats à °C</v>
      </c>
      <c r="D350" s="136"/>
      <c r="E350" s="136"/>
      <c r="F350" s="136"/>
    </row>
    <row r="353" spans="2:2" x14ac:dyDescent="0.25">
      <c r="B353" t="s">
        <v>213</v>
      </c>
    </row>
    <row r="402" spans="1:9" ht="36" x14ac:dyDescent="0.25">
      <c r="B402" s="135" t="str">
        <f>"12. Résultats et exploitation des résultats à " &amp; Mesures_Omia!D20 &amp; "°C"</f>
        <v>12. Résultats et exploitation des résultats à °C</v>
      </c>
    </row>
    <row r="409" spans="1:9" x14ac:dyDescent="0.25">
      <c r="A409" s="121" t="s">
        <v>237</v>
      </c>
      <c r="B409" s="123">
        <f>Mesures_Omia!D20</f>
        <v>0</v>
      </c>
      <c r="G409" s="468" t="s">
        <v>190</v>
      </c>
      <c r="H409" s="469"/>
      <c r="I409" s="470"/>
    </row>
    <row r="410" spans="1:9" x14ac:dyDescent="0.25">
      <c r="A410" s="121" t="s">
        <v>238</v>
      </c>
      <c r="B410" s="150">
        <f>Mesures_Omia!B21</f>
        <v>0</v>
      </c>
      <c r="G410" s="22" t="s">
        <v>191</v>
      </c>
      <c r="H410" s="22" t="s">
        <v>192</v>
      </c>
      <c r="I410" s="22" t="s">
        <v>193</v>
      </c>
    </row>
    <row r="411" spans="1:9" x14ac:dyDescent="0.25">
      <c r="G411" s="124" t="e" cm="1">
        <f t="array" ref="G411">INDEX(Donnees_Brutes_Omia_3[Date/Heure], COUNTA(Donnees_Brutes_Omia_3[Connecteur 1])-30)</f>
        <v>#VALUE!</v>
      </c>
      <c r="H411" s="124" cm="1">
        <f t="array" ref="H411">INDEX(Donnees_Brutes_Omia_3[Date/Heure], COUNTA(Donnees_Brutes_Omia_3[Connecteur 1]))</f>
        <v>0</v>
      </c>
      <c r="I411" s="124" t="e">
        <f>H411-G411</f>
        <v>#VALUE!</v>
      </c>
    </row>
    <row r="414" spans="1:9" ht="23.25" x14ac:dyDescent="0.25">
      <c r="B414" s="471" t="s">
        <v>194</v>
      </c>
      <c r="C414" s="471"/>
    </row>
    <row r="417" spans="1:6" ht="30" x14ac:dyDescent="0.25">
      <c r="B417" s="125" t="s">
        <v>195</v>
      </c>
      <c r="C417" s="126" t="s">
        <v>196</v>
      </c>
      <c r="D417" s="126" t="s">
        <v>112</v>
      </c>
      <c r="E417" s="127" t="s">
        <v>197</v>
      </c>
      <c r="F417" s="126" t="s">
        <v>198</v>
      </c>
    </row>
    <row r="418" spans="1:6" x14ac:dyDescent="0.25">
      <c r="B418" s="128" t="s">
        <v>199</v>
      </c>
      <c r="C418" s="129" t="str">
        <f>Mesures_Omia!D20 &amp; "°C"</f>
        <v>°C</v>
      </c>
      <c r="D418" s="129" t="s">
        <v>200</v>
      </c>
      <c r="E418" s="129" t="s">
        <v>200</v>
      </c>
      <c r="F418" s="130" t="s">
        <v>200</v>
      </c>
    </row>
    <row r="419" spans="1:6" x14ac:dyDescent="0.25">
      <c r="B419" s="128" t="s">
        <v>201</v>
      </c>
      <c r="C419" s="129" t="str">
        <f>Mesures_Omia!D20 &amp; "°C"</f>
        <v>°C</v>
      </c>
      <c r="D419" s="129" t="s">
        <v>200</v>
      </c>
      <c r="E419" s="129" t="s">
        <v>200</v>
      </c>
      <c r="F419" s="130" t="s">
        <v>200</v>
      </c>
    </row>
    <row r="420" spans="1:6" x14ac:dyDescent="0.25">
      <c r="A420" s="472" t="s">
        <v>202</v>
      </c>
      <c r="B420" s="128" t="s">
        <v>203</v>
      </c>
      <c r="C420" s="131" t="e">
        <f ca="1">MAX(Omia_3!C16:O16)</f>
        <v>#REF!</v>
      </c>
      <c r="D420" s="129" t="e">
        <f ca="1">_xlfn.XLOOKUP(INT(SUBSTITUTE(E420,"Connecteur ","")),Mesures_Omia!C24:C36,Mesures_Omia!A24:A36)</f>
        <v>#REF!</v>
      </c>
      <c r="E420" s="129" t="e" cm="1">
        <f t="array" aca="1" ref="E420" ca="1">_xlfn.XLOOKUP(MAX(Omia_3!C16:O16),Omia_3!C16:O16,_xlfn.ANCHORARRAY(Omia_3!C14))</f>
        <v>#REF!</v>
      </c>
      <c r="F420" s="129" t="e">
        <f ca="1">_xlfn.XLOOKUP(INT(SUBSTITUTE(E420,"Connecteur ","")),Mesures_Omia!C24:C36,Mesures_Omia!B24:B36)</f>
        <v>#REF!</v>
      </c>
    </row>
    <row r="421" spans="1:6" x14ac:dyDescent="0.25">
      <c r="A421" s="472"/>
      <c r="B421" s="128" t="s">
        <v>204</v>
      </c>
      <c r="C421" s="131" t="e">
        <f ca="1">MIN(Omia_3!C16:O16)</f>
        <v>#REF!</v>
      </c>
      <c r="D421" s="129" t="e">
        <f ca="1">_xlfn.XLOOKUP(INT(SUBSTITUTE(E421,"Connecteur ","")),Mesures_Omia!C24:C36,Mesures_Omia!A24:A36)</f>
        <v>#REF!</v>
      </c>
      <c r="E421" s="129" t="e" cm="1">
        <f t="array" aca="1" ref="E421" ca="1">_xlfn.XLOOKUP(MIN(Omia_3!C16:O16),Omia_3!C16:O16,_xlfn.ANCHORARRAY(Omia_3!C14))</f>
        <v>#REF!</v>
      </c>
      <c r="F421" s="130" t="e">
        <f ca="1">_xlfn.XLOOKUP(INT(SUBSTITUTE(E421,"Connecteur ","")),Mesures_Omia!C24:C36,Mesures_Omia!B24:B36)</f>
        <v>#REF!</v>
      </c>
    </row>
    <row r="422" spans="1:6" x14ac:dyDescent="0.25">
      <c r="A422" s="472"/>
      <c r="B422" s="128" t="s">
        <v>205</v>
      </c>
      <c r="C422" s="131" t="e">
        <f ca="1">MIN(Omia_3!C17:O17)</f>
        <v>#REF!</v>
      </c>
      <c r="D422" s="129" t="e">
        <f ca="1">_xlfn.XLOOKUP(INT(SUBSTITUTE(E422,"Connecteur ","")),Mesures_Omia!C24:C36,Mesures_Omia!A24:A36)</f>
        <v>#REF!</v>
      </c>
      <c r="E422" s="129" t="e" cm="1">
        <f t="array" aca="1" ref="E422" ca="1">_xlfn.XLOOKUP(MAX(Omia_3!C17:O17),Omia_3!C17:O17,_xlfn.ANCHORARRAY(Omia_3!C14))</f>
        <v>#REF!</v>
      </c>
      <c r="F422" s="130" t="e">
        <f ca="1">_xlfn.XLOOKUP(INT(SUBSTITUTE(E422,"Connecteur ","")),Mesures_Omia!C24:C36,Mesures_Omia!B24:B36)</f>
        <v>#REF!</v>
      </c>
    </row>
    <row r="423" spans="1:6" x14ac:dyDescent="0.25">
      <c r="A423" s="472"/>
      <c r="B423" s="128" t="s">
        <v>206</v>
      </c>
      <c r="C423" s="131" t="e">
        <f ca="1">AVERAGE(Omia_3!C18:O18)</f>
        <v>#REF!</v>
      </c>
      <c r="D423" s="129" t="s">
        <v>200</v>
      </c>
      <c r="E423" s="129" t="s">
        <v>200</v>
      </c>
      <c r="F423" s="130" t="s">
        <v>200</v>
      </c>
    </row>
    <row r="424" spans="1:6" x14ac:dyDescent="0.25">
      <c r="C424" s="88"/>
      <c r="D424" s="88"/>
      <c r="E424" s="88"/>
      <c r="F424" s="88"/>
    </row>
    <row r="433" spans="1:14" ht="36" x14ac:dyDescent="0.25">
      <c r="B433" s="464" t="str">
        <f>"13. Résultats et exploitation des résultats à " &amp; Mesures_Omia!D20 &amp; "°C"</f>
        <v>13. Résultats et exploitation des résultats à °C</v>
      </c>
      <c r="C433" s="464"/>
      <c r="D433" s="464"/>
      <c r="E433" s="464"/>
      <c r="F433" s="464"/>
    </row>
    <row r="436" spans="1:14" x14ac:dyDescent="0.25">
      <c r="B436" s="342" t="s">
        <v>207</v>
      </c>
      <c r="C436" s="342"/>
    </row>
    <row r="440" spans="1:14" x14ac:dyDescent="0.25">
      <c r="A440" s="1"/>
      <c r="B440" s="151" t="str" cm="1">
        <f t="array" ref="B440:N440">Donnees_Brutes_Omia_1[[#Headers],[Connecteur 1]:[Connecteur 13]]</f>
        <v>Connecteur 1</v>
      </c>
      <c r="C440" s="151" t="str">
        <v>Connecteur 2</v>
      </c>
      <c r="D440" s="151" t="str">
        <v>Connecteur 3</v>
      </c>
      <c r="E440" s="151" t="str">
        <v>Connecteur 4</v>
      </c>
      <c r="F440" s="151" t="str">
        <v>Connecteur 5</v>
      </c>
      <c r="G440" s="151" t="str">
        <v>Connecteur 6</v>
      </c>
      <c r="H440" s="151" t="str">
        <v>Connecteur 7</v>
      </c>
      <c r="I440" s="151" t="str">
        <v>Connecteur 8</v>
      </c>
      <c r="J440" s="151" t="str">
        <v>Connecteur 9</v>
      </c>
      <c r="K440" s="151" t="str">
        <v>Connecteur 10</v>
      </c>
      <c r="L440" s="151" t="str">
        <v>Connecteur 11</v>
      </c>
      <c r="M440" s="151" t="str">
        <v>Connecteur 12</v>
      </c>
      <c r="N440" s="151" t="str">
        <v>Connecteur 13</v>
      </c>
    </row>
    <row r="441" spans="1:14" x14ac:dyDescent="0.25">
      <c r="A441" s="42" t="s">
        <v>91</v>
      </c>
      <c r="B441" s="43" t="e" cm="1">
        <f t="array" aca="1" ref="B441:N444" ca="1">Omia_3!C16:O19</f>
        <v>#REF!</v>
      </c>
      <c r="C441" s="43" t="e">
        <f ca="1"/>
        <v>#REF!</v>
      </c>
      <c r="D441" s="43" t="e">
        <f ca="1"/>
        <v>#REF!</v>
      </c>
      <c r="E441" s="43" t="e">
        <f ca="1"/>
        <v>#REF!</v>
      </c>
      <c r="F441" s="43" t="e">
        <f ca="1"/>
        <v>#REF!</v>
      </c>
      <c r="G441" s="43" t="e">
        <f ca="1"/>
        <v>#REF!</v>
      </c>
      <c r="H441" s="43" t="e">
        <f ca="1"/>
        <v>#REF!</v>
      </c>
      <c r="I441" s="43" t="e">
        <f ca="1"/>
        <v>#REF!</v>
      </c>
      <c r="J441" s="43" t="e">
        <f ca="1"/>
        <v>#REF!</v>
      </c>
      <c r="K441" s="43" t="e">
        <f ca="1"/>
        <v>#REF!</v>
      </c>
      <c r="L441" s="43" t="e">
        <f ca="1"/>
        <v>#REF!</v>
      </c>
      <c r="M441" s="43" t="e">
        <f ca="1"/>
        <v>#REF!</v>
      </c>
      <c r="N441" s="43" t="e">
        <f ca="1"/>
        <v>#REF!</v>
      </c>
    </row>
    <row r="442" spans="1:14" x14ac:dyDescent="0.25">
      <c r="A442" s="42" t="s">
        <v>93</v>
      </c>
      <c r="B442" s="43" t="e">
        <f ca="1"/>
        <v>#REF!</v>
      </c>
      <c r="C442" s="43" t="e">
        <f ca="1"/>
        <v>#REF!</v>
      </c>
      <c r="D442" s="43" t="e">
        <f ca="1"/>
        <v>#REF!</v>
      </c>
      <c r="E442" s="43" t="e">
        <f ca="1"/>
        <v>#REF!</v>
      </c>
      <c r="F442" s="43" t="e">
        <f ca="1"/>
        <v>#REF!</v>
      </c>
      <c r="G442" s="43" t="e">
        <f ca="1"/>
        <v>#REF!</v>
      </c>
      <c r="H442" s="43" t="e">
        <f ca="1"/>
        <v>#REF!</v>
      </c>
      <c r="I442" s="43" t="e">
        <f ca="1"/>
        <v>#REF!</v>
      </c>
      <c r="J442" s="43" t="e">
        <f ca="1"/>
        <v>#REF!</v>
      </c>
      <c r="K442" s="43" t="e">
        <f ca="1"/>
        <v>#REF!</v>
      </c>
      <c r="L442" s="43" t="e">
        <f ca="1"/>
        <v>#REF!</v>
      </c>
      <c r="M442" s="43" t="e">
        <f ca="1"/>
        <v>#REF!</v>
      </c>
      <c r="N442" s="43" t="e">
        <f ca="1"/>
        <v>#REF!</v>
      </c>
    </row>
    <row r="443" spans="1:14" x14ac:dyDescent="0.25">
      <c r="A443" s="42" t="s">
        <v>95</v>
      </c>
      <c r="B443" s="43" t="e">
        <f ca="1"/>
        <v>#REF!</v>
      </c>
      <c r="C443" s="43" t="e">
        <f ca="1"/>
        <v>#REF!</v>
      </c>
      <c r="D443" s="43" t="e">
        <f ca="1"/>
        <v>#REF!</v>
      </c>
      <c r="E443" s="43" t="e">
        <f ca="1"/>
        <v>#REF!</v>
      </c>
      <c r="F443" s="43" t="e">
        <f ca="1"/>
        <v>#REF!</v>
      </c>
      <c r="G443" s="43" t="e">
        <f ca="1"/>
        <v>#REF!</v>
      </c>
      <c r="H443" s="43" t="e">
        <f ca="1"/>
        <v>#REF!</v>
      </c>
      <c r="I443" s="43" t="e">
        <f ca="1"/>
        <v>#REF!</v>
      </c>
      <c r="J443" s="43" t="e">
        <f ca="1"/>
        <v>#REF!</v>
      </c>
      <c r="K443" s="43" t="e">
        <f ca="1"/>
        <v>#REF!</v>
      </c>
      <c r="L443" s="43" t="e">
        <f ca="1"/>
        <v>#REF!</v>
      </c>
      <c r="M443" s="43" t="e">
        <f ca="1"/>
        <v>#REF!</v>
      </c>
      <c r="N443" s="43" t="e">
        <f ca="1"/>
        <v>#REF!</v>
      </c>
    </row>
    <row r="444" spans="1:14" x14ac:dyDescent="0.25">
      <c r="A444" s="42" t="s">
        <v>96</v>
      </c>
      <c r="B444" s="43" t="e">
        <f ca="1"/>
        <v>#REF!</v>
      </c>
      <c r="C444" s="43" t="e">
        <f ca="1"/>
        <v>#REF!</v>
      </c>
      <c r="D444" s="43" t="e">
        <f ca="1"/>
        <v>#REF!</v>
      </c>
      <c r="E444" s="43" t="e">
        <f ca="1"/>
        <v>#REF!</v>
      </c>
      <c r="F444" s="43" t="e">
        <f ca="1"/>
        <v>#REF!</v>
      </c>
      <c r="G444" s="43" t="e">
        <f ca="1"/>
        <v>#REF!</v>
      </c>
      <c r="H444" s="43" t="e">
        <f ca="1"/>
        <v>#REF!</v>
      </c>
      <c r="I444" s="43" t="e">
        <f ca="1"/>
        <v>#REF!</v>
      </c>
      <c r="J444" s="43" t="e">
        <f ca="1"/>
        <v>#REF!</v>
      </c>
      <c r="K444" s="43" t="e">
        <f ca="1"/>
        <v>#REF!</v>
      </c>
      <c r="L444" s="43" t="e">
        <f ca="1"/>
        <v>#REF!</v>
      </c>
      <c r="M444" s="43" t="e">
        <f ca="1"/>
        <v>#REF!</v>
      </c>
      <c r="N444" s="43" t="e">
        <f ca="1"/>
        <v>#REF!</v>
      </c>
    </row>
    <row r="445" spans="1:14" x14ac:dyDescent="0.25">
      <c r="A445" s="42" t="s">
        <v>97</v>
      </c>
      <c r="B445" s="497" t="e">
        <f ca="1">Omia_3!C20</f>
        <v>#REF!</v>
      </c>
      <c r="C445" s="498"/>
      <c r="D445" s="498"/>
      <c r="E445" s="498"/>
      <c r="F445" s="498"/>
      <c r="G445" s="498"/>
      <c r="H445" s="498"/>
      <c r="I445" s="498"/>
      <c r="J445" s="498"/>
      <c r="K445" s="498"/>
      <c r="L445" s="498"/>
      <c r="M445" s="498"/>
      <c r="N445" s="499"/>
    </row>
    <row r="446" spans="1:14" x14ac:dyDescent="0.25">
      <c r="A446" s="42" t="s">
        <v>98</v>
      </c>
      <c r="B446" s="497" t="e">
        <f ca="1">Omia_3!C21</f>
        <v>#REF!</v>
      </c>
      <c r="C446" s="498"/>
      <c r="D446" s="498"/>
      <c r="E446" s="498"/>
      <c r="F446" s="498"/>
      <c r="G446" s="498"/>
      <c r="H446" s="498"/>
      <c r="I446" s="498"/>
      <c r="J446" s="498"/>
      <c r="K446" s="498"/>
      <c r="L446" s="498"/>
      <c r="M446" s="498"/>
      <c r="N446" s="499"/>
    </row>
    <row r="447" spans="1:14" x14ac:dyDescent="0.25">
      <c r="A447" s="36" t="s">
        <v>99</v>
      </c>
      <c r="B447" s="152" t="e" cm="1">
        <f t="array" aca="1" ref="B447:N447" ca="1">Omia_3!C22:O22</f>
        <v>#REF!</v>
      </c>
      <c r="C447" s="153" t="e">
        <f ca="1"/>
        <v>#REF!</v>
      </c>
      <c r="D447" s="153" t="e">
        <f ca="1"/>
        <v>#REF!</v>
      </c>
      <c r="E447" s="153" t="e">
        <f ca="1"/>
        <v>#REF!</v>
      </c>
      <c r="F447" s="153" t="e">
        <f ca="1"/>
        <v>#REF!</v>
      </c>
      <c r="G447" s="153" t="e">
        <f ca="1"/>
        <v>#REF!</v>
      </c>
      <c r="H447" s="153" t="e">
        <f ca="1"/>
        <v>#REF!</v>
      </c>
      <c r="I447" s="153" t="e">
        <f ca="1"/>
        <v>#REF!</v>
      </c>
      <c r="J447" s="153" t="e">
        <f ca="1"/>
        <v>#REF!</v>
      </c>
      <c r="K447" s="153" t="e">
        <f ca="1"/>
        <v>#REF!</v>
      </c>
      <c r="L447" s="153" t="e">
        <f ca="1"/>
        <v>#REF!</v>
      </c>
      <c r="M447" s="153" t="e">
        <f ca="1"/>
        <v>#REF!</v>
      </c>
      <c r="N447" s="153" t="e">
        <f ca="1"/>
        <v>#REF!</v>
      </c>
    </row>
    <row r="453" spans="2:6" x14ac:dyDescent="0.25">
      <c r="B453" s="134"/>
    </row>
    <row r="455" spans="2:6" ht="36" x14ac:dyDescent="0.3">
      <c r="C455" s="135" t="str">
        <f>"14. Résultats et exploitation des résultats à " &amp; Mesures_Omia!D20 &amp; "°C"</f>
        <v>14. Résultats et exploitation des résultats à °C</v>
      </c>
      <c r="D455" s="136"/>
      <c r="E455" s="136"/>
      <c r="F455" s="136"/>
    </row>
    <row r="458" spans="2:6" x14ac:dyDescent="0.25">
      <c r="B458" t="s">
        <v>213</v>
      </c>
    </row>
    <row r="505" spans="3:7" x14ac:dyDescent="0.25">
      <c r="C505" s="128" t="s">
        <v>215</v>
      </c>
      <c r="D505" s="128"/>
      <c r="E505" s="22" t="str">
        <f>Mesures_Omia!B20 &amp; "°C"</f>
        <v>°C</v>
      </c>
      <c r="F505" s="22" t="str">
        <f>Mesures_Omia!C20 &amp; "°C"</f>
        <v>°C</v>
      </c>
      <c r="G505" s="22" t="str">
        <f>Mesures_Omia!D20 &amp; "°C"</f>
        <v>°C</v>
      </c>
    </row>
    <row r="506" spans="3:7" x14ac:dyDescent="0.25">
      <c r="C506" s="459" t="s">
        <v>216</v>
      </c>
      <c r="D506" s="460"/>
      <c r="E506" s="129">
        <f>Mesures_Omia!B20</f>
        <v>0</v>
      </c>
      <c r="F506" s="129">
        <f>Mesures_Omia!C20</f>
        <v>0</v>
      </c>
      <c r="G506" s="129">
        <f>Mesures_Omia!D20</f>
        <v>0</v>
      </c>
    </row>
    <row r="507" spans="3:7" x14ac:dyDescent="0.25">
      <c r="C507" s="459" t="s">
        <v>217</v>
      </c>
      <c r="D507" s="460"/>
      <c r="E507" s="131" t="e">
        <f ca="1">Omia_1!C20</f>
        <v>#REF!</v>
      </c>
      <c r="F507" s="131" t="e">
        <f ca="1">Omia_2!C20</f>
        <v>#REF!</v>
      </c>
      <c r="G507" s="131" t="e">
        <f ca="1">Omia_3!C20</f>
        <v>#REF!</v>
      </c>
    </row>
    <row r="508" spans="3:7" x14ac:dyDescent="0.25">
      <c r="C508" s="459" t="s">
        <v>218</v>
      </c>
      <c r="D508" s="460"/>
      <c r="E508" s="154">
        <f>Mesures_Omia!B21</f>
        <v>0</v>
      </c>
      <c r="F508" s="154">
        <f>Mesures_Omia!B21</f>
        <v>0</v>
      </c>
      <c r="G508" s="154">
        <f>Mesures_Omia!B21</f>
        <v>0</v>
      </c>
    </row>
    <row r="509" spans="3:7" x14ac:dyDescent="0.25">
      <c r="C509" s="459" t="s">
        <v>239</v>
      </c>
      <c r="D509" s="460"/>
      <c r="E509" s="129" t="e">
        <f ca="1">IF(MIN(Omia_1!C17:O17)&lt;Omia_1!P17,"NON CONFORME","CONFORME")</f>
        <v>#REF!</v>
      </c>
      <c r="F509" s="129" t="e">
        <f ca="1">IF(MIN(Omia_2!C17:O17)&lt;Omia_2!P17,"NON CONFORME","CONFORME")</f>
        <v>#REF!</v>
      </c>
      <c r="G509" s="129" t="e">
        <f ca="1">IF(MIN(Omia_3!C17:O17)&lt;Omia_3!P17,"NON CONFORME","CONFORME")</f>
        <v>#REF!</v>
      </c>
    </row>
    <row r="510" spans="3:7" x14ac:dyDescent="0.25">
      <c r="C510" s="459" t="s">
        <v>240</v>
      </c>
      <c r="D510" s="460"/>
      <c r="E510" s="129" t="e">
        <f ca="1">IF(MAX(Omia_1!C16:O16)&gt;Omia_1!P16,"NON CONFORME","CONFORME")</f>
        <v>#REF!</v>
      </c>
      <c r="F510" s="129" t="e">
        <f ca="1">IF(MAX(Omia_2!C16:O16)&gt;Omia_2!P16,"NON CONFORME","CONFORME")</f>
        <v>#REF!</v>
      </c>
      <c r="G510" s="129" t="e">
        <f ca="1">IF(MAX(Omia_3!C16:O16)&gt;Omia_3!P16,"NON CONFORME","CONFORME")</f>
        <v>#REF!</v>
      </c>
    </row>
    <row r="511" spans="3:7" x14ac:dyDescent="0.25">
      <c r="C511" s="459" t="s">
        <v>241</v>
      </c>
      <c r="D511" s="460"/>
      <c r="E511" s="129" t="e">
        <f ca="1">IF(OR(Omia_1!C21&lt;Omia_1!P17,Omia_1!C21&gt;Omia_1!P16),"NON CONFORME","CONFORME")</f>
        <v>#REF!</v>
      </c>
      <c r="F511" s="129" t="e">
        <f ca="1">IF(OR(Omia_2!C21&lt;Omia_2!P17,Omia_2!C21&gt;Omia_2!P16),"NON CONFORME","CONFORME")</f>
        <v>#REF!</v>
      </c>
      <c r="G511" s="129" t="e">
        <f ca="1">IF(OR(Omia_3!C21&lt;Omia_3!P17,Omia_3!C21&gt;Omia_3!P16),"NON CONFORME","CONFORME")</f>
        <v>#REF!</v>
      </c>
    </row>
  </sheetData>
  <sheetProtection algorithmName="SHA-512" hashValue="Fo7noKcCQonvllsDhrDF0/5JSRNg3t1KpZrghh0I6bb6v+aHTWOaMhujyAyh3+lWUnbOGrcp0zXv1aHPyEUwNQ==" saltValue="ruQwlbYlv7A+VMheTBRoSw==" spinCount="100000" sheet="1" objects="1" scenarios="1"/>
  <mergeCells count="67">
    <mergeCell ref="C51:F51"/>
    <mergeCell ref="B4:F6"/>
    <mergeCell ref="C10:D10"/>
    <mergeCell ref="E10:F10"/>
    <mergeCell ref="A28:B28"/>
    <mergeCell ref="A30:I47"/>
    <mergeCell ref="B69:D69"/>
    <mergeCell ref="E69:H69"/>
    <mergeCell ref="E55:F55"/>
    <mergeCell ref="E56:G56"/>
    <mergeCell ref="B57:C57"/>
    <mergeCell ref="E57:F57"/>
    <mergeCell ref="B61:C61"/>
    <mergeCell ref="E61:G61"/>
    <mergeCell ref="B62:C62"/>
    <mergeCell ref="E66:F66"/>
    <mergeCell ref="E67:H67"/>
    <mergeCell ref="B68:D68"/>
    <mergeCell ref="E68:I68"/>
    <mergeCell ref="C104:D104"/>
    <mergeCell ref="C85:G85"/>
    <mergeCell ref="C94:H94"/>
    <mergeCell ref="C95:D95"/>
    <mergeCell ref="C96:D96"/>
    <mergeCell ref="C97:D97"/>
    <mergeCell ref="C98:D98"/>
    <mergeCell ref="C99:D99"/>
    <mergeCell ref="C100:D100"/>
    <mergeCell ref="C101:D101"/>
    <mergeCell ref="C102:D102"/>
    <mergeCell ref="C103:D103"/>
    <mergeCell ref="A211:A214"/>
    <mergeCell ref="C105:D105"/>
    <mergeCell ref="C106:D106"/>
    <mergeCell ref="C107:D107"/>
    <mergeCell ref="C108:D108"/>
    <mergeCell ref="B116:F116"/>
    <mergeCell ref="C127:F127"/>
    <mergeCell ref="B304:C304"/>
    <mergeCell ref="B129:I144"/>
    <mergeCell ref="C163:H163"/>
    <mergeCell ref="C196:H196"/>
    <mergeCell ref="G200:I200"/>
    <mergeCell ref="B205:C205"/>
    <mergeCell ref="B226:F226"/>
    <mergeCell ref="B229:C229"/>
    <mergeCell ref="B238:N238"/>
    <mergeCell ref="B239:N239"/>
    <mergeCell ref="G299:I299"/>
    <mergeCell ref="B446:N446"/>
    <mergeCell ref="A310:A313"/>
    <mergeCell ref="B324:F324"/>
    <mergeCell ref="B327:C327"/>
    <mergeCell ref="B336:N336"/>
    <mergeCell ref="B337:N337"/>
    <mergeCell ref="G409:I409"/>
    <mergeCell ref="B414:C414"/>
    <mergeCell ref="A420:A423"/>
    <mergeCell ref="B433:F433"/>
    <mergeCell ref="B436:C436"/>
    <mergeCell ref="B445:N445"/>
    <mergeCell ref="C511:D511"/>
    <mergeCell ref="C506:D506"/>
    <mergeCell ref="C507:D507"/>
    <mergeCell ref="C508:D508"/>
    <mergeCell ref="C509:D509"/>
    <mergeCell ref="C510:D510"/>
  </mergeCells>
  <conditionalFormatting sqref="E509">
    <cfRule type="containsText" dxfId="24" priority="6" operator="containsText" text="NON CONFORME">
      <formula>NOT(ISERROR(SEARCH("NON CONFORME",E509)))</formula>
    </cfRule>
  </conditionalFormatting>
  <conditionalFormatting sqref="E510">
    <cfRule type="containsText" dxfId="23" priority="5" operator="containsText" text="NON CONFORME">
      <formula>NOT(ISERROR(SEARCH("NON CONFORME",E510)))</formula>
    </cfRule>
  </conditionalFormatting>
  <conditionalFormatting sqref="F509">
    <cfRule type="containsText" dxfId="22" priority="4" operator="containsText" text="NON CONFORME">
      <formula>NOT(ISERROR(SEARCH("NON CONFORME",F509)))</formula>
    </cfRule>
  </conditionalFormatting>
  <conditionalFormatting sqref="F510">
    <cfRule type="containsText" dxfId="21" priority="3" operator="containsText" text="NON CONFORME">
      <formula>NOT(ISERROR(SEARCH("NON CONFORME",F510)))</formula>
    </cfRule>
  </conditionalFormatting>
  <conditionalFormatting sqref="G509">
    <cfRule type="containsText" dxfId="20" priority="2" operator="containsText" text="NON CONFORME">
      <formula>NOT(ISERROR(SEARCH("NON CONFORME",G509)))</formula>
    </cfRule>
  </conditionalFormatting>
  <conditionalFormatting sqref="G510">
    <cfRule type="containsText" dxfId="19" priority="1" operator="containsText" text="NON CONFORME">
      <formula>NOT(ISERROR(SEARCH("NON CONFORME",G510)))</formula>
    </cfRule>
  </conditionalFormatting>
  <pageMargins left="0.7" right="0.7" top="0.75" bottom="0.75" header="0.3" footer="0.3"/>
  <pageSetup paperSize="9" scale="23" orientation="landscape" r:id="rId1"/>
  <headerFooter>
    <oddFooter>&amp;RIMP 472 ind O du 07-02-2024 (PV de l'étuve OMIA LVT)</oddFooter>
  </headerFooter>
  <rowBreaks count="14" manualBreakCount="14">
    <brk id="47" max="16383" man="1"/>
    <brk id="81" max="16383" man="1"/>
    <brk id="124" max="14" man="1"/>
    <brk id="159" max="16383" man="1"/>
    <brk id="192" max="16383" man="1"/>
    <brk id="219" max="16383" man="1"/>
    <brk id="251" max="16383" man="1"/>
    <brk id="288" max="14" man="1"/>
    <brk id="317" max="14" man="1"/>
    <brk id="347" max="14" man="1"/>
    <brk id="398" max="14" man="1"/>
    <brk id="426" max="14" man="1"/>
    <brk id="452" max="14" man="1"/>
    <brk id="493" max="14" man="1"/>
  </rowBreaks>
  <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DC84F-6157-40B1-956A-FBEE0F0B7E4D}">
  <sheetPr codeName="Feuil4">
    <tabColor theme="9" tint="0.39997558519241921"/>
  </sheetPr>
  <dimension ref="A1:O49"/>
  <sheetViews>
    <sheetView zoomScale="115" zoomScaleNormal="115" workbookViewId="0">
      <selection activeCell="I43" sqref="I43"/>
    </sheetView>
  </sheetViews>
  <sheetFormatPr baseColWidth="10" defaultRowHeight="15" x14ac:dyDescent="0.25"/>
  <cols>
    <col min="1" max="1" width="15.85546875" bestFit="1" customWidth="1"/>
    <col min="2" max="2" width="14.7109375" bestFit="1" customWidth="1"/>
    <col min="3" max="3" width="18.85546875" bestFit="1" customWidth="1"/>
    <col min="4" max="4" width="17.85546875" customWidth="1"/>
    <col min="5" max="5" width="17.5703125" customWidth="1"/>
    <col min="6" max="6" width="18.85546875" customWidth="1"/>
    <col min="7" max="7" width="16.28515625" bestFit="1" customWidth="1"/>
    <col min="8" max="9" width="17.42578125" bestFit="1" customWidth="1"/>
    <col min="11" max="11" width="21.42578125" bestFit="1" customWidth="1"/>
    <col min="12" max="12" width="17.28515625" bestFit="1" customWidth="1"/>
    <col min="13" max="13" width="25.85546875" bestFit="1" customWidth="1"/>
  </cols>
  <sheetData>
    <row r="1" spans="1:13" x14ac:dyDescent="0.25">
      <c r="A1" s="326"/>
    </row>
    <row r="2" spans="1:13" x14ac:dyDescent="0.25">
      <c r="B2" s="454" t="s">
        <v>557</v>
      </c>
      <c r="C2" s="455"/>
      <c r="D2" s="455"/>
      <c r="E2" s="455"/>
      <c r="F2" s="455"/>
      <c r="G2" s="455"/>
      <c r="H2" s="455"/>
      <c r="I2" s="455"/>
      <c r="J2" s="455"/>
      <c r="K2" s="455"/>
    </row>
    <row r="3" spans="1:13" ht="75" customHeight="1" x14ac:dyDescent="0.25">
      <c r="B3" s="455"/>
      <c r="C3" s="455"/>
      <c r="D3" s="455"/>
      <c r="E3" s="455"/>
      <c r="F3" s="455"/>
      <c r="G3" s="455"/>
      <c r="H3" s="455"/>
      <c r="I3" s="455"/>
      <c r="J3" s="455"/>
      <c r="K3" s="455"/>
    </row>
    <row r="4" spans="1:13" ht="47.25" customHeight="1" x14ac:dyDescent="0.25">
      <c r="A4" s="1"/>
      <c r="B4" s="2"/>
      <c r="C4" s="2"/>
      <c r="D4" s="2"/>
      <c r="E4" s="2"/>
      <c r="F4" s="2"/>
      <c r="G4" s="2"/>
    </row>
    <row r="5" spans="1:13" ht="16.5" customHeight="1" x14ac:dyDescent="0.25">
      <c r="A5" s="447" t="s">
        <v>536</v>
      </c>
      <c r="B5" s="447"/>
      <c r="C5" s="447"/>
      <c r="D5" s="161" t="str">
        <f>Choose_TUS!L2 &amp; "( TUS de l'étuve de polymération ENATT)"</f>
        <v>IMP 472 ind O du 07-02-2024 ( TUS de l'étuve de polymération ENATT)</v>
      </c>
      <c r="E5" s="2"/>
      <c r="F5" s="2"/>
      <c r="G5" s="2"/>
    </row>
    <row r="6" spans="1:13" x14ac:dyDescent="0.25">
      <c r="A6" s="447" t="s">
        <v>0</v>
      </c>
      <c r="B6" s="447"/>
      <c r="C6" s="447"/>
      <c r="D6" s="161"/>
      <c r="E6" s="1"/>
      <c r="F6" s="1"/>
    </row>
    <row r="7" spans="1:13" x14ac:dyDescent="0.25">
      <c r="A7" s="1"/>
      <c r="B7" s="1"/>
      <c r="C7" s="1"/>
      <c r="D7" s="1"/>
      <c r="E7" s="1"/>
      <c r="F7" s="1"/>
      <c r="G7" s="1"/>
    </row>
    <row r="8" spans="1:13" x14ac:dyDescent="0.25">
      <c r="A8" s="447" t="s">
        <v>1</v>
      </c>
      <c r="B8" s="447"/>
      <c r="C8" s="4"/>
      <c r="D8" s="1"/>
      <c r="E8" s="447" t="s">
        <v>18</v>
      </c>
      <c r="F8" s="447"/>
      <c r="G8" s="4"/>
      <c r="H8" s="156"/>
      <c r="M8" s="5"/>
    </row>
    <row r="9" spans="1:13" x14ac:dyDescent="0.25">
      <c r="A9" s="447" t="s">
        <v>2</v>
      </c>
      <c r="B9" s="447"/>
      <c r="C9" s="6"/>
      <c r="D9" s="1"/>
      <c r="E9" s="447" t="s">
        <v>19</v>
      </c>
      <c r="F9" s="447"/>
      <c r="G9" s="6"/>
      <c r="M9" s="5"/>
    </row>
    <row r="10" spans="1:13" x14ac:dyDescent="0.25">
      <c r="A10" s="1"/>
      <c r="B10" s="1"/>
      <c r="C10" s="1"/>
      <c r="D10" s="1"/>
      <c r="E10" s="1"/>
      <c r="F10" s="1"/>
      <c r="G10" s="1"/>
      <c r="M10" s="5"/>
    </row>
    <row r="11" spans="1:13" x14ac:dyDescent="0.25">
      <c r="A11" s="443" t="s">
        <v>3</v>
      </c>
      <c r="B11" s="444"/>
      <c r="C11" s="7"/>
      <c r="D11" s="1"/>
      <c r="E11" s="443" t="s">
        <v>20</v>
      </c>
      <c r="F11" s="444"/>
      <c r="G11" s="8"/>
    </row>
    <row r="12" spans="1:13" x14ac:dyDescent="0.25">
      <c r="A12" s="443" t="s">
        <v>4</v>
      </c>
      <c r="B12" s="444"/>
      <c r="C12" s="8"/>
      <c r="D12" s="1"/>
      <c r="E12" s="447" t="s">
        <v>21</v>
      </c>
      <c r="F12" s="447"/>
      <c r="G12" s="159">
        <v>15</v>
      </c>
    </row>
    <row r="13" spans="1:13" x14ac:dyDescent="0.25">
      <c r="A13" s="1"/>
      <c r="B13" s="1"/>
      <c r="C13" s="1"/>
      <c r="D13" s="1"/>
      <c r="E13" s="447" t="s">
        <v>22</v>
      </c>
      <c r="F13" s="447"/>
      <c r="G13" s="10"/>
    </row>
    <row r="14" spans="1:13" x14ac:dyDescent="0.25">
      <c r="A14" s="1"/>
      <c r="B14" s="1"/>
      <c r="C14" s="1"/>
      <c r="D14" s="1"/>
      <c r="E14" s="1"/>
      <c r="F14" s="1"/>
      <c r="G14" s="1"/>
    </row>
    <row r="15" spans="1:13" x14ac:dyDescent="0.25">
      <c r="A15" s="443" t="s">
        <v>5</v>
      </c>
      <c r="B15" s="444"/>
      <c r="C15" s="4"/>
      <c r="D15" s="1"/>
      <c r="E15" s="1"/>
      <c r="F15" s="1"/>
      <c r="G15" s="1"/>
    </row>
    <row r="16" spans="1:13" x14ac:dyDescent="0.25">
      <c r="A16" s="443" t="s">
        <v>6</v>
      </c>
      <c r="B16" s="444"/>
      <c r="C16" s="10"/>
      <c r="D16" s="1"/>
      <c r="E16" s="1"/>
      <c r="F16" s="1"/>
      <c r="G16" s="1"/>
    </row>
    <row r="17" spans="1:9" x14ac:dyDescent="0.25">
      <c r="A17" s="1"/>
      <c r="B17" s="1"/>
      <c r="C17" s="1"/>
      <c r="D17" s="5"/>
      <c r="E17" s="1"/>
      <c r="F17" s="1"/>
      <c r="G17" s="1"/>
    </row>
    <row r="18" spans="1:9" x14ac:dyDescent="0.25">
      <c r="A18" s="1"/>
      <c r="B18" s="1"/>
      <c r="C18" s="1"/>
      <c r="D18" s="5"/>
      <c r="E18" s="1"/>
      <c r="F18" s="1"/>
      <c r="G18" s="1"/>
      <c r="H18" s="1"/>
    </row>
    <row r="19" spans="1:9" x14ac:dyDescent="0.25">
      <c r="A19" s="1"/>
      <c r="B19" s="3" t="s">
        <v>279</v>
      </c>
      <c r="C19" s="3" t="s">
        <v>280</v>
      </c>
      <c r="D19" s="3" t="s">
        <v>281</v>
      </c>
      <c r="E19" s="1"/>
      <c r="F19" s="1"/>
      <c r="G19" s="1"/>
      <c r="H19" s="1"/>
    </row>
    <row r="20" spans="1:9" x14ac:dyDescent="0.25">
      <c r="A20" s="3" t="s">
        <v>558</v>
      </c>
      <c r="B20" s="11"/>
      <c r="C20" s="11"/>
      <c r="D20" s="11"/>
      <c r="E20" s="1"/>
    </row>
    <row r="21" spans="1:9" x14ac:dyDescent="0.25">
      <c r="A21" s="3" t="s">
        <v>548</v>
      </c>
      <c r="B21" s="11"/>
      <c r="C21" s="1"/>
      <c r="D21" s="1"/>
      <c r="E21" s="1"/>
      <c r="F21" s="1"/>
      <c r="G21" s="1"/>
    </row>
    <row r="22" spans="1:9" ht="15.75" thickBot="1" x14ac:dyDescent="0.3">
      <c r="A22" s="1"/>
      <c r="B22" s="1"/>
      <c r="C22" s="1"/>
      <c r="D22" s="1"/>
      <c r="E22" s="1"/>
      <c r="F22" s="1"/>
      <c r="G22" s="1"/>
    </row>
    <row r="23" spans="1:9" ht="30.75" thickBot="1" x14ac:dyDescent="0.3">
      <c r="A23" s="12" t="s">
        <v>9</v>
      </c>
      <c r="B23" s="13" t="s">
        <v>12</v>
      </c>
      <c r="C23" s="13" t="s">
        <v>14</v>
      </c>
      <c r="D23" s="25" t="str">
        <f>"Décalage Enregistreur " &amp; B20 &amp; "°C"</f>
        <v>Décalage Enregistreur °C</v>
      </c>
      <c r="E23" s="25" t="str">
        <f>"Décalage Enregistreur " &amp; C20 &amp; "°C"</f>
        <v>Décalage Enregistreur °C</v>
      </c>
      <c r="F23" s="25" t="str">
        <f>"Décalage Enregistreur " &amp; D20 &amp; "°C"</f>
        <v>Décalage Enregistreur °C</v>
      </c>
      <c r="G23" s="26" t="str">
        <f>"Décalage Enregistreur " &amp; B20 &amp; "°C"</f>
        <v>Décalage Enregistreur °C</v>
      </c>
      <c r="H23" s="26" t="str">
        <f>"Décalage Enregistreur " &amp; C20 &amp; "°C"</f>
        <v>Décalage Enregistreur °C</v>
      </c>
      <c r="I23" s="26" t="str">
        <f>"Décalage Enregistreur " &amp; D20 &amp; "°C"</f>
        <v>Décalage Enregistreur °C</v>
      </c>
    </row>
    <row r="24" spans="1:9" x14ac:dyDescent="0.25">
      <c r="A24" s="15">
        <v>1</v>
      </c>
      <c r="B24" s="11"/>
      <c r="C24" s="11"/>
      <c r="D24" s="18"/>
      <c r="E24" s="18"/>
      <c r="F24" s="18"/>
      <c r="G24" s="18"/>
      <c r="H24" s="18"/>
      <c r="I24" s="18"/>
    </row>
    <row r="25" spans="1:9" x14ac:dyDescent="0.25">
      <c r="A25" s="19">
        <v>2</v>
      </c>
      <c r="B25" s="11"/>
      <c r="C25" s="11"/>
      <c r="D25" s="18"/>
      <c r="E25" s="18"/>
      <c r="F25" s="18"/>
      <c r="G25" s="18"/>
      <c r="H25" s="18"/>
      <c r="I25" s="18"/>
    </row>
    <row r="26" spans="1:9" x14ac:dyDescent="0.25">
      <c r="A26" s="15">
        <v>3</v>
      </c>
      <c r="B26" s="11"/>
      <c r="C26" s="11"/>
      <c r="D26" s="18"/>
      <c r="E26" s="18"/>
      <c r="F26" s="18"/>
      <c r="G26" s="18"/>
      <c r="H26" s="18"/>
      <c r="I26" s="18"/>
    </row>
    <row r="27" spans="1:9" x14ac:dyDescent="0.25">
      <c r="A27" s="19">
        <v>4</v>
      </c>
      <c r="B27" s="11"/>
      <c r="C27" s="11"/>
      <c r="D27" s="18"/>
      <c r="E27" s="18"/>
      <c r="F27" s="18"/>
      <c r="G27" s="18"/>
      <c r="H27" s="18"/>
      <c r="I27" s="18"/>
    </row>
    <row r="28" spans="1:9" x14ac:dyDescent="0.25">
      <c r="A28" s="15">
        <v>5</v>
      </c>
      <c r="B28" s="11"/>
      <c r="C28" s="11"/>
      <c r="D28" s="18"/>
      <c r="E28" s="18"/>
      <c r="F28" s="18"/>
      <c r="G28" s="18"/>
      <c r="H28" s="18"/>
      <c r="I28" s="18"/>
    </row>
    <row r="29" spans="1:9" x14ac:dyDescent="0.25">
      <c r="A29" s="19">
        <v>6</v>
      </c>
      <c r="B29" s="11"/>
      <c r="C29" s="11"/>
      <c r="D29" s="18"/>
      <c r="E29" s="18"/>
      <c r="F29" s="18"/>
      <c r="G29" s="18"/>
      <c r="H29" s="18"/>
      <c r="I29" s="18"/>
    </row>
    <row r="30" spans="1:9" x14ac:dyDescent="0.25">
      <c r="A30" s="15">
        <v>7</v>
      </c>
      <c r="B30" s="11"/>
      <c r="C30" s="11"/>
      <c r="D30" s="18"/>
      <c r="E30" s="18"/>
      <c r="F30" s="18"/>
      <c r="G30" s="18"/>
      <c r="H30" s="18"/>
      <c r="I30" s="18"/>
    </row>
    <row r="31" spans="1:9" x14ac:dyDescent="0.25">
      <c r="A31" s="19">
        <v>8</v>
      </c>
      <c r="B31" s="11"/>
      <c r="C31" s="11"/>
      <c r="D31" s="18"/>
      <c r="E31" s="18"/>
      <c r="F31" s="18"/>
      <c r="G31" s="18"/>
      <c r="H31" s="18"/>
      <c r="I31" s="18"/>
    </row>
    <row r="32" spans="1:9" x14ac:dyDescent="0.25">
      <c r="A32" s="15">
        <v>9</v>
      </c>
      <c r="B32" s="11"/>
      <c r="C32" s="11"/>
      <c r="D32" s="18"/>
      <c r="E32" s="18"/>
      <c r="F32" s="18"/>
      <c r="G32" s="18"/>
      <c r="H32" s="18"/>
      <c r="I32" s="18"/>
    </row>
    <row r="37" spans="1:15" ht="26.25" x14ac:dyDescent="0.25">
      <c r="A37" s="1"/>
      <c r="B37" s="446" t="s">
        <v>13</v>
      </c>
      <c r="C37" s="446"/>
      <c r="D37" s="1"/>
      <c r="E37" s="1"/>
      <c r="F37" s="1"/>
      <c r="G37" s="1"/>
      <c r="H37" s="1"/>
      <c r="I37" s="1"/>
      <c r="J37" s="446" t="s">
        <v>30</v>
      </c>
      <c r="K37" s="446"/>
      <c r="L37" s="1"/>
      <c r="M37" s="1"/>
    </row>
    <row r="38" spans="1:15" x14ac:dyDescent="0.25">
      <c r="A38" s="1"/>
      <c r="B38" s="1"/>
      <c r="C38" s="1"/>
      <c r="D38" s="1"/>
      <c r="E38" s="1"/>
      <c r="F38" s="1"/>
      <c r="G38" s="1"/>
      <c r="H38" s="1"/>
      <c r="I38" s="1"/>
      <c r="J38" s="1"/>
      <c r="K38" s="1"/>
      <c r="L38" s="1"/>
      <c r="M38" s="1"/>
      <c r="N38" s="1"/>
      <c r="O38" s="1"/>
    </row>
    <row r="39" spans="1:15" x14ac:dyDescent="0.25">
      <c r="A39" s="443" t="s">
        <v>10</v>
      </c>
      <c r="B39" s="453"/>
      <c r="C39" s="453"/>
      <c r="D39" s="453"/>
      <c r="E39" s="453"/>
      <c r="F39" s="444"/>
      <c r="G39" s="1"/>
      <c r="H39" s="1"/>
      <c r="I39" s="447" t="s">
        <v>26</v>
      </c>
      <c r="J39" s="447"/>
      <c r="K39" s="447"/>
      <c r="L39" s="447"/>
      <c r="M39" s="447"/>
    </row>
    <row r="40" spans="1:15" ht="30" x14ac:dyDescent="0.25">
      <c r="A40" s="447"/>
      <c r="B40" s="447"/>
      <c r="C40" s="3" t="s">
        <v>15</v>
      </c>
      <c r="D40" s="20" t="s">
        <v>17</v>
      </c>
      <c r="E40" s="20" t="s">
        <v>24</v>
      </c>
      <c r="F40" s="20" t="s">
        <v>25</v>
      </c>
      <c r="G40" s="1"/>
      <c r="H40" s="1"/>
      <c r="I40" s="450"/>
      <c r="J40" s="450"/>
      <c r="K40" s="3" t="s">
        <v>32</v>
      </c>
      <c r="L40" s="3" t="s">
        <v>34</v>
      </c>
      <c r="M40" s="3" t="s">
        <v>35</v>
      </c>
    </row>
    <row r="41" spans="1:15" x14ac:dyDescent="0.25">
      <c r="A41" s="443" t="str">
        <f t="shared" ref="A41:A49" si="0">CONCATENATE("Sonde ", B24)</f>
        <v xml:space="preserve">Sonde </v>
      </c>
      <c r="B41" s="444"/>
      <c r="C41" s="10"/>
      <c r="D41" s="10"/>
      <c r="E41" s="10"/>
      <c r="F41" s="10"/>
      <c r="G41" s="1"/>
      <c r="H41" s="1"/>
      <c r="I41" s="451" t="s">
        <v>27</v>
      </c>
      <c r="J41" s="452"/>
      <c r="K41" s="10"/>
      <c r="L41" s="10"/>
      <c r="M41" s="10"/>
    </row>
    <row r="42" spans="1:15" x14ac:dyDescent="0.25">
      <c r="A42" s="443" t="str">
        <f t="shared" si="0"/>
        <v xml:space="preserve">Sonde </v>
      </c>
      <c r="B42" s="444"/>
      <c r="C42" s="10"/>
      <c r="D42" s="10"/>
      <c r="E42" s="10"/>
      <c r="F42" s="10"/>
      <c r="G42" s="1"/>
      <c r="H42" s="1"/>
      <c r="I42" s="1"/>
      <c r="J42" s="1"/>
      <c r="K42" s="1"/>
      <c r="L42" s="1"/>
      <c r="M42" s="1"/>
    </row>
    <row r="43" spans="1:15" x14ac:dyDescent="0.25">
      <c r="A43" s="443" t="str">
        <f t="shared" si="0"/>
        <v xml:space="preserve">Sonde </v>
      </c>
      <c r="B43" s="444"/>
      <c r="C43" s="10"/>
      <c r="D43" s="10"/>
      <c r="E43" s="10"/>
      <c r="F43" s="10"/>
      <c r="G43" s="1"/>
      <c r="H43" s="1"/>
      <c r="I43" s="1"/>
      <c r="J43" s="1"/>
      <c r="K43" s="1"/>
      <c r="L43" s="1"/>
      <c r="M43" s="1"/>
    </row>
    <row r="44" spans="1:15" x14ac:dyDescent="0.25">
      <c r="A44" s="443" t="str">
        <f t="shared" si="0"/>
        <v xml:space="preserve">Sonde </v>
      </c>
      <c r="B44" s="444"/>
      <c r="C44" s="10"/>
      <c r="D44" s="10"/>
      <c r="E44" s="10"/>
      <c r="F44" s="10"/>
      <c r="G44" s="1"/>
      <c r="H44" s="1"/>
      <c r="I44" s="1"/>
      <c r="J44" s="1"/>
      <c r="K44" s="1"/>
      <c r="L44" s="1"/>
      <c r="M44" s="1"/>
    </row>
    <row r="45" spans="1:15" x14ac:dyDescent="0.25">
      <c r="A45" s="443" t="str">
        <f t="shared" si="0"/>
        <v xml:space="preserve">Sonde </v>
      </c>
      <c r="B45" s="444"/>
      <c r="C45" s="10"/>
      <c r="D45" s="10"/>
      <c r="E45" s="10"/>
      <c r="F45" s="10"/>
      <c r="G45" s="1"/>
      <c r="H45" s="1"/>
      <c r="I45" s="1"/>
      <c r="J45" s="1"/>
    </row>
    <row r="46" spans="1:15" x14ac:dyDescent="0.25">
      <c r="A46" s="443" t="str">
        <f t="shared" si="0"/>
        <v xml:space="preserve">Sonde </v>
      </c>
      <c r="B46" s="444"/>
      <c r="C46" s="10"/>
      <c r="D46" s="10"/>
      <c r="E46" s="10"/>
      <c r="F46" s="10"/>
      <c r="G46" s="1"/>
      <c r="H46" s="1"/>
      <c r="I46" s="1"/>
      <c r="J46" s="1"/>
    </row>
    <row r="47" spans="1:15" x14ac:dyDescent="0.25">
      <c r="A47" s="443" t="str">
        <f t="shared" si="0"/>
        <v xml:space="preserve">Sonde </v>
      </c>
      <c r="B47" s="444"/>
      <c r="C47" s="10"/>
      <c r="D47" s="10"/>
      <c r="E47" s="10"/>
      <c r="F47" s="10"/>
      <c r="G47" s="1"/>
      <c r="H47" s="1"/>
      <c r="I47" s="1"/>
      <c r="J47" s="1"/>
    </row>
    <row r="48" spans="1:15" x14ac:dyDescent="0.25">
      <c r="A48" s="443" t="str">
        <f t="shared" si="0"/>
        <v xml:space="preserve">Sonde </v>
      </c>
      <c r="B48" s="444"/>
      <c r="C48" s="10"/>
      <c r="D48" s="10"/>
      <c r="E48" s="10"/>
      <c r="F48" s="10"/>
      <c r="G48" s="1"/>
      <c r="H48" s="1"/>
      <c r="I48" s="1"/>
      <c r="J48" s="1"/>
    </row>
    <row r="49" spans="1:10" x14ac:dyDescent="0.25">
      <c r="A49" s="443" t="str">
        <f t="shared" si="0"/>
        <v xml:space="preserve">Sonde </v>
      </c>
      <c r="B49" s="444"/>
      <c r="C49" s="10"/>
      <c r="D49" s="10"/>
      <c r="E49" s="10"/>
      <c r="F49" s="10"/>
      <c r="G49" s="1"/>
      <c r="H49" s="1"/>
      <c r="I49" s="1"/>
      <c r="J49" s="1"/>
    </row>
  </sheetData>
  <sheetProtection algorithmName="SHA-512" hashValue="AZQumeADB3gD4nKK+VgXnuHjymNUOL50OrViEevO+kcdtY6jADgtrA7sKLkknJUDIKzNSUZzAS9fqWqx18a0KA==" saltValue="FI4+PBEBirriKS5FehNttg==" spinCount="100000" sheet="1" objects="1" scenarios="1"/>
  <protectedRanges>
    <protectedRange sqref="C11" name="Donnees controleur"/>
  </protectedRanges>
  <mergeCells count="30">
    <mergeCell ref="A46:B46"/>
    <mergeCell ref="A47:B47"/>
    <mergeCell ref="A48:B48"/>
    <mergeCell ref="A49:B49"/>
    <mergeCell ref="A41:B41"/>
    <mergeCell ref="I41:J41"/>
    <mergeCell ref="A42:B42"/>
    <mergeCell ref="A43:B43"/>
    <mergeCell ref="A44:B44"/>
    <mergeCell ref="A45:B45"/>
    <mergeCell ref="A40:B40"/>
    <mergeCell ref="I40:J40"/>
    <mergeCell ref="A11:B11"/>
    <mergeCell ref="E11:F11"/>
    <mergeCell ref="A12:B12"/>
    <mergeCell ref="E12:F12"/>
    <mergeCell ref="E13:F13"/>
    <mergeCell ref="A15:B15"/>
    <mergeCell ref="A16:B16"/>
    <mergeCell ref="B37:C37"/>
    <mergeCell ref="J37:K37"/>
    <mergeCell ref="A39:F39"/>
    <mergeCell ref="I39:M39"/>
    <mergeCell ref="B2:K3"/>
    <mergeCell ref="A6:C6"/>
    <mergeCell ref="A8:B8"/>
    <mergeCell ref="E8:F8"/>
    <mergeCell ref="A9:B9"/>
    <mergeCell ref="E9:F9"/>
    <mergeCell ref="A5:C5"/>
  </mergeCells>
  <conditionalFormatting sqref="A6:M6 A1:N5 A7:N50">
    <cfRule type="expression" dxfId="18" priority="1">
      <formula>AND(NOT(CELL("protege", A1)), A1="")</formula>
    </cfRule>
  </conditionalFormatting>
  <dataValidations count="2">
    <dataValidation type="list" allowBlank="1" showInputMessage="1" showErrorMessage="1" sqref="C11" xr:uid="{8E4C1123-B088-4ED5-9031-95064819C800}">
      <formula1>"BCH , LV"</formula1>
    </dataValidation>
    <dataValidation type="list" allowBlank="1" showInputMessage="1" showErrorMessage="1" sqref="C16" xr:uid="{28D26A77-82EE-45D9-B198-1283C7796FFA}">
      <formula1>"Trismestrielle,Mensuelle,Annuelle"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4" r:id="rId3" name="Button 6">
              <controlPr defaultSize="0" print="0" autoFill="0" autoPict="0" macro="[0]!Realisation_TUS_DOVER">
                <anchor moveWithCells="1" sizeWithCells="1">
                  <from>
                    <xdr:col>9</xdr:col>
                    <xdr:colOff>295275</xdr:colOff>
                    <xdr:row>7</xdr:row>
                    <xdr:rowOff>47625</xdr:rowOff>
                  </from>
                  <to>
                    <xdr:col>13</xdr:col>
                    <xdr:colOff>400050</xdr:colOff>
                    <xdr:row>13</xdr:row>
                    <xdr:rowOff>28575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C01BC-F3BB-40C9-8580-5011C0EA6C93}">
  <sheetPr codeName="Feuil22">
    <tabColor theme="9" tint="0.39997558519241921"/>
  </sheetPr>
  <dimension ref="A1:J2"/>
  <sheetViews>
    <sheetView workbookViewId="0">
      <selection activeCell="C8" sqref="C8"/>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OS+mKbbQlJ+ahKlP1nxSzn/gMJFoqyXZ4DFElzR9Sqzc3O9OgV2al4xvsg+5vnsQ4UtsxSx2jZllT/qLWbQllg==" saltValue="rVNtUXf+2Iy6xeQcMI+G7w==" spinCount="100000" sheet="1" objects="1" scenarios="1"/>
  <dataConsolidate/>
  <phoneticPr fontId="38" type="noConversion"/>
  <pageMargins left="0.7" right="0.7" top="0.75" bottom="0.75" header="0.3" footer="0.3"/>
  <pageSetup paperSize="9" orientation="portrait"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CC4D2-EEDA-45E3-9D0D-44B762601D88}">
  <sheetPr codeName="Feuil23">
    <tabColor theme="9" tint="0.39997558519241921"/>
  </sheetPr>
  <dimension ref="A1:J2"/>
  <sheetViews>
    <sheetView workbookViewId="0">
      <selection activeCell="L19" sqref="L19"/>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2epi8lQN5veeEOnrvX/UjJtctG6vwfd8SziKgN5mU+VF7sUn4fPNAh+sJkZTBusa7JHWPk2ZH3EIG7EIdmPHuA==" saltValue="Q8JK4P+f1JW6k6cyCZBYuQ==" spinCount="100000" sheet="1" objects="1" scenarios="1"/>
  <phoneticPr fontId="38" type="noConversion"/>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05F0B-A948-45EB-BCB3-2C8A70A2E323}">
  <sheetPr codeName="Feuil24">
    <tabColor theme="9" tint="0.39997558519241921"/>
  </sheetPr>
  <dimension ref="A1:J2"/>
  <sheetViews>
    <sheetView workbookViewId="0">
      <selection activeCell="L19" sqref="L19"/>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MIxSKvtupQrKqo0L/upFmnnssLZJ26GyHdVHQcjAhtMQ8u4uGs33G/E/xD8jPQZq+ewn1zwGazqkOfQqNz2jbg==" saltValue="qY32jq4zb0zHoAVZBqcWIQ==" spinCount="100000" sheet="1" objects="1" scenarios="1"/>
  <phoneticPr fontId="38" type="noConversion"/>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41800-62CB-435C-80C0-74B06F5E7672}">
  <sheetPr codeName="Feuil10">
    <tabColor theme="9" tint="0.39997558519241921"/>
  </sheetPr>
  <dimension ref="A1:O54"/>
  <sheetViews>
    <sheetView topLeftCell="A55" workbookViewId="0">
      <selection activeCell="N77" sqref="N77"/>
    </sheetView>
  </sheetViews>
  <sheetFormatPr baseColWidth="10" defaultRowHeight="15" x14ac:dyDescent="0.25"/>
  <cols>
    <col min="2" max="2" width="15" bestFit="1" customWidth="1"/>
    <col min="3" max="11" width="12.7109375" bestFit="1" customWidth="1"/>
    <col min="14" max="14" width="17.7109375" bestFit="1" customWidth="1"/>
  </cols>
  <sheetData>
    <row r="1" spans="1:15" s="27" customFormat="1" x14ac:dyDescent="0.25">
      <c r="A1" s="456" t="str">
        <f>Mesures_Dover!B20 &amp; "°C"</f>
        <v>°C</v>
      </c>
      <c r="B1" s="456"/>
      <c r="C1" s="456"/>
      <c r="D1" s="456"/>
      <c r="E1" s="456"/>
      <c r="F1" s="456"/>
      <c r="G1" s="456"/>
      <c r="H1" s="456"/>
      <c r="I1" s="456"/>
      <c r="J1" s="456"/>
      <c r="K1" s="456"/>
      <c r="L1" s="456"/>
      <c r="M1" s="456"/>
      <c r="N1" s="456"/>
      <c r="O1" s="456"/>
    </row>
    <row r="2" spans="1:15" s="27" customFormat="1" x14ac:dyDescent="0.25">
      <c r="A2" s="456"/>
      <c r="B2" s="456"/>
      <c r="C2" s="456"/>
      <c r="D2" s="456"/>
      <c r="E2" s="456"/>
      <c r="F2" s="456"/>
      <c r="G2" s="456"/>
      <c r="H2" s="456"/>
      <c r="I2" s="456"/>
      <c r="J2" s="456"/>
      <c r="K2" s="456"/>
      <c r="L2" s="456"/>
      <c r="M2" s="456"/>
      <c r="N2" s="456"/>
      <c r="O2" s="456"/>
    </row>
    <row r="3" spans="1:15" s="27" customFormat="1" x14ac:dyDescent="0.25">
      <c r="A3" s="456"/>
      <c r="B3" s="456"/>
      <c r="C3" s="456"/>
      <c r="D3" s="456"/>
      <c r="E3" s="456"/>
      <c r="F3" s="456"/>
      <c r="G3" s="456"/>
      <c r="H3" s="456"/>
      <c r="I3" s="456"/>
      <c r="J3" s="456"/>
      <c r="K3" s="456"/>
      <c r="L3" s="456"/>
      <c r="M3" s="456"/>
      <c r="N3" s="456"/>
      <c r="O3" s="456"/>
    </row>
    <row r="4" spans="1:15" s="27" customFormat="1" x14ac:dyDescent="0.25">
      <c r="L4" s="33"/>
    </row>
    <row r="5" spans="1:15" s="27" customFormat="1" x14ac:dyDescent="0.25">
      <c r="B5" s="34" t="s">
        <v>23</v>
      </c>
      <c r="C5" s="35" t="e">
        <f>_xlfn.XLOOKUP(INT(SUBSTITUTE(C14,"Connecteur ","")),Mesures_Dover!C24:C32,Mesures_Dover!G24:G32)</f>
        <v>#N/A</v>
      </c>
      <c r="D5" s="35" t="e">
        <f>_xlfn.XLOOKUP(INT(SUBSTITUTE(D14,"Connecteur ","")),Mesures_Dover!C24:C32,Mesures_Dover!G24:G32)</f>
        <v>#N/A</v>
      </c>
      <c r="E5" s="35" t="e">
        <f>_xlfn.XLOOKUP(INT(SUBSTITUTE(E14,"Connecteur ","")),Mesures_Dover!C24:C32,Mesures_Dover!G24:G32)</f>
        <v>#N/A</v>
      </c>
      <c r="F5" s="35" t="e">
        <f>_xlfn.XLOOKUP(INT(SUBSTITUTE(F14,"Connecteur ","")),Mesures_Dover!C24:C32,Mesures_Dover!G24:G32)</f>
        <v>#N/A</v>
      </c>
      <c r="G5" s="35" t="e">
        <f>_xlfn.XLOOKUP(INT(SUBSTITUTE(G14,"Connecteur ","")),Mesures_Dover!C24:C32,Mesures_Dover!G24:G32)</f>
        <v>#N/A</v>
      </c>
      <c r="H5" s="35" t="e">
        <f>_xlfn.XLOOKUP(INT(SUBSTITUTE(H14,"Connecteur ","")),Mesures_Dover!C24:C32,Mesures_Dover!G24:G32)</f>
        <v>#N/A</v>
      </c>
      <c r="I5" s="35" t="e">
        <f>_xlfn.XLOOKUP(INT(SUBSTITUTE(I14,"Connecteur ","")),Mesures_Dover!C24:C32,Mesures_Dover!G24:G32)</f>
        <v>#N/A</v>
      </c>
      <c r="J5" s="35" t="e">
        <f>_xlfn.XLOOKUP(INT(SUBSTITUTE(J14,"Connecteur ","")),Mesures_Dover!C24:C32,Mesures_Dover!G24:G32)</f>
        <v>#N/A</v>
      </c>
      <c r="K5" s="35" t="e">
        <f>_xlfn.XLOOKUP(INT(SUBSTITUTE(K14,"Connecteur ","")),Mesures_Dover!C24:C32,Mesures_Dover!G24:G32)</f>
        <v>#N/A</v>
      </c>
      <c r="L5" s="33"/>
    </row>
    <row r="6" spans="1:15" s="27" customFormat="1" x14ac:dyDescent="0.25">
      <c r="B6" s="34" t="s">
        <v>87</v>
      </c>
      <c r="C6" s="35" t="e">
        <f>_xlfn.XLOOKUP(INT(SUBSTITUTE(C14,"Connecteur ","")),Mesures_Dover!C24:C32,Mesures_Dover!D24:D32)</f>
        <v>#N/A</v>
      </c>
      <c r="D6" s="35" t="e">
        <f>_xlfn.XLOOKUP(INT(SUBSTITUTE(D14,"Connecteur ","")),Mesures_Dover!C24:C32,Mesures_Dover!D24:D32)</f>
        <v>#N/A</v>
      </c>
      <c r="E6" s="35" t="e">
        <f>_xlfn.XLOOKUP(INT(SUBSTITUTE(E14,"Connecteur ","")),Mesures_Dover!C24:C32,Mesures_Dover!D24:D32)</f>
        <v>#N/A</v>
      </c>
      <c r="F6" s="35" t="e">
        <f>_xlfn.XLOOKUP(INT(SUBSTITUTE(F14,"Connecteur ","")),Mesures_Dover!C24:C32,Mesures_Dover!D24:D32)</f>
        <v>#N/A</v>
      </c>
      <c r="G6" s="35" t="e">
        <f>_xlfn.XLOOKUP(INT(SUBSTITUTE(G14,"Connecteur ","")),Mesures_Dover!C24:C32,Mesures_Dover!D24:D32)</f>
        <v>#N/A</v>
      </c>
      <c r="H6" s="35" t="e">
        <f>_xlfn.XLOOKUP(INT(SUBSTITUTE(H14,"Connecteur ","")),Mesures_Dover!C24:C32,Mesures_Dover!D24:D32)</f>
        <v>#N/A</v>
      </c>
      <c r="I6" s="35" t="e">
        <f>_xlfn.XLOOKUP(INT(SUBSTITUTE(I14,"Connecteur ","")),Mesures_Dover!C24:C32,Mesures_Dover!D24:D32)</f>
        <v>#N/A</v>
      </c>
      <c r="J6" s="35" t="e">
        <f>_xlfn.XLOOKUP(INT(SUBSTITUTE(J14,"Connecteur ","")),Mesures_Dover!C24:C32,Mesures_Dover!D24:D32)</f>
        <v>#N/A</v>
      </c>
      <c r="K6" s="35" t="e">
        <f>_xlfn.XLOOKUP(INT(SUBSTITUTE(K14,"Connecteur ","")),Mesures_Dover!C24:C32,Mesures_Dover!D24:D32)</f>
        <v>#N/A</v>
      </c>
      <c r="L6" s="33"/>
    </row>
    <row r="7" spans="1:15" s="27" customFormat="1" x14ac:dyDescent="0.25">
      <c r="L7" s="33"/>
    </row>
    <row r="8" spans="1:15" s="27" customFormat="1" x14ac:dyDescent="0.25">
      <c r="L8" s="33"/>
    </row>
    <row r="9" spans="1:15" s="27" customFormat="1" x14ac:dyDescent="0.25">
      <c r="A9" s="375" t="s">
        <v>88</v>
      </c>
      <c r="B9" s="375"/>
      <c r="C9" s="375"/>
      <c r="D9" s="375"/>
      <c r="E9" s="375"/>
      <c r="F9" s="375"/>
      <c r="G9" s="375"/>
      <c r="H9" s="375"/>
      <c r="I9" s="375"/>
      <c r="J9" s="375"/>
      <c r="K9" s="375"/>
      <c r="L9" s="33"/>
    </row>
    <row r="10" spans="1:15" s="27" customFormat="1" x14ac:dyDescent="0.25">
      <c r="A10" s="33"/>
      <c r="B10" s="34" t="str" cm="1">
        <f t="array" ref="B10:K10">Valeurs_Brutes_Dover_1[#Headers]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17" t="s">
        <v>285</v>
      </c>
      <c r="B11" s="144" cm="1">
        <f t="array" ref="B11">Valeurs_Brutes_Dover_1[Date/Heure]</f>
        <v>0</v>
      </c>
      <c r="C11" s="131" t="e" cm="1">
        <f t="array" ref="C11:K11">Valeurs_Brutes_Dover_1[[Connecteur 1]:[Connecteur 9]] + C5 + C6</f>
        <v>#N/A</v>
      </c>
      <c r="D11" s="131" t="e">
        <v>#N/A</v>
      </c>
      <c r="E11" s="131" t="e">
        <v>#N/A</v>
      </c>
      <c r="F11" s="131" t="e">
        <v>#N/A</v>
      </c>
      <c r="G11" s="131" t="e">
        <v>#N/A</v>
      </c>
      <c r="H11" s="131" t="e">
        <v>#N/A</v>
      </c>
      <c r="I11" s="131" t="e">
        <v>#N/A</v>
      </c>
      <c r="J11" s="131" t="e">
        <v>#N/A</v>
      </c>
      <c r="K11" s="131" t="e">
        <v>#N/A</v>
      </c>
      <c r="L11" s="33"/>
    </row>
    <row r="12" spans="1:15" s="27" customFormat="1" ht="13.5" customHeight="1" x14ac:dyDescent="0.25">
      <c r="A12" s="316" t="s">
        <v>89</v>
      </c>
      <c r="B12" s="178"/>
      <c r="C12" s="188"/>
      <c r="D12" s="188"/>
      <c r="E12" s="188"/>
      <c r="F12" s="188"/>
      <c r="G12" s="188"/>
      <c r="H12" s="188"/>
      <c r="I12" s="188"/>
      <c r="J12" s="188"/>
      <c r="K12" s="188"/>
      <c r="L12" s="33"/>
    </row>
    <row r="13" spans="1:15" s="457" customFormat="1" x14ac:dyDescent="0.25"/>
    <row r="14" spans="1:15" x14ac:dyDescent="0.25">
      <c r="A14" s="27"/>
      <c r="B14" s="27"/>
      <c r="C14" s="41" t="str" cm="1">
        <f t="array" ref="C14:K14">Valeurs_Brutes_Dover_1[[#Headers],[Connecteur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27"/>
      <c r="M14" s="33"/>
      <c r="N14" s="27"/>
      <c r="O14" s="27"/>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x14ac:dyDescent="0.25">
      <c r="A16" s="27"/>
      <c r="B16" s="42" t="s">
        <v>91</v>
      </c>
      <c r="C16" s="43" t="e">
        <f ca="1">MAX(OFFSET(INDEX(Valeurs_Brutes_Dover_1[Connecteur 1],1),COUNT(Valeurs_Brutes_Dover_1[Connecteur 1])-30,0,30))</f>
        <v>#REF!</v>
      </c>
      <c r="D16" s="43" t="e">
        <f ca="1">MAX(OFFSET(INDEX(Valeurs_Brutes_Dover_1[Connecteur 2],1),COUNT(Valeurs_Brutes_Dover_1[Connecteur 2])-30,0,30))</f>
        <v>#REF!</v>
      </c>
      <c r="E16" s="43" t="e">
        <f ca="1">MAX(OFFSET(INDEX(Valeurs_Brutes_Dover_1[Connecteur 3],1),COUNT(Valeurs_Brutes_Dover_1[Connecteur 3])-30,0,30))</f>
        <v>#REF!</v>
      </c>
      <c r="F16" s="43" t="e">
        <f ca="1">MAX(OFFSET(INDEX(Valeurs_Brutes_Dover_1[Connecteur 4],1),COUNT(Valeurs_Brutes_Dover_1[Connecteur 4])-30,0,30))</f>
        <v>#REF!</v>
      </c>
      <c r="G16" s="43" t="e">
        <f ca="1">MAX(OFFSET(INDEX(Valeurs_Brutes_Dover_1[Connecteur 5],1),COUNT(Valeurs_Brutes_Dover_1[Connecteur 5])-30,0,30))</f>
        <v>#REF!</v>
      </c>
      <c r="H16" s="43" t="e">
        <f ca="1">MAX(OFFSET(INDEX(Valeurs_Brutes_Dover_1[Connecteur 6],1),COUNT(Valeurs_Brutes_Dover_1[Connecteur 6])-30,0,30))</f>
        <v>#REF!</v>
      </c>
      <c r="I16" s="43" t="e">
        <f ca="1">MAX(OFFSET(INDEX(Valeurs_Brutes_Dover_1[Connecteur 7],1),COUNT(Valeurs_Brutes_Dover_1[Connecteur 7])-30,0,30))</f>
        <v>#REF!</v>
      </c>
      <c r="J16" s="43" t="e">
        <f ca="1">MAX(OFFSET(INDEX(Valeurs_Brutes_Dover_1[Connecteur 8],1),COUNT(Valeurs_Brutes_Dover_1[Connecteur 8])-30,0,30))</f>
        <v>#REF!</v>
      </c>
      <c r="K16" s="43" t="e">
        <f ca="1">MAX(OFFSET(INDEX(Valeurs_Brutes_Dover_1[Connecteur 9],1),COUNT(Valeurs_Brutes_Dover_1[Connecteur 9])-30,0,30))</f>
        <v>#REF!</v>
      </c>
      <c r="L16" s="48">
        <f>O16+Mesures_Dover!B21</f>
        <v>0</v>
      </c>
      <c r="M16" s="27"/>
      <c r="N16" s="36" t="s">
        <v>547</v>
      </c>
      <c r="O16" s="48">
        <f>Mesures_Dover!B20</f>
        <v>0</v>
      </c>
    </row>
    <row r="17" spans="1:15" x14ac:dyDescent="0.25">
      <c r="A17" s="27"/>
      <c r="B17" s="42" t="s">
        <v>93</v>
      </c>
      <c r="C17" s="43" t="e">
        <f ca="1">MIN(OFFSET(INDEX(Valeurs_Brutes_Dover_1[Connecteur 1],1),COUNT(Valeurs_Brutes_Dover_1[Connecteur 1])-30,0,30))</f>
        <v>#REF!</v>
      </c>
      <c r="D17" s="43" t="e">
        <f ca="1">MIN(OFFSET(INDEX(Valeurs_Brutes_Dover_1[Connecteur 2],1),COUNT(Valeurs_Brutes_Dover_1[Connecteur 2])-30,0,30))</f>
        <v>#REF!</v>
      </c>
      <c r="E17" s="43" t="e">
        <f ca="1">MIN(OFFSET(INDEX(Valeurs_Brutes_Dover_1[Connecteur 3],1),COUNT(Valeurs_Brutes_Dover_1[Connecteur 3])-30,0,30))</f>
        <v>#REF!</v>
      </c>
      <c r="F17" s="43" t="e">
        <f ca="1">MIN(OFFSET(INDEX(Valeurs_Brutes_Dover_1[Connecteur 4],1),COUNT(Valeurs_Brutes_Dover_1[Connecteur 4])-30,0,30))</f>
        <v>#REF!</v>
      </c>
      <c r="G17" s="43" t="e">
        <f ca="1">MIN(OFFSET(INDEX(Valeurs_Brutes_Dover_1[Connecteur 5],1),COUNT(Valeurs_Brutes_Dover_1[Connecteur 5])-30,0,30))</f>
        <v>#REF!</v>
      </c>
      <c r="H17" s="43" t="e">
        <f ca="1">MIN(OFFSET(INDEX(Valeurs_Brutes_Dover_1[Connecteur 6],1),COUNT(Valeurs_Brutes_Dover_1[Connecteur 6])-30,0,30))</f>
        <v>#REF!</v>
      </c>
      <c r="I17" s="43" t="e">
        <f ca="1">MIN(OFFSET(INDEX(Valeurs_Brutes_Dover_1[Connecteur 7],1),COUNT(Valeurs_Brutes_Dover_1[Connecteur 7])-30,0,30))</f>
        <v>#REF!</v>
      </c>
      <c r="J17" s="43" t="e">
        <f ca="1">MIN(OFFSET(INDEX(Valeurs_Brutes_Dover_1[Connecteur 8],1),COUNT(Valeurs_Brutes_Dover_1[Connecteur 8])-30,0,30))</f>
        <v>#REF!</v>
      </c>
      <c r="K17" s="43" t="e">
        <f ca="1">MIN(OFFSET(INDEX(Valeurs_Brutes_Dover_1[Connecteur 9],1),COUNT(Valeurs_Brutes_Dover_1[Connecteur 9])-30,0,30))</f>
        <v>#REF!</v>
      </c>
      <c r="L17" s="48">
        <f>O16-Mesures_Dover!B21</f>
        <v>0</v>
      </c>
      <c r="M17" s="27"/>
      <c r="N17" s="36" t="s">
        <v>555</v>
      </c>
      <c r="O17" s="35" t="str">
        <f>"+" &amp; Mesures_Dover!B21 &amp; "°C"</f>
        <v>+°C</v>
      </c>
    </row>
    <row r="18" spans="1:15" x14ac:dyDescent="0.25">
      <c r="A18" s="27"/>
      <c r="B18" s="42" t="s">
        <v>95</v>
      </c>
      <c r="C18" s="43" t="e">
        <f ca="1">AVERAGE(OFFSET(INDEX(Valeurs_Brutes_Dover_1[Connecteur 1],1),COUNT(Valeurs_Brutes_Dover_1[Connecteur 1])-30,0,30))</f>
        <v>#REF!</v>
      </c>
      <c r="D18" s="43" t="e">
        <f ca="1">AVERAGE(OFFSET(INDEX(Valeurs_Brutes_Dover_1[Connecteur 2],1),COUNT(Valeurs_Brutes_Dover_1[Connecteur 2])-30,0,30))</f>
        <v>#REF!</v>
      </c>
      <c r="E18" s="43" t="e">
        <f ca="1">AVERAGE(OFFSET(INDEX(Valeurs_Brutes_Dover_1[Connecteur 3],1),COUNT(Valeurs_Brutes_Dover_1[Connecteur 3])-30,0,30))</f>
        <v>#REF!</v>
      </c>
      <c r="F18" s="43" t="e">
        <f ca="1">AVERAGE(OFFSET(INDEX(Valeurs_Brutes_Dover_1[Connecteur 4],1),COUNT(Valeurs_Brutes_Dover_1[Connecteur 4])-30,0,30))</f>
        <v>#REF!</v>
      </c>
      <c r="G18" s="43" t="e">
        <f ca="1">AVERAGE(OFFSET(INDEX(Valeurs_Brutes_Dover_1[Connecteur 5],1),COUNT(Valeurs_Brutes_Dover_1[Connecteur 5])-30,0,30))</f>
        <v>#REF!</v>
      </c>
      <c r="H18" s="43" t="e">
        <f ca="1">AVERAGE(OFFSET(INDEX(Valeurs_Brutes_Dover_1[Connecteur 6],1),COUNT(Valeurs_Brutes_Dover_1[Connecteur 6])-30,0,30))</f>
        <v>#REF!</v>
      </c>
      <c r="I18" s="43" t="e">
        <f ca="1">AVERAGE(OFFSET(INDEX(Valeurs_Brutes_Dover_1[Connecteur 7],1),COUNT(Valeurs_Brutes_Dover_1[Connecteur 7])-30,0,30))</f>
        <v>#REF!</v>
      </c>
      <c r="J18" s="43" t="e">
        <f ca="1">AVERAGE(OFFSET(INDEX(Valeurs_Brutes_Dover_1[Connecteur 8],1),COUNT(Valeurs_Brutes_Dover_1[Connecteur 8])-30,0,30))</f>
        <v>#REF!</v>
      </c>
      <c r="K18" s="43" t="e">
        <f ca="1">AVERAGE(OFFSET(INDEX(Valeurs_Brutes_Dover_1[Connecteur 9],1),COUNT(Valeurs_Brutes_Dover_1[Connecteur 9])-30,0,30))</f>
        <v>#REF!</v>
      </c>
      <c r="L18" s="33"/>
      <c r="M18" s="33"/>
      <c r="N18" s="36" t="s">
        <v>556</v>
      </c>
      <c r="O18" s="35" t="str">
        <f>"-" &amp; Mesures_Dover!B21 &amp; "°C"</f>
        <v>-°C</v>
      </c>
    </row>
    <row r="19" spans="1:15" x14ac:dyDescent="0.25">
      <c r="A19" s="27"/>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c r="M19" s="27"/>
      <c r="N19" s="27"/>
      <c r="O19" s="27"/>
    </row>
    <row r="20" spans="1:15" x14ac:dyDescent="0.25">
      <c r="A20" s="27"/>
      <c r="B20" s="42" t="s">
        <v>97</v>
      </c>
      <c r="C20" s="493" t="e">
        <f ca="1">ABS(MAX(C16:K16)-MIN(C17:K17))</f>
        <v>#REF!</v>
      </c>
      <c r="D20" s="494"/>
      <c r="E20" s="494"/>
      <c r="F20" s="494"/>
      <c r="G20" s="494"/>
      <c r="H20" s="494"/>
      <c r="I20" s="494"/>
      <c r="J20" s="494"/>
      <c r="K20" s="495"/>
    </row>
    <row r="21" spans="1:15" x14ac:dyDescent="0.25">
      <c r="A21" s="27"/>
      <c r="B21" s="42" t="s">
        <v>98</v>
      </c>
      <c r="C21" s="493" t="e">
        <f ca="1">AVERAGE(C18:K18)</f>
        <v>#REF!</v>
      </c>
      <c r="D21" s="494"/>
      <c r="E21" s="494"/>
      <c r="F21" s="494"/>
      <c r="G21" s="494"/>
      <c r="H21" s="494"/>
      <c r="I21" s="494"/>
      <c r="J21" s="494"/>
      <c r="K21" s="495"/>
    </row>
    <row r="22" spans="1:15" x14ac:dyDescent="0.25">
      <c r="A22" s="27"/>
      <c r="B22" s="36" t="s">
        <v>99</v>
      </c>
      <c r="C22" s="46" t="e">
        <f ca="1">STDEV(OFFSET(INDEX(Valeurs_Brutes_Dover_1[Connecteur 1],1),COUNT(Valeurs_Brutes_Dover_1[Connecteur 1])-30,0,30))</f>
        <v>#REF!</v>
      </c>
      <c r="D22" s="46" t="e">
        <f ca="1">STDEV(OFFSET(INDEX(Valeurs_Brutes_Dover_1[Connecteur 2],1),COUNT(Valeurs_Brutes_Dover_1[Connecteur 2])-30,0,30))</f>
        <v>#REF!</v>
      </c>
      <c r="E22" s="46" t="e">
        <f ca="1">STDEV(OFFSET(INDEX(Valeurs_Brutes_Dover_1[Connecteur 3],1),COUNT(Valeurs_Brutes_Dover_1[Connecteur 3])-30,0,30))</f>
        <v>#REF!</v>
      </c>
      <c r="F22" s="46" t="e">
        <f ca="1">STDEV(OFFSET(INDEX(Valeurs_Brutes_Dover_1[Connecteur 4],1),COUNT(Valeurs_Brutes_Dover_1[Connecteur 4])-30,0,30))</f>
        <v>#REF!</v>
      </c>
      <c r="G22" s="46" t="e">
        <f ca="1">STDEV(OFFSET(INDEX(Valeurs_Brutes_Dover_1[Connecteur 5],1),COUNT(Valeurs_Brutes_Dover_1[Connecteur 5])-30,0,30))</f>
        <v>#REF!</v>
      </c>
      <c r="H22" s="46" t="e">
        <f ca="1">STDEV(OFFSET(INDEX(Valeurs_Brutes_Dover_1[Connecteur 6],1),COUNT(Valeurs_Brutes_Dover_1[Connecteur 6])-30,0,30))</f>
        <v>#REF!</v>
      </c>
      <c r="I22" s="46" t="e">
        <f ca="1">STDEV(OFFSET(INDEX(Valeurs_Brutes_Dover_1[Connecteur 7],1),COUNT(Valeurs_Brutes_Dover_1[Connecteur 7])-30,0,30))</f>
        <v>#REF!</v>
      </c>
      <c r="J22" s="46" t="e">
        <f ca="1">STDEV(OFFSET(INDEX(Valeurs_Brutes_Dover_1[Connecteur 8],1),COUNT(Valeurs_Brutes_Dover_1[Connecteur 8])-30,0,30))</f>
        <v>#REF!</v>
      </c>
      <c r="K22" s="46" t="e">
        <f ca="1">STDEV(OFFSET(INDEX(Valeurs_Brutes_Dover_1[Connecteur 9],1),COUNT(Valeurs_Brutes_Dover_1[Connecteur 9])-30,0,30))</f>
        <v>#REF!</v>
      </c>
    </row>
    <row r="45" spans="1:11" s="33" customFormat="1" x14ac:dyDescent="0.25">
      <c r="A45"/>
      <c r="B45"/>
      <c r="C45"/>
      <c r="D45"/>
      <c r="E45"/>
      <c r="F45"/>
      <c r="G45"/>
      <c r="H45"/>
      <c r="I45"/>
      <c r="J45"/>
      <c r="K45"/>
    </row>
    <row r="46" spans="1:11" s="27" customFormat="1" x14ac:dyDescent="0.25">
      <c r="A46"/>
      <c r="B46"/>
      <c r="C46"/>
      <c r="D46"/>
      <c r="E46"/>
      <c r="F46"/>
      <c r="G46"/>
      <c r="H46"/>
      <c r="I46"/>
      <c r="J46"/>
      <c r="K46"/>
    </row>
    <row r="47" spans="1:11" s="27" customFormat="1" x14ac:dyDescent="0.25">
      <c r="A47"/>
      <c r="B47"/>
      <c r="C47"/>
      <c r="D47"/>
      <c r="E47"/>
      <c r="F47"/>
      <c r="G47"/>
      <c r="H47"/>
      <c r="I47"/>
      <c r="J47"/>
      <c r="K47"/>
    </row>
    <row r="48" spans="1:11" s="27" customFormat="1" x14ac:dyDescent="0.25">
      <c r="A48"/>
      <c r="B48"/>
      <c r="C48"/>
      <c r="D48"/>
      <c r="E48"/>
      <c r="F48"/>
      <c r="G48"/>
      <c r="H48"/>
      <c r="I48"/>
      <c r="J48"/>
      <c r="K48"/>
    </row>
    <row r="49" spans="1:12" s="27" customFormat="1" x14ac:dyDescent="0.25">
      <c r="A49"/>
      <c r="B49"/>
      <c r="C49"/>
      <c r="D49"/>
      <c r="E49"/>
      <c r="F49"/>
      <c r="G49"/>
      <c r="H49"/>
      <c r="I49"/>
      <c r="J49"/>
      <c r="K49"/>
    </row>
    <row r="50" spans="1:12" s="27" customFormat="1" x14ac:dyDescent="0.25">
      <c r="A50"/>
      <c r="B50"/>
      <c r="C50"/>
      <c r="D50"/>
      <c r="E50"/>
      <c r="F50"/>
      <c r="G50"/>
      <c r="H50"/>
      <c r="I50"/>
      <c r="J50"/>
      <c r="K50"/>
    </row>
    <row r="51" spans="1:12" s="27" customFormat="1" x14ac:dyDescent="0.25">
      <c r="A51"/>
      <c r="B51"/>
      <c r="C51"/>
      <c r="D51"/>
      <c r="E51"/>
      <c r="F51"/>
      <c r="G51"/>
      <c r="H51"/>
      <c r="I51"/>
      <c r="J51"/>
      <c r="K51"/>
      <c r="L51" s="33"/>
    </row>
    <row r="52" spans="1:12" s="27" customFormat="1" x14ac:dyDescent="0.25">
      <c r="A52"/>
      <c r="B52"/>
      <c r="C52"/>
      <c r="D52"/>
      <c r="E52"/>
      <c r="F52"/>
      <c r="G52"/>
      <c r="H52"/>
      <c r="I52"/>
      <c r="J52"/>
      <c r="K52"/>
      <c r="L52" s="33"/>
    </row>
    <row r="53" spans="1:12" s="27" customFormat="1" x14ac:dyDescent="0.25">
      <c r="A53"/>
      <c r="B53"/>
      <c r="C53"/>
      <c r="D53"/>
      <c r="E53"/>
      <c r="F53"/>
      <c r="G53"/>
      <c r="H53"/>
      <c r="I53"/>
      <c r="J53"/>
      <c r="K53"/>
      <c r="L53" s="33"/>
    </row>
    <row r="54" spans="1:12" s="27" customFormat="1" x14ac:dyDescent="0.25">
      <c r="A54"/>
      <c r="B54"/>
      <c r="C54"/>
      <c r="D54"/>
      <c r="E54"/>
      <c r="F54"/>
      <c r="G54"/>
      <c r="H54"/>
      <c r="I54"/>
      <c r="J54"/>
      <c r="K54"/>
      <c r="L54"/>
    </row>
  </sheetData>
  <sheetProtection algorithmName="SHA-512" hashValue="INDgFF9G13ShHI9dQWkz4Fcf6PcR1ql8BVnqeUiGmtpFwOSV8knwoFrhc2zZGxwnHqXoizhlo1eC8HJ/hMKspw==" saltValue="cApsMTl+III0SvvXJqZzfw==" spinCount="100000" sheet="1" objects="1" scenarios="1"/>
  <mergeCells count="5">
    <mergeCell ref="C21:K21"/>
    <mergeCell ref="C20:K20"/>
    <mergeCell ref="A1:O3"/>
    <mergeCell ref="A9:K9"/>
    <mergeCell ref="A13:XFD13"/>
  </mergeCells>
  <conditionalFormatting sqref="C16:K16">
    <cfRule type="cellIs" dxfId="17" priority="16" operator="greaterThan">
      <formula>$L$16</formula>
    </cfRule>
  </conditionalFormatting>
  <conditionalFormatting sqref="C17:K17">
    <cfRule type="cellIs" dxfId="16" priority="17" operator="lessThan">
      <formula>$L$17</formula>
    </cfRule>
  </conditionalFormatting>
  <conditionalFormatting sqref="C15:K15">
    <cfRule type="cellIs" dxfId="15" priority="1" operator="greaterThan">
      <formula>$L$16</formula>
    </cfRule>
  </conditionalFormatting>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0E06-A8B8-4B21-9639-B0A5EB702140}">
  <sheetPr codeName="Feuil11">
    <tabColor theme="9" tint="0.39997558519241921"/>
  </sheetPr>
  <dimension ref="A1:R55"/>
  <sheetViews>
    <sheetView topLeftCell="A34" workbookViewId="0">
      <selection activeCell="N61" sqref="N61"/>
    </sheetView>
  </sheetViews>
  <sheetFormatPr baseColWidth="10" defaultRowHeight="15" x14ac:dyDescent="0.25"/>
  <cols>
    <col min="1" max="1" width="9.85546875" customWidth="1"/>
    <col min="2" max="2" width="15" bestFit="1" customWidth="1"/>
    <col min="3" max="11" width="12.7109375" bestFit="1" customWidth="1"/>
    <col min="13" max="13" width="16.42578125" bestFit="1" customWidth="1"/>
    <col min="14" max="14" width="17.7109375" bestFit="1" customWidth="1"/>
  </cols>
  <sheetData>
    <row r="1" spans="1:15" s="27" customFormat="1" x14ac:dyDescent="0.25">
      <c r="A1" s="456" t="str">
        <f>Mesures_Dover!C20 &amp; "°C"</f>
        <v>°C</v>
      </c>
      <c r="B1" s="456"/>
      <c r="C1" s="456"/>
      <c r="D1" s="456"/>
      <c r="E1" s="456"/>
      <c r="F1" s="456"/>
      <c r="G1" s="456"/>
      <c r="H1" s="456"/>
      <c r="I1" s="456"/>
      <c r="J1" s="456"/>
      <c r="K1" s="456"/>
      <c r="L1" s="456"/>
      <c r="M1" s="456"/>
      <c r="N1" s="456"/>
      <c r="O1" s="456"/>
    </row>
    <row r="2" spans="1:15" s="27" customFormat="1" x14ac:dyDescent="0.25">
      <c r="A2" s="456"/>
      <c r="B2" s="456"/>
      <c r="C2" s="456"/>
      <c r="D2" s="456"/>
      <c r="E2" s="456"/>
      <c r="F2" s="456"/>
      <c r="G2" s="456"/>
      <c r="H2" s="456"/>
      <c r="I2" s="456"/>
      <c r="J2" s="456"/>
      <c r="K2" s="456"/>
      <c r="L2" s="456"/>
      <c r="M2" s="456"/>
      <c r="N2" s="456"/>
      <c r="O2" s="456"/>
    </row>
    <row r="3" spans="1:15" s="27" customFormat="1" x14ac:dyDescent="0.25">
      <c r="A3" s="456"/>
      <c r="B3" s="456"/>
      <c r="C3" s="456"/>
      <c r="D3" s="456"/>
      <c r="E3" s="456"/>
      <c r="F3" s="456"/>
      <c r="G3" s="456"/>
      <c r="H3" s="456"/>
      <c r="I3" s="456"/>
      <c r="J3" s="456"/>
      <c r="K3" s="456"/>
      <c r="L3" s="456"/>
      <c r="M3" s="456"/>
      <c r="N3" s="456"/>
      <c r="O3" s="456"/>
    </row>
    <row r="4" spans="1:15" s="27" customFormat="1" x14ac:dyDescent="0.25">
      <c r="L4" s="33"/>
    </row>
    <row r="5" spans="1:15" s="27" customFormat="1" x14ac:dyDescent="0.25">
      <c r="B5" s="34" t="s">
        <v>23</v>
      </c>
      <c r="C5" s="35" t="e">
        <f>_xlfn.XLOOKUP(INT(SUBSTITUTE(C14,"Connecteur ","")),Mesures_Dover!C24:C32,Mesures_Dover!G24:G32)</f>
        <v>#N/A</v>
      </c>
      <c r="D5" s="35" t="e">
        <f>_xlfn.XLOOKUP(INT(SUBSTITUTE(D14,"Connecteur ","")),Mesures_Dover!C24:C32,Mesures_Dover!G24:G32)</f>
        <v>#N/A</v>
      </c>
      <c r="E5" s="35" t="e">
        <f>_xlfn.XLOOKUP(INT(SUBSTITUTE(E14,"Connecteur ","")),Mesures_Dover!C24:C32,Mesures_Dover!G24:G32)</f>
        <v>#N/A</v>
      </c>
      <c r="F5" s="35" t="e">
        <f>_xlfn.XLOOKUP(INT(SUBSTITUTE(F14,"Connecteur ","")),Mesures_Dover!C24:C32,Mesures_Dover!G24:G32)</f>
        <v>#N/A</v>
      </c>
      <c r="G5" s="35" t="e">
        <f>_xlfn.XLOOKUP(INT(SUBSTITUTE(G14,"Connecteur ","")),Mesures_Dover!C24:C32,Mesures_Dover!G24:G32)</f>
        <v>#N/A</v>
      </c>
      <c r="H5" s="35" t="e">
        <f>_xlfn.XLOOKUP(INT(SUBSTITUTE(H14,"Connecteur ","")),Mesures_Dover!C24:C32,Mesures_Dover!G24:G32)</f>
        <v>#N/A</v>
      </c>
      <c r="I5" s="35" t="e">
        <f>_xlfn.XLOOKUP(INT(SUBSTITUTE(I14,"Connecteur ","")),Mesures_Dover!C24:C32,Mesures_Dover!G24:G32)</f>
        <v>#N/A</v>
      </c>
      <c r="J5" s="35" t="e">
        <f>_xlfn.XLOOKUP(INT(SUBSTITUTE(J14,"Connecteur ","")),Mesures_Dover!C24:C32,Mesures_Dover!G24:G32)</f>
        <v>#N/A</v>
      </c>
      <c r="K5" s="35" t="e">
        <f>_xlfn.XLOOKUP(INT(SUBSTITUTE(K14,"Connecteur ","")),Mesures_Dover!C24:C32,Mesures_Dover!G24:G32)</f>
        <v>#N/A</v>
      </c>
      <c r="L5" s="33"/>
    </row>
    <row r="6" spans="1:15" s="27" customFormat="1" x14ac:dyDescent="0.25">
      <c r="B6" s="34" t="s">
        <v>87</v>
      </c>
      <c r="C6" s="35" t="e">
        <f>_xlfn.XLOOKUP(INT(SUBSTITUTE(C14,"Connecteur ","")),Mesures_Dover!C24:C32,Mesures_Dover!D24:D32)</f>
        <v>#N/A</v>
      </c>
      <c r="D6" s="35" t="e">
        <f>_xlfn.XLOOKUP(INT(SUBSTITUTE(D14,"Connecteur ","")),Mesures_Dover!C24:C32,Mesures_Dover!D24:D32)</f>
        <v>#N/A</v>
      </c>
      <c r="E6" s="35" t="e">
        <f>_xlfn.XLOOKUP(INT(SUBSTITUTE(E14,"Connecteur ","")),Mesures_Dover!C24:C32,Mesures_Dover!D24:D32)</f>
        <v>#N/A</v>
      </c>
      <c r="F6" s="35" t="e">
        <f>_xlfn.XLOOKUP(INT(SUBSTITUTE(F14,"Connecteur ","")),Mesures_Dover!C24:C32,Mesures_Dover!D24:D32)</f>
        <v>#N/A</v>
      </c>
      <c r="G6" s="35" t="e">
        <f>_xlfn.XLOOKUP(INT(SUBSTITUTE(G14,"Connecteur ","")),Mesures_Dover!C24:C32,Mesures_Dover!D24:D32)</f>
        <v>#N/A</v>
      </c>
      <c r="H6" s="35" t="e">
        <f>_xlfn.XLOOKUP(INT(SUBSTITUTE(H14,"Connecteur ","")),Mesures_Dover!C24:C32,Mesures_Dover!D24:D32)</f>
        <v>#N/A</v>
      </c>
      <c r="I6" s="35" t="e">
        <f>_xlfn.XLOOKUP(INT(SUBSTITUTE(I14,"Connecteur ","")),Mesures_Dover!C24:C32,Mesures_Dover!D24:D32)</f>
        <v>#N/A</v>
      </c>
      <c r="J6" s="35" t="e">
        <f>_xlfn.XLOOKUP(INT(SUBSTITUTE(J14,"Connecteur ","")),Mesures_Dover!C24:C32,Mesures_Dover!D24:D32)</f>
        <v>#N/A</v>
      </c>
      <c r="K6" s="35" t="e">
        <f>_xlfn.XLOOKUP(INT(SUBSTITUTE(K14,"Connecteur ","")),Mesures_Dover!C24:C32,Mesures_Dover!D24:D32)</f>
        <v>#N/A</v>
      </c>
      <c r="L6" s="33"/>
    </row>
    <row r="7" spans="1:15" s="27" customFormat="1" x14ac:dyDescent="0.25">
      <c r="L7" s="33"/>
    </row>
    <row r="8" spans="1:15" s="27" customFormat="1" x14ac:dyDescent="0.25">
      <c r="L8" s="33"/>
    </row>
    <row r="9" spans="1:15" s="27" customFormat="1" x14ac:dyDescent="0.25">
      <c r="A9" s="375" t="s">
        <v>88</v>
      </c>
      <c r="B9" s="375"/>
      <c r="C9" s="375"/>
      <c r="D9" s="375"/>
      <c r="E9" s="375"/>
      <c r="F9" s="375"/>
      <c r="G9" s="375"/>
      <c r="H9" s="375"/>
      <c r="I9" s="375"/>
      <c r="J9" s="375"/>
      <c r="K9" s="375"/>
      <c r="L9" s="33"/>
    </row>
    <row r="10" spans="1:15" s="27" customFormat="1" x14ac:dyDescent="0.25">
      <c r="A10" s="33"/>
      <c r="B10" s="34" t="str" cm="1">
        <f t="array" ref="B10:K10">Valeurs_Brutes_Dover_2[#Headers]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17" t="s">
        <v>285</v>
      </c>
      <c r="B11" s="144" cm="1">
        <f t="array" ref="B11">Valeurs_Brutes_Dover_2[Date/Heure]</f>
        <v>0</v>
      </c>
      <c r="C11" s="131" t="e" cm="1">
        <f t="array" ref="C11:K11">Valeurs_Brutes_Dover_2[[Connecteur 1]:[Connecteur 9]] + C5:K5 +C6:K6</f>
        <v>#N/A</v>
      </c>
      <c r="D11" s="131" t="e">
        <v>#N/A</v>
      </c>
      <c r="E11" s="131" t="e">
        <v>#N/A</v>
      </c>
      <c r="F11" s="131" t="e">
        <v>#N/A</v>
      </c>
      <c r="G11" s="131" t="e">
        <v>#N/A</v>
      </c>
      <c r="H11" s="131" t="e">
        <v>#N/A</v>
      </c>
      <c r="I11" s="131" t="e">
        <v>#N/A</v>
      </c>
      <c r="J11" s="131" t="e">
        <v>#N/A</v>
      </c>
      <c r="K11" s="131" t="e">
        <v>#N/A</v>
      </c>
      <c r="L11" s="33"/>
    </row>
    <row r="12" spans="1:15" s="27" customFormat="1" ht="13.5" customHeight="1" x14ac:dyDescent="0.25">
      <c r="A12" s="318" t="s">
        <v>89</v>
      </c>
      <c r="B12" s="178"/>
      <c r="C12" s="188"/>
      <c r="D12" s="188"/>
      <c r="E12" s="188"/>
      <c r="F12" s="188"/>
      <c r="G12" s="188"/>
      <c r="H12" s="188"/>
      <c r="I12" s="188"/>
      <c r="J12" s="188"/>
      <c r="K12" s="188"/>
      <c r="L12" s="33"/>
    </row>
    <row r="13" spans="1:15" s="457" customFormat="1" x14ac:dyDescent="0.25"/>
    <row r="14" spans="1:15" x14ac:dyDescent="0.25">
      <c r="A14" s="27"/>
      <c r="B14" s="27"/>
      <c r="C14" s="41" t="str" cm="1">
        <f t="array" ref="C14:K14">Valeurs_Brutes_Dover_2[[#Headers],[Connecteur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27"/>
      <c r="M14" s="33"/>
      <c r="N14" s="27"/>
      <c r="O14" s="27"/>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x14ac:dyDescent="0.25">
      <c r="A16" s="27"/>
      <c r="B16" s="42" t="s">
        <v>91</v>
      </c>
      <c r="C16" s="43" t="e">
        <f ca="1">MAX(OFFSET(INDEX(Valeurs_Brutes_Dover_2[Connecteur 1],1),COUNT(Valeurs_Brutes_Dover_2[Connecteur 1])-30,0,30))</f>
        <v>#REF!</v>
      </c>
      <c r="D16" s="43" t="e">
        <f ca="1">MAX(OFFSET(INDEX(Valeurs_Brutes_Dover_2[Connecteur 2],1),COUNT(Valeurs_Brutes_Dover_2[Connecteur 2])-30,0,30))</f>
        <v>#REF!</v>
      </c>
      <c r="E16" s="43" t="e">
        <f ca="1">MAX(OFFSET(INDEX(Valeurs_Brutes_Dover_2[Connecteur 3],1),COUNT(Valeurs_Brutes_Dover_2[Connecteur 3])-30,0,30))</f>
        <v>#REF!</v>
      </c>
      <c r="F16" s="43" t="e">
        <f ca="1">MAX(OFFSET(INDEX(Valeurs_Brutes_Dover_2[Connecteur 4],1),COUNT(Valeurs_Brutes_Dover_2[Connecteur 4])-30,0,30))</f>
        <v>#REF!</v>
      </c>
      <c r="G16" s="43" t="e">
        <f ca="1">MAX(OFFSET(INDEX(Valeurs_Brutes_Dover_2[Connecteur 5],1),COUNT(Valeurs_Brutes_Dover_2[Connecteur 5])-30,0,30))</f>
        <v>#REF!</v>
      </c>
      <c r="H16" s="43" t="e">
        <f ca="1">MAX(OFFSET(INDEX(Valeurs_Brutes_Dover_2[Connecteur 6],1),COUNT(Valeurs_Brutes_Dover_2[Connecteur 6])-30,0,30))</f>
        <v>#REF!</v>
      </c>
      <c r="I16" s="43" t="e">
        <f ca="1">MAX(OFFSET(INDEX(Valeurs_Brutes_Dover_2[Connecteur 7],1),COUNT(Valeurs_Brutes_Dover_2[Connecteur 7])-30,0,30))</f>
        <v>#REF!</v>
      </c>
      <c r="J16" s="43" t="e">
        <f ca="1">MAX(OFFSET(INDEX(Valeurs_Brutes_Dover_2[Connecteur 8],1),COUNT(Valeurs_Brutes_Dover_2[Connecteur 8])-30,0,30))</f>
        <v>#REF!</v>
      </c>
      <c r="K16" s="43" t="e">
        <f ca="1">MAX(OFFSET(INDEX(Valeurs_Brutes_Dover_2[Connecteur 9],1),COUNT(Valeurs_Brutes_Dover_2[Connecteur 9])-30,0,30))</f>
        <v>#REF!</v>
      </c>
      <c r="L16" s="48">
        <f>Mesures_Dover!C20+Mesures_Dover!B21</f>
        <v>0</v>
      </c>
      <c r="M16" s="27"/>
      <c r="N16" s="36" t="s">
        <v>547</v>
      </c>
      <c r="O16" s="48">
        <f>Mesures_Dover!C20</f>
        <v>0</v>
      </c>
    </row>
    <row r="17" spans="1:18" x14ac:dyDescent="0.25">
      <c r="A17" s="27"/>
      <c r="B17" s="42" t="s">
        <v>93</v>
      </c>
      <c r="C17" s="43" t="e">
        <f ca="1">MIN(OFFSET(INDEX(Valeurs_Brutes_Dover_2[Connecteur 1],1),COUNT(Valeurs_Brutes_Dover_2[Connecteur 1])-30,0,30))</f>
        <v>#REF!</v>
      </c>
      <c r="D17" s="43" t="e">
        <f ca="1">MIN(OFFSET(INDEX(Valeurs_Brutes_Dover_2[Connecteur 2],1),COUNT(Valeurs_Brutes_Dover_2[Connecteur 2])-30,0,30))</f>
        <v>#REF!</v>
      </c>
      <c r="E17" s="43" t="e">
        <f ca="1">MIN(OFFSET(INDEX(Valeurs_Brutes_Dover_2[Connecteur 3],1),COUNT(Valeurs_Brutes_Dover_2[Connecteur 3])-30,0,30))</f>
        <v>#REF!</v>
      </c>
      <c r="F17" s="43" t="e">
        <f ca="1">MIN(OFFSET(INDEX(Valeurs_Brutes_Dover_2[Connecteur 4],1),COUNT(Valeurs_Brutes_Dover_2[Connecteur 4])-30,0,30))</f>
        <v>#REF!</v>
      </c>
      <c r="G17" s="43" t="e">
        <f ca="1">MIN(OFFSET(INDEX(Valeurs_Brutes_Dover_2[Connecteur 5],1),COUNT(Valeurs_Brutes_Dover_2[Connecteur 5])-30,0,30))</f>
        <v>#REF!</v>
      </c>
      <c r="H17" s="43" t="e">
        <f ca="1">MIN(OFFSET(INDEX(Valeurs_Brutes_Dover_2[Connecteur 6],1),COUNT(Valeurs_Brutes_Dover_2[Connecteur 6])-30,0,30))</f>
        <v>#REF!</v>
      </c>
      <c r="I17" s="43" t="e">
        <f ca="1">MIN(OFFSET(INDEX(Valeurs_Brutes_Dover_2[Connecteur 7],1),COUNT(Valeurs_Brutes_Dover_2[Connecteur 7])-30,0,30))</f>
        <v>#REF!</v>
      </c>
      <c r="J17" s="43" t="e">
        <f ca="1">MIN(OFFSET(INDEX(Valeurs_Brutes_Dover_2[Connecteur 8],1),COUNT(Valeurs_Brutes_Dover_2[Connecteur 8])-30,0,30))</f>
        <v>#REF!</v>
      </c>
      <c r="K17" s="43" t="e">
        <f ca="1">MIN(OFFSET(INDEX(Valeurs_Brutes_Dover_2[Connecteur 9],1),COUNT(Valeurs_Brutes_Dover_2[Connecteur 9])-30,0,30))</f>
        <v>#REF!</v>
      </c>
      <c r="L17" s="48">
        <f>Mesures_Dover!C20-Mesures_Dover!B21</f>
        <v>0</v>
      </c>
      <c r="M17" s="27"/>
      <c r="N17" s="36" t="s">
        <v>555</v>
      </c>
      <c r="O17" s="35" t="str">
        <f>"+" &amp; Mesures_Dover!B21 &amp; "°C"</f>
        <v>+°C</v>
      </c>
    </row>
    <row r="18" spans="1:18" x14ac:dyDescent="0.25">
      <c r="A18" s="27"/>
      <c r="B18" s="42" t="s">
        <v>95</v>
      </c>
      <c r="C18" s="43" t="e">
        <f ca="1">AVERAGE(OFFSET(INDEX(Valeurs_Brutes_Dover_2[Connecteur 1],1),COUNT(Valeurs_Brutes_Dover_2[Connecteur 1])-30,0,30))</f>
        <v>#REF!</v>
      </c>
      <c r="D18" s="43" t="e">
        <f ca="1">AVERAGE(OFFSET(INDEX(Valeurs_Brutes_Dover_2[Connecteur 2],1),COUNT(Valeurs_Brutes_Dover_2[Connecteur 2])-30,0,30))</f>
        <v>#REF!</v>
      </c>
      <c r="E18" s="43" t="e">
        <f ca="1">AVERAGE(OFFSET(INDEX(Valeurs_Brutes_Dover_2[Connecteur 3],1),COUNT(Valeurs_Brutes_Dover_2[Connecteur 3])-30,0,30))</f>
        <v>#REF!</v>
      </c>
      <c r="F18" s="43" t="e">
        <f ca="1">AVERAGE(OFFSET(INDEX(Valeurs_Brutes_Dover_2[Connecteur 4],1),COUNT(Valeurs_Brutes_Dover_2[Connecteur 4])-30,0,30))</f>
        <v>#REF!</v>
      </c>
      <c r="G18" s="43" t="e">
        <f ca="1">AVERAGE(OFFSET(INDEX(Valeurs_Brutes_Dover_2[Connecteur 5],1),COUNT(Valeurs_Brutes_Dover_2[Connecteur 5])-30,0,30))</f>
        <v>#REF!</v>
      </c>
      <c r="H18" s="43" t="e">
        <f ca="1">AVERAGE(OFFSET(INDEX(Valeurs_Brutes_Dover_2[Connecteur 6],1),COUNT(Valeurs_Brutes_Dover_2[Connecteur 6])-30,0,30))</f>
        <v>#REF!</v>
      </c>
      <c r="I18" s="43" t="e">
        <f ca="1">AVERAGE(OFFSET(INDEX(Valeurs_Brutes_Dover_2[Connecteur 7],1),COUNT(Valeurs_Brutes_Dover_2[Connecteur 7])-30,0,30))</f>
        <v>#REF!</v>
      </c>
      <c r="J18" s="43" t="e">
        <f ca="1">AVERAGE(OFFSET(INDEX(Valeurs_Brutes_Dover_2[Connecteur 8],1),COUNT(Valeurs_Brutes_Dover_2[Connecteur 8])-30,0,30))</f>
        <v>#REF!</v>
      </c>
      <c r="K18" s="43" t="e">
        <f ca="1">AVERAGE(OFFSET(INDEX(Valeurs_Brutes_Dover_2[Connecteur 9],1),COUNT(Valeurs_Brutes_Dover_2[Connecteur 9])-30,0,30))</f>
        <v>#REF!</v>
      </c>
      <c r="L18" s="33"/>
      <c r="M18" s="33"/>
      <c r="N18" s="36" t="s">
        <v>556</v>
      </c>
      <c r="O18" s="35" t="str">
        <f>"-" &amp; Mesures_Dover!B21 &amp; "°C"</f>
        <v>-°C</v>
      </c>
    </row>
    <row r="19" spans="1:18" x14ac:dyDescent="0.25">
      <c r="A19" s="27"/>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c r="M19" s="27"/>
      <c r="N19" s="27"/>
      <c r="O19" s="27"/>
    </row>
    <row r="20" spans="1:18" x14ac:dyDescent="0.25">
      <c r="A20" s="27"/>
      <c r="B20" s="42" t="s">
        <v>97</v>
      </c>
      <c r="C20" s="493" t="e">
        <f ca="1">ABS(MAX(C16:K16)-MIN(C17:K17))</f>
        <v>#REF!</v>
      </c>
      <c r="D20" s="494"/>
      <c r="E20" s="494"/>
      <c r="F20" s="494"/>
      <c r="G20" s="494"/>
      <c r="H20" s="494"/>
      <c r="I20" s="494"/>
      <c r="J20" s="494"/>
      <c r="K20" s="495"/>
    </row>
    <row r="21" spans="1:18" x14ac:dyDescent="0.25">
      <c r="A21" s="27"/>
      <c r="B21" s="42" t="s">
        <v>98</v>
      </c>
      <c r="C21" s="493" t="e">
        <f ca="1">AVERAGE(C18:K18)</f>
        <v>#REF!</v>
      </c>
      <c r="D21" s="494"/>
      <c r="E21" s="494"/>
      <c r="F21" s="494"/>
      <c r="G21" s="494"/>
      <c r="H21" s="494"/>
      <c r="I21" s="494"/>
      <c r="J21" s="494"/>
      <c r="K21" s="495"/>
    </row>
    <row r="22" spans="1:18" x14ac:dyDescent="0.25">
      <c r="A22" s="27"/>
      <c r="B22" s="36" t="s">
        <v>99</v>
      </c>
      <c r="C22" s="46" t="e">
        <f ca="1">STDEV(OFFSET(INDEX(Valeurs_Brutes_Dover_2[Connecteur 1],1),COUNT(Valeurs_Brutes_Dover_2[Connecteur 1])-30,0,30))+C5+C6</f>
        <v>#REF!</v>
      </c>
      <c r="D22" s="46" t="e">
        <f ca="1">STDEV(OFFSET(INDEX(Valeurs_Brutes_Dover_2[Connecteur 2],1),COUNT(Valeurs_Brutes_Dover_2[Connecteur 2])-30,0,30))+D5+D6</f>
        <v>#REF!</v>
      </c>
      <c r="E22" s="46" t="e">
        <f ca="1">STDEV(OFFSET(INDEX(Valeurs_Brutes_Dover_2[Connecteur 3],1),COUNT(Valeurs_Brutes_Dover_2[Connecteur 3])-30,0,30))+E5+E6</f>
        <v>#REF!</v>
      </c>
      <c r="F22" s="46" t="e">
        <f ca="1">STDEV(OFFSET(INDEX(Valeurs_Brutes_Dover_2[Connecteur 4],1),COUNT(Valeurs_Brutes_Dover_2[Connecteur 4])-30,0,30))+F5+F6</f>
        <v>#REF!</v>
      </c>
      <c r="G22" s="46" t="e">
        <f ca="1">STDEV(OFFSET(INDEX(Valeurs_Brutes_Dover_2[Connecteur 5],1),COUNT(Valeurs_Brutes_Dover_2[Connecteur 5])-30,0,30))+G5+G6</f>
        <v>#REF!</v>
      </c>
      <c r="H22" s="46" t="e">
        <f ca="1">STDEV(OFFSET(INDEX(Valeurs_Brutes_Dover_2[Connecteur 6],1),COUNT(Valeurs_Brutes_Dover_2[Connecteur 6])-30,0,30))+H5+H6</f>
        <v>#REF!</v>
      </c>
      <c r="I22" s="46" t="e">
        <f ca="1">STDEV(OFFSET(INDEX(Valeurs_Brutes_Dover_2[Connecteur 7],1),COUNT(Valeurs_Brutes_Dover_2[Connecteur 7])-30,0,30))+I5+I6</f>
        <v>#REF!</v>
      </c>
      <c r="J22" s="46" t="e">
        <f ca="1">STDEV(OFFSET(INDEX(Valeurs_Brutes_Dover_2[Connecteur 8],1),COUNT(Valeurs_Brutes_Dover_2[Connecteur 8])-30,0,30))+J5+J6</f>
        <v>#REF!</v>
      </c>
      <c r="K22" s="46" t="e">
        <f ca="1">STDEV(OFFSET(INDEX(Valeurs_Brutes_Dover_2[Connecteur 9],1),COUNT(Valeurs_Brutes_Dover_2[Connecteur 9])-30,0,30))+K5+K6</f>
        <v>#REF!</v>
      </c>
    </row>
    <row r="23" spans="1:18" s="27" customFormat="1" x14ac:dyDescent="0.25">
      <c r="A23"/>
      <c r="B23"/>
      <c r="C23"/>
      <c r="D23"/>
      <c r="E23"/>
      <c r="F23"/>
      <c r="G23"/>
      <c r="H23"/>
      <c r="I23"/>
      <c r="J23"/>
      <c r="K23"/>
      <c r="L23" s="33"/>
    </row>
    <row r="26" spans="1:18" x14ac:dyDescent="0.25">
      <c r="L26" s="33"/>
      <c r="M26" s="33"/>
      <c r="N26" s="33"/>
      <c r="O26" s="33"/>
      <c r="P26" s="33"/>
      <c r="Q26" s="33"/>
      <c r="R26" s="33"/>
    </row>
    <row r="27" spans="1:18" x14ac:dyDescent="0.25">
      <c r="P27" s="27"/>
      <c r="Q27" s="27"/>
      <c r="R27" s="27"/>
    </row>
    <row r="28" spans="1:18" x14ac:dyDescent="0.25">
      <c r="P28" s="27"/>
      <c r="Q28" s="27"/>
      <c r="R28" s="27"/>
    </row>
    <row r="29" spans="1:18" x14ac:dyDescent="0.25">
      <c r="P29" s="27"/>
      <c r="Q29" s="27"/>
      <c r="R29" s="27"/>
    </row>
    <row r="30" spans="1:18" x14ac:dyDescent="0.25">
      <c r="P30" s="27"/>
      <c r="Q30" s="27"/>
      <c r="R30" s="27"/>
    </row>
    <row r="31" spans="1:18" x14ac:dyDescent="0.25">
      <c r="P31" s="27"/>
      <c r="Q31" s="27"/>
      <c r="R31" s="27"/>
    </row>
    <row r="32" spans="1:18" x14ac:dyDescent="0.25">
      <c r="L32" s="33"/>
      <c r="M32" s="27"/>
      <c r="N32" s="27"/>
      <c r="O32" s="27"/>
      <c r="P32" s="27"/>
      <c r="Q32" s="27"/>
      <c r="R32" s="27"/>
    </row>
    <row r="33" spans="1:18" x14ac:dyDescent="0.25">
      <c r="L33" s="33"/>
      <c r="M33" s="27"/>
      <c r="N33" s="27"/>
      <c r="O33" s="27"/>
      <c r="P33" s="27"/>
      <c r="Q33" s="27"/>
      <c r="R33" s="27"/>
    </row>
    <row r="34" spans="1:18" x14ac:dyDescent="0.25">
      <c r="L34" s="33"/>
      <c r="M34" s="27"/>
      <c r="N34" s="27"/>
      <c r="O34" s="27"/>
      <c r="P34" s="27"/>
      <c r="Q34" s="27"/>
      <c r="R34" s="27"/>
    </row>
    <row r="35" spans="1:18" x14ac:dyDescent="0.25">
      <c r="M35" s="27"/>
      <c r="N35" s="27"/>
      <c r="O35" s="27"/>
      <c r="P35" s="27"/>
      <c r="Q35" s="27"/>
      <c r="R35" s="27"/>
    </row>
    <row r="46" spans="1:18" s="33" customFormat="1" x14ac:dyDescent="0.25">
      <c r="A46"/>
      <c r="B46"/>
      <c r="C46"/>
      <c r="D46"/>
      <c r="E46"/>
      <c r="F46"/>
      <c r="G46"/>
      <c r="H46"/>
      <c r="I46"/>
      <c r="J46"/>
      <c r="K46"/>
      <c r="L46"/>
      <c r="M46"/>
      <c r="N46"/>
      <c r="O46"/>
      <c r="P46"/>
      <c r="Q46"/>
      <c r="R46"/>
    </row>
    <row r="47" spans="1:18" s="27" customFormat="1" x14ac:dyDescent="0.25">
      <c r="A47"/>
      <c r="B47"/>
      <c r="C47"/>
      <c r="D47"/>
      <c r="E47"/>
      <c r="F47"/>
      <c r="G47"/>
      <c r="H47"/>
      <c r="I47"/>
      <c r="J47"/>
      <c r="K47"/>
      <c r="L47"/>
      <c r="M47"/>
      <c r="N47"/>
      <c r="O47"/>
      <c r="P47"/>
      <c r="Q47"/>
      <c r="R47"/>
    </row>
    <row r="48" spans="1:18" s="27" customFormat="1" x14ac:dyDescent="0.25">
      <c r="A48"/>
      <c r="B48"/>
      <c r="C48"/>
      <c r="D48"/>
      <c r="E48"/>
      <c r="F48"/>
      <c r="G48"/>
      <c r="H48"/>
      <c r="I48"/>
      <c r="J48"/>
      <c r="K48"/>
      <c r="L48"/>
      <c r="M48"/>
      <c r="N48"/>
      <c r="O48"/>
      <c r="P48"/>
      <c r="Q48"/>
      <c r="R48"/>
    </row>
    <row r="49" spans="1:18" s="27" customFormat="1" x14ac:dyDescent="0.25">
      <c r="A49"/>
      <c r="B49"/>
      <c r="C49"/>
      <c r="D49"/>
      <c r="E49"/>
      <c r="F49"/>
      <c r="G49"/>
      <c r="H49"/>
      <c r="I49"/>
      <c r="J49"/>
      <c r="K49"/>
      <c r="L49"/>
      <c r="M49"/>
      <c r="N49"/>
      <c r="O49"/>
      <c r="P49"/>
      <c r="Q49"/>
      <c r="R49"/>
    </row>
    <row r="50" spans="1:18" s="27" customFormat="1" x14ac:dyDescent="0.25">
      <c r="A50"/>
      <c r="B50"/>
      <c r="C50"/>
      <c r="D50"/>
      <c r="E50"/>
      <c r="F50"/>
      <c r="G50"/>
      <c r="H50"/>
      <c r="I50"/>
      <c r="J50"/>
      <c r="K50"/>
      <c r="L50"/>
      <c r="M50"/>
      <c r="N50"/>
      <c r="O50"/>
      <c r="P50"/>
      <c r="Q50"/>
      <c r="R50"/>
    </row>
    <row r="51" spans="1:18" s="27" customFormat="1" x14ac:dyDescent="0.25">
      <c r="A51"/>
      <c r="B51"/>
      <c r="C51"/>
      <c r="D51"/>
      <c r="E51"/>
      <c r="F51"/>
      <c r="G51"/>
      <c r="H51"/>
      <c r="I51"/>
      <c r="J51"/>
      <c r="K51"/>
      <c r="L51"/>
      <c r="M51"/>
      <c r="N51"/>
      <c r="O51"/>
      <c r="P51"/>
      <c r="Q51"/>
      <c r="R51"/>
    </row>
    <row r="52" spans="1:18" s="27" customFormat="1" x14ac:dyDescent="0.25">
      <c r="A52"/>
      <c r="B52"/>
      <c r="C52"/>
      <c r="D52"/>
      <c r="E52"/>
      <c r="F52"/>
      <c r="G52"/>
      <c r="H52"/>
      <c r="I52"/>
      <c r="J52"/>
      <c r="K52"/>
      <c r="L52"/>
      <c r="M52"/>
      <c r="N52"/>
      <c r="O52"/>
      <c r="P52"/>
      <c r="Q52"/>
      <c r="R52"/>
    </row>
    <row r="53" spans="1:18" s="27" customFormat="1" x14ac:dyDescent="0.25">
      <c r="A53"/>
      <c r="B53"/>
      <c r="C53"/>
      <c r="D53"/>
      <c r="E53"/>
      <c r="F53"/>
      <c r="G53"/>
      <c r="H53"/>
      <c r="I53"/>
      <c r="J53"/>
      <c r="K53"/>
      <c r="L53"/>
      <c r="M53"/>
      <c r="N53"/>
      <c r="O53"/>
      <c r="P53"/>
      <c r="Q53"/>
      <c r="R53"/>
    </row>
    <row r="54" spans="1:18" s="27" customFormat="1" x14ac:dyDescent="0.25">
      <c r="A54"/>
      <c r="B54"/>
      <c r="C54"/>
      <c r="D54"/>
      <c r="E54"/>
      <c r="F54"/>
      <c r="G54"/>
      <c r="H54"/>
      <c r="I54"/>
      <c r="J54"/>
      <c r="K54"/>
      <c r="L54"/>
      <c r="M54"/>
      <c r="N54"/>
      <c r="O54"/>
      <c r="P54"/>
      <c r="Q54"/>
      <c r="R54"/>
    </row>
    <row r="55" spans="1:18" s="27" customFormat="1" x14ac:dyDescent="0.25">
      <c r="A55"/>
      <c r="B55"/>
      <c r="C55"/>
      <c r="D55"/>
      <c r="E55"/>
      <c r="F55"/>
      <c r="G55"/>
      <c r="H55"/>
      <c r="I55"/>
      <c r="J55"/>
      <c r="K55"/>
      <c r="L55"/>
      <c r="M55"/>
      <c r="N55"/>
      <c r="O55"/>
      <c r="P55"/>
      <c r="Q55"/>
      <c r="R55"/>
    </row>
  </sheetData>
  <sheetProtection algorithmName="SHA-512" hashValue="eXVcKnG9hWnWPF80ua6728pwZrL0XuejsdquOtMXSwpYW8iYgBB9cJD2eRH69LRRu/VAZWBRNYVD18K+4TLKWQ==" saltValue="u4lJXvWh1bgc0eUIoS+T0w==" spinCount="100000" sheet="1" objects="1" scenarios="1"/>
  <dataConsolidate/>
  <mergeCells count="5">
    <mergeCell ref="C21:K21"/>
    <mergeCell ref="C20:K20"/>
    <mergeCell ref="A1:O3"/>
    <mergeCell ref="A9:K9"/>
    <mergeCell ref="A13:XFD13"/>
  </mergeCells>
  <conditionalFormatting sqref="C16:K16">
    <cfRule type="cellIs" dxfId="14" priority="2" operator="greaterThan">
      <formula>$L$16</formula>
    </cfRule>
  </conditionalFormatting>
  <conditionalFormatting sqref="C17:K17">
    <cfRule type="cellIs" dxfId="13" priority="3" operator="lessThan">
      <formula>$L$17</formula>
    </cfRule>
  </conditionalFormatting>
  <conditionalFormatting sqref="C15:K15">
    <cfRule type="cellIs" dxfId="12" priority="1" operator="greaterThan">
      <formula>$L$16</formula>
    </cfRule>
  </conditionalFormatting>
  <pageMargins left="0.7" right="0.7" top="0.75" bottom="0.75" header="0.3" footer="0.3"/>
  <pageSetup paperSize="9"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C7FAA-EFB3-471F-85E8-910A7901F807}">
  <sheetPr codeName="Feuil12">
    <tabColor theme="9" tint="0.39997558519241921"/>
  </sheetPr>
  <dimension ref="A1:O22"/>
  <sheetViews>
    <sheetView topLeftCell="A12" workbookViewId="0">
      <selection activeCell="C110" sqref="C110:K110"/>
    </sheetView>
  </sheetViews>
  <sheetFormatPr baseColWidth="10" defaultRowHeight="15" x14ac:dyDescent="0.25"/>
  <cols>
    <col min="2" max="2" width="15" bestFit="1" customWidth="1"/>
    <col min="3" max="11" width="12.7109375" bestFit="1" customWidth="1"/>
    <col min="14" max="14" width="17.7109375" bestFit="1" customWidth="1"/>
  </cols>
  <sheetData>
    <row r="1" spans="1:15" s="27" customFormat="1" x14ac:dyDescent="0.25">
      <c r="A1" s="456" t="str">
        <f>Mesures_Dover!D20 &amp; "°C"</f>
        <v>°C</v>
      </c>
      <c r="B1" s="456"/>
      <c r="C1" s="456"/>
      <c r="D1" s="456"/>
      <c r="E1" s="456"/>
      <c r="F1" s="456"/>
      <c r="G1" s="456"/>
      <c r="H1" s="456"/>
      <c r="I1" s="456"/>
      <c r="J1" s="456"/>
      <c r="K1" s="456"/>
      <c r="L1" s="456"/>
      <c r="M1" s="456"/>
      <c r="N1" s="456"/>
      <c r="O1" s="456"/>
    </row>
    <row r="2" spans="1:15" s="27" customFormat="1" x14ac:dyDescent="0.25">
      <c r="A2" s="456"/>
      <c r="B2" s="456"/>
      <c r="C2" s="456"/>
      <c r="D2" s="456"/>
      <c r="E2" s="456"/>
      <c r="F2" s="456"/>
      <c r="G2" s="456"/>
      <c r="H2" s="456"/>
      <c r="I2" s="456"/>
      <c r="J2" s="456"/>
      <c r="K2" s="456"/>
      <c r="L2" s="456"/>
      <c r="M2" s="456"/>
      <c r="N2" s="456"/>
      <c r="O2" s="456"/>
    </row>
    <row r="3" spans="1:15" s="27" customFormat="1" x14ac:dyDescent="0.25">
      <c r="A3" s="456"/>
      <c r="B3" s="456"/>
      <c r="C3" s="456"/>
      <c r="D3" s="456"/>
      <c r="E3" s="456"/>
      <c r="F3" s="456"/>
      <c r="G3" s="456"/>
      <c r="H3" s="456"/>
      <c r="I3" s="456"/>
      <c r="J3" s="456"/>
      <c r="K3" s="456"/>
      <c r="L3" s="456"/>
      <c r="M3" s="456"/>
      <c r="N3" s="456"/>
      <c r="O3" s="456"/>
    </row>
    <row r="4" spans="1:15" s="27" customFormat="1" x14ac:dyDescent="0.25">
      <c r="L4" s="33"/>
    </row>
    <row r="5" spans="1:15" s="27" customFormat="1" x14ac:dyDescent="0.25">
      <c r="B5" s="34" t="s">
        <v>23</v>
      </c>
      <c r="C5" s="35" t="e">
        <f>_xlfn.XLOOKUP(INT(SUBSTITUTE(C14,"Connecteur ","")),Mesures_Dover!C24:C32,Mesures_Dover!G24:G32)</f>
        <v>#N/A</v>
      </c>
      <c r="D5" s="35" t="e">
        <f>_xlfn.XLOOKUP(INT(SUBSTITUTE(D14,"Connecteur ","")),Mesures_Dover!C24:C32,Mesures_Dover!G24:G32)</f>
        <v>#N/A</v>
      </c>
      <c r="E5" s="35" t="e">
        <f>_xlfn.XLOOKUP(INT(SUBSTITUTE(E14,"Connecteur ","")),Mesures_Dover!C24:C32,Mesures_Dover!G24:G32)</f>
        <v>#N/A</v>
      </c>
      <c r="F5" s="35" t="e">
        <f>_xlfn.XLOOKUP(INT(SUBSTITUTE(F14,"Connecteur ","")),Mesures_Dover!C24:C32,Mesures_Dover!G24:G32)</f>
        <v>#N/A</v>
      </c>
      <c r="G5" s="35" t="e">
        <f>_xlfn.XLOOKUP(INT(SUBSTITUTE(G14,"Connecteur ","")),Mesures_Dover!C24:C32,Mesures_Dover!G24:G32)</f>
        <v>#N/A</v>
      </c>
      <c r="H5" s="35" t="e">
        <f>_xlfn.XLOOKUP(INT(SUBSTITUTE(H14,"Connecteur ","")),Mesures_Dover!C24:C32,Mesures_Dover!G24:G32)</f>
        <v>#N/A</v>
      </c>
      <c r="I5" s="35" t="e">
        <f>_xlfn.XLOOKUP(INT(SUBSTITUTE(I14,"Connecteur ","")),Mesures_Dover!C24:C32,Mesures_Dover!G24:G32)</f>
        <v>#N/A</v>
      </c>
      <c r="J5" s="35" t="e">
        <f>_xlfn.XLOOKUP(INT(SUBSTITUTE(J14,"Connecteur ","")),Mesures_Dover!C24:C32,Mesures_Dover!G24:G32)</f>
        <v>#N/A</v>
      </c>
      <c r="K5" s="35" t="e">
        <f>_xlfn.XLOOKUP(INT(SUBSTITUTE(K14,"Connecteur ","")),Mesures_Dover!C24:C32,Mesures_Dover!G24:G32)</f>
        <v>#N/A</v>
      </c>
      <c r="L5" s="33"/>
    </row>
    <row r="6" spans="1:15" s="27" customFormat="1" x14ac:dyDescent="0.25">
      <c r="B6" s="34" t="s">
        <v>87</v>
      </c>
      <c r="C6" s="35" t="e">
        <f>_xlfn.XLOOKUP(INT(SUBSTITUTE(C14,"Connecteur ","")),Mesures_Dover!C24:C32,Mesures_Dover!D24:D32)</f>
        <v>#N/A</v>
      </c>
      <c r="D6" s="35" t="e">
        <f>_xlfn.XLOOKUP(INT(SUBSTITUTE(D14,"Connecteur ","")),Mesures_Dover!C24:C32,Mesures_Dover!D24:D32)</f>
        <v>#N/A</v>
      </c>
      <c r="E6" s="35" t="e">
        <f>_xlfn.XLOOKUP(INT(SUBSTITUTE(E14,"Connecteur ","")),Mesures_Dover!C24:C32,Mesures_Dover!D24:D32)</f>
        <v>#N/A</v>
      </c>
      <c r="F6" s="35" t="e">
        <f>_xlfn.XLOOKUP(INT(SUBSTITUTE(F14,"Connecteur ","")),Mesures_Dover!C24:C32,Mesures_Dover!D24:D32)</f>
        <v>#N/A</v>
      </c>
      <c r="G6" s="35" t="e">
        <f>_xlfn.XLOOKUP(INT(SUBSTITUTE(G14,"Connecteur ","")),Mesures_Dover!C24:C32,Mesures_Dover!D24:D32)</f>
        <v>#N/A</v>
      </c>
      <c r="H6" s="35" t="e">
        <f>_xlfn.XLOOKUP(INT(SUBSTITUTE(H14,"Connecteur ","")),Mesures_Dover!C24:C32,Mesures_Dover!D24:D32)</f>
        <v>#N/A</v>
      </c>
      <c r="I6" s="35" t="e">
        <f>_xlfn.XLOOKUP(INT(SUBSTITUTE(I14,"Connecteur ","")),Mesures_Dover!C24:C32,Mesures_Dover!D24:D32)</f>
        <v>#N/A</v>
      </c>
      <c r="J6" s="35" t="e">
        <f>_xlfn.XLOOKUP(INT(SUBSTITUTE(J14,"Connecteur ","")),Mesures_Dover!C24:C32,Mesures_Dover!D24:D32)</f>
        <v>#N/A</v>
      </c>
      <c r="K6" s="35" t="e">
        <f>_xlfn.XLOOKUP(INT(SUBSTITUTE(K14,"Connecteur ","")),Mesures_Dover!C24:C32,Mesures_Dover!D24:D32)</f>
        <v>#N/A</v>
      </c>
      <c r="L6" s="33"/>
    </row>
    <row r="7" spans="1:15" s="27" customFormat="1" x14ac:dyDescent="0.25">
      <c r="L7" s="33"/>
    </row>
    <row r="8" spans="1:15" s="27" customFormat="1" x14ac:dyDescent="0.25">
      <c r="L8" s="33"/>
    </row>
    <row r="9" spans="1:15" s="27" customFormat="1" x14ac:dyDescent="0.25">
      <c r="A9" s="1" t="s">
        <v>88</v>
      </c>
      <c r="B9" s="1"/>
      <c r="C9" s="1"/>
      <c r="D9" s="1"/>
      <c r="E9" s="1"/>
      <c r="F9" s="1"/>
      <c r="G9" s="1"/>
      <c r="H9" s="1"/>
      <c r="I9" s="1"/>
      <c r="J9" s="1"/>
      <c r="K9" s="1"/>
      <c r="L9" s="33"/>
    </row>
    <row r="10" spans="1:15" s="27" customFormat="1" x14ac:dyDescent="0.25">
      <c r="A10" s="33"/>
      <c r="B10" s="34" t="str" cm="1">
        <f t="array" ref="B10:K10">Valeurs_Brutes_Dover_3[#Headers]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17" t="s">
        <v>285</v>
      </c>
      <c r="B11" s="144" cm="1">
        <f t="array" ref="B11">Valeurs_Brutes_Dover_3[Date/Heure]</f>
        <v>0</v>
      </c>
      <c r="C11" s="129" t="e" cm="1">
        <f t="array" ref="C11:K11">Valeurs_Brutes_Dover_3[[Connecteur 1]:[Connecteur 9]] + C5:K5 +C6:K6</f>
        <v>#N/A</v>
      </c>
      <c r="D11" s="129" t="e">
        <v>#N/A</v>
      </c>
      <c r="E11" s="129" t="e">
        <v>#N/A</v>
      </c>
      <c r="F11" s="129" t="e">
        <v>#N/A</v>
      </c>
      <c r="G11" s="129" t="e">
        <v>#N/A</v>
      </c>
      <c r="H11" s="129" t="e">
        <v>#N/A</v>
      </c>
      <c r="I11" s="129" t="e">
        <v>#N/A</v>
      </c>
      <c r="J11" s="129" t="e">
        <v>#N/A</v>
      </c>
      <c r="K11" s="129" t="e">
        <v>#N/A</v>
      </c>
      <c r="L11" s="33"/>
    </row>
    <row r="12" spans="1:15" s="27" customFormat="1" ht="13.5" customHeight="1" x14ac:dyDescent="0.25">
      <c r="A12" s="318" t="s">
        <v>89</v>
      </c>
      <c r="B12" s="178"/>
      <c r="C12" s="190"/>
      <c r="D12" s="190"/>
      <c r="E12" s="190"/>
      <c r="F12" s="190"/>
      <c r="G12" s="190"/>
      <c r="H12" s="190"/>
      <c r="I12" s="190"/>
      <c r="J12" s="190"/>
      <c r="K12" s="190"/>
      <c r="L12" s="33"/>
    </row>
    <row r="13" spans="1:15" s="457" customFormat="1" x14ac:dyDescent="0.25"/>
    <row r="14" spans="1:15" s="27" customFormat="1" x14ac:dyDescent="0.25">
      <c r="C14" s="41" t="str" cm="1">
        <f t="array" ref="C14:K14">Valeurs_Brutes_Dover_3[[#Headers],[Connecteur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s="27" customFormat="1" x14ac:dyDescent="0.25">
      <c r="B16" s="42" t="s">
        <v>91</v>
      </c>
      <c r="C16" s="43" t="e">
        <f ca="1">MAX(OFFSET(INDEX(Valeurs_Brutes_Dover_3[Connecteur 1],1),COUNT(Valeurs_Brutes_Dover_3[Connecteur 1])-30,0,30))</f>
        <v>#REF!</v>
      </c>
      <c r="D16" s="43" t="e">
        <f ca="1">MAX(OFFSET(INDEX(Valeurs_Brutes_Dover_3[Connecteur 2],1),COUNT(Valeurs_Brutes_Dover_3[Connecteur 2])-30,0,30))</f>
        <v>#REF!</v>
      </c>
      <c r="E16" s="43" t="e">
        <f ca="1">MAX(OFFSET(INDEX(Valeurs_Brutes_Dover_3[Connecteur 3],1),COUNT(Valeurs_Brutes_Dover_3[Connecteur 3])-30,0,30))</f>
        <v>#REF!</v>
      </c>
      <c r="F16" s="43" t="e">
        <f ca="1">MAX(OFFSET(INDEX(Valeurs_Brutes_Dover_3[Connecteur 4],1),COUNT(Valeurs_Brutes_Dover_3[Connecteur 4])-30,0,30))</f>
        <v>#REF!</v>
      </c>
      <c r="G16" s="43" t="e">
        <f ca="1">MAX(OFFSET(INDEX(Valeurs_Brutes_Dover_3[Connecteur 5],1),COUNT(Valeurs_Brutes_Dover_3[Connecteur 5])-30,0,30))</f>
        <v>#REF!</v>
      </c>
      <c r="H16" s="43" t="e">
        <f ca="1">MAX(OFFSET(INDEX(Valeurs_Brutes_Dover_3[Connecteur 6],1),COUNT(Valeurs_Brutes_Dover_3[Connecteur 6])-30,0,30))</f>
        <v>#REF!</v>
      </c>
      <c r="I16" s="43" t="e">
        <f ca="1">MAX(OFFSET(INDEX(Valeurs_Brutes_Dover_3[Connecteur 7],1),COUNT(Valeurs_Brutes_Dover_3[Connecteur 7])-30,0,30))</f>
        <v>#REF!</v>
      </c>
      <c r="J16" s="43" t="e">
        <f ca="1">MAX(OFFSET(INDEX(Valeurs_Brutes_Dover_3[Connecteur 8],1),COUNT(Valeurs_Brutes_Dover_3[Connecteur 8])-30,0,30))</f>
        <v>#REF!</v>
      </c>
      <c r="K16" s="43" t="e">
        <f ca="1">MAX(OFFSET(INDEX(Valeurs_Brutes_Dover_3[Connecteur 9],1),COUNT(Valeurs_Brutes_Dover_3[Connecteur 9])-30,0,30))</f>
        <v>#REF!</v>
      </c>
      <c r="L16" s="48">
        <f>Mesures_Dover!D20+Mesures_Dover!B21</f>
        <v>0</v>
      </c>
      <c r="N16" s="36" t="s">
        <v>547</v>
      </c>
      <c r="O16" s="48">
        <f>Mesures_Dover!D20</f>
        <v>0</v>
      </c>
    </row>
    <row r="17" spans="2:15" s="27" customFormat="1" x14ac:dyDescent="0.25">
      <c r="B17" s="42" t="s">
        <v>93</v>
      </c>
      <c r="C17" s="43" t="e">
        <f ca="1">MIN(OFFSET(INDEX(Valeurs_Brutes_Dover_3[Connecteur 1],1),COUNT(Valeurs_Brutes_Dover_3[Connecteur 1])-30,0,30))</f>
        <v>#REF!</v>
      </c>
      <c r="D17" s="43" t="e">
        <f ca="1">MIN(OFFSET(INDEX(Valeurs_Brutes_Dover_3[Connecteur 2],1),COUNT(Valeurs_Brutes_Dover_3[Connecteur 2])-30,0,30))</f>
        <v>#REF!</v>
      </c>
      <c r="E17" s="43" t="e">
        <f ca="1">MIN(OFFSET(INDEX(Valeurs_Brutes_Dover_3[Connecteur 3],1),COUNT(Valeurs_Brutes_Dover_3[Connecteur 3])-30,0,30))</f>
        <v>#REF!</v>
      </c>
      <c r="F17" s="43" t="e">
        <f ca="1">MIN(OFFSET(INDEX(Valeurs_Brutes_Dover_3[Connecteur 4],1),COUNT(Valeurs_Brutes_Dover_3[Connecteur 4])-30,0,30))</f>
        <v>#REF!</v>
      </c>
      <c r="G17" s="43" t="e">
        <f ca="1">MIN(OFFSET(INDEX(Valeurs_Brutes_Dover_3[Connecteur 5],1),COUNT(Valeurs_Brutes_Dover_3[Connecteur 5])-30,0,30))</f>
        <v>#REF!</v>
      </c>
      <c r="H17" s="43" t="e">
        <f ca="1">MIN(OFFSET(INDEX(Valeurs_Brutes_Dover_3[Connecteur 6],1),COUNT(Valeurs_Brutes_Dover_3[Connecteur 6])-30,0,30))</f>
        <v>#REF!</v>
      </c>
      <c r="I17" s="43" t="e">
        <f ca="1">MIN(OFFSET(INDEX(Valeurs_Brutes_Dover_3[Connecteur 7],1),COUNT(Valeurs_Brutes_Dover_3[Connecteur 7])-30,0,30))</f>
        <v>#REF!</v>
      </c>
      <c r="J17" s="43" t="e">
        <f ca="1">MIN(OFFSET(INDEX(Valeurs_Brutes_Dover_3[Connecteur 8],1),COUNT(Valeurs_Brutes_Dover_3[Connecteur 8])-30,0,30))</f>
        <v>#REF!</v>
      </c>
      <c r="K17" s="43" t="e">
        <f ca="1">MIN(OFFSET(INDEX(Valeurs_Brutes_Dover_3[Connecteur 9],1),COUNT(Valeurs_Brutes_Dover_3[Connecteur 9])-30,0,30))</f>
        <v>#REF!</v>
      </c>
      <c r="L17" s="48">
        <f>Mesures_Dover!D20-Mesures_Dover!B21</f>
        <v>0</v>
      </c>
      <c r="N17" s="36" t="s">
        <v>555</v>
      </c>
      <c r="O17" s="35" t="str">
        <f>"+" &amp; Mesures_Dover!B21 &amp; "°C"</f>
        <v>+°C</v>
      </c>
    </row>
    <row r="18" spans="2:15" s="27" customFormat="1" x14ac:dyDescent="0.25">
      <c r="B18" s="42" t="s">
        <v>95</v>
      </c>
      <c r="C18" s="43" t="e">
        <f ca="1">AVERAGE(OFFSET(INDEX(Valeurs_Brutes_Dover_3[Connecteur 1],1),COUNT(Valeurs_Brutes_Dover_3[Connecteur 1])-30,0,30))</f>
        <v>#REF!</v>
      </c>
      <c r="D18" s="43" t="e">
        <f ca="1">AVERAGE(OFFSET(INDEX(Valeurs_Brutes_Dover_3[Connecteur 2],1),COUNT(Valeurs_Brutes_Dover_3[Connecteur 2])-30,0,30))</f>
        <v>#REF!</v>
      </c>
      <c r="E18" s="43" t="e">
        <f ca="1">AVERAGE(OFFSET(INDEX(Valeurs_Brutes_Dover_3[Connecteur 3],1),COUNT(Valeurs_Brutes_Dover_3[Connecteur 3])-30,0,30))</f>
        <v>#REF!</v>
      </c>
      <c r="F18" s="43" t="e">
        <f ca="1">AVERAGE(OFFSET(INDEX(Valeurs_Brutes_Dover_3[Connecteur 4],1),COUNT(Valeurs_Brutes_Dover_3[Connecteur 4])-30,0,30))</f>
        <v>#REF!</v>
      </c>
      <c r="G18" s="43" t="e">
        <f ca="1">AVERAGE(OFFSET(INDEX(Valeurs_Brutes_Dover_3[Connecteur 5],1),COUNT(Valeurs_Brutes_Dover_3[Connecteur 5])-30,0,30))</f>
        <v>#REF!</v>
      </c>
      <c r="H18" s="43" t="e">
        <f ca="1">AVERAGE(OFFSET(INDEX(Valeurs_Brutes_Dover_3[Connecteur 6],1),COUNT(Valeurs_Brutes_Dover_3[Connecteur 6])-30,0,30))</f>
        <v>#REF!</v>
      </c>
      <c r="I18" s="43" t="e">
        <f ca="1">AVERAGE(OFFSET(INDEX(Valeurs_Brutes_Dover_3[Connecteur 7],1),COUNT(Valeurs_Brutes_Dover_3[Connecteur 7])-30,0,30))</f>
        <v>#REF!</v>
      </c>
      <c r="J18" s="43" t="e">
        <f ca="1">AVERAGE(OFFSET(INDEX(Valeurs_Brutes_Dover_3[Connecteur 8],1),COUNT(Valeurs_Brutes_Dover_3[Connecteur 8])-30,0,30))</f>
        <v>#REF!</v>
      </c>
      <c r="K18" s="43" t="e">
        <f ca="1">AVERAGE(OFFSET(INDEX(Valeurs_Brutes_Dover_3[Connecteur 9],1),COUNT(Valeurs_Brutes_Dover_3[Connecteur 9])-30,0,30))</f>
        <v>#REF!</v>
      </c>
      <c r="L18" s="33"/>
      <c r="M18" s="33"/>
      <c r="N18" s="36" t="s">
        <v>556</v>
      </c>
      <c r="O18" s="35" t="str">
        <f>"-" &amp; Mesures_Dover!B21 &amp; "°C"</f>
        <v>-°C</v>
      </c>
    </row>
    <row r="19" spans="2:15" s="27" customFormat="1" x14ac:dyDescent="0.25">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row>
    <row r="20" spans="2:15" s="27" customFormat="1" x14ac:dyDescent="0.25">
      <c r="B20" s="42" t="s">
        <v>97</v>
      </c>
      <c r="C20" s="493" t="e">
        <f ca="1">ABS(MAX(C16:K16)-MIN(C17:K17))</f>
        <v>#REF!</v>
      </c>
      <c r="D20" s="494"/>
      <c r="E20" s="494"/>
      <c r="F20" s="494"/>
      <c r="G20" s="494"/>
      <c r="H20" s="494"/>
      <c r="I20" s="494"/>
      <c r="J20" s="494"/>
      <c r="K20" s="495"/>
      <c r="L20" s="33"/>
    </row>
    <row r="21" spans="2:15" s="27" customFormat="1" x14ac:dyDescent="0.25">
      <c r="B21" s="42" t="s">
        <v>98</v>
      </c>
      <c r="C21" s="493" t="e">
        <f ca="1">AVERAGE(C18:K18)</f>
        <v>#REF!</v>
      </c>
      <c r="D21" s="494"/>
      <c r="E21" s="494"/>
      <c r="F21" s="494"/>
      <c r="G21" s="494"/>
      <c r="H21" s="494"/>
      <c r="I21" s="494"/>
      <c r="J21" s="494"/>
      <c r="K21" s="495"/>
      <c r="L21" s="33"/>
    </row>
    <row r="22" spans="2:15" s="27" customFormat="1" x14ac:dyDescent="0.25">
      <c r="B22" s="36" t="s">
        <v>99</v>
      </c>
      <c r="C22" s="46" t="e">
        <f ca="1">STDEV(OFFSET(INDEX(Valeurs_Brutes_Dover_3[Connecteur 1],1),COUNT(Valeurs_Brutes_Dover_3[Connecteur 1])-30,0,30))+C5+C6</f>
        <v>#REF!</v>
      </c>
      <c r="D22" s="46" t="e">
        <f ca="1">STDEV(OFFSET(INDEX(Valeurs_Brutes_Dover_3[Connecteur 2],1),COUNT(Valeurs_Brutes_Dover_3[Connecteur 2])-30,0,30))+D5+D6</f>
        <v>#REF!</v>
      </c>
      <c r="E22" s="46" t="e">
        <f ca="1">STDEV(OFFSET(INDEX(Valeurs_Brutes_Dover_3[Connecteur 3],1),COUNT(Valeurs_Brutes_Dover_3[Connecteur 3])-30,0,30))+E5+E6</f>
        <v>#REF!</v>
      </c>
      <c r="F22" s="46" t="e">
        <f ca="1">STDEV(OFFSET(INDEX(Valeurs_Brutes_Dover_3[Connecteur 4],1),COUNT(Valeurs_Brutes_Dover_3[Connecteur 4])-30,0,30))+F5+F6</f>
        <v>#REF!</v>
      </c>
      <c r="G22" s="46" t="e">
        <f ca="1">STDEV(OFFSET(INDEX(Valeurs_Brutes_Dover_3[Connecteur 5],1),COUNT(Valeurs_Brutes_Dover_3[Connecteur 5])-30,0,30))+G5+G6</f>
        <v>#REF!</v>
      </c>
      <c r="H22" s="46" t="e">
        <f ca="1">STDEV(OFFSET(INDEX(Valeurs_Brutes_Dover_3[Connecteur 6],1),COUNT(Valeurs_Brutes_Dover_3[Connecteur 6])-30,0,30))+H5+H6</f>
        <v>#REF!</v>
      </c>
      <c r="I22" s="46" t="e">
        <f ca="1">STDEV(OFFSET(INDEX(Valeurs_Brutes_Dover_3[Connecteur 7],1),COUNT(Valeurs_Brutes_Dover_3[Connecteur 7])-30,0,30))+I5+I6</f>
        <v>#REF!</v>
      </c>
      <c r="J22" s="46" t="e">
        <f ca="1">STDEV(OFFSET(INDEX(Valeurs_Brutes_Dover_3[Connecteur 8],1),COUNT(Valeurs_Brutes_Dover_3[Connecteur 8])-30,0,30))+J5+J6</f>
        <v>#REF!</v>
      </c>
      <c r="K22" s="46" t="e">
        <f ca="1">STDEV(OFFSET(INDEX(Valeurs_Brutes_Dover_3[Connecteur 9],1),COUNT(Valeurs_Brutes_Dover_3[Connecteur 9])-30,0,30))+K5+K6</f>
        <v>#REF!</v>
      </c>
      <c r="L22" s="33"/>
    </row>
  </sheetData>
  <sheetProtection algorithmName="SHA-512" hashValue="sn24xzqIjbxn9ZM4f1k1FnkrcT66RaEOCf4Ke8ITcp7c9M6bEJtKOdwP66lh3kUvzEHwLIZMGdFWv4eaHdEORw==" saltValue="EAJ902+n+puT/crv1iR/OQ==" spinCount="100000" sheet="1" objects="1" scenarios="1"/>
  <mergeCells count="4">
    <mergeCell ref="C21:K21"/>
    <mergeCell ref="C20:K20"/>
    <mergeCell ref="A1:O3"/>
    <mergeCell ref="A13:XFD13"/>
  </mergeCells>
  <conditionalFormatting sqref="C16:K16">
    <cfRule type="cellIs" dxfId="11" priority="3" operator="greaterThan">
      <formula>$L$16</formula>
    </cfRule>
  </conditionalFormatting>
  <conditionalFormatting sqref="C17:K17">
    <cfRule type="cellIs" dxfId="10" priority="4" operator="lessThan">
      <formula>$L$17</formula>
    </cfRule>
  </conditionalFormatting>
  <conditionalFormatting sqref="C15:K15">
    <cfRule type="cellIs" dxfId="9" priority="1" operator="greaterThan">
      <formula>$L$16</formula>
    </cfRule>
  </conditionalFormatting>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DD90F-936F-4837-94E6-B249D9E716C5}">
  <sheetPr codeName="Feuil25">
    <tabColor theme="9" tint="0.39997558519241921"/>
  </sheetPr>
  <dimension ref="A4:J504"/>
  <sheetViews>
    <sheetView view="pageBreakPreview" topLeftCell="A448" zoomScale="70" zoomScaleNormal="100" zoomScaleSheetLayoutView="70" zoomScalePageLayoutView="50" workbookViewId="0">
      <selection activeCell="F498" sqref="F498"/>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501" t="s">
        <v>247</v>
      </c>
      <c r="C4" s="502"/>
      <c r="D4" s="502"/>
      <c r="E4" s="502"/>
      <c r="F4" s="502"/>
    </row>
    <row r="5" spans="2:9" ht="26.25" x14ac:dyDescent="0.25">
      <c r="B5" s="502"/>
      <c r="C5" s="502"/>
      <c r="D5" s="502"/>
      <c r="E5" s="502"/>
      <c r="F5" s="502"/>
      <c r="G5" s="87"/>
      <c r="H5" s="87"/>
      <c r="I5" s="88"/>
    </row>
    <row r="6" spans="2:9" ht="58.5" customHeight="1" x14ac:dyDescent="0.25">
      <c r="B6" s="502"/>
      <c r="C6" s="502"/>
      <c r="D6" s="502"/>
      <c r="E6" s="502"/>
      <c r="F6" s="502"/>
    </row>
    <row r="10" spans="2:9" ht="21" x14ac:dyDescent="0.25">
      <c r="C10" s="381" t="s">
        <v>138</v>
      </c>
      <c r="D10" s="381"/>
      <c r="E10" s="474">
        <f>Mesures_Dover!D6</f>
        <v>0</v>
      </c>
      <c r="F10" s="474"/>
    </row>
    <row r="11" spans="2:9" ht="21" x14ac:dyDescent="0.25">
      <c r="C11" s="89"/>
      <c r="D11" s="89"/>
      <c r="E11" s="90"/>
      <c r="F11" s="90"/>
    </row>
    <row r="12" spans="2:9" x14ac:dyDescent="0.25">
      <c r="C12" s="91" t="s">
        <v>1</v>
      </c>
      <c r="D12" s="146">
        <f>Mesures_Dover!C8</f>
        <v>0</v>
      </c>
      <c r="F12" s="91" t="s">
        <v>18</v>
      </c>
      <c r="G12" s="146">
        <f>Mesures_Dover!G8</f>
        <v>0</v>
      </c>
    </row>
    <row r="13" spans="2:9" ht="15.75" x14ac:dyDescent="0.25">
      <c r="C13" s="93" t="s">
        <v>2</v>
      </c>
      <c r="D13" s="147">
        <f>Mesures_Dover!C9</f>
        <v>0</v>
      </c>
      <c r="F13" s="95" t="s">
        <v>19</v>
      </c>
      <c r="G13" s="147">
        <f>Mesures_Dover!G9</f>
        <v>0</v>
      </c>
    </row>
    <row r="14" spans="2:9" ht="15.75" x14ac:dyDescent="0.25">
      <c r="C14" s="96"/>
      <c r="D14" s="97"/>
      <c r="G14" s="98"/>
    </row>
    <row r="15" spans="2:9" ht="15.75" x14ac:dyDescent="0.25">
      <c r="C15" s="99" t="s">
        <v>139</v>
      </c>
      <c r="D15" s="100">
        <f>Mesures_Dover!C15</f>
        <v>0</v>
      </c>
      <c r="F15" s="91" t="s">
        <v>140</v>
      </c>
      <c r="G15" s="9">
        <f>Mesures_Dover!C16</f>
        <v>0</v>
      </c>
    </row>
    <row r="16" spans="2:9" ht="15.75" x14ac:dyDescent="0.25">
      <c r="C16" s="99" t="s">
        <v>141</v>
      </c>
      <c r="D16" s="102">
        <f>Mesures_Dover!G12</f>
        <v>15</v>
      </c>
      <c r="F16" s="91" t="s">
        <v>142</v>
      </c>
      <c r="G16" s="9">
        <f>Mesures_Dover!G13</f>
        <v>0</v>
      </c>
    </row>
    <row r="17" spans="1:9" ht="15.75" x14ac:dyDescent="0.25">
      <c r="C17" s="96"/>
      <c r="D17" s="97"/>
      <c r="F17" s="96"/>
      <c r="G17" s="1"/>
    </row>
    <row r="18" spans="1:9" ht="15.75" x14ac:dyDescent="0.25">
      <c r="C18" s="99" t="s">
        <v>143</v>
      </c>
      <c r="D18" s="148">
        <f>Mesures_Dover!C12</f>
        <v>0</v>
      </c>
      <c r="F18" s="91" t="s">
        <v>144</v>
      </c>
      <c r="G18" s="155">
        <f>Mesures_Dover!G11</f>
        <v>0</v>
      </c>
    </row>
    <row r="19" spans="1:9" ht="15.75" x14ac:dyDescent="0.25">
      <c r="C19" s="93" t="s">
        <v>145</v>
      </c>
      <c r="D19" s="148">
        <f>Mesures_Dover!C12</f>
        <v>0</v>
      </c>
    </row>
    <row r="20" spans="1:9" ht="15.75" x14ac:dyDescent="0.25">
      <c r="C20" s="96"/>
      <c r="D20" s="97"/>
    </row>
    <row r="21" spans="1:9" ht="15.75" x14ac:dyDescent="0.25">
      <c r="C21" s="96"/>
      <c r="D21" s="97"/>
    </row>
    <row r="28" spans="1:9" ht="36" x14ac:dyDescent="0.55000000000000004">
      <c r="A28" s="462" t="s">
        <v>146</v>
      </c>
      <c r="B28" s="462"/>
    </row>
    <row r="30" spans="1:9" x14ac:dyDescent="0.25">
      <c r="A30" s="383" t="s">
        <v>248</v>
      </c>
      <c r="B30" s="383"/>
      <c r="C30" s="383"/>
      <c r="D30" s="383"/>
      <c r="E30" s="383"/>
      <c r="F30" s="383"/>
      <c r="G30" s="383"/>
      <c r="H30" s="383"/>
      <c r="I30" s="383"/>
    </row>
    <row r="31" spans="1:9" x14ac:dyDescent="0.25">
      <c r="A31" s="383"/>
      <c r="B31" s="383"/>
      <c r="C31" s="383"/>
      <c r="D31" s="383"/>
      <c r="E31" s="383"/>
      <c r="F31" s="383"/>
      <c r="G31" s="383"/>
      <c r="H31" s="383"/>
      <c r="I31" s="383"/>
    </row>
    <row r="32" spans="1:9" x14ac:dyDescent="0.25">
      <c r="A32" s="383"/>
      <c r="B32" s="383"/>
      <c r="C32" s="383"/>
      <c r="D32" s="383"/>
      <c r="E32" s="383"/>
      <c r="F32" s="383"/>
      <c r="G32" s="383"/>
      <c r="H32" s="383"/>
      <c r="I32" s="383"/>
    </row>
    <row r="33" spans="1:9" x14ac:dyDescent="0.25">
      <c r="A33" s="383"/>
      <c r="B33" s="383"/>
      <c r="C33" s="383"/>
      <c r="D33" s="383"/>
      <c r="E33" s="383"/>
      <c r="F33" s="383"/>
      <c r="G33" s="383"/>
      <c r="H33" s="383"/>
      <c r="I33" s="383"/>
    </row>
    <row r="34" spans="1:9" x14ac:dyDescent="0.25">
      <c r="A34" s="383"/>
      <c r="B34" s="383"/>
      <c r="C34" s="383"/>
      <c r="D34" s="383"/>
      <c r="E34" s="383"/>
      <c r="F34" s="383"/>
      <c r="G34" s="383"/>
      <c r="H34" s="383"/>
      <c r="I34" s="383"/>
    </row>
    <row r="35" spans="1:9" x14ac:dyDescent="0.25">
      <c r="A35" s="383"/>
      <c r="B35" s="383"/>
      <c r="C35" s="383"/>
      <c r="D35" s="383"/>
      <c r="E35" s="383"/>
      <c r="F35" s="383"/>
      <c r="G35" s="383"/>
      <c r="H35" s="383"/>
      <c r="I35" s="383"/>
    </row>
    <row r="36" spans="1:9" x14ac:dyDescent="0.25">
      <c r="A36" s="383"/>
      <c r="B36" s="383"/>
      <c r="C36" s="383"/>
      <c r="D36" s="383"/>
      <c r="E36" s="383"/>
      <c r="F36" s="383"/>
      <c r="G36" s="383"/>
      <c r="H36" s="383"/>
      <c r="I36" s="383"/>
    </row>
    <row r="37" spans="1:9" x14ac:dyDescent="0.25">
      <c r="A37" s="383"/>
      <c r="B37" s="383"/>
      <c r="C37" s="383"/>
      <c r="D37" s="383"/>
      <c r="E37" s="383"/>
      <c r="F37" s="383"/>
      <c r="G37" s="383"/>
      <c r="H37" s="383"/>
      <c r="I37" s="383"/>
    </row>
    <row r="38" spans="1:9" x14ac:dyDescent="0.25">
      <c r="A38" s="383"/>
      <c r="B38" s="383"/>
      <c r="C38" s="383"/>
      <c r="D38" s="383"/>
      <c r="E38" s="383"/>
      <c r="F38" s="383"/>
      <c r="G38" s="383"/>
      <c r="H38" s="383"/>
      <c r="I38" s="383"/>
    </row>
    <row r="39" spans="1:9" x14ac:dyDescent="0.25">
      <c r="A39" s="383"/>
      <c r="B39" s="383"/>
      <c r="C39" s="383"/>
      <c r="D39" s="383"/>
      <c r="E39" s="383"/>
      <c r="F39" s="383"/>
      <c r="G39" s="383"/>
      <c r="H39" s="383"/>
      <c r="I39" s="383"/>
    </row>
    <row r="40" spans="1:9" x14ac:dyDescent="0.25">
      <c r="A40" s="383"/>
      <c r="B40" s="383"/>
      <c r="C40" s="383"/>
      <c r="D40" s="383"/>
      <c r="E40" s="383"/>
      <c r="F40" s="383"/>
      <c r="G40" s="383"/>
      <c r="H40" s="383"/>
      <c r="I40" s="383"/>
    </row>
    <row r="41" spans="1:9" x14ac:dyDescent="0.25">
      <c r="A41" s="383"/>
      <c r="B41" s="383"/>
      <c r="C41" s="383"/>
      <c r="D41" s="383"/>
      <c r="E41" s="383"/>
      <c r="F41" s="383"/>
      <c r="G41" s="383"/>
      <c r="H41" s="383"/>
      <c r="I41" s="383"/>
    </row>
    <row r="42" spans="1:9" x14ac:dyDescent="0.25">
      <c r="A42" s="383"/>
      <c r="B42" s="383"/>
      <c r="C42" s="383"/>
      <c r="D42" s="383"/>
      <c r="E42" s="383"/>
      <c r="F42" s="383"/>
      <c r="G42" s="383"/>
      <c r="H42" s="383"/>
      <c r="I42" s="383"/>
    </row>
    <row r="43" spans="1:9" x14ac:dyDescent="0.25">
      <c r="A43" s="383"/>
      <c r="B43" s="383"/>
      <c r="C43" s="383"/>
      <c r="D43" s="383"/>
      <c r="E43" s="383"/>
      <c r="F43" s="383"/>
      <c r="G43" s="383"/>
      <c r="H43" s="383"/>
      <c r="I43" s="383"/>
    </row>
    <row r="44" spans="1:9" x14ac:dyDescent="0.25">
      <c r="A44" s="383"/>
      <c r="B44" s="383"/>
      <c r="C44" s="383"/>
      <c r="D44" s="383"/>
      <c r="E44" s="383"/>
      <c r="F44" s="383"/>
      <c r="G44" s="383"/>
      <c r="H44" s="383"/>
      <c r="I44" s="383"/>
    </row>
    <row r="45" spans="1:9" x14ac:dyDescent="0.25">
      <c r="A45" s="383"/>
      <c r="B45" s="383"/>
      <c r="C45" s="383"/>
      <c r="D45" s="383"/>
      <c r="E45" s="383"/>
      <c r="F45" s="383"/>
      <c r="G45" s="383"/>
      <c r="H45" s="383"/>
      <c r="I45" s="383"/>
    </row>
    <row r="46" spans="1:9" x14ac:dyDescent="0.25">
      <c r="A46" s="383"/>
      <c r="B46" s="383"/>
      <c r="C46" s="383"/>
      <c r="D46" s="383"/>
      <c r="E46" s="383"/>
      <c r="F46" s="383"/>
      <c r="G46" s="383"/>
      <c r="H46" s="383"/>
      <c r="I46" s="383"/>
    </row>
    <row r="47" spans="1:9" x14ac:dyDescent="0.25">
      <c r="A47" s="383"/>
      <c r="B47" s="383"/>
      <c r="C47" s="383"/>
      <c r="D47" s="383"/>
      <c r="E47" s="383"/>
      <c r="F47" s="383"/>
      <c r="G47" s="383"/>
      <c r="H47" s="383"/>
      <c r="I47" s="383"/>
    </row>
    <row r="51" spans="2:6" ht="36" x14ac:dyDescent="0.25">
      <c r="C51" s="464" t="s">
        <v>148</v>
      </c>
      <c r="D51" s="464"/>
      <c r="E51" s="464"/>
      <c r="F51" s="464"/>
    </row>
    <row r="52" spans="2:6" ht="17.25" x14ac:dyDescent="0.25">
      <c r="B52" s="104"/>
    </row>
    <row r="53" spans="2:6" ht="18.75" x14ac:dyDescent="0.25">
      <c r="B53" s="163" t="s">
        <v>249</v>
      </c>
      <c r="C53" s="164"/>
      <c r="E53" s="165"/>
      <c r="F53" s="165"/>
    </row>
    <row r="54" spans="2:6" ht="15.75" x14ac:dyDescent="0.25">
      <c r="C54" s="165"/>
      <c r="D54" s="165"/>
      <c r="E54" s="165"/>
      <c r="F54" s="165"/>
    </row>
    <row r="55" spans="2:6" ht="18.75" x14ac:dyDescent="0.25">
      <c r="B55" s="384" t="s">
        <v>250</v>
      </c>
      <c r="C55" s="384"/>
      <c r="D55" s="165"/>
      <c r="E55" s="165"/>
      <c r="F55" s="166" t="s">
        <v>251</v>
      </c>
    </row>
    <row r="56" spans="2:6" ht="15.75" x14ac:dyDescent="0.25">
      <c r="B56" s="157" t="s">
        <v>252</v>
      </c>
      <c r="C56" s="157" t="s">
        <v>253</v>
      </c>
      <c r="E56" s="165"/>
      <c r="F56" s="165" t="s">
        <v>254</v>
      </c>
    </row>
    <row r="57" spans="2:6" ht="15.75" x14ac:dyDescent="0.25">
      <c r="B57" s="157" t="s">
        <v>255</v>
      </c>
      <c r="C57" s="157" t="s">
        <v>256</v>
      </c>
      <c r="E57" s="165"/>
      <c r="F57" s="165" t="s">
        <v>257</v>
      </c>
    </row>
    <row r="58" spans="2:6" ht="15.75" x14ac:dyDescent="0.25">
      <c r="B58" s="157" t="s">
        <v>258</v>
      </c>
      <c r="C58" t="s">
        <v>259</v>
      </c>
      <c r="E58" s="165"/>
      <c r="F58" s="165" t="s">
        <v>260</v>
      </c>
    </row>
    <row r="59" spans="2:6" ht="15.75" x14ac:dyDescent="0.25">
      <c r="B59" s="157" t="s">
        <v>261</v>
      </c>
      <c r="C59" s="157">
        <v>250</v>
      </c>
      <c r="E59" s="165"/>
      <c r="F59" s="165"/>
    </row>
    <row r="60" spans="2:6" ht="15.75" x14ac:dyDescent="0.25">
      <c r="B60" s="157" t="s">
        <v>262</v>
      </c>
      <c r="C60" s="167">
        <v>44158</v>
      </c>
      <c r="E60" s="165"/>
      <c r="F60" s="165"/>
    </row>
    <row r="61" spans="2:6" ht="15.75" x14ac:dyDescent="0.25">
      <c r="B61" s="157" t="s">
        <v>263</v>
      </c>
      <c r="C61" s="157" t="s">
        <v>264</v>
      </c>
      <c r="E61" s="165"/>
      <c r="F61" s="165"/>
    </row>
    <row r="62" spans="2:6" ht="15.75" x14ac:dyDescent="0.25">
      <c r="B62" s="157" t="s">
        <v>265</v>
      </c>
      <c r="C62" s="157" t="s">
        <v>266</v>
      </c>
      <c r="E62" s="165"/>
      <c r="F62" s="165"/>
    </row>
    <row r="63" spans="2:6" ht="15.75" x14ac:dyDescent="0.25">
      <c r="B63" s="157" t="s">
        <v>267</v>
      </c>
      <c r="C63" s="157"/>
    </row>
    <row r="65" spans="2:9" ht="15.75" x14ac:dyDescent="0.25">
      <c r="B65" s="157" t="s">
        <v>268</v>
      </c>
    </row>
    <row r="67" spans="2:9" x14ac:dyDescent="0.25">
      <c r="B67" s="168" t="s">
        <v>269</v>
      </c>
      <c r="C67" s="169" t="s">
        <v>270</v>
      </c>
      <c r="D67" s="170" t="s">
        <v>270</v>
      </c>
    </row>
    <row r="69" spans="2:9" ht="21" x14ac:dyDescent="0.25">
      <c r="B69" s="171" t="s">
        <v>271</v>
      </c>
      <c r="D69" s="106"/>
      <c r="E69" s="106"/>
      <c r="F69" s="106"/>
      <c r="G69" s="106"/>
      <c r="H69" s="106"/>
      <c r="I69" s="107"/>
    </row>
    <row r="70" spans="2:9" x14ac:dyDescent="0.25">
      <c r="B70" s="172" t="s">
        <v>272</v>
      </c>
      <c r="C70" s="172">
        <v>117</v>
      </c>
    </row>
    <row r="71" spans="2:9" x14ac:dyDescent="0.25">
      <c r="B71" s="172" t="s">
        <v>273</v>
      </c>
      <c r="C71" s="173">
        <v>64</v>
      </c>
    </row>
    <row r="72" spans="2:9" x14ac:dyDescent="0.25">
      <c r="B72" s="172" t="s">
        <v>274</v>
      </c>
      <c r="C72" s="172">
        <v>93</v>
      </c>
    </row>
    <row r="73" spans="2:9" x14ac:dyDescent="0.25">
      <c r="B73" s="173" t="s">
        <v>275</v>
      </c>
      <c r="C73" s="172">
        <f>+C70*C71*C72*10^-6</f>
        <v>0.696384</v>
      </c>
    </row>
    <row r="74" spans="2:9" x14ac:dyDescent="0.25">
      <c r="B74" s="88"/>
    </row>
    <row r="75" spans="2:9" x14ac:dyDescent="0.25">
      <c r="B75" s="171" t="s">
        <v>276</v>
      </c>
    </row>
    <row r="76" spans="2:9" x14ac:dyDescent="0.25">
      <c r="B76" s="172" t="s">
        <v>272</v>
      </c>
      <c r="C76" s="172">
        <v>100</v>
      </c>
    </row>
    <row r="77" spans="2:9" x14ac:dyDescent="0.25">
      <c r="B77" s="172" t="s">
        <v>273</v>
      </c>
      <c r="C77" s="173">
        <v>45</v>
      </c>
    </row>
    <row r="78" spans="2:9" x14ac:dyDescent="0.25">
      <c r="B78" s="172" t="s">
        <v>274</v>
      </c>
      <c r="C78" s="172">
        <v>60</v>
      </c>
    </row>
    <row r="79" spans="2:9" x14ac:dyDescent="0.25">
      <c r="B79" s="173" t="s">
        <v>275</v>
      </c>
      <c r="C79" s="172">
        <f>+C76*C77*C78*10^-6</f>
        <v>0.26999999999999996</v>
      </c>
    </row>
    <row r="85" spans="1:9" ht="36" x14ac:dyDescent="0.25">
      <c r="C85" s="464" t="s">
        <v>170</v>
      </c>
      <c r="D85" s="464"/>
      <c r="E85" s="464"/>
      <c r="F85" s="464"/>
      <c r="G85" s="464"/>
    </row>
    <row r="87" spans="1:9" ht="26.25" x14ac:dyDescent="0.25">
      <c r="B87" s="108" t="s">
        <v>171</v>
      </c>
    </row>
    <row r="89" spans="1:9" ht="21" x14ac:dyDescent="0.25">
      <c r="B89" s="106" t="s">
        <v>233</v>
      </c>
      <c r="C89" s="106"/>
      <c r="E89" s="106"/>
      <c r="F89" s="106"/>
      <c r="G89" s="106"/>
      <c r="H89" s="107"/>
    </row>
    <row r="90" spans="1:9" ht="21" x14ac:dyDescent="0.25">
      <c r="B90" s="106" t="s">
        <v>173</v>
      </c>
      <c r="C90" s="106"/>
      <c r="E90" s="106"/>
      <c r="F90" s="106"/>
      <c r="G90" s="106"/>
      <c r="H90" s="107"/>
    </row>
    <row r="91" spans="1:9" ht="21" x14ac:dyDescent="0.25">
      <c r="B91" s="106" t="s">
        <v>234</v>
      </c>
      <c r="C91" s="106"/>
      <c r="E91" s="106"/>
      <c r="F91" s="106"/>
      <c r="G91" s="106"/>
      <c r="H91" s="107"/>
    </row>
    <row r="92" spans="1:9" ht="21" x14ac:dyDescent="0.25">
      <c r="B92" s="106" t="s">
        <v>235</v>
      </c>
      <c r="C92" s="106"/>
      <c r="E92" s="106"/>
      <c r="F92" s="106"/>
      <c r="G92" s="106"/>
      <c r="H92" s="107"/>
    </row>
    <row r="93" spans="1:9" ht="21" x14ac:dyDescent="0.25">
      <c r="B93" s="109"/>
      <c r="C93" s="109"/>
      <c r="E93" s="106"/>
      <c r="F93" s="106"/>
      <c r="G93" s="106"/>
      <c r="H93" s="107"/>
    </row>
    <row r="94" spans="1:9" ht="17.25" x14ac:dyDescent="0.25">
      <c r="A94" s="110"/>
      <c r="C94" s="443" t="s">
        <v>10</v>
      </c>
      <c r="D94" s="453"/>
      <c r="E94" s="453"/>
      <c r="F94" s="453"/>
      <c r="G94" s="453"/>
      <c r="H94" s="444"/>
      <c r="I94" s="110"/>
    </row>
    <row r="95" spans="1:9" ht="30" x14ac:dyDescent="0.25">
      <c r="A95" s="110"/>
      <c r="B95" s="110"/>
      <c r="C95" s="447"/>
      <c r="D95" s="447"/>
      <c r="E95" s="3" t="s">
        <v>15</v>
      </c>
      <c r="F95" s="20" t="s">
        <v>17</v>
      </c>
      <c r="G95" s="20" t="s">
        <v>24</v>
      </c>
      <c r="H95" s="20" t="s">
        <v>25</v>
      </c>
      <c r="I95" s="113"/>
    </row>
    <row r="96" spans="1:9" ht="17.25" x14ac:dyDescent="0.25">
      <c r="A96" s="110"/>
      <c r="B96" s="110"/>
      <c r="C96" s="443" t="str">
        <f>Mesures_Dover!A41</f>
        <v xml:space="preserve">Sonde </v>
      </c>
      <c r="D96" s="444"/>
      <c r="E96" s="10" cm="1">
        <f t="array" ref="E96:H104">Mesures_Dover!C41:F49</f>
        <v>0</v>
      </c>
      <c r="F96" s="10">
        <v>0</v>
      </c>
      <c r="G96" s="10">
        <v>0</v>
      </c>
      <c r="H96" s="10">
        <v>0</v>
      </c>
      <c r="I96" s="110"/>
    </row>
    <row r="97" spans="1:9" ht="17.25" x14ac:dyDescent="0.25">
      <c r="A97" s="110"/>
      <c r="B97" s="110"/>
      <c r="C97" s="443" t="str">
        <f>Mesures_Dover!A42</f>
        <v xml:space="preserve">Sonde </v>
      </c>
      <c r="D97" s="444"/>
      <c r="E97" s="10">
        <v>0</v>
      </c>
      <c r="F97" s="10">
        <v>0</v>
      </c>
      <c r="G97" s="10">
        <v>0</v>
      </c>
      <c r="H97" s="10">
        <v>0</v>
      </c>
      <c r="I97" s="110"/>
    </row>
    <row r="98" spans="1:9" ht="17.25" x14ac:dyDescent="0.25">
      <c r="A98" s="110"/>
      <c r="B98" s="110"/>
      <c r="C98" s="443" t="str">
        <f>Mesures_Dover!A43</f>
        <v xml:space="preserve">Sonde </v>
      </c>
      <c r="D98" s="444"/>
      <c r="E98" s="10">
        <v>0</v>
      </c>
      <c r="F98" s="10">
        <v>0</v>
      </c>
      <c r="G98" s="10">
        <v>0</v>
      </c>
      <c r="H98" s="10">
        <v>0</v>
      </c>
      <c r="I98" s="110"/>
    </row>
    <row r="99" spans="1:9" ht="17.25" x14ac:dyDescent="0.25">
      <c r="A99" s="110"/>
      <c r="B99" s="110"/>
      <c r="C99" s="443" t="str">
        <f>Mesures_Dover!A44</f>
        <v xml:space="preserve">Sonde </v>
      </c>
      <c r="D99" s="444"/>
      <c r="E99" s="10">
        <v>0</v>
      </c>
      <c r="F99" s="10">
        <v>0</v>
      </c>
      <c r="G99" s="10">
        <v>0</v>
      </c>
      <c r="H99" s="10">
        <v>0</v>
      </c>
      <c r="I99" s="110"/>
    </row>
    <row r="100" spans="1:9" ht="17.25" x14ac:dyDescent="0.25">
      <c r="A100" s="110"/>
      <c r="B100" s="110"/>
      <c r="C100" s="443" t="str">
        <f>Mesures_Dover!A45</f>
        <v xml:space="preserve">Sonde </v>
      </c>
      <c r="D100" s="444"/>
      <c r="E100" s="10">
        <v>0</v>
      </c>
      <c r="F100" s="10">
        <v>0</v>
      </c>
      <c r="G100" s="10">
        <v>0</v>
      </c>
      <c r="H100" s="10">
        <v>0</v>
      </c>
      <c r="I100" s="110"/>
    </row>
    <row r="101" spans="1:9" ht="17.25" x14ac:dyDescent="0.25">
      <c r="A101" s="110"/>
      <c r="B101" s="110"/>
      <c r="C101" s="443" t="str">
        <f>Mesures_Dover!A46</f>
        <v xml:space="preserve">Sonde </v>
      </c>
      <c r="D101" s="444"/>
      <c r="E101" s="10">
        <v>0</v>
      </c>
      <c r="F101" s="10">
        <v>0</v>
      </c>
      <c r="G101" s="10">
        <v>0</v>
      </c>
      <c r="H101" s="10">
        <v>0</v>
      </c>
      <c r="I101" s="110"/>
    </row>
    <row r="102" spans="1:9" ht="17.25" x14ac:dyDescent="0.25">
      <c r="A102" s="110"/>
      <c r="B102" s="110"/>
      <c r="C102" s="443" t="str">
        <f>Mesures_Dover!A47</f>
        <v xml:space="preserve">Sonde </v>
      </c>
      <c r="D102" s="444"/>
      <c r="E102" s="10">
        <v>0</v>
      </c>
      <c r="F102" s="10">
        <v>0</v>
      </c>
      <c r="G102" s="10">
        <v>0</v>
      </c>
      <c r="H102" s="10">
        <v>0</v>
      </c>
      <c r="I102" s="110"/>
    </row>
    <row r="103" spans="1:9" ht="17.25" x14ac:dyDescent="0.25">
      <c r="A103" s="110"/>
      <c r="B103" s="110"/>
      <c r="C103" s="443" t="str">
        <f>Mesures_Dover!A48</f>
        <v xml:space="preserve">Sonde </v>
      </c>
      <c r="D103" s="444"/>
      <c r="E103" s="10">
        <v>0</v>
      </c>
      <c r="F103" s="10">
        <v>0</v>
      </c>
      <c r="G103" s="10">
        <v>0</v>
      </c>
      <c r="H103" s="10">
        <v>0</v>
      </c>
      <c r="I103" s="110"/>
    </row>
    <row r="104" spans="1:9" ht="17.25" x14ac:dyDescent="0.25">
      <c r="A104" s="110"/>
      <c r="B104" s="110"/>
      <c r="C104" s="443" t="str">
        <f>Mesures_Dover!A49</f>
        <v xml:space="preserve">Sonde </v>
      </c>
      <c r="D104" s="444"/>
      <c r="E104" s="10">
        <v>0</v>
      </c>
      <c r="F104" s="10">
        <v>0</v>
      </c>
      <c r="G104" s="10">
        <v>0</v>
      </c>
      <c r="H104" s="10">
        <v>0</v>
      </c>
      <c r="I104" s="110"/>
    </row>
    <row r="105" spans="1:9" ht="17.25" x14ac:dyDescent="0.25">
      <c r="A105" s="110"/>
      <c r="B105" s="110"/>
      <c r="C105" s="110"/>
      <c r="D105" s="110"/>
      <c r="E105" s="110"/>
      <c r="F105" s="110"/>
      <c r="G105" s="110"/>
      <c r="H105" s="110"/>
      <c r="I105" s="110"/>
    </row>
    <row r="106" spans="1:9" ht="17.25" x14ac:dyDescent="0.25">
      <c r="A106" s="110"/>
      <c r="B106" s="110"/>
      <c r="C106" s="110"/>
      <c r="D106" s="110"/>
      <c r="E106" s="110"/>
      <c r="F106" s="110"/>
      <c r="G106" s="110"/>
      <c r="H106" s="110"/>
      <c r="I106" s="110"/>
    </row>
    <row r="107" spans="1:9" ht="17.25" x14ac:dyDescent="0.25">
      <c r="A107" s="110"/>
      <c r="B107" s="110"/>
      <c r="C107" s="110"/>
      <c r="D107" s="110"/>
      <c r="E107" s="110"/>
      <c r="F107" s="110"/>
      <c r="G107" s="110"/>
      <c r="H107" s="110"/>
      <c r="I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21" x14ac:dyDescent="0.25">
      <c r="B112" s="467" t="s">
        <v>176</v>
      </c>
      <c r="C112" s="467"/>
      <c r="D112" s="467"/>
      <c r="E112" s="467"/>
      <c r="F112" s="467"/>
    </row>
    <row r="114" spans="2:9" ht="26.25" x14ac:dyDescent="0.25">
      <c r="B114" s="108" t="s">
        <v>177</v>
      </c>
    </row>
    <row r="116" spans="2:9" ht="21" x14ac:dyDescent="0.3">
      <c r="B116" s="116" t="s">
        <v>179</v>
      </c>
      <c r="C116" s="106" t="s">
        <v>180</v>
      </c>
      <c r="E116" s="106" t="s">
        <v>178</v>
      </c>
      <c r="F116" s="106"/>
      <c r="G116" s="120">
        <f>Mesures_Dover!K45</f>
        <v>0</v>
      </c>
    </row>
    <row r="117" spans="2:9" ht="21" x14ac:dyDescent="0.3">
      <c r="B117" s="116" t="s">
        <v>182</v>
      </c>
      <c r="C117" s="109" t="s">
        <v>183</v>
      </c>
      <c r="E117" s="106" t="s">
        <v>181</v>
      </c>
      <c r="F117" s="106"/>
      <c r="G117" s="115">
        <f>Mesures_Dover!L45</f>
        <v>0</v>
      </c>
    </row>
    <row r="118" spans="2:9" ht="21" x14ac:dyDescent="0.35">
      <c r="B118" s="118" t="s">
        <v>185</v>
      </c>
      <c r="C118" s="119" t="s">
        <v>186</v>
      </c>
      <c r="E118" s="106" t="s">
        <v>184</v>
      </c>
      <c r="F118" s="106"/>
      <c r="G118" s="117">
        <f>Mesures_Dover!M45</f>
        <v>0</v>
      </c>
    </row>
    <row r="123" spans="2:9" ht="36" x14ac:dyDescent="0.25">
      <c r="C123" s="464" t="s">
        <v>188</v>
      </c>
      <c r="D123" s="464"/>
      <c r="E123" s="464"/>
      <c r="F123" s="464"/>
    </row>
    <row r="124" spans="2:9" ht="36" x14ac:dyDescent="0.25">
      <c r="B124" s="103"/>
      <c r="C124" s="103"/>
      <c r="D124" s="103"/>
    </row>
    <row r="125" spans="2:9" x14ac:dyDescent="0.25">
      <c r="B125" s="342"/>
      <c r="C125" s="342"/>
      <c r="D125" s="342"/>
      <c r="E125" s="342"/>
      <c r="F125" s="342"/>
      <c r="G125" s="342"/>
      <c r="H125" s="342"/>
      <c r="I125" s="342"/>
    </row>
    <row r="126" spans="2:9" x14ac:dyDescent="0.25">
      <c r="B126" s="342"/>
      <c r="C126" s="342"/>
      <c r="D126" s="342"/>
      <c r="E126" s="342"/>
      <c r="F126" s="342"/>
      <c r="G126" s="342"/>
      <c r="H126" s="342"/>
      <c r="I126" s="342"/>
    </row>
    <row r="127" spans="2:9" x14ac:dyDescent="0.25">
      <c r="B127" s="342"/>
      <c r="C127" s="342"/>
      <c r="D127" s="342"/>
      <c r="E127" s="342"/>
      <c r="F127" s="342"/>
      <c r="G127" s="342"/>
      <c r="H127" s="342"/>
      <c r="I127" s="342"/>
    </row>
    <row r="128" spans="2:9" x14ac:dyDescent="0.25">
      <c r="B128" s="342"/>
      <c r="C128" s="342"/>
      <c r="D128" s="342"/>
      <c r="E128" s="342"/>
      <c r="F128" s="342"/>
      <c r="G128" s="342"/>
      <c r="H128" s="342"/>
      <c r="I128" s="342"/>
    </row>
    <row r="129" spans="2:9" x14ac:dyDescent="0.25">
      <c r="B129" s="342"/>
      <c r="C129" s="342"/>
      <c r="D129" s="342"/>
      <c r="E129" s="342"/>
      <c r="F129" s="342"/>
      <c r="G129" s="342"/>
      <c r="H129" s="342"/>
      <c r="I129" s="342"/>
    </row>
    <row r="130" spans="2:9" x14ac:dyDescent="0.25">
      <c r="B130" s="342"/>
      <c r="C130" s="342"/>
      <c r="D130" s="342"/>
      <c r="E130" s="342"/>
      <c r="F130" s="342"/>
      <c r="G130" s="342"/>
      <c r="H130" s="342"/>
      <c r="I130" s="342"/>
    </row>
    <row r="131" spans="2:9" x14ac:dyDescent="0.25">
      <c r="B131" s="342"/>
      <c r="C131" s="342"/>
      <c r="D131" s="342"/>
      <c r="E131" s="342"/>
      <c r="F131" s="342"/>
      <c r="G131" s="342"/>
      <c r="H131" s="342"/>
      <c r="I131" s="342"/>
    </row>
    <row r="132" spans="2:9" x14ac:dyDescent="0.25">
      <c r="B132" s="342"/>
      <c r="C132" s="342"/>
      <c r="D132" s="342"/>
      <c r="E132" s="342"/>
      <c r="F132" s="342"/>
      <c r="G132" s="342"/>
      <c r="H132" s="342"/>
      <c r="I132" s="342"/>
    </row>
    <row r="133" spans="2:9" x14ac:dyDescent="0.25">
      <c r="B133" s="342"/>
      <c r="C133" s="342"/>
      <c r="D133" s="342"/>
      <c r="E133" s="342"/>
      <c r="F133" s="342"/>
      <c r="G133" s="342"/>
      <c r="H133" s="342"/>
      <c r="I133" s="342"/>
    </row>
    <row r="134" spans="2:9" x14ac:dyDescent="0.25">
      <c r="B134" s="342"/>
      <c r="C134" s="342"/>
      <c r="D134" s="342"/>
      <c r="E134" s="342"/>
      <c r="F134" s="342"/>
      <c r="G134" s="342"/>
      <c r="H134" s="342"/>
      <c r="I134" s="342"/>
    </row>
    <row r="135" spans="2:9" x14ac:dyDescent="0.25">
      <c r="B135" s="342"/>
      <c r="C135" s="342"/>
      <c r="D135" s="342"/>
      <c r="E135" s="342"/>
      <c r="F135" s="342"/>
      <c r="G135" s="342"/>
      <c r="H135" s="342"/>
      <c r="I135" s="342"/>
    </row>
    <row r="136" spans="2:9" x14ac:dyDescent="0.25">
      <c r="B136" s="342"/>
      <c r="C136" s="342"/>
      <c r="D136" s="342"/>
      <c r="E136" s="342"/>
      <c r="F136" s="342"/>
      <c r="G136" s="342"/>
      <c r="H136" s="342"/>
      <c r="I136" s="342"/>
    </row>
    <row r="137" spans="2:9" x14ac:dyDescent="0.25">
      <c r="B137" s="342"/>
      <c r="C137" s="342"/>
      <c r="D137" s="342"/>
      <c r="E137" s="342"/>
      <c r="F137" s="342"/>
      <c r="G137" s="342"/>
      <c r="H137" s="342"/>
      <c r="I137" s="342"/>
    </row>
    <row r="138" spans="2:9" x14ac:dyDescent="0.25">
      <c r="B138" s="342"/>
      <c r="C138" s="342"/>
      <c r="D138" s="342"/>
      <c r="E138" s="342"/>
      <c r="F138" s="342"/>
      <c r="G138" s="342"/>
      <c r="H138" s="342"/>
      <c r="I138" s="342"/>
    </row>
    <row r="139" spans="2:9" x14ac:dyDescent="0.25">
      <c r="B139" s="342"/>
      <c r="C139" s="342"/>
      <c r="D139" s="342"/>
      <c r="E139" s="342"/>
      <c r="F139" s="342"/>
      <c r="G139" s="342"/>
      <c r="H139" s="342"/>
      <c r="I139" s="342"/>
    </row>
    <row r="140" spans="2:9" x14ac:dyDescent="0.25">
      <c r="B140" s="342"/>
      <c r="C140" s="342"/>
      <c r="D140" s="342"/>
      <c r="E140" s="342"/>
      <c r="F140" s="342"/>
      <c r="G140" s="342"/>
      <c r="H140" s="342"/>
      <c r="I140" s="342"/>
    </row>
    <row r="141" spans="2:9" x14ac:dyDescent="0.25">
      <c r="B141" s="342"/>
      <c r="C141" s="342"/>
      <c r="D141" s="342"/>
      <c r="E141" s="342"/>
      <c r="F141" s="342"/>
      <c r="G141" s="342"/>
      <c r="H141" s="342"/>
      <c r="I141" s="342"/>
    </row>
    <row r="142" spans="2:9" x14ac:dyDescent="0.25">
      <c r="B142" s="342"/>
      <c r="C142" s="342"/>
      <c r="D142" s="342"/>
      <c r="E142" s="342"/>
      <c r="F142" s="342"/>
      <c r="G142" s="342"/>
      <c r="H142" s="342"/>
      <c r="I142" s="342"/>
    </row>
    <row r="143" spans="2:9" x14ac:dyDescent="0.25">
      <c r="B143" s="342"/>
      <c r="C143" s="342"/>
      <c r="D143" s="342"/>
      <c r="E143" s="342"/>
      <c r="F143" s="342"/>
      <c r="G143" s="342"/>
      <c r="H143" s="342"/>
      <c r="I143" s="342"/>
    </row>
    <row r="144" spans="2:9" x14ac:dyDescent="0.25">
      <c r="B144" s="342"/>
      <c r="C144" s="342"/>
      <c r="D144" s="342"/>
      <c r="E144" s="342"/>
      <c r="F144" s="342"/>
      <c r="G144" s="342"/>
      <c r="H144" s="342"/>
      <c r="I144" s="342"/>
    </row>
    <row r="145" spans="2:9" x14ac:dyDescent="0.25">
      <c r="B145" s="342"/>
      <c r="C145" s="342"/>
      <c r="D145" s="342"/>
      <c r="E145" s="342"/>
      <c r="F145" s="342"/>
      <c r="G145" s="342"/>
      <c r="H145" s="342"/>
      <c r="I145" s="342"/>
    </row>
    <row r="146" spans="2:9" x14ac:dyDescent="0.25">
      <c r="B146" s="342"/>
      <c r="C146" s="342"/>
      <c r="D146" s="342"/>
      <c r="E146" s="342"/>
      <c r="F146" s="342"/>
      <c r="G146" s="342"/>
      <c r="H146" s="342"/>
      <c r="I146" s="342"/>
    </row>
    <row r="147" spans="2:9" x14ac:dyDescent="0.25">
      <c r="B147" s="342"/>
      <c r="C147" s="342"/>
      <c r="D147" s="342"/>
      <c r="E147" s="342"/>
      <c r="F147" s="342"/>
      <c r="G147" s="342"/>
      <c r="H147" s="342"/>
      <c r="I147" s="342"/>
    </row>
    <row r="148" spans="2:9" x14ac:dyDescent="0.25">
      <c r="B148" s="342"/>
      <c r="C148" s="342"/>
      <c r="D148" s="342"/>
      <c r="E148" s="342"/>
      <c r="F148" s="342"/>
      <c r="G148" s="342"/>
      <c r="H148" s="342"/>
      <c r="I148" s="342"/>
    </row>
    <row r="149" spans="2:9" x14ac:dyDescent="0.25">
      <c r="B149" s="342"/>
      <c r="C149" s="342"/>
      <c r="D149" s="342"/>
      <c r="E149" s="342"/>
      <c r="F149" s="342"/>
      <c r="G149" s="342"/>
      <c r="H149" s="342"/>
      <c r="I149" s="342"/>
    </row>
    <row r="150" spans="2:9" x14ac:dyDescent="0.25">
      <c r="B150" s="342"/>
      <c r="C150" s="342"/>
      <c r="D150" s="342"/>
      <c r="E150" s="342"/>
      <c r="F150" s="342"/>
      <c r="G150" s="342"/>
      <c r="H150" s="342"/>
      <c r="I150" s="342"/>
    </row>
    <row r="151" spans="2:9" x14ac:dyDescent="0.25">
      <c r="B151" s="342"/>
      <c r="C151" s="342"/>
      <c r="D151" s="342"/>
      <c r="E151" s="342"/>
      <c r="F151" s="342"/>
      <c r="G151" s="342"/>
      <c r="H151" s="342"/>
      <c r="I151" s="342"/>
    </row>
    <row r="152" spans="2:9" x14ac:dyDescent="0.25">
      <c r="B152" s="342"/>
      <c r="C152" s="342"/>
      <c r="D152" s="342"/>
      <c r="E152" s="342"/>
      <c r="F152" s="342"/>
      <c r="G152" s="342"/>
      <c r="H152" s="342"/>
      <c r="I152" s="342"/>
    </row>
    <row r="153" spans="2:9" x14ac:dyDescent="0.25">
      <c r="B153" s="342"/>
      <c r="C153" s="342"/>
      <c r="D153" s="342"/>
      <c r="E153" s="342"/>
      <c r="F153" s="342"/>
      <c r="G153" s="342"/>
      <c r="H153" s="342"/>
      <c r="I153" s="342"/>
    </row>
    <row r="154" spans="2:9" x14ac:dyDescent="0.25">
      <c r="B154" s="342"/>
      <c r="C154" s="342"/>
      <c r="D154" s="342"/>
      <c r="E154" s="342"/>
      <c r="F154" s="342"/>
      <c r="G154" s="342"/>
      <c r="H154" s="342"/>
      <c r="I154" s="342"/>
    </row>
    <row r="155" spans="2:9" x14ac:dyDescent="0.25">
      <c r="B155" s="342"/>
      <c r="C155" s="342"/>
      <c r="D155" s="342"/>
      <c r="E155" s="342"/>
      <c r="F155" s="342"/>
      <c r="G155" s="342"/>
      <c r="H155" s="342"/>
      <c r="I155" s="342"/>
    </row>
    <row r="156" spans="2:9" x14ac:dyDescent="0.25">
      <c r="B156" s="342"/>
      <c r="C156" s="342"/>
      <c r="D156" s="342"/>
      <c r="E156" s="342"/>
      <c r="F156" s="342"/>
      <c r="G156" s="342"/>
      <c r="H156" s="342"/>
      <c r="I156" s="342"/>
    </row>
    <row r="159" spans="2:9" ht="36" x14ac:dyDescent="0.25">
      <c r="C159" s="464" t="s">
        <v>236</v>
      </c>
      <c r="D159" s="464"/>
      <c r="E159" s="464"/>
      <c r="F159" s="464"/>
      <c r="G159" s="464"/>
      <c r="H159" s="464"/>
    </row>
    <row r="162" spans="1:3" ht="15.75" thickBot="1" x14ac:dyDescent="0.3"/>
    <row r="163" spans="1:3" ht="15.75" thickBot="1" x14ac:dyDescent="0.3">
      <c r="A163" s="12" t="s">
        <v>9</v>
      </c>
      <c r="B163" s="13" t="s">
        <v>12</v>
      </c>
      <c r="C163" s="13" t="s">
        <v>14</v>
      </c>
    </row>
    <row r="164" spans="1:3" x14ac:dyDescent="0.25">
      <c r="A164" s="15" cm="1">
        <f t="array" ref="A164:C172">Mesures_Dover!A24:C32</f>
        <v>1</v>
      </c>
      <c r="B164" s="16">
        <v>0</v>
      </c>
      <c r="C164" s="17">
        <v>0</v>
      </c>
    </row>
    <row r="165" spans="1:3" x14ac:dyDescent="0.25">
      <c r="A165" s="19">
        <v>2</v>
      </c>
      <c r="B165" s="16">
        <v>0</v>
      </c>
      <c r="C165" s="17">
        <v>0</v>
      </c>
    </row>
    <row r="166" spans="1:3" x14ac:dyDescent="0.25">
      <c r="A166" s="15">
        <v>3</v>
      </c>
      <c r="B166" s="16">
        <v>0</v>
      </c>
      <c r="C166" s="17">
        <v>0</v>
      </c>
    </row>
    <row r="167" spans="1:3" x14ac:dyDescent="0.25">
      <c r="A167" s="19">
        <v>4</v>
      </c>
      <c r="B167" s="16">
        <v>0</v>
      </c>
      <c r="C167" s="17">
        <v>0</v>
      </c>
    </row>
    <row r="168" spans="1:3" x14ac:dyDescent="0.25">
      <c r="A168" s="15">
        <v>5</v>
      </c>
      <c r="B168" s="16">
        <v>0</v>
      </c>
      <c r="C168" s="17">
        <v>0</v>
      </c>
    </row>
    <row r="169" spans="1:3" x14ac:dyDescent="0.25">
      <c r="A169" s="19">
        <v>6</v>
      </c>
      <c r="B169" s="16">
        <v>0</v>
      </c>
      <c r="C169" s="17">
        <v>0</v>
      </c>
    </row>
    <row r="170" spans="1:3" x14ac:dyDescent="0.25">
      <c r="A170" s="15">
        <v>7</v>
      </c>
      <c r="B170" s="16">
        <v>0</v>
      </c>
      <c r="C170" s="17">
        <v>0</v>
      </c>
    </row>
    <row r="171" spans="1:3" x14ac:dyDescent="0.25">
      <c r="A171" s="19">
        <v>8</v>
      </c>
      <c r="B171" s="16">
        <v>0</v>
      </c>
      <c r="C171" s="17">
        <v>0</v>
      </c>
    </row>
    <row r="172" spans="1:3" x14ac:dyDescent="0.25">
      <c r="A172" s="15">
        <v>9</v>
      </c>
      <c r="B172" s="16">
        <v>0</v>
      </c>
      <c r="C172" s="17">
        <v>0</v>
      </c>
    </row>
    <row r="188" spans="1:9" ht="36" x14ac:dyDescent="0.25">
      <c r="C188" s="464" t="str">
        <f>"6. Résultats et exploitation des résultats à " &amp; Mesures_Dover!B20 &amp; "°C"</f>
        <v>6. Résultats et exploitation des résultats à °C</v>
      </c>
      <c r="D188" s="464"/>
      <c r="E188" s="464"/>
      <c r="F188" s="464"/>
      <c r="G188" s="464"/>
      <c r="H188" s="464"/>
    </row>
    <row r="192" spans="1:9" x14ac:dyDescent="0.25">
      <c r="A192" s="121" t="str" cm="1">
        <f t="array" ref="A192:A193">Mesures_Dover!A20:A21</f>
        <v>Consigne °C</v>
      </c>
      <c r="B192" s="150" cm="1">
        <f t="array" ref="B192:B193">Mesures_Dover!B20:B21</f>
        <v>0</v>
      </c>
      <c r="G192" s="468" t="s">
        <v>190</v>
      </c>
      <c r="H192" s="469"/>
      <c r="I192" s="470"/>
    </row>
    <row r="193" spans="1:9" x14ac:dyDescent="0.25">
      <c r="A193" s="121" t="str">
        <v>Tolérances +/- °C</v>
      </c>
      <c r="B193" s="150">
        <v>0</v>
      </c>
      <c r="G193" s="22" t="s">
        <v>191</v>
      </c>
      <c r="H193" s="22" t="s">
        <v>192</v>
      </c>
      <c r="I193" s="22" t="s">
        <v>193</v>
      </c>
    </row>
    <row r="194" spans="1:9" x14ac:dyDescent="0.25">
      <c r="G194" s="124" t="e" cm="1">
        <f t="array" ref="G194">INDEX(Valeurs_Brutes_Dover_1[Date/Heure], COUNTA(Valeurs_Brutes_Dover_1[Connecteur 1])-30)</f>
        <v>#VALUE!</v>
      </c>
      <c r="H194" s="124" cm="1">
        <f t="array" ref="H194">INDEX(Valeurs_Brutes_Dover_1[Date/Heure],COUNTA(Valeurs_Brutes_Dover_1[Date/Heure]))</f>
        <v>0</v>
      </c>
      <c r="I194" s="124" t="e">
        <f>H194-G194</f>
        <v>#VALUE!</v>
      </c>
    </row>
    <row r="197" spans="1:9" ht="23.25" x14ac:dyDescent="0.25">
      <c r="B197" s="471" t="s">
        <v>194</v>
      </c>
      <c r="C197" s="471"/>
    </row>
    <row r="200" spans="1:9" ht="30" x14ac:dyDescent="0.25">
      <c r="B200" s="125" t="s">
        <v>195</v>
      </c>
      <c r="C200" s="126" t="s">
        <v>196</v>
      </c>
      <c r="D200" s="126" t="s">
        <v>112</v>
      </c>
      <c r="E200" s="127" t="s">
        <v>197</v>
      </c>
      <c r="F200" s="126" t="s">
        <v>198</v>
      </c>
    </row>
    <row r="201" spans="1:9" x14ac:dyDescent="0.25">
      <c r="B201" s="128" t="s">
        <v>199</v>
      </c>
      <c r="C201" s="129" t="str">
        <f>Mesures_Dover!B20 &amp; "°C"</f>
        <v>°C</v>
      </c>
      <c r="D201" s="129" t="s">
        <v>200</v>
      </c>
      <c r="E201" s="129" t="s">
        <v>200</v>
      </c>
      <c r="F201" s="130" t="s">
        <v>200</v>
      </c>
    </row>
    <row r="202" spans="1:9" x14ac:dyDescent="0.25">
      <c r="B202" s="128" t="s">
        <v>201</v>
      </c>
      <c r="C202" s="129" t="str">
        <f>Mesures_Dover!B20 &amp; "°C"</f>
        <v>°C</v>
      </c>
      <c r="D202" s="129" t="s">
        <v>200</v>
      </c>
      <c r="E202" s="129" t="s">
        <v>200</v>
      </c>
      <c r="F202" s="130" t="s">
        <v>200</v>
      </c>
    </row>
    <row r="203" spans="1:9" x14ac:dyDescent="0.25">
      <c r="A203" s="472" t="s">
        <v>202</v>
      </c>
      <c r="B203" s="128" t="s">
        <v>203</v>
      </c>
      <c r="C203" s="131" t="e">
        <f ca="1">MAX(Dover_1!C16:K16)</f>
        <v>#REF!</v>
      </c>
      <c r="D203" s="129" t="e">
        <f ca="1">_xlfn.XLOOKUP(INT(SUBSTITUTE(E203,"Connecteur ","")),Mesures_Dover!C24:C32,Mesures_Dover!A24:A32)</f>
        <v>#REF!</v>
      </c>
      <c r="E203" s="129" t="e" cm="1">
        <f t="array" aca="1" ref="E203" ca="1">_xlfn.XLOOKUP(MAX(Dover_1!C16:K16),Dover_1!C16:K16,_xlfn.ANCHORARRAY(Dover_1!C14))</f>
        <v>#REF!</v>
      </c>
      <c r="F203" s="129" t="e">
        <f ca="1">_xlfn.XLOOKUP(INT(SUBSTITUTE(E203,"Connecteur ","")),Mesures_Dover!C24:C32,Mesures_Dover!B24:B32)</f>
        <v>#REF!</v>
      </c>
    </row>
    <row r="204" spans="1:9" x14ac:dyDescent="0.25">
      <c r="A204" s="472"/>
      <c r="B204" s="128" t="s">
        <v>204</v>
      </c>
      <c r="C204" s="131" t="e">
        <f ca="1">MIN(Dover_1!C16:K16)</f>
        <v>#REF!</v>
      </c>
      <c r="D204" s="129" t="e">
        <f ca="1">_xlfn.XLOOKUP(INT(SUBSTITUTE(E204,"Connecteur ","")),Mesures_Dover!C24:C32,Mesures_Dover!A24:A32)</f>
        <v>#REF!</v>
      </c>
      <c r="E204" s="129" t="e" cm="1">
        <f t="array" aca="1" ref="E204" ca="1">_xlfn.XLOOKUP(MIN(Dover_1!C16:K16),Dover_1!C16:K16,_xlfn.ANCHORARRAY(Dover_1!C14))</f>
        <v>#REF!</v>
      </c>
      <c r="F204" s="130" t="e">
        <f ca="1">_xlfn.XLOOKUP(INT(SUBSTITUTE(E204,"Connecteur ","")),Mesures_Dover!C24:C32,Mesures_Dover!B24:B32)</f>
        <v>#REF!</v>
      </c>
    </row>
    <row r="205" spans="1:9" x14ac:dyDescent="0.25">
      <c r="A205" s="472"/>
      <c r="B205" s="128" t="s">
        <v>205</v>
      </c>
      <c r="C205" s="131" t="e">
        <f ca="1">MIN(Dover_1!C17:K17)</f>
        <v>#REF!</v>
      </c>
      <c r="D205" s="129" t="e">
        <f ca="1">_xlfn.XLOOKUP(INT(SUBSTITUTE(E205,"Connecteur ","")),Mesures_Dover!C24:C32,Mesures_Dover!A24:A32)</f>
        <v>#REF!</v>
      </c>
      <c r="E205" s="129" t="e">
        <f ca="1">_xlfn.XLOOKUP(MIN(Dover_1!C17:K17),Dover_1!C17:K17,Dover_1!C10:K10)</f>
        <v>#REF!</v>
      </c>
      <c r="F205" s="130" t="e">
        <f ca="1">_xlfn.XLOOKUP(INT(SUBSTITUTE(E205,"Connecteur ","")),Mesures_Dover!C24:C32,Mesures_Dover!B24:B32)</f>
        <v>#REF!</v>
      </c>
    </row>
    <row r="206" spans="1:9" x14ac:dyDescent="0.25">
      <c r="A206" s="472"/>
      <c r="B206" s="128" t="s">
        <v>206</v>
      </c>
      <c r="C206" s="131" t="e">
        <f ca="1">Dover_1!C21</f>
        <v>#REF!</v>
      </c>
      <c r="D206" s="129" t="s">
        <v>200</v>
      </c>
      <c r="E206" s="129" t="s">
        <v>200</v>
      </c>
      <c r="F206" s="130" t="s">
        <v>200</v>
      </c>
    </row>
    <row r="207" spans="1:9" x14ac:dyDescent="0.25">
      <c r="C207" s="88"/>
      <c r="D207" s="88"/>
      <c r="E207" s="88"/>
      <c r="F207" s="88"/>
    </row>
    <row r="218" spans="2:6" ht="36" x14ac:dyDescent="0.25">
      <c r="B218" s="464" t="str">
        <f>"7. Résultats et exploitation des résultats à " &amp; Mesures_Dover!B20 &amp; "°C"</f>
        <v>7. Résultats et exploitation des résultats à °C</v>
      </c>
      <c r="C218" s="464"/>
      <c r="D218" s="464"/>
      <c r="E218" s="464"/>
      <c r="F218" s="464"/>
    </row>
    <row r="221" spans="2:6" x14ac:dyDescent="0.25">
      <c r="B221" s="342" t="s">
        <v>207</v>
      </c>
      <c r="C221" s="342"/>
    </row>
    <row r="225" spans="1:10" x14ac:dyDescent="0.25">
      <c r="A225" s="1"/>
      <c r="B225" s="151" t="str" cm="1">
        <f t="array" ref="B225:J225">Valeurs_Brutes_Dover_1[[#Headers],[Connecteur 1]:[Connecteur 9]]</f>
        <v>Connecteur 1</v>
      </c>
      <c r="C225" s="151" t="str">
        <v>Connecteur 2</v>
      </c>
      <c r="D225" s="151" t="str">
        <v>Connecteur 3</v>
      </c>
      <c r="E225" s="151" t="str">
        <v>Connecteur 4</v>
      </c>
      <c r="F225" s="151" t="str">
        <v>Connecteur 5</v>
      </c>
      <c r="G225" s="151" t="str">
        <v>Connecteur 6</v>
      </c>
      <c r="H225" s="151" t="str">
        <v>Connecteur 7</v>
      </c>
      <c r="I225" s="151" t="str">
        <v>Connecteur 8</v>
      </c>
      <c r="J225" s="151" t="str">
        <v>Connecteur 9</v>
      </c>
    </row>
    <row r="226" spans="1:10" x14ac:dyDescent="0.25">
      <c r="A226" s="42" t="s">
        <v>91</v>
      </c>
      <c r="B226" s="43" t="e">
        <f ca="1">Dover_1!C16</f>
        <v>#REF!</v>
      </c>
      <c r="C226" s="43" t="e">
        <f ca="1">Dover_1!D16</f>
        <v>#REF!</v>
      </c>
      <c r="D226" s="43" t="e">
        <f ca="1">Dover_1!E16</f>
        <v>#REF!</v>
      </c>
      <c r="E226" s="43" t="e">
        <f ca="1">Dover_1!F16</f>
        <v>#REF!</v>
      </c>
      <c r="F226" s="43" t="e">
        <f ca="1">Dover_1!G16</f>
        <v>#REF!</v>
      </c>
      <c r="G226" s="43" t="e">
        <f ca="1">Dover_1!H16</f>
        <v>#REF!</v>
      </c>
      <c r="H226" s="43" t="e">
        <f ca="1">Dover_1!I16</f>
        <v>#REF!</v>
      </c>
      <c r="I226" s="43" t="e">
        <f ca="1">Dover_1!J16</f>
        <v>#REF!</v>
      </c>
      <c r="J226" s="43" t="e">
        <f ca="1">Dover_1!K16</f>
        <v>#REF!</v>
      </c>
    </row>
    <row r="227" spans="1:10" x14ac:dyDescent="0.25">
      <c r="A227" s="42" t="s">
        <v>93</v>
      </c>
      <c r="B227" s="43" t="e">
        <f ca="1">Dover_1!C17</f>
        <v>#REF!</v>
      </c>
      <c r="C227" s="43" t="e">
        <f ca="1">Dover_1!D17</f>
        <v>#REF!</v>
      </c>
      <c r="D227" s="43" t="e">
        <f ca="1">Dover_1!E17</f>
        <v>#REF!</v>
      </c>
      <c r="E227" s="43" t="e">
        <f ca="1">Dover_1!F17</f>
        <v>#REF!</v>
      </c>
      <c r="F227" s="43" t="e">
        <f ca="1">Dover_1!G17</f>
        <v>#REF!</v>
      </c>
      <c r="G227" s="43" t="e">
        <f ca="1">Dover_1!H17</f>
        <v>#REF!</v>
      </c>
      <c r="H227" s="43" t="e">
        <f ca="1">Dover_1!I17</f>
        <v>#REF!</v>
      </c>
      <c r="I227" s="43" t="e">
        <f ca="1">Dover_1!J17</f>
        <v>#REF!</v>
      </c>
      <c r="J227" s="43" t="e">
        <f ca="1">Dover_1!K17</f>
        <v>#REF!</v>
      </c>
    </row>
    <row r="228" spans="1:10" x14ac:dyDescent="0.25">
      <c r="A228" s="42" t="s">
        <v>95</v>
      </c>
      <c r="B228" s="43" t="e">
        <f ca="1">Dover_1!C18</f>
        <v>#REF!</v>
      </c>
      <c r="C228" s="43" t="e">
        <f ca="1">Dover_1!D18</f>
        <v>#REF!</v>
      </c>
      <c r="D228" s="43" t="e">
        <f ca="1">Dover_1!E18</f>
        <v>#REF!</v>
      </c>
      <c r="E228" s="43" t="e">
        <f ca="1">Dover_1!F18</f>
        <v>#REF!</v>
      </c>
      <c r="F228" s="43" t="e">
        <f ca="1">Dover_1!G18</f>
        <v>#REF!</v>
      </c>
      <c r="G228" s="43" t="e">
        <f ca="1">Dover_1!H18</f>
        <v>#REF!</v>
      </c>
      <c r="H228" s="43" t="e">
        <f ca="1">Dover_1!I18</f>
        <v>#REF!</v>
      </c>
      <c r="I228" s="43" t="e">
        <f ca="1">Dover_1!J18</f>
        <v>#REF!</v>
      </c>
      <c r="J228" s="43" t="e">
        <f ca="1">Dover_1!K18</f>
        <v>#REF!</v>
      </c>
    </row>
    <row r="229" spans="1:10" x14ac:dyDescent="0.25">
      <c r="A229" s="42" t="s">
        <v>96</v>
      </c>
      <c r="B229" s="43" t="e">
        <f ca="1">Dover_1!C19</f>
        <v>#REF!</v>
      </c>
      <c r="C229" s="43" t="e">
        <f ca="1">Dover_1!D19</f>
        <v>#REF!</v>
      </c>
      <c r="D229" s="43" t="e">
        <f ca="1">Dover_1!E19</f>
        <v>#REF!</v>
      </c>
      <c r="E229" s="43" t="e">
        <f ca="1">Dover_1!F19</f>
        <v>#REF!</v>
      </c>
      <c r="F229" s="43" t="e">
        <f ca="1">Dover_1!G19</f>
        <v>#REF!</v>
      </c>
      <c r="G229" s="43" t="e">
        <f ca="1">Dover_1!H19</f>
        <v>#REF!</v>
      </c>
      <c r="H229" s="43" t="e">
        <f ca="1">Dover_1!I19</f>
        <v>#REF!</v>
      </c>
      <c r="I229" s="43" t="e">
        <f ca="1">Dover_1!J19</f>
        <v>#REF!</v>
      </c>
      <c r="J229" s="43" t="e">
        <f ca="1">Dover_1!K19</f>
        <v>#REF!</v>
      </c>
    </row>
    <row r="230" spans="1:10" x14ac:dyDescent="0.25">
      <c r="A230" s="42" t="s">
        <v>97</v>
      </c>
      <c r="B230" s="497" t="e">
        <f ca="1">Dover_1!C20</f>
        <v>#REF!</v>
      </c>
      <c r="C230" s="503"/>
      <c r="D230" s="503"/>
      <c r="E230" s="503"/>
      <c r="F230" s="503"/>
      <c r="G230" s="503"/>
      <c r="H230" s="503"/>
      <c r="I230" s="503"/>
      <c r="J230" s="503"/>
    </row>
    <row r="231" spans="1:10" x14ac:dyDescent="0.25">
      <c r="A231" s="42" t="s">
        <v>98</v>
      </c>
      <c r="B231" s="497" t="e">
        <f ca="1">Dover_1!C21</f>
        <v>#REF!</v>
      </c>
      <c r="C231" s="503"/>
      <c r="D231" s="503"/>
      <c r="E231" s="503"/>
      <c r="F231" s="503"/>
      <c r="G231" s="503"/>
      <c r="H231" s="503"/>
      <c r="I231" s="503"/>
      <c r="J231" s="503"/>
    </row>
    <row r="232" spans="1:10" x14ac:dyDescent="0.25">
      <c r="A232" s="36" t="s">
        <v>99</v>
      </c>
      <c r="B232" s="152" t="e" cm="1">
        <f t="array" aca="1" ref="B232:J232" ca="1">Dover_1!C22:K22</f>
        <v>#REF!</v>
      </c>
      <c r="C232" s="153" t="e">
        <f ca="1"/>
        <v>#REF!</v>
      </c>
      <c r="D232" s="153" t="e">
        <f ca="1"/>
        <v>#REF!</v>
      </c>
      <c r="E232" s="153" t="e">
        <f ca="1"/>
        <v>#REF!</v>
      </c>
      <c r="F232" s="153" t="e">
        <f ca="1"/>
        <v>#REF!</v>
      </c>
      <c r="G232" s="153" t="e">
        <f ca="1"/>
        <v>#REF!</v>
      </c>
      <c r="H232" s="153" t="e">
        <f ca="1"/>
        <v>#REF!</v>
      </c>
      <c r="I232" s="153" t="e">
        <f ca="1"/>
        <v>#REF!</v>
      </c>
      <c r="J232" s="153" t="e">
        <f ca="1"/>
        <v>#REF!</v>
      </c>
    </row>
    <row r="244" spans="2:6" x14ac:dyDescent="0.25">
      <c r="B244" s="134"/>
    </row>
    <row r="246" spans="2:6" ht="36" x14ac:dyDescent="0.3">
      <c r="C246" s="135" t="str">
        <f>"8. Résultats et exploitation des résultats à " &amp; Mesures_Dover!B20 &amp; "°C"</f>
        <v>8. Résultats et exploitation des résultats à °C</v>
      </c>
      <c r="D246" s="136"/>
      <c r="E246" s="136"/>
      <c r="F246" s="136"/>
    </row>
    <row r="249" spans="2:6" x14ac:dyDescent="0.25">
      <c r="B249" t="s">
        <v>213</v>
      </c>
    </row>
    <row r="284" spans="2:6" ht="36" x14ac:dyDescent="0.25">
      <c r="B284" s="464" t="str">
        <f>"9. Résultats et exploitation des résultats à " &amp; Mesures_Dover!C20 &amp; "°C"</f>
        <v>9. Résultats et exploitation des résultats à °C</v>
      </c>
      <c r="C284" s="464"/>
      <c r="D284" s="464"/>
      <c r="E284" s="464"/>
      <c r="F284" s="464"/>
    </row>
    <row r="291" spans="1:9" x14ac:dyDescent="0.25">
      <c r="A291" s="121" t="s">
        <v>237</v>
      </c>
      <c r="B291" s="150">
        <f>Mesures_Dover!C20</f>
        <v>0</v>
      </c>
      <c r="G291" s="468" t="s">
        <v>190</v>
      </c>
      <c r="H291" s="469"/>
      <c r="I291" s="470"/>
    </row>
    <row r="292" spans="1:9" x14ac:dyDescent="0.25">
      <c r="A292" s="121" t="s">
        <v>238</v>
      </c>
      <c r="B292" s="150">
        <f>Mesures_Dover!B21</f>
        <v>0</v>
      </c>
      <c r="G292" s="22" t="s">
        <v>191</v>
      </c>
      <c r="H292" s="22" t="s">
        <v>192</v>
      </c>
      <c r="I292" s="22" t="s">
        <v>193</v>
      </c>
    </row>
    <row r="293" spans="1:9" x14ac:dyDescent="0.25">
      <c r="G293" s="124" t="e" cm="1">
        <f t="array" ref="G293">INDEX(Valeurs_Brutes_Dover_2[Date/Heure], COUNTA(Valeurs_Brutes_Dover_2[Connecteur 1])-30)</f>
        <v>#VALUE!</v>
      </c>
      <c r="H293" s="124" cm="1">
        <f t="array" ref="H293">INDEX(Valeurs_Brutes_Dover_2[Date/Heure],COUNTA(Valeurs_Brutes_Dover_2[Date/Heure]))</f>
        <v>0</v>
      </c>
      <c r="I293" s="124" t="e">
        <f>H293-G293</f>
        <v>#VALUE!</v>
      </c>
    </row>
    <row r="296" spans="1:9" ht="23.25" x14ac:dyDescent="0.25">
      <c r="B296" s="471" t="s">
        <v>194</v>
      </c>
      <c r="C296" s="471"/>
    </row>
    <row r="299" spans="1:9" ht="30" x14ac:dyDescent="0.25">
      <c r="B299" s="125" t="s">
        <v>195</v>
      </c>
      <c r="C299" s="126" t="s">
        <v>196</v>
      </c>
      <c r="D299" s="126" t="s">
        <v>112</v>
      </c>
      <c r="E299" s="127" t="s">
        <v>197</v>
      </c>
      <c r="F299" s="126" t="s">
        <v>198</v>
      </c>
    </row>
    <row r="300" spans="1:9" x14ac:dyDescent="0.25">
      <c r="B300" s="128" t="s">
        <v>199</v>
      </c>
      <c r="C300" s="154" t="str">
        <f>Mesures_Dover!C20 &amp; "°C"</f>
        <v>°C</v>
      </c>
      <c r="D300" s="129" t="s">
        <v>200</v>
      </c>
      <c r="E300" s="129" t="s">
        <v>200</v>
      </c>
      <c r="F300" s="130" t="s">
        <v>200</v>
      </c>
    </row>
    <row r="301" spans="1:9" x14ac:dyDescent="0.25">
      <c r="B301" s="128" t="s">
        <v>201</v>
      </c>
      <c r="C301" s="154" t="str">
        <f>Mesures_Dover!C20 &amp; "°C"</f>
        <v>°C</v>
      </c>
      <c r="D301" s="129" t="s">
        <v>200</v>
      </c>
      <c r="E301" s="129" t="s">
        <v>200</v>
      </c>
      <c r="F301" s="130" t="s">
        <v>200</v>
      </c>
    </row>
    <row r="302" spans="1:9" x14ac:dyDescent="0.25">
      <c r="A302" s="472" t="s">
        <v>202</v>
      </c>
      <c r="B302" s="128" t="s">
        <v>203</v>
      </c>
      <c r="C302" s="131" t="e">
        <f ca="1">MAX(Dover_2!C16:K16)</f>
        <v>#REF!</v>
      </c>
      <c r="D302" s="129" t="e">
        <f ca="1">_xlfn.XLOOKUP(INT(SUBSTITUTE(E302,"Connecteur ","")),Mesures_Dover!C24:C32,Mesures_Dover!A24:A32)</f>
        <v>#REF!</v>
      </c>
      <c r="E302" s="129" t="e" cm="1">
        <f t="array" aca="1" ref="E302" ca="1">_xlfn.XLOOKUP(MAX(Dover_2!C16:K16),Dover_2!C16:K16,_xlfn.ANCHORARRAY(Dover_2!C14))</f>
        <v>#REF!</v>
      </c>
      <c r="F302" s="129" t="e">
        <f ca="1">_xlfn.XLOOKUP(INT(SUBSTITUTE(E302,"Connecteur ","")),Mesures_Dover!C24:C32,Mesures_Dover!B24:B32)</f>
        <v>#REF!</v>
      </c>
    </row>
    <row r="303" spans="1:9" x14ac:dyDescent="0.25">
      <c r="A303" s="472"/>
      <c r="B303" s="128" t="s">
        <v>204</v>
      </c>
      <c r="C303" s="131" t="e">
        <f ca="1">MIN(Dover_2!C16:K16)</f>
        <v>#REF!</v>
      </c>
      <c r="D303" s="129" t="e">
        <f ca="1">_xlfn.XLOOKUP(INT(SUBSTITUTE(E303,"Connecteur ","")),Mesures_Dover!C24:C32,Mesures_Dover!A24:A32)</f>
        <v>#REF!</v>
      </c>
      <c r="E303" s="129" t="e" cm="1">
        <f t="array" aca="1" ref="E303" ca="1">_xlfn.XLOOKUP(MIN(Dover_2!C16:K16),Dover_2!C16:K16,_xlfn.ANCHORARRAY(Dover_2!C14))</f>
        <v>#REF!</v>
      </c>
      <c r="F303" s="130" t="e">
        <f ca="1">_xlfn.XLOOKUP(INT(SUBSTITUTE(E303,"Connecteur ","")),Mesures_Dover!C24:C32,Mesures_Dover!B24:B32)</f>
        <v>#REF!</v>
      </c>
    </row>
    <row r="304" spans="1:9" x14ac:dyDescent="0.25">
      <c r="A304" s="472"/>
      <c r="B304" s="128" t="s">
        <v>205</v>
      </c>
      <c r="C304" s="131" t="e">
        <f ca="1">MIN(Dover_2!C16:K16)</f>
        <v>#REF!</v>
      </c>
      <c r="D304" s="129" t="e">
        <f ca="1">_xlfn.XLOOKUP(INT(SUBSTITUTE(E304,"Connecteur ","")),Mesures_Dover!C24:C32,Mesures_Dover!A24:A32)</f>
        <v>#REF!</v>
      </c>
      <c r="E304" s="129" t="e">
        <f ca="1">_xlfn.XLOOKUP(MIN(Dover_2!C17:K17),Dover_2!C17:K17,Dover_2!C10:K10)</f>
        <v>#REF!</v>
      </c>
      <c r="F304" s="130" t="e">
        <f ca="1">_xlfn.XLOOKUP(INT(SUBSTITUTE(E304,"Connecteur ","")),Mesures_Dover!C24:C32,Mesures_Dover!B24:B32)</f>
        <v>#REF!</v>
      </c>
    </row>
    <row r="305" spans="1:6" x14ac:dyDescent="0.25">
      <c r="A305" s="472"/>
      <c r="B305" s="128" t="s">
        <v>206</v>
      </c>
      <c r="C305" s="131" t="e">
        <f ca="1">AVERAGE(Dover_2!C16:K16)</f>
        <v>#REF!</v>
      </c>
      <c r="D305" s="129" t="s">
        <v>200</v>
      </c>
      <c r="E305" s="129" t="s">
        <v>200</v>
      </c>
      <c r="F305" s="130" t="s">
        <v>200</v>
      </c>
    </row>
    <row r="306" spans="1:6" x14ac:dyDescent="0.25">
      <c r="C306" s="88"/>
      <c r="D306" s="88"/>
      <c r="E306" s="88"/>
      <c r="F306" s="88"/>
    </row>
    <row r="316" spans="1:6" ht="36" x14ac:dyDescent="0.25">
      <c r="B316" s="464" t="str">
        <f>"10. Résultats et exploitation des résultats à " &amp; Mesures_Dover!C20 &amp; "°C"</f>
        <v>10. Résultats et exploitation des résultats à °C</v>
      </c>
      <c r="C316" s="464"/>
      <c r="D316" s="464"/>
      <c r="E316" s="464"/>
      <c r="F316" s="464"/>
    </row>
    <row r="319" spans="1:6" x14ac:dyDescent="0.25">
      <c r="B319" s="342" t="s">
        <v>207</v>
      </c>
      <c r="C319" s="342"/>
    </row>
    <row r="323" spans="1:10" x14ac:dyDescent="0.25">
      <c r="A323" s="1"/>
      <c r="B323" s="151" t="str" cm="1">
        <f t="array" ref="B323:J323">Valeurs_Brutes_Dover_2[[#Headers],[Connecteur 1]:[Connecteur 9]]</f>
        <v>Connecteur 1</v>
      </c>
      <c r="C323" s="151" t="str">
        <v>Connecteur 2</v>
      </c>
      <c r="D323" s="151" t="str">
        <v>Connecteur 3</v>
      </c>
      <c r="E323" s="151" t="str">
        <v>Connecteur 4</v>
      </c>
      <c r="F323" s="151" t="str">
        <v>Connecteur 5</v>
      </c>
      <c r="G323" s="151" t="str">
        <v>Connecteur 6</v>
      </c>
      <c r="H323" s="151" t="str">
        <v>Connecteur 7</v>
      </c>
      <c r="I323" s="151" t="str">
        <v>Connecteur 8</v>
      </c>
      <c r="J323" s="151" t="str">
        <v>Connecteur 9</v>
      </c>
    </row>
    <row r="324" spans="1:10" x14ac:dyDescent="0.25">
      <c r="A324" s="42" t="s">
        <v>91</v>
      </c>
      <c r="B324" s="43" t="e" cm="1">
        <f t="array" aca="1" ref="B324:J327" ca="1">Dover_2!C16:K19</f>
        <v>#REF!</v>
      </c>
      <c r="C324" s="43" t="e">
        <f ca="1"/>
        <v>#REF!</v>
      </c>
      <c r="D324" s="43" t="e">
        <f ca="1"/>
        <v>#REF!</v>
      </c>
      <c r="E324" s="43" t="e">
        <f ca="1"/>
        <v>#REF!</v>
      </c>
      <c r="F324" s="43" t="e">
        <f ca="1"/>
        <v>#REF!</v>
      </c>
      <c r="G324" s="43" t="e">
        <f ca="1"/>
        <v>#REF!</v>
      </c>
      <c r="H324" s="43" t="e">
        <f ca="1"/>
        <v>#REF!</v>
      </c>
      <c r="I324" s="43" t="e">
        <f ca="1"/>
        <v>#REF!</v>
      </c>
      <c r="J324" s="43" t="e">
        <f ca="1"/>
        <v>#REF!</v>
      </c>
    </row>
    <row r="325" spans="1:10" x14ac:dyDescent="0.25">
      <c r="A325" s="42" t="s">
        <v>93</v>
      </c>
      <c r="B325" s="43" t="e">
        <f ca="1"/>
        <v>#REF!</v>
      </c>
      <c r="C325" s="43" t="e">
        <f ca="1"/>
        <v>#REF!</v>
      </c>
      <c r="D325" s="43" t="e">
        <f ca="1"/>
        <v>#REF!</v>
      </c>
      <c r="E325" s="43" t="e">
        <f ca="1"/>
        <v>#REF!</v>
      </c>
      <c r="F325" s="43" t="e">
        <f ca="1"/>
        <v>#REF!</v>
      </c>
      <c r="G325" s="43" t="e">
        <f ca="1"/>
        <v>#REF!</v>
      </c>
      <c r="H325" s="43" t="e">
        <f ca="1"/>
        <v>#REF!</v>
      </c>
      <c r="I325" s="43" t="e">
        <f ca="1"/>
        <v>#REF!</v>
      </c>
      <c r="J325" s="43" t="e">
        <f ca="1"/>
        <v>#REF!</v>
      </c>
    </row>
    <row r="326" spans="1:10" x14ac:dyDescent="0.25">
      <c r="A326" s="42" t="s">
        <v>95</v>
      </c>
      <c r="B326" s="43" t="e">
        <f ca="1"/>
        <v>#REF!</v>
      </c>
      <c r="C326" s="43" t="e">
        <f ca="1"/>
        <v>#REF!</v>
      </c>
      <c r="D326" s="43" t="e">
        <f ca="1"/>
        <v>#REF!</v>
      </c>
      <c r="E326" s="43" t="e">
        <f ca="1"/>
        <v>#REF!</v>
      </c>
      <c r="F326" s="43" t="e">
        <f ca="1"/>
        <v>#REF!</v>
      </c>
      <c r="G326" s="43" t="e">
        <f ca="1"/>
        <v>#REF!</v>
      </c>
      <c r="H326" s="43" t="e">
        <f ca="1"/>
        <v>#REF!</v>
      </c>
      <c r="I326" s="43" t="e">
        <f ca="1"/>
        <v>#REF!</v>
      </c>
      <c r="J326" s="43" t="e">
        <f ca="1"/>
        <v>#REF!</v>
      </c>
    </row>
    <row r="327" spans="1:10" x14ac:dyDescent="0.25">
      <c r="A327" s="42" t="s">
        <v>96</v>
      </c>
      <c r="B327" s="43" t="e">
        <f ca="1"/>
        <v>#REF!</v>
      </c>
      <c r="C327" s="43" t="e">
        <f ca="1"/>
        <v>#REF!</v>
      </c>
      <c r="D327" s="43" t="e">
        <f ca="1"/>
        <v>#REF!</v>
      </c>
      <c r="E327" s="43" t="e">
        <f ca="1"/>
        <v>#REF!</v>
      </c>
      <c r="F327" s="43" t="e">
        <f ca="1"/>
        <v>#REF!</v>
      </c>
      <c r="G327" s="43" t="e">
        <f ca="1"/>
        <v>#REF!</v>
      </c>
      <c r="H327" s="43" t="e">
        <f ca="1"/>
        <v>#REF!</v>
      </c>
      <c r="I327" s="43" t="e">
        <f ca="1"/>
        <v>#REF!</v>
      </c>
      <c r="J327" s="43" t="e">
        <f ca="1"/>
        <v>#REF!</v>
      </c>
    </row>
    <row r="328" spans="1:10" x14ac:dyDescent="0.25">
      <c r="A328" s="42" t="s">
        <v>97</v>
      </c>
      <c r="B328" s="497" t="e">
        <f ca="1">Dover_2!C20</f>
        <v>#REF!</v>
      </c>
      <c r="C328" s="503"/>
      <c r="D328" s="503"/>
      <c r="E328" s="503"/>
      <c r="F328" s="503"/>
      <c r="G328" s="503"/>
      <c r="H328" s="503"/>
      <c r="I328" s="503"/>
      <c r="J328" s="503"/>
    </row>
    <row r="329" spans="1:10" x14ac:dyDescent="0.25">
      <c r="A329" s="42" t="s">
        <v>98</v>
      </c>
      <c r="B329" s="497" t="e">
        <f ca="1">Dover_2!C21</f>
        <v>#REF!</v>
      </c>
      <c r="C329" s="503"/>
      <c r="D329" s="503"/>
      <c r="E329" s="503"/>
      <c r="F329" s="503"/>
      <c r="G329" s="503"/>
      <c r="H329" s="503"/>
      <c r="I329" s="503"/>
      <c r="J329" s="503"/>
    </row>
    <row r="330" spans="1:10" x14ac:dyDescent="0.25">
      <c r="A330" s="36" t="s">
        <v>99</v>
      </c>
      <c r="B330" s="152" t="e" cm="1">
        <f t="array" aca="1" ref="B330:J330" ca="1">Dover_2!C22:K22</f>
        <v>#REF!</v>
      </c>
      <c r="C330" s="153" t="e">
        <f ca="1"/>
        <v>#REF!</v>
      </c>
      <c r="D330" s="153" t="e">
        <f ca="1"/>
        <v>#REF!</v>
      </c>
      <c r="E330" s="153" t="e">
        <f ca="1"/>
        <v>#REF!</v>
      </c>
      <c r="F330" s="153" t="e">
        <f ca="1"/>
        <v>#REF!</v>
      </c>
      <c r="G330" s="153" t="e">
        <f ca="1"/>
        <v>#REF!</v>
      </c>
      <c r="H330" s="153" t="e">
        <f ca="1"/>
        <v>#REF!</v>
      </c>
      <c r="I330" s="153" t="e">
        <f ca="1"/>
        <v>#REF!</v>
      </c>
      <c r="J330" s="153" t="e">
        <f ca="1"/>
        <v>#REF!</v>
      </c>
    </row>
    <row r="340" spans="2:6" x14ac:dyDescent="0.25">
      <c r="B340" s="134"/>
    </row>
    <row r="342" spans="2:6" ht="36" x14ac:dyDescent="0.3">
      <c r="C342" s="135" t="str">
        <f>"11. Résultats et exploitation des résultats à " &amp; Mesures_Dover!C20 &amp; "°C"</f>
        <v>11. Résultats et exploitation des résultats à °C</v>
      </c>
      <c r="D342" s="136"/>
      <c r="E342" s="136"/>
      <c r="F342" s="136"/>
    </row>
    <row r="345" spans="2:6" x14ac:dyDescent="0.25">
      <c r="B345" t="s">
        <v>213</v>
      </c>
    </row>
    <row r="395" spans="3:3" ht="36" x14ac:dyDescent="0.25">
      <c r="C395" s="135" t="str">
        <f>"12. Résultats et exploitation des résultats à " &amp; Mesures_Dover!D20 &amp; "°C"</f>
        <v>12. Résultats et exploitation des résultats à °C</v>
      </c>
    </row>
    <row r="401" spans="1:9" x14ac:dyDescent="0.25">
      <c r="A401" s="121" t="s">
        <v>237</v>
      </c>
      <c r="B401" s="123">
        <v>150</v>
      </c>
      <c r="G401" s="468" t="s">
        <v>190</v>
      </c>
      <c r="H401" s="469"/>
      <c r="I401" s="470"/>
    </row>
    <row r="402" spans="1:9" x14ac:dyDescent="0.25">
      <c r="A402" s="121" t="s">
        <v>238</v>
      </c>
      <c r="B402" s="150">
        <f>Mesures_Dover!B21</f>
        <v>0</v>
      </c>
      <c r="G402" s="22" t="s">
        <v>191</v>
      </c>
      <c r="H402" s="22" t="s">
        <v>192</v>
      </c>
      <c r="I402" s="22" t="s">
        <v>193</v>
      </c>
    </row>
    <row r="403" spans="1:9" x14ac:dyDescent="0.25">
      <c r="G403" s="124" t="e" cm="1">
        <f t="array" ref="G403">INDEX(Valeurs_Brutes_Dover_3[Date/Heure], COUNTA(Valeurs_Brutes_Dover_3[Connecteur 1])-30)</f>
        <v>#VALUE!</v>
      </c>
      <c r="H403" s="124" cm="1">
        <f t="array" ref="H403">INDEX(Valeurs_Brutes_Dover_3[Date/Heure], COUNTA(Valeurs_Brutes_Dover_3[Connecteur 1]))</f>
        <v>0</v>
      </c>
      <c r="I403" s="124" t="e">
        <f>H403-G403</f>
        <v>#VALUE!</v>
      </c>
    </row>
    <row r="406" spans="1:9" ht="23.25" x14ac:dyDescent="0.25">
      <c r="B406" s="471" t="s">
        <v>194</v>
      </c>
      <c r="C406" s="471"/>
    </row>
    <row r="409" spans="1:9" ht="30" x14ac:dyDescent="0.25">
      <c r="B409" s="125" t="s">
        <v>195</v>
      </c>
      <c r="C409" s="126" t="s">
        <v>196</v>
      </c>
      <c r="D409" s="126" t="s">
        <v>112</v>
      </c>
      <c r="E409" s="127" t="s">
        <v>197</v>
      </c>
      <c r="F409" s="126" t="s">
        <v>198</v>
      </c>
    </row>
    <row r="410" spans="1:9" x14ac:dyDescent="0.25">
      <c r="B410" s="128" t="s">
        <v>199</v>
      </c>
      <c r="C410" s="129" t="str">
        <f>"150°C"</f>
        <v>150°C</v>
      </c>
      <c r="D410" s="129" t="s">
        <v>200</v>
      </c>
      <c r="E410" s="129" t="s">
        <v>200</v>
      </c>
      <c r="F410" s="130" t="s">
        <v>200</v>
      </c>
    </row>
    <row r="411" spans="1:9" x14ac:dyDescent="0.25">
      <c r="B411" s="128" t="s">
        <v>201</v>
      </c>
      <c r="C411" s="129" t="str">
        <f>"150°C"</f>
        <v>150°C</v>
      </c>
      <c r="D411" s="129" t="s">
        <v>200</v>
      </c>
      <c r="E411" s="129" t="s">
        <v>200</v>
      </c>
      <c r="F411" s="130" t="s">
        <v>200</v>
      </c>
    </row>
    <row r="412" spans="1:9" x14ac:dyDescent="0.25">
      <c r="A412" s="472" t="s">
        <v>202</v>
      </c>
      <c r="B412" s="128" t="s">
        <v>203</v>
      </c>
      <c r="C412" s="131" t="e">
        <f ca="1">MAX(Dover_3!C16:K16)</f>
        <v>#REF!</v>
      </c>
      <c r="D412" s="129" t="e">
        <f ca="1">_xlfn.XLOOKUP(INT(SUBSTITUTE(E412,"Connecteur ","")),Mesures_Dover!C24:C32,Mesures_Dover!A24:A32)</f>
        <v>#REF!</v>
      </c>
      <c r="E412" s="129" t="e" cm="1">
        <f t="array" aca="1" ref="E412" ca="1">_xlfn.XLOOKUP(MAX(Dover_3!C16:K16),Dover_3!C16:K16,_xlfn.ANCHORARRAY(Dover_3!C14))</f>
        <v>#REF!</v>
      </c>
      <c r="F412" s="129" t="e">
        <f ca="1">_xlfn.XLOOKUP(INT(SUBSTITUTE(E412,"Connecteur ","")),Mesures_Dover!C24:C32,Mesures_Dover!B24:B32)</f>
        <v>#REF!</v>
      </c>
    </row>
    <row r="413" spans="1:9" x14ac:dyDescent="0.25">
      <c r="A413" s="472"/>
      <c r="B413" s="128" t="s">
        <v>204</v>
      </c>
      <c r="C413" s="131" t="e">
        <f ca="1">MIN(Dover_3!C16:K16)</f>
        <v>#REF!</v>
      </c>
      <c r="D413" s="129" t="e">
        <f ca="1">_xlfn.XLOOKUP(INT(SUBSTITUTE(E413,"Connecteur ","")),Mesures_Dover!C24:C32,Mesures_Dover!A24:A32)</f>
        <v>#REF!</v>
      </c>
      <c r="E413" s="129" t="e" cm="1">
        <f t="array" aca="1" ref="E413" ca="1">_xlfn.XLOOKUP(MIN(Dover_3!C16:K16),Dover_3!C16:K16,_xlfn.ANCHORARRAY(Dover_3!C14))</f>
        <v>#REF!</v>
      </c>
      <c r="F413" s="130" t="e">
        <f ca="1">_xlfn.XLOOKUP(INT(SUBSTITUTE(E413,"Connecteur ","")),Mesures_Dover!C24:C32,Mesures_Dover!B24:B32)</f>
        <v>#REF!</v>
      </c>
    </row>
    <row r="414" spans="1:9" x14ac:dyDescent="0.25">
      <c r="A414" s="472"/>
      <c r="B414" s="128" t="s">
        <v>205</v>
      </c>
      <c r="C414" s="131" t="e">
        <f ca="1">MIN(Dover_3!C17:O17)</f>
        <v>#REF!</v>
      </c>
      <c r="D414" s="129" t="e">
        <f ca="1">_xlfn.XLOOKUP(INT(SUBSTITUTE(E414,"Connecteur ","")),Mesures_Dover!C24:C32,Mesures_Dover!A24:A32)</f>
        <v>#REF!</v>
      </c>
      <c r="E414" s="129" t="e" cm="1">
        <f t="array" aca="1" ref="E414" ca="1">_xlfn.XLOOKUP(MAX(Dover_3!C17:K17),Dover_3!C17:K17,_xlfn.ANCHORARRAY(Dover_3!C14))</f>
        <v>#REF!</v>
      </c>
      <c r="F414" s="130" t="e">
        <f ca="1">_xlfn.XLOOKUP(INT(SUBSTITUTE(E414,"Connecteur ","")),Mesures_Dover!C24:C32,Mesures_Dover!B24:B32)</f>
        <v>#REF!</v>
      </c>
    </row>
    <row r="415" spans="1:9" x14ac:dyDescent="0.25">
      <c r="A415" s="472"/>
      <c r="B415" s="128" t="s">
        <v>206</v>
      </c>
      <c r="C415" s="131" t="e">
        <f ca="1">AVERAGE(Dover_3!C18:O18)</f>
        <v>#REF!</v>
      </c>
      <c r="D415" s="129" t="s">
        <v>200</v>
      </c>
      <c r="E415" s="129" t="s">
        <v>200</v>
      </c>
      <c r="F415" s="130" t="s">
        <v>200</v>
      </c>
    </row>
    <row r="416" spans="1:9" x14ac:dyDescent="0.25">
      <c r="C416" s="88"/>
      <c r="D416" s="88"/>
      <c r="E416" s="88"/>
      <c r="F416" s="88"/>
    </row>
    <row r="425" spans="1:10" ht="36" x14ac:dyDescent="0.25">
      <c r="B425" s="464" t="str">
        <f>"13. Résultats et exploitation des résultats à " &amp; Mesures_Dover!D20 &amp; "°C"</f>
        <v>13. Résultats et exploitation des résultats à °C</v>
      </c>
      <c r="C425" s="464"/>
      <c r="D425" s="464"/>
      <c r="E425" s="464"/>
      <c r="F425" s="464"/>
    </row>
    <row r="428" spans="1:10" x14ac:dyDescent="0.25">
      <c r="B428" s="342" t="s">
        <v>207</v>
      </c>
      <c r="C428" s="342"/>
    </row>
    <row r="432" spans="1:10" x14ac:dyDescent="0.25">
      <c r="A432" s="1"/>
      <c r="B432" s="151" t="str" cm="1">
        <f t="array" ref="B432:J432">Valeurs_Brutes_Dover_3[[#Headers],[Connecteur 1]:[Connecteur 9]]</f>
        <v>Connecteur 1</v>
      </c>
      <c r="C432" s="151" t="str">
        <v>Connecteur 2</v>
      </c>
      <c r="D432" s="151" t="str">
        <v>Connecteur 3</v>
      </c>
      <c r="E432" s="151" t="str">
        <v>Connecteur 4</v>
      </c>
      <c r="F432" s="151" t="str">
        <v>Connecteur 5</v>
      </c>
      <c r="G432" s="151" t="str">
        <v>Connecteur 6</v>
      </c>
      <c r="H432" s="151" t="str">
        <v>Connecteur 7</v>
      </c>
      <c r="I432" s="151" t="str">
        <v>Connecteur 8</v>
      </c>
      <c r="J432" s="151" t="str">
        <v>Connecteur 9</v>
      </c>
    </row>
    <row r="433" spans="1:10" x14ac:dyDescent="0.25">
      <c r="A433" s="42" t="s">
        <v>91</v>
      </c>
      <c r="B433" s="43" t="e" cm="1">
        <f t="array" aca="1" ref="B433:J436" ca="1">Dover_3!C16:K19</f>
        <v>#REF!</v>
      </c>
      <c r="C433" s="43" t="e">
        <f ca="1"/>
        <v>#REF!</v>
      </c>
      <c r="D433" s="43" t="e">
        <f ca="1"/>
        <v>#REF!</v>
      </c>
      <c r="E433" s="43" t="e">
        <f ca="1"/>
        <v>#REF!</v>
      </c>
      <c r="F433" s="43" t="e">
        <f ca="1"/>
        <v>#REF!</v>
      </c>
      <c r="G433" s="43" t="e">
        <f ca="1"/>
        <v>#REF!</v>
      </c>
      <c r="H433" s="43" t="e">
        <f ca="1"/>
        <v>#REF!</v>
      </c>
      <c r="I433" s="43" t="e">
        <f ca="1"/>
        <v>#REF!</v>
      </c>
      <c r="J433" s="43" t="e">
        <f ca="1"/>
        <v>#REF!</v>
      </c>
    </row>
    <row r="434" spans="1:10" x14ac:dyDescent="0.25">
      <c r="A434" s="42" t="s">
        <v>93</v>
      </c>
      <c r="B434" s="43" t="e">
        <f ca="1"/>
        <v>#REF!</v>
      </c>
      <c r="C434" s="43" t="e">
        <f ca="1"/>
        <v>#REF!</v>
      </c>
      <c r="D434" s="43" t="e">
        <f ca="1"/>
        <v>#REF!</v>
      </c>
      <c r="E434" s="43" t="e">
        <f ca="1"/>
        <v>#REF!</v>
      </c>
      <c r="F434" s="43" t="e">
        <f ca="1"/>
        <v>#REF!</v>
      </c>
      <c r="G434" s="43" t="e">
        <f ca="1"/>
        <v>#REF!</v>
      </c>
      <c r="H434" s="43" t="e">
        <f ca="1"/>
        <v>#REF!</v>
      </c>
      <c r="I434" s="43" t="e">
        <f ca="1"/>
        <v>#REF!</v>
      </c>
      <c r="J434" s="43" t="e">
        <f ca="1"/>
        <v>#REF!</v>
      </c>
    </row>
    <row r="435" spans="1:10" x14ac:dyDescent="0.25">
      <c r="A435" s="42" t="s">
        <v>95</v>
      </c>
      <c r="B435" s="43" t="e">
        <f ca="1"/>
        <v>#REF!</v>
      </c>
      <c r="C435" s="43" t="e">
        <f ca="1"/>
        <v>#REF!</v>
      </c>
      <c r="D435" s="43" t="e">
        <f ca="1"/>
        <v>#REF!</v>
      </c>
      <c r="E435" s="43" t="e">
        <f ca="1"/>
        <v>#REF!</v>
      </c>
      <c r="F435" s="43" t="e">
        <f ca="1"/>
        <v>#REF!</v>
      </c>
      <c r="G435" s="43" t="e">
        <f ca="1"/>
        <v>#REF!</v>
      </c>
      <c r="H435" s="43" t="e">
        <f ca="1"/>
        <v>#REF!</v>
      </c>
      <c r="I435" s="43" t="e">
        <f ca="1"/>
        <v>#REF!</v>
      </c>
      <c r="J435" s="43" t="e">
        <f ca="1"/>
        <v>#REF!</v>
      </c>
    </row>
    <row r="436" spans="1:10" x14ac:dyDescent="0.25">
      <c r="A436" s="42" t="s">
        <v>96</v>
      </c>
      <c r="B436" s="43" t="e">
        <f ca="1"/>
        <v>#REF!</v>
      </c>
      <c r="C436" s="43" t="e">
        <f ca="1"/>
        <v>#REF!</v>
      </c>
      <c r="D436" s="43" t="e">
        <f ca="1"/>
        <v>#REF!</v>
      </c>
      <c r="E436" s="43" t="e">
        <f ca="1"/>
        <v>#REF!</v>
      </c>
      <c r="F436" s="43" t="e">
        <f ca="1"/>
        <v>#REF!</v>
      </c>
      <c r="G436" s="43" t="e">
        <f ca="1"/>
        <v>#REF!</v>
      </c>
      <c r="H436" s="43" t="e">
        <f ca="1"/>
        <v>#REF!</v>
      </c>
      <c r="I436" s="43" t="e">
        <f ca="1"/>
        <v>#REF!</v>
      </c>
      <c r="J436" s="43" t="e">
        <f ca="1"/>
        <v>#REF!</v>
      </c>
    </row>
    <row r="437" spans="1:10" x14ac:dyDescent="0.25">
      <c r="A437" s="42" t="s">
        <v>97</v>
      </c>
      <c r="B437" s="497" t="e">
        <f ca="1">Dover_3!C20</f>
        <v>#REF!</v>
      </c>
      <c r="C437" s="503"/>
      <c r="D437" s="503"/>
      <c r="E437" s="503"/>
      <c r="F437" s="503"/>
      <c r="G437" s="503"/>
      <c r="H437" s="503"/>
      <c r="I437" s="503"/>
      <c r="J437" s="503"/>
    </row>
    <row r="438" spans="1:10" x14ac:dyDescent="0.25">
      <c r="A438" s="42" t="s">
        <v>98</v>
      </c>
      <c r="B438" s="497" t="e">
        <f ca="1">Dover_3!C21</f>
        <v>#REF!</v>
      </c>
      <c r="C438" s="503"/>
      <c r="D438" s="503"/>
      <c r="E438" s="503"/>
      <c r="F438" s="503"/>
      <c r="G438" s="503"/>
      <c r="H438" s="503"/>
      <c r="I438" s="503"/>
      <c r="J438" s="503"/>
    </row>
    <row r="439" spans="1:10" x14ac:dyDescent="0.25">
      <c r="A439" s="36" t="s">
        <v>99</v>
      </c>
      <c r="B439" s="152" t="e" cm="1">
        <f t="array" aca="1" ref="B439:J439" ca="1">Dover_3!C22:K22</f>
        <v>#REF!</v>
      </c>
      <c r="C439" s="153" t="e">
        <f ca="1"/>
        <v>#REF!</v>
      </c>
      <c r="D439" s="153" t="e">
        <f ca="1"/>
        <v>#REF!</v>
      </c>
      <c r="E439" s="153" t="e">
        <f ca="1"/>
        <v>#REF!</v>
      </c>
      <c r="F439" s="153" t="e">
        <f ca="1"/>
        <v>#REF!</v>
      </c>
      <c r="G439" s="153" t="e">
        <f ca="1"/>
        <v>#REF!</v>
      </c>
      <c r="H439" s="153" t="e">
        <f ca="1"/>
        <v>#REF!</v>
      </c>
      <c r="I439" s="153" t="e">
        <f ca="1"/>
        <v>#REF!</v>
      </c>
      <c r="J439" s="153" t="e">
        <f ca="1"/>
        <v>#REF!</v>
      </c>
    </row>
    <row r="445" spans="1:10" x14ac:dyDescent="0.25">
      <c r="B445" s="134"/>
    </row>
    <row r="447" spans="1:10" ht="36" x14ac:dyDescent="0.3">
      <c r="C447" s="135" t="str">
        <f>"14. Résultats et exploitation des résultats à " &amp; Mesures_Dover!D20 &amp; "°C"</f>
        <v>14. Résultats et exploitation des résultats à °C</v>
      </c>
      <c r="D447" s="136"/>
      <c r="E447" s="136"/>
      <c r="F447" s="136"/>
    </row>
    <row r="450" spans="2:2" x14ac:dyDescent="0.25">
      <c r="B450" t="s">
        <v>213</v>
      </c>
    </row>
    <row r="489" spans="3:3" x14ac:dyDescent="0.25">
      <c r="C489" t="s">
        <v>320</v>
      </c>
    </row>
    <row r="497" spans="3:7" x14ac:dyDescent="0.25">
      <c r="C497" s="128" t="s">
        <v>215</v>
      </c>
      <c r="D497" s="128"/>
      <c r="E497" s="189" t="str">
        <f>Dover_1!O16 &amp; "°C"</f>
        <v>0°C</v>
      </c>
      <c r="F497" s="22" t="str">
        <f>Dover_2!O16 &amp; "°C"</f>
        <v>0°C</v>
      </c>
      <c r="G497" s="22" t="str">
        <f>Dover_3!O16 &amp; "°C"</f>
        <v>0°C</v>
      </c>
    </row>
    <row r="498" spans="3:7" x14ac:dyDescent="0.25">
      <c r="C498" s="459" t="s">
        <v>216</v>
      </c>
      <c r="D498" s="460"/>
      <c r="E498" s="154">
        <f>Dover_1!O16</f>
        <v>0</v>
      </c>
      <c r="F498" s="154">
        <f>Dover_2!O16</f>
        <v>0</v>
      </c>
      <c r="G498" s="154">
        <f>Dover_3!O16</f>
        <v>0</v>
      </c>
    </row>
    <row r="499" spans="3:7" x14ac:dyDescent="0.25">
      <c r="C499" s="459" t="s">
        <v>217</v>
      </c>
      <c r="D499" s="460"/>
      <c r="E499" s="131" t="e">
        <f ca="1">Dover_1!C20</f>
        <v>#REF!</v>
      </c>
      <c r="F499" s="131" t="e">
        <f ca="1">Dover_2!C20</f>
        <v>#REF!</v>
      </c>
      <c r="G499" s="131" t="e">
        <f ca="1">Dover_3!C20</f>
        <v>#REF!</v>
      </c>
    </row>
    <row r="500" spans="3:7" x14ac:dyDescent="0.25">
      <c r="C500" s="459" t="s">
        <v>218</v>
      </c>
      <c r="D500" s="460"/>
      <c r="E500" s="154">
        <f>Mesures_Dover!B21</f>
        <v>0</v>
      </c>
      <c r="F500" s="154">
        <f>Mesures_Dover!B21</f>
        <v>0</v>
      </c>
      <c r="G500" s="154">
        <f>Mesures_Dover!B21</f>
        <v>0</v>
      </c>
    </row>
    <row r="501" spans="3:7" x14ac:dyDescent="0.25">
      <c r="C501" s="459" t="s">
        <v>239</v>
      </c>
      <c r="D501" s="460"/>
      <c r="E501" s="129" t="e">
        <f ca="1">IF(MIN(Dover_1!C17:K17)&lt;Dover_1!L17,"NON CONFORME","CONFORME")</f>
        <v>#REF!</v>
      </c>
      <c r="F501" s="129" t="e">
        <f ca="1">IF(MIN(Dover_2!C17:K17)&lt;Dover_2!L17,"NON CONFORME","CONFORME")</f>
        <v>#REF!</v>
      </c>
      <c r="G501" s="129" t="e">
        <f ca="1">IF(MIN(Dover_3!C17:K17)&lt;Dover_3!L17,"NON CONFORME","CONFORME")</f>
        <v>#REF!</v>
      </c>
    </row>
    <row r="502" spans="3:7" x14ac:dyDescent="0.25">
      <c r="C502" s="459" t="s">
        <v>240</v>
      </c>
      <c r="D502" s="460"/>
      <c r="E502" s="129" t="e">
        <f ca="1">IF(MAX(Dover_1!C16:K16)&gt;Dover_1!L16,"NON CONFORME","CONFORME")</f>
        <v>#REF!</v>
      </c>
      <c r="F502" s="129" t="e">
        <f ca="1">IF(MAX(Dover_2!C16:K16)&gt;Dover_2!L16,"NON CONFORME","CONFORME")</f>
        <v>#REF!</v>
      </c>
      <c r="G502" s="129" t="e">
        <f ca="1">IF(MAX(Dover_3!C16:K16)&gt;Dover_3!L16,"NON CONFORME","CONFORME")</f>
        <v>#REF!</v>
      </c>
    </row>
    <row r="503" spans="3:7" x14ac:dyDescent="0.25">
      <c r="C503" s="459" t="s">
        <v>241</v>
      </c>
      <c r="D503" s="460"/>
      <c r="E503" s="129" t="e">
        <f ca="1">IF(OR(Dover_1!C21&lt;Dover_1!L17,Dover_1!C21&gt;Dover_1!L16),"NON CONFORME","CONFORME")</f>
        <v>#REF!</v>
      </c>
      <c r="F503" s="129" t="e">
        <f ca="1">IF(OR(Dover_2!C21&lt;Dover_2!L17,Dover_2!C21&gt;Dover_2!L16),"NON CONFORME","CONFORME")</f>
        <v>#REF!</v>
      </c>
      <c r="G503" s="129" t="e">
        <f ca="1">IF(OR(Dover_3!C21&lt;Dover_3!L17,Dover_3!C21&gt;Dover_3!L16),"NON CONFORME","CONFORME")</f>
        <v>#REF!</v>
      </c>
    </row>
    <row r="504" spans="3:7" x14ac:dyDescent="0.25">
      <c r="C504" s="459" t="s">
        <v>220</v>
      </c>
      <c r="D504" s="460"/>
      <c r="E504" s="129" t="e">
        <f ca="1">(MAX(Dover_1!C16:K16)- MIN(Dover_1!C17:K17))/2</f>
        <v>#REF!</v>
      </c>
      <c r="F504" s="129" t="e">
        <f ca="1">(MAX(Dover_2!C16:K16)- MIN(Dover_2!C17:K17))/2</f>
        <v>#REF!</v>
      </c>
      <c r="G504" s="129" t="e">
        <f ca="1">(MAX(Dover_3!C16:K16)- MIN(Dover_3!C17:K17))/2</f>
        <v>#REF!</v>
      </c>
    </row>
  </sheetData>
  <sheetProtection algorithmName="SHA-512" hashValue="M+DxfP6YPZgw06xYA3lhByJ6d+i4OLF4pDJSt5OcRA8CJQ4+awD2lCW4tNxzGxAzYD3uRIXPS7v4xX7uCHUjwQ==" saltValue="5THxpxglLkcjDzEbsQm2sw==" spinCount="100000" sheet="1" objects="1" scenarios="1"/>
  <dataConsolidate/>
  <mergeCells count="54">
    <mergeCell ref="B437:J437"/>
    <mergeCell ref="B438:J438"/>
    <mergeCell ref="C504:D504"/>
    <mergeCell ref="B55:C55"/>
    <mergeCell ref="B141:I156"/>
    <mergeCell ref="B230:J230"/>
    <mergeCell ref="B231:J231"/>
    <mergeCell ref="C498:D498"/>
    <mergeCell ref="C499:D499"/>
    <mergeCell ref="C500:D500"/>
    <mergeCell ref="C501:D501"/>
    <mergeCell ref="C502:D502"/>
    <mergeCell ref="C503:D503"/>
    <mergeCell ref="B406:C406"/>
    <mergeCell ref="G401:I401"/>
    <mergeCell ref="B218:F218"/>
    <mergeCell ref="A412:A415"/>
    <mergeCell ref="B425:F425"/>
    <mergeCell ref="B428:C428"/>
    <mergeCell ref="A302:A305"/>
    <mergeCell ref="B316:F316"/>
    <mergeCell ref="B319:C319"/>
    <mergeCell ref="B328:J328"/>
    <mergeCell ref="B329:J329"/>
    <mergeCell ref="B221:C221"/>
    <mergeCell ref="G291:I291"/>
    <mergeCell ref="B296:C296"/>
    <mergeCell ref="B125:I140"/>
    <mergeCell ref="C159:H159"/>
    <mergeCell ref="C188:H188"/>
    <mergeCell ref="G192:I192"/>
    <mergeCell ref="B197:C197"/>
    <mergeCell ref="B284:F284"/>
    <mergeCell ref="A203:A206"/>
    <mergeCell ref="B112:F112"/>
    <mergeCell ref="C123:F123"/>
    <mergeCell ref="C99:D99"/>
    <mergeCell ref="C100:D100"/>
    <mergeCell ref="C101:D101"/>
    <mergeCell ref="C102:D102"/>
    <mergeCell ref="C103:D103"/>
    <mergeCell ref="C104:D104"/>
    <mergeCell ref="C98:D98"/>
    <mergeCell ref="B4:F6"/>
    <mergeCell ref="C10:D10"/>
    <mergeCell ref="E10:F10"/>
    <mergeCell ref="A28:B28"/>
    <mergeCell ref="A30:I47"/>
    <mergeCell ref="C51:F51"/>
    <mergeCell ref="C85:G85"/>
    <mergeCell ref="C94:H94"/>
    <mergeCell ref="C95:D95"/>
    <mergeCell ref="C96:D96"/>
    <mergeCell ref="C97:D97"/>
  </mergeCells>
  <conditionalFormatting sqref="E501">
    <cfRule type="containsText" dxfId="8" priority="10" operator="containsText" text="NON CONFORME">
      <formula>NOT(ISERROR(SEARCH("NON CONFORME",E501)))</formula>
    </cfRule>
  </conditionalFormatting>
  <conditionalFormatting sqref="E502">
    <cfRule type="containsText" dxfId="7" priority="9" operator="containsText" text="NON CONFORME">
      <formula>NOT(ISERROR(SEARCH("NON CONFORME",E502)))</formula>
    </cfRule>
  </conditionalFormatting>
  <conditionalFormatting sqref="F501">
    <cfRule type="containsText" dxfId="6" priority="8" operator="containsText" text="NON CONFORME">
      <formula>NOT(ISERROR(SEARCH("NON CONFORME",F501)))</formula>
    </cfRule>
  </conditionalFormatting>
  <conditionalFormatting sqref="F502">
    <cfRule type="containsText" dxfId="5" priority="7" operator="containsText" text="NON CONFORME">
      <formula>NOT(ISERROR(SEARCH("NON CONFORME",F502)))</formula>
    </cfRule>
  </conditionalFormatting>
  <conditionalFormatting sqref="G501">
    <cfRule type="containsText" dxfId="4" priority="6" operator="containsText" text="NON CONFORME">
      <formula>NOT(ISERROR(SEARCH("NON CONFORME",G501)))</formula>
    </cfRule>
  </conditionalFormatting>
  <conditionalFormatting sqref="G502">
    <cfRule type="containsText" dxfId="3" priority="5" operator="containsText" text="NON CONFORME">
      <formula>NOT(ISERROR(SEARCH("NON CONFORME",G502)))</formula>
    </cfRule>
  </conditionalFormatting>
  <conditionalFormatting sqref="E503">
    <cfRule type="containsText" dxfId="2" priority="3" operator="containsText" text="NON CONFORME">
      <formula>NOT(ISERROR(SEARCH("NON CONFORME",E503)))</formula>
    </cfRule>
  </conditionalFormatting>
  <conditionalFormatting sqref="F503">
    <cfRule type="containsText" dxfId="1" priority="2" operator="containsText" text="NON CONFORME">
      <formula>NOT(ISERROR(SEARCH("NON CONFORME",F503)))</formula>
    </cfRule>
  </conditionalFormatting>
  <conditionalFormatting sqref="G503">
    <cfRule type="containsText" dxfId="0" priority="1" operator="containsText" text="NON CONFORME">
      <formula>NOT(ISERROR(SEARCH("NON CONFORME",G503)))</formula>
    </cfRule>
  </conditionalFormatting>
  <pageMargins left="0.7" right="0.7" top="0.75" bottom="0.75" header="0.3" footer="0.3"/>
  <pageSetup paperSize="9" scale="23" orientation="portrait" r:id="rId1"/>
  <headerFooter>
    <oddFooter>&amp;RIMP 472 ind O du 07-02-2024 ( TUS de l'étuve de polymération ENATT)</oddFooter>
  </headerFooter>
  <rowBreaks count="14" manualBreakCount="14">
    <brk id="47" max="16383" man="1"/>
    <brk id="81" max="16383" man="1"/>
    <brk id="120" max="14" man="1"/>
    <brk id="155" max="16383" man="1"/>
    <brk id="184" max="16383" man="1"/>
    <brk id="211" max="16383" man="1"/>
    <brk id="243" max="16383" man="1"/>
    <brk id="280" max="14" man="1"/>
    <brk id="309" max="14" man="1"/>
    <brk id="339" max="14" man="1"/>
    <brk id="390" max="14" man="1"/>
    <brk id="418" max="14" man="1"/>
    <brk id="444" max="14" man="1"/>
    <brk id="485" max="14"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47</vt:i4>
      </vt:variant>
      <vt:variant>
        <vt:lpstr>Plages nommées</vt:lpstr>
      </vt:variant>
      <vt:variant>
        <vt:i4>63</vt:i4>
      </vt:variant>
    </vt:vector>
  </HeadingPairs>
  <TitlesOfParts>
    <vt:vector size="110" baseType="lpstr">
      <vt:lpstr>Group-1</vt:lpstr>
      <vt:lpstr>Entete</vt:lpstr>
      <vt:lpstr>Choose_TUS</vt:lpstr>
      <vt:lpstr>Mesures_Four</vt:lpstr>
      <vt:lpstr>transfert 80</vt:lpstr>
      <vt:lpstr>transfert 200</vt:lpstr>
      <vt:lpstr>transfert 385</vt:lpstr>
      <vt:lpstr>transfert 535</vt:lpstr>
      <vt:lpstr>Four 80</vt:lpstr>
      <vt:lpstr>Four 200</vt:lpstr>
      <vt:lpstr>Four 385</vt:lpstr>
      <vt:lpstr>Four 535</vt:lpstr>
      <vt:lpstr>80°C</vt:lpstr>
      <vt:lpstr>200°C</vt:lpstr>
      <vt:lpstr>385°C</vt:lpstr>
      <vt:lpstr>535°C</vt:lpstr>
      <vt:lpstr>Four_PV</vt:lpstr>
      <vt:lpstr>Mesures_Ressuage_BCH</vt:lpstr>
      <vt:lpstr>Donnee_Ressuage_BCH</vt:lpstr>
      <vt:lpstr>Ressuage_BCH</vt:lpstr>
      <vt:lpstr>Ressuage_PV_BCH</vt:lpstr>
      <vt:lpstr>Verif_periodique_Ressuage_BCH</vt:lpstr>
      <vt:lpstr>Mesures_Congel</vt:lpstr>
      <vt:lpstr>Donnee_Congel</vt:lpstr>
      <vt:lpstr>Congel</vt:lpstr>
      <vt:lpstr>Congel_PV</vt:lpstr>
      <vt:lpstr>Verif_periodique_Congel</vt:lpstr>
      <vt:lpstr>Mesures_Sechoir</vt:lpstr>
      <vt:lpstr>Donnee_Sechoir</vt:lpstr>
      <vt:lpstr>Sechoir</vt:lpstr>
      <vt:lpstr>Sechoir_PV</vt:lpstr>
      <vt:lpstr>Mesures_Omia</vt:lpstr>
      <vt:lpstr>Donnee_Omia_1</vt:lpstr>
      <vt:lpstr>Donnee_Omia_2</vt:lpstr>
      <vt:lpstr>Donnee_Omia_3</vt:lpstr>
      <vt:lpstr>Omia_1</vt:lpstr>
      <vt:lpstr>Omia_2</vt:lpstr>
      <vt:lpstr>Omia_3</vt:lpstr>
      <vt:lpstr>Omia_PV</vt:lpstr>
      <vt:lpstr>Mesures_Dover</vt:lpstr>
      <vt:lpstr>Donnee_Dover_1</vt:lpstr>
      <vt:lpstr>Donnee_Dover_2</vt:lpstr>
      <vt:lpstr>Donnee_Dover_3</vt:lpstr>
      <vt:lpstr>Dover_1</vt:lpstr>
      <vt:lpstr>Dover_2</vt:lpstr>
      <vt:lpstr>Dover_3</vt:lpstr>
      <vt:lpstr>Dover_PV</vt:lpstr>
      <vt:lpstr>Mesures_Congel!Consignes</vt:lpstr>
      <vt:lpstr>Mesures_Ressuage_BCH!Consignes</vt:lpstr>
      <vt:lpstr>Entete_Congel</vt:lpstr>
      <vt:lpstr>Entete_DOVER</vt:lpstr>
      <vt:lpstr>Entete_Etuve_Sechoir</vt:lpstr>
      <vt:lpstr>Entete_OMIA</vt:lpstr>
      <vt:lpstr>Entete_Ressuage_BCH</vt:lpstr>
      <vt:lpstr>Entêtes_Four</vt:lpstr>
      <vt:lpstr>Entêtes_Transfert</vt:lpstr>
      <vt:lpstr>Mesures_Congel!IMP</vt:lpstr>
      <vt:lpstr>Mesures_Dover!IMP</vt:lpstr>
      <vt:lpstr>Mesures_Four!IMP</vt:lpstr>
      <vt:lpstr>Mesures_Omia!IMP</vt:lpstr>
      <vt:lpstr>Mesures_Ressuage_BCH!IMP</vt:lpstr>
      <vt:lpstr>Mesures_Sechoir!IMP</vt:lpstr>
      <vt:lpstr>'200°C'!MT1_30</vt:lpstr>
      <vt:lpstr>'385°C'!MT1_30</vt:lpstr>
      <vt:lpstr>'535°C'!MT1_30</vt:lpstr>
      <vt:lpstr>'80°C'!MT1_30</vt:lpstr>
      <vt:lpstr>Congel!MT1_30</vt:lpstr>
      <vt:lpstr>Dover_1!MT1_30</vt:lpstr>
      <vt:lpstr>Dover_2!MT1_30</vt:lpstr>
      <vt:lpstr>Dover_3!MT1_30</vt:lpstr>
      <vt:lpstr>Omia_1!MT1_30</vt:lpstr>
      <vt:lpstr>Omia_2!MT1_30</vt:lpstr>
      <vt:lpstr>Omia_3!MT1_30</vt:lpstr>
      <vt:lpstr>Ressuage_BCH!MT1_30</vt:lpstr>
      <vt:lpstr>Sechoir!MT1_30</vt:lpstr>
      <vt:lpstr>'200°C'!MT2_30</vt:lpstr>
      <vt:lpstr>'385°C'!MT2_30</vt:lpstr>
      <vt:lpstr>'535°C'!MT2_30</vt:lpstr>
      <vt:lpstr>'80°C'!MT2_30</vt:lpstr>
      <vt:lpstr>Congel!MT2_30</vt:lpstr>
      <vt:lpstr>Dover_1!MT2_30</vt:lpstr>
      <vt:lpstr>Dover_2!MT2_30</vt:lpstr>
      <vt:lpstr>Dover_3!MT2_30</vt:lpstr>
      <vt:lpstr>Omia_1!MT2_30</vt:lpstr>
      <vt:lpstr>Omia_2!MT2_30</vt:lpstr>
      <vt:lpstr>Omia_3!MT2_30</vt:lpstr>
      <vt:lpstr>Ressuage_BCH!MT2_30</vt:lpstr>
      <vt:lpstr>Sechoir!MT2_30</vt:lpstr>
      <vt:lpstr>NomDoc</vt:lpstr>
      <vt:lpstr>'200°C'!test_propagation</vt:lpstr>
      <vt:lpstr>'385°C'!test_propagation</vt:lpstr>
      <vt:lpstr>'535°C'!test_propagation</vt:lpstr>
      <vt:lpstr>'80°C'!test_propagation</vt:lpstr>
      <vt:lpstr>Congel!test_propagation</vt:lpstr>
      <vt:lpstr>Dover_1!test_propagation</vt:lpstr>
      <vt:lpstr>Dover_2!test_propagation</vt:lpstr>
      <vt:lpstr>Dover_3!test_propagation</vt:lpstr>
      <vt:lpstr>Omia_1!test_propagation</vt:lpstr>
      <vt:lpstr>Omia_2!test_propagation</vt:lpstr>
      <vt:lpstr>Omia_3!test_propagation</vt:lpstr>
      <vt:lpstr>Ressuage_BCH!test_propagation</vt:lpstr>
      <vt:lpstr>Sechoir!test_propagation</vt:lpstr>
      <vt:lpstr>Mesures_Congel!Tolérances_TUS</vt:lpstr>
      <vt:lpstr>Mesures_Ressuage_BCH!Tolérances_TUS</vt:lpstr>
      <vt:lpstr>Dover_PV!Zone_d_impression</vt:lpstr>
      <vt:lpstr>Four_PV!Zone_d_impression</vt:lpstr>
      <vt:lpstr>Omia_PV!Zone_d_impression</vt:lpstr>
      <vt:lpstr>Ressuage_PV_BCH!Zone_d_impression</vt:lpstr>
      <vt:lpstr>Sechoir_PV!Zone_d_impression</vt:lpstr>
      <vt:lpstr>Verif_periodique_Ressuage_BCH!Zone_d_impression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BERNE</dc:creator>
  <cp:lastModifiedBy>Paul BERNE</cp:lastModifiedBy>
  <cp:lastPrinted>2024-02-19T07:49:15Z</cp:lastPrinted>
  <dcterms:created xsi:type="dcterms:W3CDTF">2015-06-05T18:19:34Z</dcterms:created>
  <dcterms:modified xsi:type="dcterms:W3CDTF">2024-02-23T09:37:34Z</dcterms:modified>
</cp:coreProperties>
</file>