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ulclas/Desktop/"/>
    </mc:Choice>
  </mc:AlternateContent>
  <xr:revisionPtr revIDLastSave="0" documentId="13_ncr:1_{51E9F7C8-1540-9440-8AFC-0DCD236C8BC2}" xr6:coauthVersionLast="45" xr6:coauthVersionMax="45" xr10:uidLastSave="{00000000-0000-0000-0000-000000000000}"/>
  <bookViews>
    <workbookView xWindow="0" yWindow="460" windowWidth="28800" windowHeight="16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D25" i="1"/>
  <c r="F25" i="1" s="1"/>
  <c r="I24" i="1"/>
  <c r="H24" i="1"/>
  <c r="F24" i="1"/>
  <c r="E24" i="1"/>
  <c r="E25" i="1" s="1"/>
  <c r="C24" i="1"/>
  <c r="L20" i="1"/>
  <c r="H20" i="1"/>
  <c r="E20" i="1"/>
  <c r="C20" i="1"/>
  <c r="L19" i="1"/>
  <c r="H19" i="1"/>
  <c r="C19" i="1"/>
  <c r="M18" i="1"/>
  <c r="J18" i="1"/>
  <c r="K18" i="1" s="1"/>
  <c r="H18" i="1"/>
  <c r="C18" i="1"/>
  <c r="M17" i="1"/>
  <c r="L17" i="1"/>
  <c r="H17" i="1"/>
  <c r="C17" i="1"/>
  <c r="M16" i="1"/>
  <c r="L16" i="1"/>
  <c r="H16" i="1"/>
  <c r="C16" i="1"/>
  <c r="N12" i="1"/>
  <c r="M20" i="1" s="1"/>
  <c r="L12" i="1"/>
  <c r="L18" i="1" s="1"/>
  <c r="C11" i="1"/>
  <c r="C10" i="1"/>
  <c r="O9" i="1"/>
  <c r="J16" i="1" s="1"/>
  <c r="K16" i="1" s="1"/>
  <c r="C9" i="1"/>
  <c r="C8" i="1"/>
  <c r="D7" i="1"/>
  <c r="C7" i="1"/>
  <c r="C6" i="1"/>
  <c r="C5" i="1"/>
  <c r="G24" i="1" l="1"/>
  <c r="L24" i="1"/>
  <c r="K24" i="1"/>
  <c r="M26" i="1" s="1"/>
  <c r="D8" i="1"/>
  <c r="E7" i="1"/>
  <c r="K7" i="1" s="1"/>
  <c r="D11" i="1"/>
  <c r="J17" i="1"/>
  <c r="K17" i="1" s="1"/>
  <c r="D10" i="1"/>
  <c r="N19" i="1"/>
  <c r="N20" i="1"/>
  <c r="D5" i="1"/>
  <c r="D9" i="1"/>
  <c r="N18" i="1"/>
  <c r="N17" i="1"/>
  <c r="N16" i="1"/>
  <c r="J19" i="1"/>
  <c r="K19" i="1" s="1"/>
  <c r="J20" i="1"/>
  <c r="K20" i="1" s="1"/>
  <c r="G26" i="1"/>
  <c r="D6" i="1"/>
  <c r="I7" i="1"/>
  <c r="J7" i="1" s="1"/>
  <c r="M19" i="1"/>
  <c r="E11" i="1" l="1"/>
  <c r="K11" i="1"/>
  <c r="I11" i="1"/>
  <c r="J11" i="1" s="1"/>
  <c r="I9" i="1"/>
  <c r="E9" i="1"/>
  <c r="K9" i="1"/>
  <c r="K6" i="1"/>
  <c r="I6" i="1"/>
  <c r="J6" i="1" s="1"/>
  <c r="E6" i="1"/>
  <c r="M24" i="1"/>
  <c r="K8" i="1"/>
  <c r="E8" i="1"/>
  <c r="I8" i="1"/>
  <c r="J8" i="1" s="1"/>
  <c r="I5" i="1"/>
  <c r="E5" i="1"/>
  <c r="K5" i="1"/>
  <c r="I10" i="1"/>
  <c r="J10" i="1" s="1"/>
  <c r="E10" i="1"/>
  <c r="K10" i="1" s="1"/>
  <c r="J9" i="1" l="1"/>
  <c r="J5" i="1"/>
</calcChain>
</file>

<file path=xl/sharedStrings.xml><?xml version="1.0" encoding="utf-8"?>
<sst xmlns="http://schemas.openxmlformats.org/spreadsheetml/2006/main" count="67" uniqueCount="56">
  <si>
    <t>Tableau II.1 : ε à une fréquence constante (f = 2400 rpm = 40 Hz)</t>
  </si>
  <si>
    <t>Expérimentale</t>
  </si>
  <si>
    <t>Théorique</t>
  </si>
  <si>
    <t>I (A)</t>
  </si>
  <si>
    <t>± ΔI (A)</t>
  </si>
  <si>
    <t>B (mT)</t>
  </si>
  <si>
    <t>± ΔB (mT)</t>
  </si>
  <si>
    <t>Échelle verticale de l'oscilloscope (mV/div)</t>
  </si>
  <si>
    <t>ε (mV)</t>
  </si>
  <si>
    <t>± Δε (mV)</t>
  </si>
  <si>
    <t>T (ms)</t>
  </si>
  <si>
    <t>± ΔT (ms)</t>
  </si>
  <si>
    <t>R(CH)  (ohm)</t>
  </si>
  <si>
    <t>± ΔR(CH) (ohm)</t>
  </si>
  <si>
    <t>Rayon (mm)</t>
  </si>
  <si>
    <t>± ΔR(mm)</t>
  </si>
  <si>
    <t>0,5</t>
  </si>
  <si>
    <t>r(mm)</t>
  </si>
  <si>
    <t>± Δr(mm)</t>
  </si>
  <si>
    <t>Perméatibilité du vide</t>
  </si>
  <si>
    <t>Δε=nwBΔA + nwAΔB</t>
  </si>
  <si>
    <t>4Pi*10^-7</t>
  </si>
  <si>
    <t>A</t>
  </si>
  <si>
    <t>Formule A</t>
  </si>
  <si>
    <t>ΔA</t>
  </si>
  <si>
    <t>w</t>
  </si>
  <si>
    <t>Formule w</t>
  </si>
  <si>
    <t>N</t>
  </si>
  <si>
    <t>n</t>
  </si>
  <si>
    <t>Pi*(0.015)^2</t>
  </si>
  <si>
    <t>2*pi*40</t>
  </si>
  <si>
    <t>2*PI*r*Δr</t>
  </si>
  <si>
    <t>Tableau II.2 : ε à champ B constant (I = 3.0 A)</t>
  </si>
  <si>
    <t>Fréquence de rotation f (Hz)</t>
  </si>
  <si>
    <t>± Δf (Hz)</t>
  </si>
  <si>
    <t>Période p (ms)</t>
  </si>
  <si>
    <t>± Δp(ms)</t>
  </si>
  <si>
    <t>Échelle horizontale de l'oscilloscope (ms/div)</t>
  </si>
  <si>
    <t>Échelle horizontale de l'oscilloscope (mV/div)</t>
  </si>
  <si>
    <t>A(m^2)</t>
  </si>
  <si>
    <t>ΔA(m^2)</t>
  </si>
  <si>
    <t>B (T)</t>
  </si>
  <si>
    <t>Tableau II.3 : Le rendement η pour I = 3.0A et f = 2400 rpm = 40 Hz</t>
  </si>
  <si>
    <t>V (V)</t>
  </si>
  <si>
    <t>± ΔV (V)</t>
  </si>
  <si>
    <t>I (mA)</t>
  </si>
  <si>
    <t>± ΔI (mA)</t>
  </si>
  <si>
    <t>P(W)</t>
  </si>
  <si>
    <t>± ΔP (W)</t>
  </si>
  <si>
    <t>P (W)</t>
  </si>
  <si>
    <t>n (%)</t>
  </si>
  <si>
    <t>± Δn(%)</t>
  </si>
  <si>
    <t>4.13*10^-4</t>
  </si>
  <si>
    <t>1.79*10^-6</t>
  </si>
  <si>
    <t>1.10*10^-2</t>
  </si>
  <si>
    <t>6.3*10^-5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</si>
</sst>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000"/>
    <numFmt numFmtId="167" formatCode="0.000"/>
    <numFmt numFmtId="168" formatCode="0.0000000000"/>
  </numFmts>
  <fonts count="9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Roboto"/>
    </font>
    <font>
      <sz val="11"/>
      <color rgb="FF1155CC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/>
    <xf numFmtId="0" fontId="4" fillId="2" borderId="0" xfId="0" applyFont="1" applyFill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0" xfId="0" applyFont="1" applyFill="1" applyAlignment="1"/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/>
    <xf numFmtId="0" fontId="4" fillId="2" borderId="3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167" fontId="2" fillId="0" borderId="3" xfId="0" applyNumberFormat="1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0" fontId="8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S26"/>
  <sheetViews>
    <sheetView tabSelected="1" workbookViewId="0">
      <selection activeCell="B23" sqref="B23:M24"/>
    </sheetView>
  </sheetViews>
  <sheetFormatPr baseColWidth="10" defaultColWidth="14.5" defaultRowHeight="15.75" customHeight="1"/>
  <cols>
    <col min="6" max="6" width="16" customWidth="1"/>
    <col min="8" max="8" width="13.1640625" customWidth="1"/>
    <col min="9" max="9" width="21.5" customWidth="1"/>
  </cols>
  <sheetData>
    <row r="3" spans="2:19" ht="13">
      <c r="B3" s="1" t="s">
        <v>0</v>
      </c>
      <c r="C3" s="2"/>
      <c r="D3" s="2"/>
      <c r="E3" s="2"/>
      <c r="F3" s="2"/>
      <c r="G3" s="28" t="s">
        <v>1</v>
      </c>
      <c r="H3" s="29"/>
      <c r="I3" s="28" t="s">
        <v>2</v>
      </c>
      <c r="J3" s="29"/>
    </row>
    <row r="4" spans="2:19" ht="45.75" customHeight="1">
      <c r="B4" s="3" t="s">
        <v>3</v>
      </c>
      <c r="C4" s="4" t="s">
        <v>4</v>
      </c>
      <c r="D4" s="5" t="s">
        <v>5</v>
      </c>
      <c r="E4" s="3" t="s">
        <v>6</v>
      </c>
      <c r="F4" s="6" t="s">
        <v>7</v>
      </c>
      <c r="G4" s="4" t="s">
        <v>8</v>
      </c>
      <c r="H4" s="4" t="s">
        <v>9</v>
      </c>
      <c r="I4" s="4" t="s">
        <v>8</v>
      </c>
      <c r="J4" s="4" t="s">
        <v>9</v>
      </c>
      <c r="L4" s="3" t="s">
        <v>10</v>
      </c>
      <c r="M4" s="4" t="s">
        <v>11</v>
      </c>
      <c r="O4" s="3" t="s">
        <v>12</v>
      </c>
      <c r="P4" s="4" t="s">
        <v>13</v>
      </c>
      <c r="R4" s="7" t="s">
        <v>14</v>
      </c>
      <c r="S4" s="8" t="s">
        <v>15</v>
      </c>
    </row>
    <row r="5" spans="2:19" ht="13">
      <c r="B5" s="3">
        <v>0.54</v>
      </c>
      <c r="C5" s="9">
        <f t="shared" ref="C5:C11" si="0">((1/100)*B5)+3*(0.01)</f>
        <v>3.5400000000000001E-2</v>
      </c>
      <c r="D5" s="10">
        <f t="shared" ref="D5:D11" si="1">((0.72*$O$9*($Q$12*B5))/($R$5*10^-3))*10^3</f>
        <v>0.48872159999999998</v>
      </c>
      <c r="E5" s="10">
        <f t="shared" ref="E5:E11" si="2">D5*((C5/B5)+($S$5/$R$5))</f>
        <v>4.1812847999999993E-2</v>
      </c>
      <c r="F5" s="3">
        <v>50</v>
      </c>
      <c r="G5" s="3">
        <v>94</v>
      </c>
      <c r="H5" s="3">
        <v>10</v>
      </c>
      <c r="I5" s="11">
        <f t="shared" ref="I5:I11" si="3">$R$12*$O$12*$L$12*D5</f>
        <v>87.206113883520004</v>
      </c>
      <c r="J5" s="12">
        <f t="shared" ref="J5:J11" si="4">I5*((2*$S$8/$R$8)+(E5/D5))</f>
        <v>19.088449372281602</v>
      </c>
      <c r="K5" s="13">
        <f t="shared" ref="K5:K11" si="5">$R$12*$O$12*D5*$N$12+$R$12*$O$12*$L$12*E5</f>
        <v>19.037026424376577</v>
      </c>
      <c r="L5" s="3">
        <v>25</v>
      </c>
      <c r="M5" s="3" t="s">
        <v>16</v>
      </c>
      <c r="O5" s="3">
        <v>100</v>
      </c>
      <c r="P5" s="3">
        <v>1</v>
      </c>
      <c r="R5" s="7">
        <v>100</v>
      </c>
      <c r="S5" s="7">
        <v>2</v>
      </c>
    </row>
    <row r="6" spans="2:19" ht="13">
      <c r="B6" s="3">
        <v>1.05</v>
      </c>
      <c r="C6" s="9">
        <f t="shared" si="0"/>
        <v>4.0500000000000001E-2</v>
      </c>
      <c r="D6" s="10">
        <f t="shared" si="1"/>
        <v>0.95029199999999991</v>
      </c>
      <c r="E6" s="10">
        <f t="shared" si="2"/>
        <v>5.5659959999999988E-2</v>
      </c>
      <c r="F6" s="3">
        <v>50</v>
      </c>
      <c r="G6" s="3">
        <v>166</v>
      </c>
      <c r="H6" s="3">
        <v>10</v>
      </c>
      <c r="I6" s="11">
        <f t="shared" si="3"/>
        <v>169.5674436624</v>
      </c>
      <c r="J6" s="12">
        <f t="shared" si="4"/>
        <v>32.540799902831999</v>
      </c>
      <c r="K6" s="13">
        <f t="shared" si="5"/>
        <v>32.440810837461115</v>
      </c>
      <c r="L6" s="14"/>
      <c r="M6" s="14"/>
    </row>
    <row r="7" spans="2:19" ht="14">
      <c r="B7" s="9">
        <v>1.5</v>
      </c>
      <c r="C7" s="9">
        <f t="shared" si="0"/>
        <v>4.4999999999999998E-2</v>
      </c>
      <c r="D7" s="10">
        <f t="shared" si="1"/>
        <v>1.3575600000000001</v>
      </c>
      <c r="E7" s="10">
        <f t="shared" si="2"/>
        <v>6.7878000000000008E-2</v>
      </c>
      <c r="F7" s="3">
        <v>100</v>
      </c>
      <c r="G7" s="3">
        <v>239</v>
      </c>
      <c r="H7" s="3">
        <v>20</v>
      </c>
      <c r="I7" s="11">
        <f t="shared" si="3"/>
        <v>242.23920523200005</v>
      </c>
      <c r="J7" s="12">
        <f t="shared" si="4"/>
        <v>44.410520959200014</v>
      </c>
      <c r="K7" s="13">
        <f t="shared" si="5"/>
        <v>44.267679437241604</v>
      </c>
      <c r="L7" s="14"/>
      <c r="M7" s="14"/>
      <c r="R7" s="7" t="s">
        <v>17</v>
      </c>
      <c r="S7" s="15" t="s">
        <v>18</v>
      </c>
    </row>
    <row r="8" spans="2:19" ht="13">
      <c r="B8" s="3">
        <v>2.04</v>
      </c>
      <c r="C8" s="9">
        <f t="shared" si="0"/>
        <v>5.04E-2</v>
      </c>
      <c r="D8" s="10">
        <f t="shared" si="1"/>
        <v>1.8462815999999997</v>
      </c>
      <c r="E8" s="10">
        <f t="shared" si="2"/>
        <v>8.2539647999999993E-2</v>
      </c>
      <c r="F8" s="3">
        <v>100</v>
      </c>
      <c r="G8" s="3">
        <v>315</v>
      </c>
      <c r="H8" s="3">
        <v>20</v>
      </c>
      <c r="I8" s="11">
        <f t="shared" si="3"/>
        <v>329.44531911551996</v>
      </c>
      <c r="J8" s="12">
        <f t="shared" si="4"/>
        <v>58.654186226841595</v>
      </c>
      <c r="K8" s="13">
        <f t="shared" si="5"/>
        <v>58.459921756978162</v>
      </c>
      <c r="L8" s="14"/>
      <c r="M8" s="14"/>
      <c r="O8" s="7" t="s">
        <v>19</v>
      </c>
      <c r="R8" s="7">
        <v>15</v>
      </c>
      <c r="S8" s="7">
        <v>1</v>
      </c>
    </row>
    <row r="9" spans="2:19" ht="13">
      <c r="B9" s="3">
        <v>2.5499999999999998</v>
      </c>
      <c r="C9" s="9">
        <f t="shared" si="0"/>
        <v>5.5499999999999994E-2</v>
      </c>
      <c r="D9" s="10">
        <f t="shared" si="1"/>
        <v>2.3078519999999996</v>
      </c>
      <c r="E9" s="10">
        <f t="shared" si="2"/>
        <v>9.6386759999999974E-2</v>
      </c>
      <c r="F9" s="3">
        <v>200</v>
      </c>
      <c r="G9" s="3">
        <v>394</v>
      </c>
      <c r="H9" s="3">
        <v>40</v>
      </c>
      <c r="I9" s="11">
        <f t="shared" si="3"/>
        <v>411.80664889439998</v>
      </c>
      <c r="J9" s="12">
        <f t="shared" si="4"/>
        <v>72.106536757392007</v>
      </c>
      <c r="K9" s="13">
        <f t="shared" si="5"/>
        <v>71.863706170062713</v>
      </c>
      <c r="L9" s="14"/>
      <c r="M9" s="7" t="s">
        <v>20</v>
      </c>
      <c r="O9" s="13">
        <f>0.000001257</f>
        <v>1.257E-6</v>
      </c>
      <c r="P9" s="7" t="s">
        <v>21</v>
      </c>
    </row>
    <row r="10" spans="2:19" ht="13">
      <c r="B10" s="9">
        <v>3</v>
      </c>
      <c r="C10" s="9">
        <f t="shared" si="0"/>
        <v>0.06</v>
      </c>
      <c r="D10" s="10">
        <f t="shared" si="1"/>
        <v>2.7151200000000002</v>
      </c>
      <c r="E10" s="10">
        <f t="shared" si="2"/>
        <v>0.10860480000000002</v>
      </c>
      <c r="F10" s="3">
        <v>200</v>
      </c>
      <c r="G10" s="3">
        <v>476</v>
      </c>
      <c r="H10" s="3">
        <v>40</v>
      </c>
      <c r="I10" s="11">
        <f t="shared" si="3"/>
        <v>484.47841046400009</v>
      </c>
      <c r="J10" s="12">
        <f t="shared" si="4"/>
        <v>83.976257813760014</v>
      </c>
      <c r="K10" s="13">
        <f t="shared" si="5"/>
        <v>83.690574769843209</v>
      </c>
      <c r="L10" s="14"/>
      <c r="M10" s="14"/>
    </row>
    <row r="11" spans="2:19" ht="13">
      <c r="B11" s="3">
        <v>3.53</v>
      </c>
      <c r="C11" s="9">
        <f t="shared" si="0"/>
        <v>6.5299999999999997E-2</v>
      </c>
      <c r="D11" s="10">
        <f t="shared" si="1"/>
        <v>3.1947911999999996</v>
      </c>
      <c r="E11" s="10">
        <f t="shared" si="2"/>
        <v>0.12299493599999997</v>
      </c>
      <c r="F11" s="3">
        <v>200</v>
      </c>
      <c r="G11" s="3">
        <v>535</v>
      </c>
      <c r="H11" s="3">
        <v>40</v>
      </c>
      <c r="I11" s="11">
        <f t="shared" si="3"/>
        <v>570.06959631263999</v>
      </c>
      <c r="J11" s="12">
        <f t="shared" si="4"/>
        <v>97.956151502371185</v>
      </c>
      <c r="K11" s="13">
        <f t="shared" si="5"/>
        <v>97.619997787362422</v>
      </c>
      <c r="L11" s="7" t="s">
        <v>22</v>
      </c>
      <c r="M11" s="16" t="s">
        <v>23</v>
      </c>
      <c r="N11" s="17" t="s">
        <v>24</v>
      </c>
      <c r="O11" s="16" t="s">
        <v>25</v>
      </c>
      <c r="P11" s="7" t="s">
        <v>26</v>
      </c>
      <c r="Q11" s="3" t="s">
        <v>27</v>
      </c>
      <c r="R11" s="7" t="s">
        <v>28</v>
      </c>
    </row>
    <row r="12" spans="2:19" ht="13">
      <c r="L12" s="13">
        <f>7.1*10^-4</f>
        <v>7.1000000000000002E-4</v>
      </c>
      <c r="M12" s="7" t="s">
        <v>29</v>
      </c>
      <c r="N12" s="7">
        <f>9.4248*10^-5</f>
        <v>9.4247999999999996E-5</v>
      </c>
      <c r="O12" s="7">
        <v>251.32</v>
      </c>
      <c r="P12" s="7" t="s">
        <v>30</v>
      </c>
      <c r="Q12" s="3">
        <v>100</v>
      </c>
      <c r="R12" s="7">
        <v>1000</v>
      </c>
    </row>
    <row r="13" spans="2:19" ht="13">
      <c r="N13" s="7" t="s">
        <v>31</v>
      </c>
    </row>
    <row r="14" spans="2:19" ht="13">
      <c r="B14" s="18" t="s">
        <v>32</v>
      </c>
      <c r="G14" s="28" t="s">
        <v>1</v>
      </c>
      <c r="H14" s="29"/>
      <c r="J14" s="28" t="s">
        <v>2</v>
      </c>
      <c r="K14" s="29"/>
    </row>
    <row r="15" spans="2:19" ht="27.75" customHeight="1">
      <c r="B15" s="6" t="s">
        <v>33</v>
      </c>
      <c r="C15" s="3" t="s">
        <v>34</v>
      </c>
      <c r="D15" s="3" t="s">
        <v>35</v>
      </c>
      <c r="E15" s="19" t="s">
        <v>36</v>
      </c>
      <c r="F15" s="6" t="s">
        <v>37</v>
      </c>
      <c r="G15" s="4" t="s">
        <v>8</v>
      </c>
      <c r="H15" s="4" t="s">
        <v>9</v>
      </c>
      <c r="I15" s="6" t="s">
        <v>38</v>
      </c>
      <c r="J15" s="4" t="s">
        <v>8</v>
      </c>
      <c r="K15" s="4" t="s">
        <v>9</v>
      </c>
      <c r="L15" s="7" t="s">
        <v>39</v>
      </c>
      <c r="M15" s="7" t="s">
        <v>40</v>
      </c>
      <c r="N15" s="7" t="s">
        <v>41</v>
      </c>
    </row>
    <row r="16" spans="2:19" ht="13">
      <c r="B16" s="3">
        <v>20</v>
      </c>
      <c r="C16" s="20">
        <f t="shared" ref="C16:C20" si="6">(B16*(E16/D16))</f>
        <v>0.4</v>
      </c>
      <c r="D16" s="3">
        <v>50</v>
      </c>
      <c r="E16" s="21">
        <v>1</v>
      </c>
      <c r="F16" s="3">
        <v>5</v>
      </c>
      <c r="G16" s="3">
        <v>237</v>
      </c>
      <c r="H16" s="22">
        <f t="shared" ref="H16:H20" si="7">I16/5</f>
        <v>20</v>
      </c>
      <c r="I16" s="3">
        <v>100</v>
      </c>
      <c r="J16" s="12">
        <f t="shared" ref="J16:J20" si="8">$R$12*2*PI()*B16*PI()*$R$8^2*0.72*$O$9*(($Q$12*3)/$R$5)</f>
        <v>241.1744427133716</v>
      </c>
      <c r="K16" s="12">
        <f t="shared" ref="K16:K20" si="9">J16*(C16/B16)</f>
        <v>4.8234888542674321</v>
      </c>
      <c r="L16" s="23">
        <f t="shared" ref="L16:L20" si="10">$L$12</f>
        <v>7.1000000000000002E-4</v>
      </c>
      <c r="M16" s="24">
        <f t="shared" ref="M16:M20" si="11">$N$12</f>
        <v>9.4247999999999996E-5</v>
      </c>
      <c r="N16" s="13">
        <f t="shared" ref="N16:N20" si="12">0.72*$O$9*$Q$12*$O$16/$R$5*10^3</f>
        <v>2.7151200000000001E-3</v>
      </c>
      <c r="O16" s="7">
        <v>3</v>
      </c>
    </row>
    <row r="17" spans="2:14" ht="13">
      <c r="B17" s="3">
        <v>25</v>
      </c>
      <c r="C17" s="20">
        <f t="shared" si="6"/>
        <v>0.6097560975609756</v>
      </c>
      <c r="D17" s="3">
        <v>41</v>
      </c>
      <c r="E17" s="21">
        <v>1</v>
      </c>
      <c r="F17" s="3">
        <v>5</v>
      </c>
      <c r="G17" s="3">
        <v>286</v>
      </c>
      <c r="H17" s="22">
        <f t="shared" si="7"/>
        <v>20</v>
      </c>
      <c r="I17" s="3">
        <v>100</v>
      </c>
      <c r="J17" s="12">
        <f t="shared" si="8"/>
        <v>301.46805339171448</v>
      </c>
      <c r="K17" s="12">
        <f t="shared" si="9"/>
        <v>7.3528793510174264</v>
      </c>
      <c r="L17" s="23">
        <f t="shared" si="10"/>
        <v>7.1000000000000002E-4</v>
      </c>
      <c r="M17" s="24">
        <f t="shared" si="11"/>
        <v>9.4247999999999996E-5</v>
      </c>
      <c r="N17" s="13">
        <f t="shared" si="12"/>
        <v>2.7151200000000001E-3</v>
      </c>
    </row>
    <row r="18" spans="2:14" ht="13">
      <c r="B18" s="3">
        <v>40</v>
      </c>
      <c r="C18" s="20">
        <f t="shared" si="6"/>
        <v>0.64</v>
      </c>
      <c r="D18" s="11">
        <v>25</v>
      </c>
      <c r="E18" s="3">
        <v>0.4</v>
      </c>
      <c r="F18" s="3">
        <v>2</v>
      </c>
      <c r="G18" s="3">
        <v>476</v>
      </c>
      <c r="H18" s="22">
        <f t="shared" si="7"/>
        <v>40</v>
      </c>
      <c r="I18" s="3">
        <v>200</v>
      </c>
      <c r="J18" s="12">
        <f t="shared" si="8"/>
        <v>482.34888542674321</v>
      </c>
      <c r="K18" s="12">
        <f t="shared" si="9"/>
        <v>7.7175821668278912</v>
      </c>
      <c r="L18" s="23">
        <f t="shared" si="10"/>
        <v>7.1000000000000002E-4</v>
      </c>
      <c r="M18" s="24">
        <f t="shared" si="11"/>
        <v>9.4247999999999996E-5</v>
      </c>
      <c r="N18" s="13">
        <f t="shared" si="12"/>
        <v>2.7151200000000001E-3</v>
      </c>
    </row>
    <row r="19" spans="2:14" ht="13">
      <c r="B19" s="3">
        <v>50</v>
      </c>
      <c r="C19" s="20">
        <f t="shared" si="6"/>
        <v>0.67796610169491534</v>
      </c>
      <c r="D19" s="3">
        <v>29.5</v>
      </c>
      <c r="E19" s="3">
        <v>0.4</v>
      </c>
      <c r="F19" s="3">
        <v>2</v>
      </c>
      <c r="G19" s="3">
        <v>590</v>
      </c>
      <c r="H19" s="22">
        <f t="shared" si="7"/>
        <v>40</v>
      </c>
      <c r="I19" s="3">
        <v>200</v>
      </c>
      <c r="J19" s="12">
        <f t="shared" si="8"/>
        <v>602.93610678342895</v>
      </c>
      <c r="K19" s="12">
        <f t="shared" si="9"/>
        <v>8.1754048377414108</v>
      </c>
      <c r="L19" s="23">
        <f t="shared" si="10"/>
        <v>7.1000000000000002E-4</v>
      </c>
      <c r="M19" s="24">
        <f t="shared" si="11"/>
        <v>9.4247999999999996E-5</v>
      </c>
      <c r="N19" s="13">
        <f t="shared" si="12"/>
        <v>2.7151200000000001E-3</v>
      </c>
    </row>
    <row r="20" spans="2:14" ht="13">
      <c r="B20" s="3">
        <v>62.5</v>
      </c>
      <c r="C20" s="20">
        <f t="shared" si="6"/>
        <v>1.5625</v>
      </c>
      <c r="D20" s="3">
        <v>16</v>
      </c>
      <c r="E20" s="3">
        <f>0.4</f>
        <v>0.4</v>
      </c>
      <c r="F20" s="3">
        <v>2</v>
      </c>
      <c r="G20" s="3">
        <v>735</v>
      </c>
      <c r="H20" s="22">
        <f t="shared" si="7"/>
        <v>40</v>
      </c>
      <c r="I20" s="3">
        <v>200</v>
      </c>
      <c r="J20" s="12">
        <f t="shared" si="8"/>
        <v>753.67013347928628</v>
      </c>
      <c r="K20" s="12">
        <f t="shared" si="9"/>
        <v>18.841753336982158</v>
      </c>
      <c r="L20" s="23">
        <f t="shared" si="10"/>
        <v>7.1000000000000002E-4</v>
      </c>
      <c r="M20" s="24">
        <f t="shared" si="11"/>
        <v>9.4247999999999996E-5</v>
      </c>
      <c r="N20" s="13">
        <f t="shared" si="12"/>
        <v>2.7151200000000001E-3</v>
      </c>
    </row>
    <row r="22" spans="2:14" ht="13">
      <c r="B22" s="18" t="s">
        <v>42</v>
      </c>
    </row>
    <row r="23" spans="2:14" ht="14">
      <c r="B23" s="6" t="s">
        <v>43</v>
      </c>
      <c r="C23" s="3" t="s">
        <v>44</v>
      </c>
      <c r="D23" s="6" t="s">
        <v>45</v>
      </c>
      <c r="E23" s="3" t="s">
        <v>46</v>
      </c>
      <c r="F23" s="6" t="s">
        <v>47</v>
      </c>
      <c r="G23" s="3" t="s">
        <v>48</v>
      </c>
      <c r="H23" s="6" t="s">
        <v>43</v>
      </c>
      <c r="I23" s="3" t="s">
        <v>44</v>
      </c>
      <c r="J23" s="6" t="s">
        <v>49</v>
      </c>
      <c r="K23" s="3" t="s">
        <v>48</v>
      </c>
      <c r="L23" s="6" t="s">
        <v>50</v>
      </c>
      <c r="M23" s="3" t="s">
        <v>51</v>
      </c>
    </row>
    <row r="24" spans="2:14" ht="13">
      <c r="B24" s="3">
        <v>11.57</v>
      </c>
      <c r="C24" s="10">
        <f>0.5/100*B24+1*10*10^-3</f>
        <v>6.7850000000000008E-2</v>
      </c>
      <c r="D24" s="3">
        <v>350</v>
      </c>
      <c r="E24" s="12">
        <f>(0.01*D24)+(3*1)</f>
        <v>6.5</v>
      </c>
      <c r="F24" s="10">
        <f>B24*D24*10^-3</f>
        <v>4.0495000000000001</v>
      </c>
      <c r="G24" s="10">
        <f>D25*C24+B24*E25</f>
        <v>9.8952499999999999E-2</v>
      </c>
      <c r="H24" s="25">
        <f>(300*10^-3)/SQRT(2)</f>
        <v>0.21213203435596423</v>
      </c>
      <c r="I24" s="25">
        <f>(0.01)/SQRT(2)</f>
        <v>7.0710678118654745E-3</v>
      </c>
      <c r="J24" s="22">
        <f>H24^2/100</f>
        <v>4.4999999999999983E-4</v>
      </c>
      <c r="K24" s="26">
        <f>J24*((2*I24/H24)+(P5/O5))</f>
        <v>3.4499999999999985E-5</v>
      </c>
      <c r="L24" s="22">
        <f>(J24/F24)*100</f>
        <v>1.1112483022595376E-2</v>
      </c>
      <c r="M24" s="22">
        <f>L24*((K24/J24)+(G24/F24))</f>
        <v>1.123498697689435E-3</v>
      </c>
    </row>
    <row r="25" spans="2:14" ht="13">
      <c r="D25" s="13">
        <f>350/1000</f>
        <v>0.35</v>
      </c>
      <c r="E25" s="13">
        <f>E24/1000</f>
        <v>6.4999999999999997E-3</v>
      </c>
      <c r="F25" s="13">
        <f>D25*B24</f>
        <v>4.0495000000000001</v>
      </c>
      <c r="J25" s="7" t="s">
        <v>52</v>
      </c>
      <c r="K25" s="7" t="s">
        <v>53</v>
      </c>
      <c r="L25" s="7" t="s">
        <v>54</v>
      </c>
      <c r="M25" s="7" t="s">
        <v>55</v>
      </c>
    </row>
    <row r="26" spans="2:14" ht="14">
      <c r="G26" s="13">
        <f>F24*((C24/B24)+(E24/D24))</f>
        <v>9.8952500000000013E-2</v>
      </c>
      <c r="M26" s="27">
        <f>(1/F24*K24+(J24/(F24^2))*G24)*100</f>
        <v>1.123498697689435E-3</v>
      </c>
    </row>
  </sheetData>
  <mergeCells count="4">
    <mergeCell ref="G3:H3"/>
    <mergeCell ref="I3:J3"/>
    <mergeCell ref="G14:H14"/>
    <mergeCell ref="J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2020-11-16T07:28:52Z</dcterms:modified>
</cp:coreProperties>
</file>