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h\Desktop\Data Analysis\projects\"/>
    </mc:Choice>
  </mc:AlternateContent>
  <xr:revisionPtr revIDLastSave="0" documentId="13_ncr:1_{0BC07012-37E2-4019-BA32-1BAEE507CB8C}" xr6:coauthVersionLast="47" xr6:coauthVersionMax="47" xr10:uidLastSave="{00000000-0000-0000-0000-000000000000}"/>
  <bookViews>
    <workbookView xWindow="28680" yWindow="-120" windowWidth="29040" windowHeight="15720" xr2:uid="{39C272BF-BFD6-4326-949D-BB30DA2EA6E7}"/>
  </bookViews>
  <sheets>
    <sheet name="Pivot Chart" sheetId="7" r:id="rId1"/>
    <sheet name="Data" sheetId="5" r:id="rId2"/>
  </sheets>
  <calcPr calcId="191029"/>
  <pivotCaches>
    <pivotCache cacheId="19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7" i="5" l="1"/>
  <c r="U83" i="5"/>
  <c r="U79" i="5"/>
  <c r="U73" i="5"/>
  <c r="U69" i="5"/>
  <c r="U65" i="5"/>
  <c r="U61" i="5"/>
  <c r="U57" i="5"/>
  <c r="U53" i="5"/>
  <c r="U49" i="5"/>
  <c r="U45" i="5"/>
  <c r="U41" i="5"/>
  <c r="U37" i="5"/>
  <c r="U29" i="5"/>
  <c r="U25" i="5"/>
  <c r="U21" i="5"/>
  <c r="U17" i="5"/>
  <c r="U13" i="5"/>
  <c r="I85" i="5"/>
  <c r="L85" i="5" s="1"/>
  <c r="P85" i="5" s="1"/>
  <c r="AC84" i="5"/>
  <c r="AB86" i="5"/>
  <c r="AA87" i="5"/>
  <c r="AC87" i="5" s="1"/>
  <c r="AA86" i="5"/>
  <c r="L87" i="5"/>
  <c r="M87" i="5" s="1"/>
  <c r="L86" i="5"/>
  <c r="P86" i="5" s="1"/>
  <c r="AB83" i="5"/>
  <c r="AB82" i="5"/>
  <c r="AA83" i="5"/>
  <c r="AA82" i="5"/>
  <c r="J83" i="5"/>
  <c r="J82" i="5"/>
  <c r="J81" i="5"/>
  <c r="I83" i="5"/>
  <c r="I82" i="5"/>
  <c r="I81" i="5"/>
  <c r="AC7" i="5"/>
  <c r="AC10" i="5"/>
  <c r="AC11" i="5"/>
  <c r="AC14" i="5"/>
  <c r="AC15" i="5"/>
  <c r="AC18" i="5"/>
  <c r="AC19" i="5"/>
  <c r="AC22" i="5"/>
  <c r="AC23" i="5"/>
  <c r="AC26" i="5"/>
  <c r="AC27" i="5"/>
  <c r="AC30" i="5"/>
  <c r="AC31" i="5"/>
  <c r="AC34" i="5"/>
  <c r="AC35" i="5"/>
  <c r="AC38" i="5"/>
  <c r="AC39" i="5"/>
  <c r="AC42" i="5"/>
  <c r="AC43" i="5"/>
  <c r="AC46" i="5"/>
  <c r="AC47" i="5"/>
  <c r="AC50" i="5"/>
  <c r="AC51" i="5"/>
  <c r="AC54" i="5"/>
  <c r="AC55" i="5"/>
  <c r="AC58" i="5"/>
  <c r="AC59" i="5"/>
  <c r="AC62" i="5"/>
  <c r="AC63" i="5"/>
  <c r="AC66" i="5"/>
  <c r="AC67" i="5"/>
  <c r="AC70" i="5"/>
  <c r="AC74" i="5"/>
  <c r="AC75" i="5"/>
  <c r="AC76" i="5"/>
  <c r="AC77" i="5"/>
  <c r="AC80" i="5"/>
  <c r="AC81" i="5"/>
  <c r="L65" i="5"/>
  <c r="L64" i="5"/>
  <c r="L63" i="5"/>
  <c r="L61" i="5"/>
  <c r="L60" i="5"/>
  <c r="L59" i="5"/>
  <c r="L56" i="5"/>
  <c r="L9" i="5"/>
  <c r="L8" i="5"/>
  <c r="AB79" i="5"/>
  <c r="AB78" i="5"/>
  <c r="AA79" i="5"/>
  <c r="AA78" i="5"/>
  <c r="J79" i="5"/>
  <c r="J78" i="5"/>
  <c r="J77" i="5"/>
  <c r="I78" i="5"/>
  <c r="I77" i="5"/>
  <c r="I79" i="5"/>
  <c r="AC86" i="5" l="1"/>
  <c r="AC78" i="5"/>
  <c r="L78" i="5"/>
  <c r="P78" i="5" s="1"/>
  <c r="AC79" i="5"/>
  <c r="L82" i="5"/>
  <c r="M82" i="5" s="1"/>
  <c r="L83" i="5"/>
  <c r="P83" i="5" s="1"/>
  <c r="V83" i="5" s="1"/>
  <c r="M85" i="5"/>
  <c r="P87" i="5"/>
  <c r="M86" i="5"/>
  <c r="AC83" i="5"/>
  <c r="AC82" i="5"/>
  <c r="L79" i="5"/>
  <c r="M79" i="5" s="1"/>
  <c r="L77" i="5"/>
  <c r="M77" i="5" s="1"/>
  <c r="M83" i="5" l="1"/>
  <c r="P82" i="5"/>
  <c r="N87" i="5"/>
  <c r="V87" i="5"/>
  <c r="Q87" i="5"/>
  <c r="P77" i="5"/>
  <c r="P79" i="5"/>
  <c r="V79" i="5" s="1"/>
  <c r="M78" i="5"/>
  <c r="N79" i="5" s="1"/>
  <c r="W87" i="5" l="1"/>
  <c r="R87" i="5"/>
  <c r="Q79" i="5"/>
  <c r="AB73" i="5"/>
  <c r="AA73" i="5"/>
  <c r="Y73" i="5"/>
  <c r="K73" i="5"/>
  <c r="I73" i="5"/>
  <c r="H73" i="5"/>
  <c r="AB72" i="5"/>
  <c r="AA72" i="5"/>
  <c r="Y72" i="5"/>
  <c r="K72" i="5"/>
  <c r="I72" i="5"/>
  <c r="H72" i="5"/>
  <c r="AB71" i="5"/>
  <c r="AA71" i="5"/>
  <c r="Y71" i="5"/>
  <c r="K71" i="5"/>
  <c r="I71" i="5"/>
  <c r="H71" i="5"/>
  <c r="AA6" i="5"/>
  <c r="Z6" i="5"/>
  <c r="J6" i="5"/>
  <c r="I6" i="5"/>
  <c r="AA5" i="5"/>
  <c r="Z5" i="5"/>
  <c r="J5" i="5"/>
  <c r="I5" i="5"/>
  <c r="Z4" i="5"/>
  <c r="AC4" i="5" s="1"/>
  <c r="J4" i="5"/>
  <c r="I4" i="5"/>
  <c r="AA69" i="5"/>
  <c r="AC69" i="5" s="1"/>
  <c r="I69" i="5"/>
  <c r="L69" i="5" s="1"/>
  <c r="AA68" i="5"/>
  <c r="AC68" i="5" s="1"/>
  <c r="I68" i="5"/>
  <c r="L68" i="5" s="1"/>
  <c r="I67" i="5"/>
  <c r="L67" i="5" s="1"/>
  <c r="AA65" i="5"/>
  <c r="AC65" i="5" s="1"/>
  <c r="M65" i="5"/>
  <c r="AA64" i="5"/>
  <c r="AC64" i="5" s="1"/>
  <c r="M64" i="5"/>
  <c r="P63" i="5"/>
  <c r="AA61" i="5"/>
  <c r="AC61" i="5" s="1"/>
  <c r="AA60" i="5"/>
  <c r="AC60" i="5" s="1"/>
  <c r="P60" i="5"/>
  <c r="P59" i="5"/>
  <c r="AA57" i="5"/>
  <c r="AC57" i="5" s="1"/>
  <c r="J57" i="5"/>
  <c r="L57" i="5" s="1"/>
  <c r="AA56" i="5"/>
  <c r="AC56" i="5" s="1"/>
  <c r="P56" i="5"/>
  <c r="J55" i="5"/>
  <c r="L55" i="5" s="1"/>
  <c r="AA53" i="5"/>
  <c r="AC53" i="5" s="1"/>
  <c r="Y53" i="5"/>
  <c r="J53" i="5"/>
  <c r="I53" i="5"/>
  <c r="AA52" i="5"/>
  <c r="AC52" i="5" s="1"/>
  <c r="Y52" i="5"/>
  <c r="J52" i="5"/>
  <c r="I52" i="5"/>
  <c r="J51" i="5"/>
  <c r="I51" i="5"/>
  <c r="AA49" i="5"/>
  <c r="AC49" i="5" s="1"/>
  <c r="J49" i="5"/>
  <c r="I49" i="5"/>
  <c r="AA48" i="5"/>
  <c r="AC48" i="5" s="1"/>
  <c r="J48" i="5"/>
  <c r="I48" i="5"/>
  <c r="J47" i="5"/>
  <c r="I47" i="5"/>
  <c r="AA45" i="5"/>
  <c r="AC45" i="5" s="1"/>
  <c r="J45" i="5"/>
  <c r="L45" i="5" s="1"/>
  <c r="AA44" i="5"/>
  <c r="AC44" i="5" s="1"/>
  <c r="J44" i="5"/>
  <c r="L44" i="5" s="1"/>
  <c r="D44" i="5"/>
  <c r="C44" i="5"/>
  <c r="J43" i="5"/>
  <c r="L43" i="5" s="1"/>
  <c r="AA41" i="5"/>
  <c r="AC41" i="5" s="1"/>
  <c r="J41" i="5"/>
  <c r="L41" i="5" s="1"/>
  <c r="AA40" i="5"/>
  <c r="AC40" i="5" s="1"/>
  <c r="J40" i="5"/>
  <c r="L40" i="5" s="1"/>
  <c r="J39" i="5"/>
  <c r="L39" i="5" s="1"/>
  <c r="AA37" i="5"/>
  <c r="AC37" i="5" s="1"/>
  <c r="J37" i="5"/>
  <c r="I37" i="5"/>
  <c r="AA36" i="5"/>
  <c r="AC36" i="5" s="1"/>
  <c r="J36" i="5"/>
  <c r="I36" i="5"/>
  <c r="J35" i="5"/>
  <c r="I35" i="5"/>
  <c r="AA33" i="5"/>
  <c r="AC33" i="5" s="1"/>
  <c r="I33" i="5"/>
  <c r="L33" i="5" s="1"/>
  <c r="AA32" i="5"/>
  <c r="AC32" i="5" s="1"/>
  <c r="I32" i="5"/>
  <c r="L32" i="5" s="1"/>
  <c r="I31" i="5"/>
  <c r="L31" i="5" s="1"/>
  <c r="AB29" i="5"/>
  <c r="AA29" i="5"/>
  <c r="I29" i="5"/>
  <c r="L29" i="5" s="1"/>
  <c r="AB28" i="5"/>
  <c r="AA28" i="5"/>
  <c r="I28" i="5"/>
  <c r="L28" i="5" s="1"/>
  <c r="I27" i="5"/>
  <c r="L27" i="5" s="1"/>
  <c r="AA25" i="5"/>
  <c r="AC25" i="5" s="1"/>
  <c r="I25" i="5"/>
  <c r="L25" i="5" s="1"/>
  <c r="AA24" i="5"/>
  <c r="AC24" i="5" s="1"/>
  <c r="I24" i="5"/>
  <c r="L24" i="5" s="1"/>
  <c r="I23" i="5"/>
  <c r="L23" i="5" s="1"/>
  <c r="C23" i="5"/>
  <c r="C24" i="5" s="1"/>
  <c r="AA21" i="5"/>
  <c r="AC21" i="5" s="1"/>
  <c r="J21" i="5"/>
  <c r="I21" i="5"/>
  <c r="AA20" i="5"/>
  <c r="AC20" i="5" s="1"/>
  <c r="J20" i="5"/>
  <c r="I20" i="5"/>
  <c r="J19" i="5"/>
  <c r="I19" i="5"/>
  <c r="AA17" i="5"/>
  <c r="AC17" i="5" s="1"/>
  <c r="I17" i="5"/>
  <c r="L17" i="5" s="1"/>
  <c r="AA16" i="5"/>
  <c r="AC16" i="5" s="1"/>
  <c r="I16" i="5"/>
  <c r="L16" i="5" s="1"/>
  <c r="I15" i="5"/>
  <c r="L15" i="5" s="1"/>
  <c r="AA13" i="5"/>
  <c r="AC13" i="5" s="1"/>
  <c r="I13" i="5"/>
  <c r="L13" i="5" s="1"/>
  <c r="D13" i="5"/>
  <c r="C13" i="5"/>
  <c r="AA12" i="5"/>
  <c r="AC12" i="5" s="1"/>
  <c r="I12" i="5"/>
  <c r="L12" i="5" s="1"/>
  <c r="I11" i="5"/>
  <c r="L11" i="5" s="1"/>
  <c r="AF9" i="5"/>
  <c r="AA9" i="5"/>
  <c r="AC9" i="5" s="1"/>
  <c r="Y9" i="5"/>
  <c r="P9" i="5"/>
  <c r="V9" i="5" s="1"/>
  <c r="AF8" i="5"/>
  <c r="AA8" i="5"/>
  <c r="AC8" i="5" s="1"/>
  <c r="Y8" i="5"/>
  <c r="P8" i="5"/>
  <c r="L19" i="5" l="1"/>
  <c r="AC28" i="5"/>
  <c r="L48" i="5"/>
  <c r="M48" i="5" s="1"/>
  <c r="L52" i="5"/>
  <c r="AC5" i="5"/>
  <c r="AC29" i="5"/>
  <c r="L49" i="5"/>
  <c r="M49" i="5" s="1"/>
  <c r="L4" i="5"/>
  <c r="L36" i="5"/>
  <c r="M36" i="5" s="1"/>
  <c r="L53" i="5"/>
  <c r="AC6" i="5"/>
  <c r="AC73" i="5"/>
  <c r="AC72" i="5"/>
  <c r="AC71" i="5"/>
  <c r="L37" i="5"/>
  <c r="P37" i="5" s="1"/>
  <c r="V37" i="5" s="1"/>
  <c r="L47" i="5"/>
  <c r="L5" i="5"/>
  <c r="M5" i="5" s="1"/>
  <c r="L71" i="5"/>
  <c r="M71" i="5" s="1"/>
  <c r="L20" i="5"/>
  <c r="P20" i="5" s="1"/>
  <c r="L6" i="5"/>
  <c r="P6" i="5" s="1"/>
  <c r="L73" i="5"/>
  <c r="P73" i="5" s="1"/>
  <c r="L72" i="5"/>
  <c r="P72" i="5" s="1"/>
  <c r="L21" i="5"/>
  <c r="M21" i="5" s="1"/>
  <c r="L35" i="5"/>
  <c r="P35" i="5" s="1"/>
  <c r="L51" i="5"/>
  <c r="P55" i="5"/>
  <c r="P12" i="5"/>
  <c r="P68" i="5"/>
  <c r="M44" i="5"/>
  <c r="P11" i="5"/>
  <c r="P41" i="5"/>
  <c r="V41" i="5" s="1"/>
  <c r="P57" i="5"/>
  <c r="V57" i="5" s="1"/>
  <c r="P17" i="5"/>
  <c r="V17" i="5" s="1"/>
  <c r="P19" i="5"/>
  <c r="P31" i="5"/>
  <c r="M52" i="5"/>
  <c r="P64" i="5"/>
  <c r="P44" i="5"/>
  <c r="M33" i="5"/>
  <c r="M32" i="5"/>
  <c r="Q9" i="5"/>
  <c r="W9" i="5" s="1"/>
  <c r="M29" i="5"/>
  <c r="P29" i="5"/>
  <c r="V29" i="5" s="1"/>
  <c r="M45" i="5"/>
  <c r="P45" i="5"/>
  <c r="V45" i="5" s="1"/>
  <c r="M59" i="5"/>
  <c r="P40" i="5"/>
  <c r="M40" i="5"/>
  <c r="M27" i="5"/>
  <c r="P27" i="5"/>
  <c r="M24" i="5"/>
  <c r="P24" i="5"/>
  <c r="M57" i="5"/>
  <c r="M60" i="5"/>
  <c r="P13" i="5"/>
  <c r="M13" i="5"/>
  <c r="M28" i="5"/>
  <c r="P28" i="5"/>
  <c r="M43" i="5"/>
  <c r="P43" i="5"/>
  <c r="M17" i="5"/>
  <c r="M61" i="5"/>
  <c r="P61" i="5"/>
  <c r="M16" i="5"/>
  <c r="P16" i="5"/>
  <c r="M39" i="5"/>
  <c r="P39" i="5"/>
  <c r="M23" i="5"/>
  <c r="P23" i="5"/>
  <c r="P69" i="5"/>
  <c r="M69" i="5"/>
  <c r="P25" i="5"/>
  <c r="M25" i="5"/>
  <c r="P15" i="5"/>
  <c r="M15" i="5"/>
  <c r="P67" i="5"/>
  <c r="M67" i="5"/>
  <c r="M41" i="5"/>
  <c r="M56" i="5"/>
  <c r="P65" i="5"/>
  <c r="M8" i="5"/>
  <c r="M9" i="5"/>
  <c r="M55" i="5"/>
  <c r="M63" i="5"/>
  <c r="N65" i="5" s="1"/>
  <c r="M68" i="5"/>
  <c r="Q57" i="5" l="1"/>
  <c r="R57" i="5" s="1"/>
  <c r="M12" i="5"/>
  <c r="M11" i="5"/>
  <c r="M31" i="5"/>
  <c r="N33" i="5" s="1"/>
  <c r="M37" i="5"/>
  <c r="M19" i="5"/>
  <c r="Q41" i="5"/>
  <c r="W41" i="5" s="1"/>
  <c r="Q20" i="5"/>
  <c r="P36" i="5"/>
  <c r="Q37" i="5" s="1"/>
  <c r="W37" i="5" s="1"/>
  <c r="P33" i="5"/>
  <c r="V33" i="5" s="1"/>
  <c r="P48" i="5"/>
  <c r="R9" i="5"/>
  <c r="M73" i="5"/>
  <c r="M6" i="5"/>
  <c r="P21" i="5"/>
  <c r="V21" i="5" s="1"/>
  <c r="N61" i="5"/>
  <c r="P52" i="5"/>
  <c r="P49" i="5"/>
  <c r="V49" i="5" s="1"/>
  <c r="Q45" i="5"/>
  <c r="R45" i="5" s="1"/>
  <c r="N45" i="5"/>
  <c r="P32" i="5"/>
  <c r="P5" i="5"/>
  <c r="P71" i="5"/>
  <c r="M72" i="5"/>
  <c r="N29" i="5"/>
  <c r="M35" i="5"/>
  <c r="Q29" i="5"/>
  <c r="R29" i="5" s="1"/>
  <c r="N17" i="5"/>
  <c r="M20" i="5"/>
  <c r="N41" i="5"/>
  <c r="Q17" i="5"/>
  <c r="R17" i="5" s="1"/>
  <c r="P51" i="5"/>
  <c r="M51" i="5"/>
  <c r="P47" i="5"/>
  <c r="M47" i="5"/>
  <c r="N49" i="5" s="1"/>
  <c r="M53" i="5"/>
  <c r="P53" i="5"/>
  <c r="V69" i="5"/>
  <c r="Q69" i="5"/>
  <c r="P4" i="5"/>
  <c r="M4" i="5"/>
  <c r="V73" i="5"/>
  <c r="Q25" i="5"/>
  <c r="V25" i="5"/>
  <c r="V65" i="5"/>
  <c r="Q65" i="5"/>
  <c r="V61" i="5"/>
  <c r="Q61" i="5"/>
  <c r="N9" i="5"/>
  <c r="N57" i="5"/>
  <c r="V6" i="5"/>
  <c r="N25" i="5"/>
  <c r="N69" i="5"/>
  <c r="Q19" i="5"/>
  <c r="V13" i="5"/>
  <c r="Q13" i="5"/>
  <c r="N13" i="5" l="1"/>
  <c r="W57" i="5"/>
  <c r="W79" i="5"/>
  <c r="R79" i="5"/>
  <c r="N21" i="5"/>
  <c r="N37" i="5"/>
  <c r="N6" i="5"/>
  <c r="R41" i="5"/>
  <c r="Q49" i="5"/>
  <c r="R49" i="5" s="1"/>
  <c r="R37" i="5"/>
  <c r="Q21" i="5"/>
  <c r="W21" i="5" s="1"/>
  <c r="N73" i="5"/>
  <c r="W29" i="5"/>
  <c r="Q4" i="5"/>
  <c r="Q33" i="5"/>
  <c r="R33" i="5" s="1"/>
  <c r="W45" i="5"/>
  <c r="Q6" i="5"/>
  <c r="W6" i="5" s="1"/>
  <c r="Q73" i="5"/>
  <c r="W73" i="5" s="1"/>
  <c r="W17" i="5"/>
  <c r="N53" i="5"/>
  <c r="W25" i="5"/>
  <c r="R25" i="5"/>
  <c r="W69" i="5"/>
  <c r="R69" i="5"/>
  <c r="R13" i="5"/>
  <c r="W13" i="5"/>
  <c r="R65" i="5"/>
  <c r="W65" i="5"/>
  <c r="Q5" i="5"/>
  <c r="R61" i="5"/>
  <c r="W61" i="5"/>
  <c r="Q53" i="5"/>
  <c r="V53" i="5"/>
  <c r="R21" i="5" l="1"/>
  <c r="W33" i="5"/>
  <c r="W49" i="5"/>
  <c r="R6" i="5"/>
  <c r="R73" i="5"/>
  <c r="R53" i="5"/>
  <c r="W53" i="5"/>
  <c r="L81" i="5" l="1"/>
  <c r="M81" i="5" s="1"/>
  <c r="N83" i="5" s="1"/>
  <c r="P81" i="5" l="1"/>
  <c r="Q83" i="5" s="1"/>
  <c r="W83" i="5" l="1"/>
  <c r="R8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A8EFA3-D29E-466F-A0C2-EBC0A1DB4FD7}" keepAlive="1" name="Query - Table 16" description="Connection to the 'Table 16' query in the workbook." type="5" refreshedVersion="8" background="1" saveData="1">
    <dbPr connection="Provider=Microsoft.Mashup.OleDb.1;Data Source=$Workbook$;Location=&quot;Table 16&quot;;Extended Properties=&quot;&quot;" command="SELECT * FROM [Table 16]"/>
  </connection>
  <connection id="2" xr16:uid="{10613727-B7F0-4E9A-A82C-16473E605A26}" keepAlive="1" name="Query - Table056 (Page 59)" description="Connection to the 'Table056 (Page 59)' query in the workbook." type="5" refreshedVersion="8" background="1" saveData="1">
    <dbPr connection="Provider=Microsoft.Mashup.OleDb.1;Data Source=$Workbook$;Location=&quot;Table056 (Page 59)&quot;;Extended Properties=&quot;&quot;" command="SELECT * FROM [Table056 (Page 59)]"/>
  </connection>
</connections>
</file>

<file path=xl/sharedStrings.xml><?xml version="1.0" encoding="utf-8"?>
<sst xmlns="http://schemas.openxmlformats.org/spreadsheetml/2006/main" count="142" uniqueCount="76">
  <si>
    <t>berkshire hathaway</t>
  </si>
  <si>
    <t>united health</t>
  </si>
  <si>
    <t>home depot</t>
  </si>
  <si>
    <t>progressive</t>
  </si>
  <si>
    <t>microsoft</t>
  </si>
  <si>
    <t>chase bank</t>
  </si>
  <si>
    <t>apple</t>
  </si>
  <si>
    <t>general mills</t>
  </si>
  <si>
    <t>kraft/heinz</t>
  </si>
  <si>
    <t>moody's</t>
  </si>
  <si>
    <t>davita</t>
  </si>
  <si>
    <t>kroger</t>
  </si>
  <si>
    <t>visa</t>
  </si>
  <si>
    <t>mastercard</t>
  </si>
  <si>
    <t>celanese corp</t>
  </si>
  <si>
    <t>costco</t>
  </si>
  <si>
    <t>bank of america</t>
  </si>
  <si>
    <t>Income</t>
  </si>
  <si>
    <t>Revenue</t>
  </si>
  <si>
    <t>Expenses</t>
  </si>
  <si>
    <t>Investment</t>
  </si>
  <si>
    <t>Results</t>
  </si>
  <si>
    <t>Dividend</t>
  </si>
  <si>
    <t>Debt</t>
  </si>
  <si>
    <t>Competitive</t>
  </si>
  <si>
    <t>Advantage</t>
  </si>
  <si>
    <t>Purchase</t>
  </si>
  <si>
    <t>Date</t>
  </si>
  <si>
    <t>Taxes</t>
  </si>
  <si>
    <t>Operating</t>
  </si>
  <si>
    <t>numbers in millions</t>
  </si>
  <si>
    <t>Trailing Avg</t>
  </si>
  <si>
    <t>Earnings 3yr</t>
  </si>
  <si>
    <t>Net Assets</t>
  </si>
  <si>
    <t>10 year projected earnings</t>
  </si>
  <si>
    <t>Market Cap</t>
  </si>
  <si>
    <t>10 year treasury yield</t>
  </si>
  <si>
    <t>taiwan semiconductor</t>
  </si>
  <si>
    <t>p&amp;g</t>
  </si>
  <si>
    <t>buybacks with cash?</t>
  </si>
  <si>
    <t xml:space="preserve">buyback </t>
  </si>
  <si>
    <t xml:space="preserve">  Year</t>
  </si>
  <si>
    <t xml:space="preserve">  Revenue</t>
  </si>
  <si>
    <t xml:space="preserve">  Expenses</t>
  </si>
  <si>
    <t>Other Income &amp; Expenses</t>
  </si>
  <si>
    <t xml:space="preserve">  Taxes</t>
  </si>
  <si>
    <t xml:space="preserve"> Dividends Stock Buybacks</t>
  </si>
  <si>
    <t xml:space="preserve"> Operating Income</t>
  </si>
  <si>
    <t xml:space="preserve">  Net margin</t>
  </si>
  <si>
    <t>Net Margin 3 year Average</t>
  </si>
  <si>
    <t xml:space="preserve"> One Time Charges</t>
  </si>
  <si>
    <t xml:space="preserve">  Earnings</t>
  </si>
  <si>
    <t>Earnings 3 yr trail. Average</t>
  </si>
  <si>
    <t>Trailing Earnings %</t>
  </si>
  <si>
    <t xml:space="preserve"> Market  Cap</t>
  </si>
  <si>
    <t>Earnings to mkt cap % Rate</t>
  </si>
  <si>
    <t>Earnings to mkt cap 3 yr trail.</t>
  </si>
  <si>
    <t xml:space="preserve"> 10 yr Treasury</t>
  </si>
  <si>
    <t>Cash &amp; Equiv. Portion</t>
  </si>
  <si>
    <t>Total Assets LESS Goodwill</t>
  </si>
  <si>
    <t xml:space="preserve">  Debt</t>
  </si>
  <si>
    <t xml:space="preserve">  Net Assets</t>
  </si>
  <si>
    <t xml:space="preserve">  Dividend</t>
  </si>
  <si>
    <t xml:space="preserve"> Competitive Advantage</t>
  </si>
  <si>
    <t xml:space="preserve"> Investments Portion</t>
  </si>
  <si>
    <t xml:space="preserve"> Investment Results</t>
  </si>
  <si>
    <t>Company</t>
  </si>
  <si>
    <t>zero</t>
  </si>
  <si>
    <t>walmart</t>
  </si>
  <si>
    <t>Margin 3 year Average</t>
  </si>
  <si>
    <t xml:space="preserve">Average Earnings 3 yr trail. </t>
  </si>
  <si>
    <t>Dividend yIELD</t>
  </si>
  <si>
    <t>elevance</t>
  </si>
  <si>
    <t>Stock Price</t>
  </si>
  <si>
    <t>Shares Outstanding</t>
  </si>
  <si>
    <t xml:space="preserve">Earnings to mkt cap 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</si>
</sst>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2">
    <xf numFmtId="0" fontId="0" fillId="0" borderId="0" xfId="0"/>
    <xf numFmtId="10" fontId="0" fillId="0" borderId="0" xfId="1" applyNumberFormat="1" applyFont="1"/>
    <xf numFmtId="0" fontId="0" fillId="0" borderId="1" xfId="0" applyBorder="1"/>
    <xf numFmtId="10" fontId="0" fillId="0" borderId="1" xfId="1" applyNumberFormat="1" applyFont="1" applyBorder="1"/>
    <xf numFmtId="10" fontId="0" fillId="0" borderId="0" xfId="1" applyNumberFormat="1" applyFont="1" applyBorder="1"/>
    <xf numFmtId="164" fontId="0" fillId="0" borderId="0" xfId="2" applyNumberFormat="1" applyFont="1" applyBorder="1"/>
    <xf numFmtId="164" fontId="0" fillId="0" borderId="0" xfId="2" applyNumberFormat="1" applyFont="1"/>
    <xf numFmtId="0" fontId="2" fillId="0" borderId="0" xfId="0" applyFont="1"/>
    <xf numFmtId="164" fontId="2" fillId="0" borderId="0" xfId="2" applyNumberFormat="1" applyFont="1" applyBorder="1"/>
    <xf numFmtId="10" fontId="2" fillId="0" borderId="0" xfId="1" applyNumberFormat="1" applyFont="1" applyBorder="1"/>
    <xf numFmtId="164" fontId="2" fillId="0" borderId="0" xfId="2" applyNumberFormat="1" applyFont="1"/>
    <xf numFmtId="0" fontId="3" fillId="0" borderId="0" xfId="2" applyNumberFormat="1" applyFont="1"/>
    <xf numFmtId="0" fontId="2" fillId="0" borderId="1" xfId="0" applyFont="1" applyBorder="1"/>
    <xf numFmtId="0" fontId="0" fillId="0" borderId="2" xfId="0" applyBorder="1"/>
    <xf numFmtId="0" fontId="4" fillId="2" borderId="0" xfId="0" applyFont="1" applyFill="1"/>
    <xf numFmtId="164" fontId="4" fillId="2" borderId="0" xfId="2" applyNumberFormat="1" applyFont="1" applyFill="1" applyBorder="1"/>
    <xf numFmtId="10" fontId="4" fillId="2" borderId="0" xfId="1" applyNumberFormat="1" applyFont="1" applyFill="1" applyBorder="1"/>
    <xf numFmtId="164" fontId="4" fillId="2" borderId="0" xfId="2" applyNumberFormat="1" applyFont="1" applyFill="1"/>
    <xf numFmtId="10" fontId="4" fillId="2" borderId="0" xfId="1" applyNumberFormat="1" applyFont="1" applyFill="1"/>
    <xf numFmtId="43" fontId="4" fillId="2" borderId="0" xfId="2" applyFont="1" applyFill="1"/>
    <xf numFmtId="0" fontId="4" fillId="2" borderId="0" xfId="1" applyNumberFormat="1" applyFont="1" applyFill="1"/>
    <xf numFmtId="9" fontId="4" fillId="2" borderId="0" xfId="1" applyFont="1" applyFill="1"/>
    <xf numFmtId="0" fontId="1" fillId="0" borderId="0" xfId="2" applyNumberFormat="1" applyFont="1"/>
    <xf numFmtId="0" fontId="3" fillId="0" borderId="0" xfId="2" applyNumberFormat="1" applyFont="1" applyBorder="1" applyAlignment="1">
      <alignment wrapText="1"/>
    </xf>
    <xf numFmtId="0" fontId="0" fillId="0" borderId="0" xfId="0" applyAlignment="1">
      <alignment wrapText="1"/>
    </xf>
    <xf numFmtId="10" fontId="0" fillId="0" borderId="0" xfId="0" applyNumberFormat="1"/>
    <xf numFmtId="164" fontId="4" fillId="3" borderId="0" xfId="2" applyNumberFormat="1" applyFont="1" applyFill="1"/>
    <xf numFmtId="10" fontId="4" fillId="3" borderId="0" xfId="1" applyNumberFormat="1" applyFont="1" applyFill="1"/>
    <xf numFmtId="0" fontId="0" fillId="0" borderId="0" xfId="0" pivotButton="1"/>
    <xf numFmtId="1" fontId="0" fillId="0" borderId="0" xfId="0" applyNumberFormat="1"/>
    <xf numFmtId="9" fontId="0" fillId="0" borderId="0" xfId="0" applyNumberFormat="1"/>
    <xf numFmtId="0" fontId="0" fillId="4" borderId="1" xfId="0" applyFill="1" applyBorder="1"/>
    <xf numFmtId="0" fontId="3" fillId="4" borderId="1" xfId="2" applyNumberFormat="1" applyFont="1" applyFill="1" applyBorder="1"/>
    <xf numFmtId="0" fontId="3" fillId="0" borderId="1" xfId="2" applyNumberFormat="1" applyFont="1" applyBorder="1"/>
    <xf numFmtId="164" fontId="4" fillId="2" borderId="1" xfId="2" applyNumberFormat="1" applyFont="1" applyFill="1" applyBorder="1"/>
    <xf numFmtId="10" fontId="4" fillId="2" borderId="1" xfId="1" applyNumberFormat="1" applyFont="1" applyFill="1" applyBorder="1"/>
    <xf numFmtId="43" fontId="4" fillId="2" borderId="1" xfId="2" applyFont="1" applyFill="1" applyBorder="1"/>
    <xf numFmtId="9" fontId="4" fillId="2" borderId="1" xfId="1" applyFont="1" applyFill="1" applyBorder="1"/>
    <xf numFmtId="0" fontId="3" fillId="4" borderId="3" xfId="2" applyNumberFormat="1" applyFont="1" applyFill="1" applyBorder="1"/>
    <xf numFmtId="164" fontId="4" fillId="2" borderId="3" xfId="2" applyNumberFormat="1" applyFont="1" applyFill="1" applyBorder="1"/>
    <xf numFmtId="10" fontId="4" fillId="2" borderId="3" xfId="1" applyNumberFormat="1" applyFont="1" applyFill="1" applyBorder="1"/>
    <xf numFmtId="0" fontId="0" fillId="4" borderId="3" xfId="0" applyFill="1" applyBorder="1"/>
    <xf numFmtId="9" fontId="4" fillId="2" borderId="3" xfId="1" applyFont="1" applyFill="1" applyBorder="1"/>
    <xf numFmtId="43" fontId="4" fillId="2" borderId="3" xfId="2" applyFont="1" applyFill="1" applyBorder="1"/>
    <xf numFmtId="2" fontId="4" fillId="2" borderId="0" xfId="1" applyNumberFormat="1" applyFont="1" applyFill="1"/>
    <xf numFmtId="2" fontId="0" fillId="0" borderId="0" xfId="0" applyNumberFormat="1" applyAlignment="1">
      <alignment wrapText="1"/>
    </xf>
    <xf numFmtId="2" fontId="4" fillId="2" borderId="1" xfId="1" applyNumberFormat="1" applyFont="1" applyFill="1" applyBorder="1"/>
    <xf numFmtId="2" fontId="0" fillId="0" borderId="0" xfId="0" applyNumberFormat="1"/>
    <xf numFmtId="1" fontId="4" fillId="2" borderId="0" xfId="1" applyNumberFormat="1" applyFont="1" applyFill="1"/>
    <xf numFmtId="1" fontId="0" fillId="0" borderId="0" xfId="0" applyNumberFormat="1" applyAlignment="1">
      <alignment wrapText="1"/>
    </xf>
    <xf numFmtId="1" fontId="4" fillId="2" borderId="1" xfId="1" applyNumberFormat="1" applyFont="1" applyFill="1" applyBorder="1"/>
    <xf numFmtId="1" fontId="0" fillId="0" borderId="0" xfId="2" applyNumberFormat="1" applyFont="1" applyBorder="1"/>
  </cellXfs>
  <cellStyles count="3">
    <cellStyle name="Comma" xfId="2" builtinId="3"/>
    <cellStyle name="Normal" xfId="0" builtinId="0"/>
    <cellStyle name="Percent" xfId="1" builtinId="5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2" tint="-9.9978637043366805E-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2" tint="-9.9978637043366805E-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alignment horizontal="general" vertical="bottom" textRotation="0" wrapText="1" indent="0" justifyLastLine="0" shrinkToFit="0" readingOrder="0"/>
    </dxf>
    <dxf>
      <numFmt numFmtId="13" formatCode="0%"/>
    </dxf>
    <dxf>
      <numFmt numFmtId="1" formatCode="0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R" refreshedDate="45091.94193148148" createdVersion="8" refreshedVersion="8" minRefreshableVersion="3" recordCount="85" xr:uid="{8B18254A-C948-4797-B256-83955D4C12D0}">
  <cacheSource type="worksheet">
    <worksheetSource name="StockData"/>
  </cacheSource>
  <cacheFields count="28">
    <cacheField name="Company" numFmtId="0">
      <sharedItems containsBlank="1" count="24">
        <s v="kroger"/>
        <s v="purchased 6/12/23 @ $46/share"/>
        <m/>
        <s v="berkshire hathaway"/>
        <s v="microsoft"/>
        <s v="p&amp;g"/>
        <s v="general mills"/>
        <s v="apple"/>
        <s v="chase bank"/>
        <s v="bank of america"/>
        <s v="home depot"/>
        <s v="visa"/>
        <s v="mastercard"/>
        <s v="moody's"/>
        <s v="costco"/>
        <s v="davita"/>
        <s v="united health"/>
        <s v="progressive"/>
        <s v="kraft/heinz"/>
        <s v="taiwan semiconductor"/>
        <s v="zero"/>
        <s v="walmart"/>
        <s v="celanese corp"/>
        <s v="elevance"/>
      </sharedItems>
    </cacheField>
    <cacheField name="  Year" numFmtId="0">
      <sharedItems containsString="0" containsBlank="1" containsNumber="1" minValue="30.73" maxValue="2023"/>
    </cacheField>
    <cacheField name="  Revenue" numFmtId="0">
      <sharedItems containsString="0" containsBlank="1" containsNumber="1" minValue="5371" maxValue="611289"/>
    </cacheField>
    <cacheField name="  Expenses" numFmtId="0">
      <sharedItems containsString="0" containsBlank="1" containsNumber="1" minValue="-590861" maxValue="-2983"/>
    </cacheField>
    <cacheField name="Other Income &amp; Expenses" numFmtId="0">
      <sharedItems containsString="0" containsBlank="1" containsNumber="1" containsInteger="1" minValue="-17257" maxValue="6417"/>
    </cacheField>
    <cacheField name="  Taxes" numFmtId="0">
      <sharedItems containsString="0" containsBlank="1" containsNumber="1" minValue="-20879" maxValue="8518"/>
    </cacheField>
    <cacheField name=" Operating Income" numFmtId="0">
      <sharedItems containsString="0" containsBlank="1" containsNumber="1" minValue="361" maxValue="94991"/>
    </cacheField>
    <cacheField name="  Net margin" numFmtId="0">
      <sharedItems containsString="0" containsBlank="1" containsNumber="1" minValue="-1E-3" maxValue="0.54449327107937384"/>
    </cacheField>
    <cacheField name="Net Margin 3 year Average" numFmtId="0">
      <sharedItems containsString="0" containsBlank="1" containsNumber="1" minValue="0" maxValue="0.49107383195906223"/>
    </cacheField>
    <cacheField name=" One Time Charges" numFmtId="0">
      <sharedItems containsNonDate="0" containsString="0" containsBlank="1"/>
    </cacheField>
    <cacheField name="  Earnings" numFmtId="0">
      <sharedItems containsString="0" containsBlank="1" containsNumber="1" minValue="-26546" maxValue="94991"/>
    </cacheField>
    <cacheField name="Earnings 3 yr trail. Average" numFmtId="0">
      <sharedItems containsString="0" containsBlank="1" containsNumber="1" minValue="-1" maxValue="80168.666666666672"/>
    </cacheField>
    <cacheField name="Trailing Earnings %" numFmtId="9">
      <sharedItems containsString="0" containsBlank="1" containsNumber="1" minValue="-0.01" maxValue="0.41442056181053111"/>
    </cacheField>
    <cacheField name="Stock Price" numFmtId="0">
      <sharedItems containsString="0" containsBlank="1" containsNumber="1" minValue="29.12" maxValue="527.20000000000005"/>
    </cacheField>
    <cacheField name="Shares Outstanding" numFmtId="0">
      <sharedItems containsString="0" containsBlank="1" containsNumber="1" containsInteger="1" minValue="91" maxValue="717650"/>
    </cacheField>
    <cacheField name=" Market  Cap" numFmtId="0">
      <sharedItems containsString="0" containsBlank="1" containsNumber="1" minValue="8870.68" maxValue="2893533.5"/>
    </cacheField>
    <cacheField name="Earnings to mkt cap % Rate" numFmtId="0">
      <sharedItems containsString="0" containsBlank="1" containsNumber="1" minValue="-1" maxValue="0.15502565650467853"/>
    </cacheField>
    <cacheField name="Earnings to mkt cap 3 yr trail." numFmtId="0">
      <sharedItems containsString="0" containsBlank="1" containsNumber="1" minValue="7.1647321487803674E-3" maxValue="0.15113459922651551"/>
    </cacheField>
    <cacheField name=" 10 yr Treasury" numFmtId="0">
      <sharedItems containsString="0" containsBlank="1" containsNumber="1" minValue="3.56" maxValue="3.56"/>
    </cacheField>
    <cacheField name="Cash &amp; Equiv. Portion" numFmtId="0">
      <sharedItems containsString="0" containsBlank="1" containsNumber="1" minValue="187" maxValue="348221"/>
    </cacheField>
    <cacheField name=" Dividends Stock Buybacks" numFmtId="0">
      <sharedItems containsString="0" containsBlank="1" containsNumber="1" containsInteger="1" minValue="19" maxValue="5492"/>
    </cacheField>
    <cacheField name="Total Assets LESS Goodwill" numFmtId="0">
      <sharedItems containsString="0" containsBlank="1" containsNumber="1" minValue="8510" maxValue="3686876"/>
    </cacheField>
    <cacheField name="  Debt" numFmtId="0">
      <sharedItems containsString="0" containsBlank="1" containsNumber="1" minValue="-3449440" maxValue="-7438"/>
    </cacheField>
    <cacheField name="  Net Assets" numFmtId="164">
      <sharedItems containsString="0" containsBlank="1" containsNumber="1" minValue="-9145" maxValue="441055"/>
    </cacheField>
    <cacheField name="  Dividend" numFmtId="0">
      <sharedItems containsString="0" containsBlank="1" containsNumber="1" minValue="0" maxValue="4.2000000000000003E-2"/>
    </cacheField>
    <cacheField name=" Competitive Advantage" numFmtId="0">
      <sharedItems containsString="0" containsBlank="1" containsNumber="1" containsInteger="1" minValue="1" maxValue="10"/>
    </cacheField>
    <cacheField name=" Investments Portion" numFmtId="0">
      <sharedItems containsString="0" containsBlank="1" containsNumber="1" containsInteger="1" minValue="8800" maxValue="367153"/>
    </cacheField>
    <cacheField name=" Investment Results" numFmtId="0">
      <sharedItems containsString="0" containsBlank="1" containsNumber="1" containsInteger="1" minValue="-67899" maxValue="78542"/>
    </cacheField>
  </cacheFields>
  <extLst>
    <ext xmlns:x14="http://schemas.microsoft.com/office/spreadsheetml/2009/9/main" uri="{725AE2AE-9491-48be-B2B4-4EB974FC3084}">
      <x14:pivotCacheDefinition pivotCacheId="14087748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n v="2020"/>
    <n v="132498"/>
    <n v="-126971"/>
    <n v="590"/>
    <n v="-782"/>
    <n v="5335"/>
    <n v="4.0264758713339066E-2"/>
    <m/>
    <m/>
    <n v="5335"/>
    <n v="2830.3333333333335"/>
    <m/>
    <m/>
    <m/>
    <m/>
    <m/>
    <m/>
    <n v="3.56"/>
    <m/>
    <n v="1858"/>
    <m/>
    <m/>
    <n v="1858"/>
    <m/>
    <m/>
    <m/>
    <m/>
  </r>
  <r>
    <x v="0"/>
    <n v="2021"/>
    <n v="137888"/>
    <n v="-131587"/>
    <n v="-1426"/>
    <n v="-385"/>
    <n v="4490"/>
    <n v="3.2562659549779528E-2"/>
    <m/>
    <m/>
    <n v="4490"/>
    <n v="3275"/>
    <m/>
    <m/>
    <m/>
    <m/>
    <m/>
    <m/>
    <n v="3.56"/>
    <n v="1821"/>
    <n v="2236"/>
    <n v="46010"/>
    <n v="-39657"/>
    <n v="8589"/>
    <m/>
    <m/>
    <m/>
    <m/>
  </r>
  <r>
    <x v="0"/>
    <n v="2022"/>
    <n v="148258"/>
    <n v="-141167"/>
    <n v="-1302"/>
    <n v="-653"/>
    <n v="5136"/>
    <n v="3.4642312725114331E-2"/>
    <n v="3.5823243662744308E-2"/>
    <m/>
    <n v="5136"/>
    <n v="4987"/>
    <n v="3.3637307936165331E-2"/>
    <n v="47.21"/>
    <n v="717650"/>
    <n v="33130"/>
    <n v="0.15502565650467853"/>
    <n v="0.15052822215514639"/>
    <n v="3.56"/>
    <n v="1015"/>
    <n v="1675"/>
    <n v="46707"/>
    <n v="-39609"/>
    <n v="8773"/>
    <n v="2.2700000000000001E-2"/>
    <n v="7"/>
    <m/>
    <m/>
  </r>
  <r>
    <x v="1"/>
    <m/>
    <m/>
    <m/>
    <m/>
    <m/>
    <m/>
    <m/>
    <m/>
    <m/>
    <m/>
    <m/>
    <m/>
    <m/>
    <m/>
    <m/>
    <m/>
    <m/>
    <m/>
    <m/>
    <m/>
    <m/>
    <m/>
    <n v="0"/>
    <m/>
    <m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3"/>
    <n v="2021"/>
    <n v="276203"/>
    <n v="-243945"/>
    <n v="234"/>
    <n v="-20879"/>
    <n v="11613"/>
    <n v="4.2045162434875799E-2"/>
    <m/>
    <m/>
    <n v="90155"/>
    <m/>
    <m/>
    <m/>
    <m/>
    <m/>
    <m/>
    <m/>
    <n v="3.56"/>
    <n v="143854"/>
    <m/>
    <n v="884909"/>
    <n v="-443854"/>
    <n v="441055"/>
    <m/>
    <m/>
    <n v="367153"/>
    <n v="78542"/>
  </r>
  <r>
    <x v="3"/>
    <n v="2022"/>
    <n v="302089"/>
    <n v="-266629"/>
    <n v="-2625"/>
    <n v="8518"/>
    <n v="41353"/>
    <n v="0.13689012178530169"/>
    <n v="8.9467642110088744E-2"/>
    <m/>
    <n v="-26546"/>
    <n v="30963.666666666668"/>
    <n v="0.10249849106278834"/>
    <n v="335.9"/>
    <m/>
    <n v="725300"/>
    <n v="-3.6600027574796634E-2"/>
    <n v="4.2690840571717452E-2"/>
    <n v="3.56"/>
    <n v="125034"/>
    <m/>
    <n v="870333"/>
    <n v="-467835"/>
    <n v="402498"/>
    <n v="0"/>
    <n v="8"/>
    <n v="333921"/>
    <n v="-67899"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4"/>
    <n v="2020"/>
    <n v="143015"/>
    <n v="-90056"/>
    <n v="77"/>
    <n v="-8755"/>
    <n v="44281"/>
    <n v="0.30962486452470023"/>
    <m/>
    <m/>
    <n v="47807"/>
    <m/>
    <m/>
    <m/>
    <m/>
    <m/>
    <m/>
    <m/>
    <n v="3.56"/>
    <m/>
    <m/>
    <m/>
    <m/>
    <n v="0"/>
    <m/>
    <m/>
    <m/>
    <n v="3526"/>
  </r>
  <r>
    <x v="4"/>
    <n v="2021"/>
    <n v="168088"/>
    <n v="-98172"/>
    <n v="1186"/>
    <n v="-9831"/>
    <n v="61271"/>
    <n v="0.36451739564989766"/>
    <m/>
    <m/>
    <n v="59897"/>
    <m/>
    <m/>
    <m/>
    <m/>
    <m/>
    <m/>
    <m/>
    <n v="3.56"/>
    <n v="130334"/>
    <m/>
    <n v="284068"/>
    <n v="-191791"/>
    <n v="92277"/>
    <m/>
    <m/>
    <m/>
    <n v="-1374"/>
  </r>
  <r>
    <x v="4"/>
    <n v="2022"/>
    <n v="198270"/>
    <n v="-114887"/>
    <n v="333"/>
    <n v="-10978"/>
    <n v="72738"/>
    <n v="0.36686336813436221"/>
    <n v="0.34700187610298672"/>
    <m/>
    <n v="66238"/>
    <n v="57980.666666666664"/>
    <n v="0.29243287772566029"/>
    <n v="337.34"/>
    <n v="7440"/>
    <n v="2509809.5999999996"/>
    <n v="2.639164341390678E-2"/>
    <n v="2.3101619607585642E-2"/>
    <n v="3.56"/>
    <n v="104757"/>
    <m/>
    <n v="297316"/>
    <n v="-198298"/>
    <n v="99018"/>
    <n v="8.5000000000000006E-3"/>
    <n v="9"/>
    <m/>
    <n v="-6500"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5"/>
    <n v="2020"/>
    <n v="70950"/>
    <n v="-55244"/>
    <n v="-1245"/>
    <n v="-2731"/>
    <n v="11730"/>
    <n v="0.1653276955602537"/>
    <m/>
    <m/>
    <n v="11730"/>
    <m/>
    <m/>
    <m/>
    <m/>
    <m/>
    <m/>
    <m/>
    <n v="3.56"/>
    <m/>
    <m/>
    <m/>
    <m/>
    <n v="0"/>
    <m/>
    <m/>
    <m/>
    <m/>
  </r>
  <r>
    <x v="5"/>
    <n v="2021"/>
    <n v="76118"/>
    <n v="-58132"/>
    <n v="2425"/>
    <n v="-3263"/>
    <n v="17148"/>
    <n v="0.22528179931159514"/>
    <m/>
    <m/>
    <n v="17148"/>
    <m/>
    <m/>
    <m/>
    <m/>
    <m/>
    <m/>
    <m/>
    <n v="3.56"/>
    <n v="10288"/>
    <m/>
    <n v="78383"/>
    <n v="-72653"/>
    <n v="5730"/>
    <m/>
    <m/>
    <m/>
    <m/>
  </r>
  <r>
    <x v="5"/>
    <n v="2022"/>
    <n v="80187"/>
    <n v="-62374"/>
    <n v="1547"/>
    <n v="-3202"/>
    <n v="16158"/>
    <n v="0.20150398443637996"/>
    <n v="0.19737115976940958"/>
    <m/>
    <n v="16158"/>
    <n v="15012"/>
    <n v="0.18721239103595347"/>
    <n v="146.41999999999999"/>
    <n v="2360"/>
    <n v="345551.19999999995"/>
    <n v="4.6760074917986109E-2"/>
    <n v="4.3443634402079927E-2"/>
    <n v="3.56"/>
    <n v="7214"/>
    <m/>
    <n v="77508"/>
    <n v="-70354"/>
    <n v="7154"/>
    <n v="2.46E-2"/>
    <n v="9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6"/>
    <n v="2020"/>
    <n v="17626"/>
    <n v="-14672"/>
    <n v="353"/>
    <n v="-480"/>
    <n v="2827"/>
    <n v="0.16038806308861908"/>
    <m/>
    <m/>
    <n v="2827"/>
    <n v="1731.6666666666667"/>
    <m/>
    <m/>
    <m/>
    <m/>
    <m/>
    <m/>
    <n v="3.56"/>
    <m/>
    <m/>
    <m/>
    <m/>
    <n v="0"/>
    <m/>
    <m/>
    <m/>
    <m/>
  </r>
  <r>
    <x v="6"/>
    <n v="2021"/>
    <n v="18127"/>
    <n v="-14980"/>
    <n v="287"/>
    <n v="-629"/>
    <n v="2805"/>
    <n v="0.15474154576046781"/>
    <m/>
    <m/>
    <n v="2805"/>
    <n v="1877.3333333333333"/>
    <m/>
    <m/>
    <m/>
    <m/>
    <m/>
    <m/>
    <n v="3.56"/>
    <n v="1505"/>
    <m/>
    <n v="17842"/>
    <n v="-21463"/>
    <n v="-3621"/>
    <m/>
    <m/>
    <m/>
    <m/>
  </r>
  <r>
    <x v="6"/>
    <n v="2022"/>
    <n v="18993"/>
    <n v="-15517"/>
    <n v="266"/>
    <n v="-586"/>
    <n v="3156"/>
    <n v="0.1661664823882483"/>
    <n v="0.16043203041244505"/>
    <m/>
    <n v="3156"/>
    <n v="2929.3333333333335"/>
    <n v="0.1542322610084417"/>
    <n v="80.650000000000006"/>
    <n v="587"/>
    <n v="47341.55"/>
    <n v="6.6664483946976799E-2"/>
    <n v="6.1876582691807375E-2"/>
    <n v="3.56"/>
    <n v="569"/>
    <m/>
    <n v="16712"/>
    <n v="-20302"/>
    <n v="-3590"/>
    <n v="2.53E-2"/>
    <n v="9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7"/>
    <n v="2020"/>
    <n v="274515"/>
    <n v="-208227"/>
    <n v="42"/>
    <n v="-9680"/>
    <n v="56650"/>
    <n v="0.20636395096807097"/>
    <m/>
    <m/>
    <n v="56650"/>
    <m/>
    <m/>
    <m/>
    <m/>
    <m/>
    <m/>
    <m/>
    <n v="3.56"/>
    <m/>
    <m/>
    <m/>
    <m/>
    <n v="0"/>
    <m/>
    <m/>
    <m/>
    <m/>
  </r>
  <r>
    <x v="7"/>
    <n v="2021"/>
    <n v="365817"/>
    <n v="-256868"/>
    <n v="569"/>
    <n v="-14527"/>
    <n v="94991"/>
    <n v="0.25966808540882463"/>
    <m/>
    <m/>
    <n v="94991"/>
    <m/>
    <m/>
    <m/>
    <m/>
    <m/>
    <m/>
    <m/>
    <n v="3.56"/>
    <n v="34940"/>
    <m/>
    <n v="302153"/>
    <n v="-287912"/>
    <n v="14241"/>
    <m/>
    <m/>
    <m/>
    <m/>
  </r>
  <r>
    <x v="7"/>
    <n v="2022"/>
    <n v="394328"/>
    <n v="-274891"/>
    <n v="-11272"/>
    <n v="-19300"/>
    <n v="88865"/>
    <n v="0.22535807753951026"/>
    <n v="0.2304633713054686"/>
    <m/>
    <n v="88865"/>
    <n v="80168.666666666672"/>
    <n v="0.20330452482873818"/>
    <n v="183.95"/>
    <n v="15730"/>
    <n v="2893533.5"/>
    <n v="3.0711584987697566E-2"/>
    <n v="2.7706147748649417E-2"/>
    <n v="3.56"/>
    <n v="23646"/>
    <m/>
    <n v="298327"/>
    <n v="-302083"/>
    <n v="-3756"/>
    <n v="2.3999999999999998E-3"/>
    <n v="8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8"/>
    <n v="2020"/>
    <n v="119951"/>
    <n v="-66656"/>
    <n v="6417"/>
    <n v="-6684"/>
    <n v="53028"/>
    <n v="0.44208051621078609"/>
    <m/>
    <m/>
    <n v="53028"/>
    <m/>
    <m/>
    <m/>
    <m/>
    <m/>
    <m/>
    <m/>
    <n v="3.56"/>
    <m/>
    <m/>
    <m/>
    <m/>
    <n v="0"/>
    <m/>
    <m/>
    <m/>
    <m/>
  </r>
  <r>
    <x v="8"/>
    <n v="2021"/>
    <n v="121649"/>
    <n v="-71343"/>
    <n v="-8070"/>
    <n v="-11228"/>
    <n v="31008"/>
    <n v="0.25489728645529353"/>
    <m/>
    <m/>
    <n v="31008"/>
    <m/>
    <m/>
    <m/>
    <m/>
    <m/>
    <m/>
    <m/>
    <n v="3.56"/>
    <n v="26438"/>
    <m/>
    <n v="3686876"/>
    <n v="-3449440"/>
    <n v="237436"/>
    <m/>
    <m/>
    <m/>
    <m/>
  </r>
  <r>
    <x v="8"/>
    <n v="2022"/>
    <n v="128695"/>
    <n v="-76140"/>
    <n v="-17257"/>
    <n v="-8490"/>
    <n v="26808"/>
    <n v="0.20830646101247136"/>
    <n v="0.30176142122618366"/>
    <m/>
    <n v="26808"/>
    <n v="36948"/>
    <n v="0.28709740083142316"/>
    <n v="141.49"/>
    <n v="2968"/>
    <n v="419942.32"/>
    <n v="6.3837338423048187E-2"/>
    <n v="8.7983511640360515E-2"/>
    <n v="3.56"/>
    <n v="27697"/>
    <m/>
    <n v="3604884"/>
    <n v="-3373411"/>
    <n v="231473"/>
    <n v="2.93E-2"/>
    <n v="9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9"/>
    <n v="2020"/>
    <n v="85528"/>
    <n v="-55213"/>
    <m/>
    <n v="-1101"/>
    <n v="29214"/>
    <n v="0.34157235057525021"/>
    <m/>
    <m/>
    <n v="29214"/>
    <m/>
    <m/>
    <m/>
    <m/>
    <m/>
    <m/>
    <m/>
    <n v="3.56"/>
    <m/>
    <m/>
    <m/>
    <m/>
    <n v="0"/>
    <m/>
    <m/>
    <m/>
    <m/>
  </r>
  <r>
    <x v="9"/>
    <n v="2021"/>
    <n v="89113"/>
    <n v="-59731"/>
    <m/>
    <n v="-1998"/>
    <n v="27384"/>
    <n v="0.30729523189658076"/>
    <m/>
    <m/>
    <n v="27384"/>
    <m/>
    <m/>
    <m/>
    <m/>
    <m/>
    <m/>
    <m/>
    <n v="3.56"/>
    <n v="348221"/>
    <m/>
    <n v="3100473"/>
    <n v="-2899429"/>
    <n v="201044"/>
    <m/>
    <m/>
    <m/>
    <m/>
  </r>
  <r>
    <x v="9"/>
    <n v="2022"/>
    <n v="94950"/>
    <n v="-61438"/>
    <m/>
    <n v="-3441"/>
    <n v="30071"/>
    <n v="0.31670352817272246"/>
    <n v="0.32185703688151784"/>
    <m/>
    <n v="30071"/>
    <n v="28889.666666666668"/>
    <n v="0.30426189222397754"/>
    <n v="29.12"/>
    <n v="8066"/>
    <n v="233260"/>
    <n v="0.12891623081539913"/>
    <n v="0.123851781988625"/>
    <n v="3.56"/>
    <n v="230203"/>
    <m/>
    <n v="2982353"/>
    <n v="-2778178"/>
    <n v="204175"/>
    <n v="2.2000000000000001E-3"/>
    <n v="7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0"/>
    <n v="2020"/>
    <n v="132110"/>
    <n v="-105535"/>
    <n v="-1300"/>
    <n v="-4112"/>
    <n v="21163"/>
    <n v="0.16019226402240558"/>
    <m/>
    <m/>
    <n v="21163"/>
    <m/>
    <m/>
    <m/>
    <m/>
    <m/>
    <m/>
    <m/>
    <n v="3.56"/>
    <m/>
    <m/>
    <m/>
    <m/>
    <n v="0"/>
    <m/>
    <m/>
    <m/>
    <m/>
  </r>
  <r>
    <x v="10"/>
    <n v="2021"/>
    <n v="151157"/>
    <n v="-123365"/>
    <n v="-1303"/>
    <n v="-5304"/>
    <n v="21185"/>
    <n v="0.14015229198780077"/>
    <m/>
    <m/>
    <n v="21185"/>
    <m/>
    <m/>
    <m/>
    <m/>
    <m/>
    <m/>
    <m/>
    <n v="3.56"/>
    <n v="2343"/>
    <m/>
    <n v="64427"/>
    <n v="-73572"/>
    <n v="-9145"/>
    <m/>
    <m/>
    <m/>
    <m/>
  </r>
  <r>
    <x v="10"/>
    <n v="2022"/>
    <n v="157403"/>
    <n v="-128664"/>
    <n v="-1562"/>
    <n v="-5372"/>
    <n v="21805"/>
    <n v="0.1385297611862544"/>
    <n v="0.14629143906548692"/>
    <m/>
    <n v="21805"/>
    <n v="21384.333333333332"/>
    <n v="0.13585721576674734"/>
    <n v="299.70999999999998"/>
    <n v="1015"/>
    <n v="304205.64999999997"/>
    <n v="7.1678484604082812E-2"/>
    <n v="7.0295648135836178E-2"/>
    <n v="3.56"/>
    <n v="2757"/>
    <m/>
    <n v="69001"/>
    <n v="-74883"/>
    <n v="-5882"/>
    <n v="2.92E-2"/>
    <n v="8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1"/>
    <n v="2020"/>
    <n v="21846"/>
    <n v="-7765"/>
    <n v="738"/>
    <n v="-2924"/>
    <n v="11895"/>
    <n v="0.54449327107937384"/>
    <m/>
    <m/>
    <n v="11895"/>
    <m/>
    <m/>
    <m/>
    <m/>
    <m/>
    <m/>
    <m/>
    <n v="3.56"/>
    <m/>
    <m/>
    <m/>
    <m/>
    <n v="0"/>
    <m/>
    <m/>
    <m/>
    <m/>
  </r>
  <r>
    <x v="11"/>
    <n v="2021"/>
    <n v="24105"/>
    <n v="-8301"/>
    <n v="341"/>
    <n v="-3752"/>
    <n v="12393"/>
    <n v="0.5141257000622278"/>
    <m/>
    <m/>
    <n v="12393"/>
    <m/>
    <m/>
    <m/>
    <m/>
    <m/>
    <m/>
    <m/>
    <n v="3.56"/>
    <n v="16487"/>
    <m/>
    <n v="39274"/>
    <n v="-45307"/>
    <n v="-6033"/>
    <m/>
    <m/>
    <m/>
    <m/>
  </r>
  <r>
    <x v="11"/>
    <n v="2022"/>
    <n v="29310"/>
    <n v="-10497"/>
    <n v="-3482"/>
    <n v="-3179"/>
    <n v="12152"/>
    <n v="0.41460252473558512"/>
    <n v="0.49107383195906223"/>
    <m/>
    <n v="12152"/>
    <n v="12146.666666666666"/>
    <n v="0.41442056181053111"/>
    <n v="223.44"/>
    <n v="1879"/>
    <n v="419843.76"/>
    <n v="2.8944100538733742E-2"/>
    <n v="2.8931397400467893E-2"/>
    <n v="3.56"/>
    <n v="15689"/>
    <m/>
    <n v="42649"/>
    <n v="-49920"/>
    <n v="-7271"/>
    <n v="7.7000000000000002E-3"/>
    <n v="9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2"/>
    <n v="2020"/>
    <n v="15301"/>
    <n v="-7220"/>
    <n v="-321"/>
    <n v="-1349"/>
    <n v="6411"/>
    <n v="0.41899222273054049"/>
    <m/>
    <m/>
    <n v="6411"/>
    <m/>
    <m/>
    <m/>
    <m/>
    <m/>
    <m/>
    <m/>
    <n v="3.56"/>
    <m/>
    <m/>
    <m/>
    <m/>
    <n v="0"/>
    <m/>
    <m/>
    <m/>
    <m/>
  </r>
  <r>
    <x v="12"/>
    <n v="2021"/>
    <n v="18884"/>
    <n v="-8802"/>
    <n v="225"/>
    <n v="-1620"/>
    <n v="8687"/>
    <n v="0.46001906375767848"/>
    <m/>
    <m/>
    <n v="8687"/>
    <m/>
    <m/>
    <m/>
    <m/>
    <m/>
    <m/>
    <m/>
    <n v="3.56"/>
    <n v="7421"/>
    <m/>
    <n v="26336"/>
    <n v="-30257"/>
    <n v="-3921"/>
    <m/>
    <m/>
    <m/>
    <m/>
  </r>
  <r>
    <x v="12"/>
    <n v="2022"/>
    <n v="22237"/>
    <n v="-9973"/>
    <n v="-532"/>
    <n v="-1802"/>
    <n v="9930"/>
    <n v="0.44655304222691911"/>
    <n v="0.44185477623837938"/>
    <m/>
    <n v="9930"/>
    <n v="8342.6666666666661"/>
    <n v="0.37517051160977949"/>
    <n v="374.76"/>
    <n v="953"/>
    <n v="357146.27999999997"/>
    <n v="2.7803733529017861E-2"/>
    <n v="2.3359242791683752E-2"/>
    <n v="3.56"/>
    <n v="7008"/>
    <m/>
    <n v="27343"/>
    <n v="-32347"/>
    <n v="-5004"/>
    <n v="5.7000000000000002E-3"/>
    <n v="9"/>
    <n v="8800"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3"/>
    <n v="2020"/>
    <n v="5371"/>
    <n v="-2983"/>
    <n v="-160"/>
    <n v="-452"/>
    <n v="1776"/>
    <n v="0.33066468069260846"/>
    <m/>
    <m/>
    <n v="1776"/>
    <m/>
    <m/>
    <m/>
    <m/>
    <m/>
    <m/>
    <m/>
    <n v="3.56"/>
    <m/>
    <m/>
    <m/>
    <m/>
    <n v="0"/>
    <m/>
    <m/>
    <m/>
    <m/>
  </r>
  <r>
    <x v="13"/>
    <n v="2021"/>
    <n v="6218"/>
    <n v="-3374"/>
    <n v="-91"/>
    <n v="-541"/>
    <n v="2212"/>
    <n v="0.35574139594724991"/>
    <m/>
    <m/>
    <n v="2212"/>
    <m/>
    <m/>
    <m/>
    <m/>
    <m/>
    <m/>
    <m/>
    <n v="3.56"/>
    <n v="1811"/>
    <m/>
    <n v="8680"/>
    <n v="-11764"/>
    <n v="-3084"/>
    <m/>
    <m/>
    <m/>
    <m/>
  </r>
  <r>
    <x v="13"/>
    <n v="2022"/>
    <n v="5468"/>
    <n v="-3585"/>
    <n v="-139"/>
    <n v="-386"/>
    <n v="1358"/>
    <n v="0.24835405998536941"/>
    <n v="0.31158671220840922"/>
    <m/>
    <n v="1358"/>
    <n v="1782"/>
    <n v="0.32589612289685443"/>
    <n v="340.71"/>
    <n v="730"/>
    <n v="248718.3"/>
    <n v="5.4599922884645E-3"/>
    <n v="7.1647321487803674E-3"/>
    <n v="3.56"/>
    <n v="1769"/>
    <m/>
    <n v="8510"/>
    <n v="-11660"/>
    <n v="-3150"/>
    <n v="9.9000000000000008E-3"/>
    <n v="10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4"/>
    <n v="2020"/>
    <n v="166761"/>
    <n v="-161326"/>
    <n v="-68"/>
    <n v="-1308"/>
    <n v="4059"/>
    <n v="2.4340223433536617E-2"/>
    <m/>
    <m/>
    <n v="4059"/>
    <m/>
    <m/>
    <m/>
    <m/>
    <m/>
    <m/>
    <m/>
    <n v="3.56"/>
    <m/>
    <m/>
    <m/>
    <m/>
    <n v="0"/>
    <m/>
    <m/>
    <m/>
    <m/>
  </r>
  <r>
    <x v="14"/>
    <n v="2021"/>
    <n v="195929"/>
    <n v="-189221"/>
    <n v="-28"/>
    <n v="-1601"/>
    <n v="5079"/>
    <n v="2.5922655655875343E-2"/>
    <m/>
    <m/>
    <n v="5079"/>
    <m/>
    <m/>
    <m/>
    <m/>
    <m/>
    <m/>
    <m/>
    <n v="3.56"/>
    <n v="12175"/>
    <m/>
    <n v="55887"/>
    <n v="-41190"/>
    <n v="14697"/>
    <m/>
    <m/>
    <m/>
    <m/>
  </r>
  <r>
    <x v="14"/>
    <n v="2022"/>
    <n v="226954"/>
    <n v="-219161"/>
    <n v="47"/>
    <n v="-1925"/>
    <n v="5915"/>
    <n v="2.6062550120288693E-2"/>
    <n v="2.5441809736566883E-2"/>
    <m/>
    <n v="5915"/>
    <n v="5017.666666666667"/>
    <n v="2.2108738628385784E-2"/>
    <n v="527.20000000000005"/>
    <n v="444"/>
    <n v="234076.80000000002"/>
    <n v="2.5269484203475096E-2"/>
    <n v="2.1435984542964817E-2"/>
    <n v="3.56"/>
    <n v="11049"/>
    <m/>
    <n v="60116"/>
    <n v="-43519"/>
    <n v="16597"/>
    <n v="8.3999999999999995E-3"/>
    <n v="8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5"/>
    <n v="2020"/>
    <n v="11550"/>
    <n v="-9856"/>
    <n v="7"/>
    <n v="-314"/>
    <n v="1387"/>
    <n v="0.12008658008658009"/>
    <m/>
    <m/>
    <n v="1387"/>
    <m/>
    <m/>
    <m/>
    <m/>
    <m/>
    <m/>
    <m/>
    <n v="3.56"/>
    <m/>
    <m/>
    <m/>
    <m/>
    <n v="0"/>
    <m/>
    <m/>
    <m/>
    <m/>
  </r>
  <r>
    <x v="15"/>
    <n v="2021"/>
    <n v="11619"/>
    <n v="-9821"/>
    <n v="6"/>
    <n v="-307"/>
    <n v="1497"/>
    <n v="0.12884069197004905"/>
    <m/>
    <m/>
    <n v="1497"/>
    <m/>
    <m/>
    <m/>
    <m/>
    <m/>
    <m/>
    <m/>
    <n v="3.56"/>
    <n v="462"/>
    <m/>
    <n v="10121"/>
    <n v="-14750"/>
    <n v="-4629"/>
    <m/>
    <m/>
    <m/>
    <m/>
  </r>
  <r>
    <x v="15"/>
    <n v="2022"/>
    <n v="11610"/>
    <n v="-10271"/>
    <n v="-3"/>
    <n v="-198"/>
    <n v="1138"/>
    <n v="9.8018949181739881E-2"/>
    <n v="0.11564874041278966"/>
    <m/>
    <n v="1138"/>
    <n v="1340.6666666666667"/>
    <n v="0.11547516508756819"/>
    <n v="97.48"/>
    <n v="91"/>
    <n v="8870.68"/>
    <n v="0.1282877975532879"/>
    <n v="0.15113459922651551"/>
    <n v="3.56"/>
    <n v="244"/>
    <m/>
    <n v="9851"/>
    <n v="-14703"/>
    <n v="-4852"/>
    <n v="0"/>
    <n v="9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6"/>
    <n v="2020"/>
    <n v="257141"/>
    <n v="-234736"/>
    <n v="-1663"/>
    <n v="-4973"/>
    <n v="15769"/>
    <n v="6.1324331786840686E-2"/>
    <m/>
    <m/>
    <n v="15769"/>
    <m/>
    <m/>
    <m/>
    <m/>
    <m/>
    <m/>
    <m/>
    <n v="3.56"/>
    <m/>
    <m/>
    <m/>
    <m/>
    <n v="0"/>
    <m/>
    <m/>
    <m/>
    <m/>
  </r>
  <r>
    <x v="16"/>
    <n v="2021"/>
    <n v="287597"/>
    <n v="-263627"/>
    <n v="-1660"/>
    <n v="-4578"/>
    <n v="17732"/>
    <n v="6.1655719635462125E-2"/>
    <m/>
    <m/>
    <n v="17732"/>
    <m/>
    <m/>
    <m/>
    <m/>
    <m/>
    <m/>
    <m/>
    <n v="3.56"/>
    <n v="21375"/>
    <m/>
    <n v="142403"/>
    <n v="-135727"/>
    <n v="6676"/>
    <m/>
    <m/>
    <m/>
    <m/>
  </r>
  <r>
    <x v="16"/>
    <n v="2022"/>
    <n v="324162"/>
    <n v="-295727"/>
    <n v="-2092"/>
    <n v="-5704"/>
    <n v="20639"/>
    <n v="6.3668782892504369E-2"/>
    <n v="6.2216278104935734E-2"/>
    <m/>
    <n v="20639"/>
    <n v="18046.666666666668"/>
    <n v="5.5671752601065723E-2"/>
    <n v="459.86"/>
    <n v="933"/>
    <n v="429049.38"/>
    <n v="4.8104020101369216E-2"/>
    <n v="4.2061980526965609E-2"/>
    <n v="3.56"/>
    <n v="23365"/>
    <m/>
    <n v="159283"/>
    <n v="-159358"/>
    <n v="-75"/>
    <n v="1.32E-2"/>
    <n v="7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7"/>
    <n v="2020"/>
    <n v="42658"/>
    <n v="-35484"/>
    <m/>
    <n v="-1468"/>
    <n v="5706"/>
    <n v="0.13376154531389189"/>
    <m/>
    <m/>
    <n v="5706"/>
    <m/>
    <m/>
    <m/>
    <m/>
    <m/>
    <m/>
    <m/>
    <n v="3.56"/>
    <m/>
    <m/>
    <m/>
    <m/>
    <n v="0"/>
    <m/>
    <m/>
    <m/>
    <m/>
  </r>
  <r>
    <x v="17"/>
    <n v="2021"/>
    <n v="47702"/>
    <n v="-43492"/>
    <m/>
    <n v="-859"/>
    <n v="3351"/>
    <n v="7.0248626891954213E-2"/>
    <m/>
    <m/>
    <n v="3351"/>
    <m/>
    <m/>
    <m/>
    <m/>
    <m/>
    <m/>
    <m/>
    <n v="3.56"/>
    <n v="187"/>
    <m/>
    <n v="70680"/>
    <n v="-52900"/>
    <n v="17780"/>
    <m/>
    <m/>
    <n v="51514"/>
    <m/>
  </r>
  <r>
    <x v="17"/>
    <n v="2022"/>
    <n v="49610"/>
    <n v="-46688"/>
    <m/>
    <n v="-200.6"/>
    <n v="2721.4"/>
    <n v="5.4855875831485587E-2"/>
    <n v="8.6288682679110565E-2"/>
    <m/>
    <n v="2721.4"/>
    <n v="3926.1333333333332"/>
    <n v="7.9139958341732181E-2"/>
    <n v="126.93"/>
    <n v="585"/>
    <n v="74254.05"/>
    <n v="3.6649852768973541E-2"/>
    <n v="5.2874332556046885E-2"/>
    <n v="3.56"/>
    <n v="203"/>
    <m/>
    <n v="75237.100000000006"/>
    <n v="-59574"/>
    <n v="15663.100000000006"/>
    <n v="3.0999999999999999E-3"/>
    <n v="7"/>
    <n v="53548"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8"/>
    <n v="2020"/>
    <n v="26185"/>
    <n v="-25155"/>
    <m/>
    <n v="-669"/>
    <n v="361"/>
    <n v="1.3786518999427153E-2"/>
    <m/>
    <m/>
    <n v="361"/>
    <m/>
    <m/>
    <m/>
    <m/>
    <m/>
    <m/>
    <m/>
    <n v="3.56"/>
    <m/>
    <m/>
    <m/>
    <m/>
    <n v="0"/>
    <m/>
    <m/>
    <m/>
    <m/>
  </r>
  <r>
    <x v="18"/>
    <n v="2021"/>
    <n v="26042"/>
    <n v="-24334"/>
    <m/>
    <n v="-684"/>
    <n v="1024"/>
    <n v="3.9321096689962372E-2"/>
    <m/>
    <m/>
    <n v="1024"/>
    <m/>
    <m/>
    <m/>
    <m/>
    <m/>
    <m/>
    <m/>
    <n v="3.56"/>
    <n v="3445"/>
    <m/>
    <n v="62098"/>
    <n v="-43942"/>
    <n v="18156"/>
    <m/>
    <m/>
    <m/>
    <m/>
  </r>
  <r>
    <x v="18"/>
    <n v="2022"/>
    <n v="26485"/>
    <n v="-23519"/>
    <m/>
    <n v="-598"/>
    <n v="2368"/>
    <n v="8.9409099490277519E-2"/>
    <n v="4.750557172655568E-2"/>
    <m/>
    <n v="2368"/>
    <n v="1251"/>
    <n v="4.7234283556730226E-2"/>
    <n v="36.67"/>
    <n v="1226"/>
    <n v="44957.420000000006"/>
    <n v="5.2672061697490641E-2"/>
    <n v="2.7826329891706417E-2"/>
    <n v="3.56"/>
    <n v="1040"/>
    <m/>
    <n v="59680"/>
    <n v="-41643"/>
    <n v="18037"/>
    <n v="4.2000000000000003E-2"/>
    <n v="9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9"/>
    <n v="2020"/>
    <n v="43580.800520663848"/>
    <n v="-29637.520338431499"/>
    <m/>
    <n v="-2167.8815489749431"/>
    <n v="11775.398633257406"/>
    <n v="0.27019693288272889"/>
    <m/>
    <m/>
    <n v="11775.398633257406"/>
    <m/>
    <m/>
    <m/>
    <m/>
    <m/>
    <m/>
    <m/>
    <n v="3.56"/>
    <n v="25760.23429873088"/>
    <m/>
    <n v="88999.088838268784"/>
    <n v="-29615.652456882526"/>
    <n v="59383.436381386258"/>
    <m/>
    <m/>
    <m/>
    <m/>
  </r>
  <r>
    <x v="19"/>
    <n v="2021"/>
    <n v="51656.849983729255"/>
    <n v="-36139.83078424992"/>
    <m/>
    <n v="-2149.4630654083958"/>
    <n v="13367.556134070939"/>
    <n v="0.25877606045048079"/>
    <m/>
    <m/>
    <n v="13367.556134070939"/>
    <m/>
    <m/>
    <m/>
    <m/>
    <m/>
    <m/>
    <m/>
    <n v="3.56"/>
    <n v="38680.507647250241"/>
    <m/>
    <n v="120360.59225512529"/>
    <n v="-50594.533029612758"/>
    <n v="69766.059225512523"/>
    <m/>
    <m/>
    <m/>
    <m/>
  </r>
  <r>
    <x v="19"/>
    <n v="2022"/>
    <n v="73670.387243735764"/>
    <n v="-45331.662870159453"/>
    <m/>
    <n v="-4142.2063130491379"/>
    <n v="24196.518060527174"/>
    <n v="0.32844293298573124"/>
    <n v="0.28580530877298033"/>
    <m/>
    <n v="24196.518060527174"/>
    <n v="16446.490942618508"/>
    <n v="0.22324425807897408"/>
    <n v="107.41"/>
    <n v="5186"/>
    <n v="557028.26"/>
    <n v="4.3438582560473997E-2"/>
    <n v="2.9525415717002415E-2"/>
    <n v="3.56"/>
    <n v="50817.181906931335"/>
    <m/>
    <n v="160715.26195899773"/>
    <n v="-65222.583794337777"/>
    <n v="95492.678164659941"/>
    <n v="1.4500000000000001E-2"/>
    <n v="10"/>
    <m/>
    <m/>
  </r>
  <r>
    <x v="19"/>
    <n v="30.73"/>
    <m/>
    <m/>
    <m/>
    <m/>
    <m/>
    <m/>
    <m/>
    <m/>
    <m/>
    <m/>
    <m/>
    <m/>
    <m/>
    <m/>
    <m/>
    <m/>
    <m/>
    <m/>
    <m/>
    <m/>
    <m/>
    <n v="0"/>
    <m/>
    <m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20"/>
    <m/>
    <m/>
    <m/>
    <m/>
    <m/>
    <m/>
    <n v="-1E-3"/>
    <n v="0"/>
    <m/>
    <n v="-1"/>
    <n v="-1"/>
    <n v="-0.01"/>
    <m/>
    <m/>
    <m/>
    <n v="-1"/>
    <m/>
    <m/>
    <m/>
    <m/>
    <m/>
    <m/>
    <n v="0"/>
    <n v="0"/>
    <n v="1"/>
    <m/>
    <m/>
  </r>
  <r>
    <x v="21"/>
    <n v="2021"/>
    <n v="559151"/>
    <n v="-536603"/>
    <n v="-1984"/>
    <n v="-5271"/>
    <n v="15293"/>
    <n v="2.7350393721910539E-2"/>
    <m/>
    <m/>
    <n v="15293"/>
    <m/>
    <m/>
    <m/>
    <m/>
    <m/>
    <m/>
    <m/>
    <n v="3.56"/>
    <m/>
    <n v="19"/>
    <m/>
    <m/>
    <n v="19"/>
    <m/>
    <m/>
    <m/>
    <m/>
  </r>
  <r>
    <x v="21"/>
    <n v="2022"/>
    <n v="572754"/>
    <n v="-546812"/>
    <n v="-7246"/>
    <n v="-5918"/>
    <n v="12778"/>
    <n v="2.2309752529008964E-2"/>
    <m/>
    <m/>
    <n v="12778"/>
    <m/>
    <m/>
    <m/>
    <m/>
    <m/>
    <m/>
    <m/>
    <n v="3.56"/>
    <n v="14760"/>
    <n v="70"/>
    <n v="215846"/>
    <n v="-152969"/>
    <n v="62947"/>
    <m/>
    <m/>
    <m/>
    <m/>
  </r>
  <r>
    <x v="21"/>
    <n v="2023"/>
    <n v="611289"/>
    <n v="-590861"/>
    <n v="-3412"/>
    <n v="-3310"/>
    <n v="13706"/>
    <n v="2.2421473312950177E-2"/>
    <n v="2.4027206521289896E-2"/>
    <m/>
    <n v="13706"/>
    <n v="13925.666666666666"/>
    <n v="2.2780823254903434E-2"/>
    <n v="156.87"/>
    <n v="2696"/>
    <n v="422921.52"/>
    <n v="3.2407903953433251E-2"/>
    <n v="3.2927306859832209E-2"/>
    <n v="3.56"/>
    <n v="8625"/>
    <n v="74"/>
    <n v="215023"/>
    <n v="-159206"/>
    <n v="55891"/>
    <n v="1.47E-2"/>
    <n v="8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22"/>
    <n v="2020"/>
    <n v="5655"/>
    <n v="-4991"/>
    <n v="1587"/>
    <n v="-247"/>
    <n v="2004"/>
    <n v="0.35437665782493366"/>
    <m/>
    <m/>
    <n v="2004"/>
    <m/>
    <m/>
    <m/>
    <m/>
    <m/>
    <m/>
    <m/>
    <n v="3.56"/>
    <m/>
    <m/>
    <m/>
    <m/>
    <n v="0"/>
    <m/>
    <m/>
    <m/>
    <m/>
  </r>
  <r>
    <x v="22"/>
    <n v="2021"/>
    <n v="8537"/>
    <n v="-6591"/>
    <n v="302"/>
    <n v="-330"/>
    <n v="1918"/>
    <n v="0.22466908750146422"/>
    <m/>
    <m/>
    <n v="1918"/>
    <m/>
    <m/>
    <m/>
    <m/>
    <m/>
    <m/>
    <m/>
    <n v="3.56"/>
    <n v="536"/>
    <n v="1000"/>
    <n v="10563"/>
    <n v="-7438"/>
    <n v="4125"/>
    <m/>
    <m/>
    <m/>
    <m/>
  </r>
  <r>
    <x v="22"/>
    <n v="2022"/>
    <n v="9673"/>
    <n v="-8295"/>
    <n v="43"/>
    <n v="-489"/>
    <n v="932"/>
    <n v="9.6350666804507393E-2"/>
    <n v="0.22513213737696844"/>
    <m/>
    <n v="932"/>
    <n v="1618"/>
    <n v="0.16726971983872635"/>
    <n v="116.35"/>
    <n v="108"/>
    <n v="12565.8"/>
    <n v="7.4169571376275292E-2"/>
    <n v="0.12876219580130197"/>
    <n v="3.56"/>
    <n v="1508"/>
    <n v="5492"/>
    <n v="19130"/>
    <n v="-20167"/>
    <n v="4455"/>
    <n v="2.41E-2"/>
    <n v="8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23"/>
    <n v="2020"/>
    <n v="120867"/>
    <n v="-115629"/>
    <n v="446"/>
    <n v="1666"/>
    <n v="7350"/>
    <n v="6.0810643103576659E-2"/>
    <m/>
    <m/>
    <n v="7350"/>
    <m/>
    <m/>
    <m/>
    <m/>
    <m/>
    <m/>
    <m/>
    <n v="3.56"/>
    <m/>
    <n v="2700"/>
    <m/>
    <m/>
    <m/>
    <m/>
    <m/>
    <m/>
    <m/>
  </r>
  <r>
    <x v="23"/>
    <n v="2021"/>
    <n v="138639"/>
    <n v="-130714"/>
    <n v="-330"/>
    <n v="1830"/>
    <n v="9425"/>
    <n v="6.7982313778951087E-2"/>
    <m/>
    <m/>
    <n v="9425"/>
    <m/>
    <m/>
    <m/>
    <m/>
    <m/>
    <m/>
    <m/>
    <n v="3.56"/>
    <n v="4880"/>
    <n v="1900"/>
    <n v="73232"/>
    <n v="-61332"/>
    <n v="13800"/>
    <m/>
    <m/>
    <m/>
    <m/>
  </r>
  <r>
    <x v="23"/>
    <n v="2022"/>
    <n v="156595"/>
    <n v="-148826"/>
    <n v="-2336"/>
    <n v="1750"/>
    <n v="7183"/>
    <n v="4.5869919218365848E-2"/>
    <n v="5.8220958700297865E-2"/>
    <m/>
    <n v="7183"/>
    <n v="7986"/>
    <n v="5.0997796864523132E-2"/>
    <n v="436.33"/>
    <n v="237"/>
    <n v="103410.20999999999"/>
    <n v="6.9461226314113472E-2"/>
    <n v="7.7226417004665218E-2"/>
    <n v="3.56"/>
    <n v="7387"/>
    <n v="2316"/>
    <n v="78389"/>
    <n v="-66378"/>
    <n v="14327"/>
    <n v="1.3599999999999999E-2"/>
    <n v="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C5919A-8168-4532-8BD4-83424894F6C2}" name="PivotTable3" cacheId="19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F24" firstHeaderRow="0" firstDataRow="1" firstDataCol="1"/>
  <pivotFields count="28">
    <pivotField axis="axisRow" compact="0" outline="0" showAll="0" sortType="descending" defaultSubtotal="0">
      <items count="24">
        <item x="7"/>
        <item x="9"/>
        <item x="3"/>
        <item x="8"/>
        <item x="14"/>
        <item x="15"/>
        <item x="6"/>
        <item x="10"/>
        <item x="18"/>
        <item x="0"/>
        <item x="12"/>
        <item x="4"/>
        <item x="13"/>
        <item x="5"/>
        <item x="17"/>
        <item h="1" x="1"/>
        <item x="19"/>
        <item x="16"/>
        <item x="11"/>
        <item x="21"/>
        <item h="1" x="20"/>
        <item h="1" x="2"/>
        <item x="22"/>
        <item x="2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numFmtId="164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0"/>
  </rowFields>
  <rowItems count="21">
    <i>
      <x v="18"/>
    </i>
    <i>
      <x v="10"/>
    </i>
    <i>
      <x v="11"/>
    </i>
    <i>
      <x v="1"/>
    </i>
    <i>
      <x v="12"/>
    </i>
    <i>
      <x v="3"/>
    </i>
    <i>
      <x v="16"/>
    </i>
    <i>
      <x/>
    </i>
    <i>
      <x v="22"/>
    </i>
    <i>
      <x v="13"/>
    </i>
    <i>
      <x v="6"/>
    </i>
    <i>
      <x v="7"/>
    </i>
    <i>
      <x v="5"/>
    </i>
    <i>
      <x v="2"/>
    </i>
    <i>
      <x v="14"/>
    </i>
    <i>
      <x v="17"/>
    </i>
    <i>
      <x v="23"/>
    </i>
    <i>
      <x v="8"/>
    </i>
    <i>
      <x v="9"/>
    </i>
    <i>
      <x v="4"/>
    </i>
    <i>
      <x v="19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argin 3 year Average" fld="8" baseField="0" baseItem="18"/>
    <dataField name="Net Assets" fld="23" subtotal="average" baseField="0" baseItem="18"/>
    <dataField name="Average Earnings 3 yr trail. " fld="11" baseField="0" baseItem="18"/>
    <dataField name="Dividend yIELD" fld="24" baseField="0" baseItem="18"/>
    <dataField name="Earnings to mkt cap % " fld="16" baseField="0" baseItem="18" numFmtId="9"/>
  </dataFields>
  <formats count="4">
    <format dxfId="28">
      <pivotArea outline="0" fieldPosition="0">
        <references count="2">
          <reference field="4294967294" count="1" selected="0">
            <x v="3"/>
          </reference>
          <reference field="0" count="0" selected="0"/>
        </references>
      </pivotArea>
    </format>
    <format dxfId="27">
      <pivotArea outline="0" fieldPosition="0">
        <references count="2">
          <reference field="4294967294" count="1" selected="0">
            <x v="0"/>
          </reference>
          <reference field="0" count="0" selected="0"/>
        </references>
      </pivotArea>
    </format>
    <format dxfId="26">
      <pivotArea outline="0" fieldPosition="0">
        <references count="2">
          <reference field="4294967294" count="2" selected="0">
            <x v="1"/>
            <x v="2"/>
          </reference>
          <reference field="0" count="0" selected="0"/>
        </references>
      </pivotArea>
    </format>
    <format dxfId="25">
      <pivotArea outline="0" fieldPosition="0">
        <references count="1">
          <reference field="4294967294" count="1" selected="0">
            <x v="4"/>
          </reference>
        </references>
      </pivotArea>
    </format>
  </formats>
  <conditionalFormats count="5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2">
            <reference field="4294967294" count="1" selected="0">
              <x v="3"/>
            </reference>
            <reference field="0" count="2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0" count="2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0" count="2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20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6"/>
              <x v="17"/>
              <x v="18"/>
              <x v="19"/>
              <x v="22"/>
            </reference>
          </references>
        </pivotArea>
      </pivotAreas>
    </conditionalFormat>
  </conditional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809D16-82E7-4061-AB4A-3BC844DCB9A5}" name="StockData" displayName="StockData" ref="F3:AG87" totalsRowShown="0" headerRowDxfId="24">
  <autoFilter ref="F3:AG87" xr:uid="{DE809D16-82E7-4061-AB4A-3BC844DCB9A5}"/>
  <tableColumns count="28">
    <tableColumn id="1" xr3:uid="{1561CD78-ADF3-4C7B-8537-ADBCB6CF1E09}" name="Company"/>
    <tableColumn id="2" xr3:uid="{646BE5EC-1717-48C1-851C-4BA74A2BDE52}" name="  Year"/>
    <tableColumn id="3" xr3:uid="{847FEF8C-AAED-4198-B7A6-6B314FACCBF6}" name="  Revenue" dataDxfId="23" dataCellStyle="Comma"/>
    <tableColumn id="4" xr3:uid="{1175A527-6595-4A8B-A307-FCF5EA084772}" name="  Expenses" dataDxfId="22" dataCellStyle="Comma"/>
    <tableColumn id="5" xr3:uid="{326FB0A6-BA52-4CAC-B41C-E1799084E576}" name="Other Income &amp; Expenses" dataDxfId="21" dataCellStyle="Comma"/>
    <tableColumn id="6" xr3:uid="{5B0B6C48-75DB-4015-9BC3-D40AD80164FF}" name="  Taxes" dataDxfId="20" dataCellStyle="Comma"/>
    <tableColumn id="10" xr3:uid="{E04B98B7-43D8-4EDB-B57B-2CBB7D65CD54}" name=" Operating Income" dataDxfId="19" dataCellStyle="Comma"/>
    <tableColumn id="11" xr3:uid="{A4C51648-180D-4CEF-B7DF-8EC8F9FE82F2}" name="  Net margin" dataDxfId="18" dataCellStyle="Percent"/>
    <tableColumn id="12" xr3:uid="{E9018216-4238-4382-885B-52CE922B2600}" name="Net Margin 3 year Average" dataDxfId="17" dataCellStyle="Percent"/>
    <tableColumn id="14" xr3:uid="{4AD57D29-E820-4B23-B726-DB906ED2E2D9}" name=" One Time Charges"/>
    <tableColumn id="16" xr3:uid="{7AD2E384-F176-4D3C-AEF4-98592CE55E75}" name="  Earnings" dataDxfId="16" dataCellStyle="Comma"/>
    <tableColumn id="17" xr3:uid="{A5BFB81A-8602-4FFE-8850-179D5CA42BA6}" name="Earnings 3 yr trail. Average" dataDxfId="15" dataCellStyle="Comma"/>
    <tableColumn id="18" xr3:uid="{1100B58B-CE7A-492E-8C7C-2DBCD6420836}" name="Trailing Earnings %" dataDxfId="14" dataCellStyle="Percent"/>
    <tableColumn id="9" xr3:uid="{0D83BD8C-A54B-4862-85C2-A84BE0429DBF}" name="Stock Price" dataDxfId="13" dataCellStyle="Percent"/>
    <tableColumn id="7" xr3:uid="{9DEB2D87-C09A-4F19-8FE1-B7A8C95A5FDE}" name="Shares Outstanding" dataDxfId="12" dataCellStyle="Percent"/>
    <tableColumn id="19" xr3:uid="{70A2D39E-9CBB-44DC-B9F7-C3514F68FF02}" name=" Market  Cap" dataDxfId="11" dataCellStyle="Comma"/>
    <tableColumn id="20" xr3:uid="{D778DDCB-58DD-4DA3-88E5-5F45EC3232EA}" name="Earnings to mkt cap % Rate" dataDxfId="10" dataCellStyle="Percent"/>
    <tableColumn id="21" xr3:uid="{A0D24FD9-8092-4F5E-9731-0E811756FDD1}" name="Earnings to mkt cap 3 yr trail." dataDxfId="9" dataCellStyle="Percent"/>
    <tableColumn id="22" xr3:uid="{8393F006-86EC-42F7-BFA9-A3D9D68ADA88}" name=" 10 yr Treasury" dataDxfId="8"/>
    <tableColumn id="24" xr3:uid="{139F887A-B4B1-4E72-A1E3-BB0BFEA44EC9}" name="Cash &amp; Equiv. Portion" dataDxfId="7" dataCellStyle="Comma"/>
    <tableColumn id="8" xr3:uid="{FA133E46-47B5-46C6-B0AE-37EF33D17E4A}" name=" Dividends Stock Buybacks" dataDxfId="6" dataCellStyle="Comma"/>
    <tableColumn id="25" xr3:uid="{C676BF2D-7E43-4334-83B0-A2A2B7E8BF52}" name="Total Assets LESS Goodwill" dataDxfId="5" dataCellStyle="Comma"/>
    <tableColumn id="26" xr3:uid="{2F85D861-EAA1-4B44-BAEF-601129E55DDC}" name="  Debt" dataDxfId="4" dataCellStyle="Comma"/>
    <tableColumn id="27" xr3:uid="{F8A9B7EA-C187-4439-B1AC-6B7CCBC8B269}" name="  Net Assets" dataDxfId="3" dataCellStyle="Comma">
      <calculatedColumnFormula>SUM(Z4:AB4)</calculatedColumnFormula>
    </tableColumn>
    <tableColumn id="29" xr3:uid="{4532D071-6299-482C-8EFF-B3623393B6E9}" name="  Dividend" dataDxfId="2" dataCellStyle="Percent"/>
    <tableColumn id="31" xr3:uid="{2C09F75F-1537-47F8-93A1-2EC6E45527A0}" name=" Competitive Advantage"/>
    <tableColumn id="32" xr3:uid="{B4D71BD6-A01F-4090-990B-07C3AF7E194C}" name=" Investments Portion" dataDxfId="1" dataCellStyle="Comma"/>
    <tableColumn id="33" xr3:uid="{016DC6A3-6474-4DBB-8264-0C4CB5CA17AD}" name=" Investment Results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01F0F7E-A73A-4E50-9B3F-345C137ED032}">
  <we:reference id="wa104379220" version="8.0.0.0" store="en-US" storeType="OMEX"/>
  <we:alternateReferences>
    <we:reference id="WA104379220" version="8.0.0.0" store="WA104379220" storeType="OMEX"/>
  </we:alternateReferences>
  <we:properties>
    <we:property name="Office.AutoShowTaskpaneWithDocument" value="true"/>
    <we:property name="stocks" value="{&quot;KR&quot;:[&quot;KR&quot;,47.21,0.00746905676483145],&quot;BRK_B&quot;:[&quot;BRK_B&quot;,335.9,-0.0014566425874729116],&quot;MSFT&quot;:[&quot;MSFT&quot;,337.34,0.00912381465194878],&quot;PG&quot;:[&quot;PG&quot;,146.42,0.009375430856197298],&quot;GIS&quot;:[&quot;GIS&quot;,80.65,-0.000990957512696622],&quot;AAPL&quot;:[&quot;AAPL&quot;,183.95,0.003491353444983858],&quot;JPM&quot;:[&quot;JPM&quot;,141.49,-0.003731868750880163],&quot;BAC&quot;:[&quot;BAC&quot;,29.12,-0.00952380952380949],&quot;HD&quot;:[&quot;HD&quot;,299.71,-0.0012330045321248262],&quot;V&quot;:[&quot;V&quot;,223.44,0.0001790510295434089],&quot;MA&quot;:[&quot;MA&quot;,374.76,0.009101190155635708],&quot;MCO&quot;:[&quot;MCO&quot;,340.71,0.005637544273907835],&quot;COST&quot;:[&quot;COST&quot;,527.2,0.009922991456266184],&quot;DVA&quot;:[&quot;DVA&quot;,97.48,-0.007736156351791479],&quot;UNH&quot;:[&quot;UNH&quot;,459.86,-0.06401253790885586],&quot;PGR&quot;:[&quot;PGR&quot;,126.93,-0.036072296476306165],&quot;KHC&quot;:[&quot;KHC&quot;,36.67,-0.003532608695652084],&quot;TSM&quot;:[&quot;TSM&quot;,107.41,0.005711610486891283],&quot;WMT&quot;:[&quot;WMT&quot;,156.87,0.01010946555054737],&quot;CE&quot;:[&quot;CE&quot;,116.35,-0.010376796801905286],&quot;ELV&quot;:[&quot;ELV&quot;,436.33,-0.06892431129035703]}"/>
    <we:property name="stocksChange" value="{}"/>
    <we:property name="stocksOrder" value="[&quot;KR&quot;,&quot;BRK_B&quot;,&quot;MSFT&quot;,&quot;PG&quot;,&quot;GIS&quot;,&quot;AAPL&quot;,&quot;JPM&quot;,&quot;BAC&quot;,&quot;HD&quot;,&quot;V&quot;,&quot;MA&quot;,&quot;MCO&quot;,&quot;COST&quot;,&quot;DVA&quot;,&quot;UNH&quot;,&quot;PGR&quot;,&quot;KHC&quot;,&quot;TSM&quot;,&quot;WMT&quot;,&quot;CE&quot;,&quot;ELV&quot;]"/>
    <we:property name="stocksSources" value="{&quot;KR&quot;:0,&quot;BRK_B&quot;:0,&quot;MSFT&quot;:0,&quot;PG&quot;:0,&quot;GIS&quot;:0,&quot;AAPL&quot;:0,&quot;JPM&quot;:0,&quot;BAC&quot;:0,&quot;HD&quot;:0,&quot;V&quot;:0,&quot;MA&quot;:0,&quot;MCO&quot;:0,&quot;COST&quot;:0,&quot;DVA&quot;:0,&quot;UNH&quot;:0,&quot;PGR&quot;:0,&quot;KHC&quot;:0,&quot;TSM&quot;:0,&quot;WMT&quot;:0,&quot;CE&quot;:0,&quot;ELV&quot;:0}"/>
    <we:property name="updateIntervalIndex" value="9"/>
  </we:properties>
  <we:bindings>
    <we:binding id="KR" type="text" appref="{0D575AE0-7CF7-4FBB-B65C-9E2760D6D1F8}"/>
    <we:binding id="BRK_B" type="text" appref="{1FC34627-0B42-4260-9DFD-8830906AE062}"/>
    <we:binding id="MSFT" type="text" appref="{4CF21D37-8090-4712-8073-A07DFD6244B9}"/>
    <we:binding id="PG" type="text" appref="{46885DDB-E213-4D1A-8F41-DE32944D5DFA}"/>
    <we:binding id="GIS" type="text" appref="{F4727519-81F1-48AF-95D5-5BE141D6A77A}"/>
    <we:binding id="AAPL" type="text" appref="{E0B143C8-08DC-4EF1-8179-620B60953DBF}"/>
    <we:binding id="JPM" type="text" appref="{258DB686-3511-47C9-BAF0-BEAB77088733}"/>
    <we:binding id="BAC" type="text" appref="{5AB334DD-15F0-4AFF-BEF9-4F6839CC805F}"/>
    <we:binding id="HD" type="text" appref="{5270DF75-97A0-4804-AFC8-FC381D72FF4B}"/>
    <we:binding id="V" type="text" appref="{FBBF6FEE-7B9B-4D90-A5D7-216308E88911}"/>
    <we:binding id="MA" type="text" appref="{9AA81A46-4AF7-4B51-8F2D-C732E52CEED5}"/>
    <we:binding id="MCO" type="text" appref="{3C1D5444-20AD-4629-8F3A-A2DB0E5CAED9}"/>
    <we:binding id="COST" type="text" appref="{40CB6467-ACA2-4E9E-A45C-A710ECA7789B}"/>
    <we:binding id="DVA" type="text" appref="{F9389A6E-C47B-4BC3-87BA-E956B6502991}"/>
    <we:binding id="UNH" type="text" appref="{5B9F19A9-5B4D-4CB9-8C38-B87C348A972A}"/>
    <we:binding id="PGR" type="text" appref="{4F2CCD64-E6FF-48F6-BDB3-E177CF02F66D}"/>
    <we:binding id="KHC" type="text" appref="{CE566A9A-BC8C-4542-9EC1-0A4FC1F300B1}"/>
    <we:binding id="TSM" type="text" appref="{05308C90-0589-4D1E-82B4-FD0D394ABCE1}"/>
    <we:binding id="WMT" type="text" appref="{FE9E95E7-6540-4E04-AEA7-439E217690EF}"/>
    <we:binding id="CE" type="text" appref="{15128BCD-5EC5-48B8-9F50-6BCB1F916BBB}"/>
    <we:binding id="ELV" type="text" appref="{D9B9AB32-69AE-438B-89B4-267C1807EB8D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12DCE-5748-43C8-9C1C-9E687316465C}">
  <dimension ref="A1:F24"/>
  <sheetViews>
    <sheetView tabSelected="1" workbookViewId="0">
      <selection activeCell="C2" sqref="C2"/>
    </sheetView>
  </sheetViews>
  <sheetFormatPr defaultRowHeight="15" x14ac:dyDescent="0.25"/>
  <cols>
    <col min="1" max="1" width="20.85546875" bestFit="1" customWidth="1"/>
    <col min="2" max="2" width="21" bestFit="1" customWidth="1"/>
    <col min="3" max="3" width="10.42578125" bestFit="1" customWidth="1"/>
    <col min="4" max="4" width="25.140625" bestFit="1" customWidth="1"/>
    <col min="5" max="5" width="14.28515625" bestFit="1" customWidth="1"/>
    <col min="6" max="6" width="20.7109375" bestFit="1" customWidth="1"/>
    <col min="7" max="8" width="9.85546875" customWidth="1"/>
  </cols>
  <sheetData>
    <row r="1" spans="1:6" x14ac:dyDescent="0.25">
      <c r="C1" t="s">
        <v>30</v>
      </c>
    </row>
    <row r="3" spans="1:6" x14ac:dyDescent="0.25">
      <c r="A3" s="28" t="s">
        <v>66</v>
      </c>
      <c r="B3" t="s">
        <v>69</v>
      </c>
      <c r="C3" t="s">
        <v>33</v>
      </c>
      <c r="D3" t="s">
        <v>70</v>
      </c>
      <c r="E3" t="s">
        <v>71</v>
      </c>
      <c r="F3" t="s">
        <v>75</v>
      </c>
    </row>
    <row r="4" spans="1:6" x14ac:dyDescent="0.25">
      <c r="A4" t="s">
        <v>12</v>
      </c>
      <c r="B4" s="25">
        <v>0.49107383195906223</v>
      </c>
      <c r="C4" s="29">
        <v>-4434.666666666667</v>
      </c>
      <c r="D4" s="29">
        <v>12146.666666666666</v>
      </c>
      <c r="E4" s="25">
        <v>7.7000000000000002E-3</v>
      </c>
      <c r="F4" s="30">
        <v>2.8944100538733742E-2</v>
      </c>
    </row>
    <row r="5" spans="1:6" x14ac:dyDescent="0.25">
      <c r="A5" t="s">
        <v>13</v>
      </c>
      <c r="B5" s="25">
        <v>0.44185477623837938</v>
      </c>
      <c r="C5" s="29">
        <v>-2975</v>
      </c>
      <c r="D5" s="29">
        <v>8342.6666666666661</v>
      </c>
      <c r="E5" s="25">
        <v>5.7000000000000002E-3</v>
      </c>
      <c r="F5" s="30">
        <v>2.7803733529017861E-2</v>
      </c>
    </row>
    <row r="6" spans="1:6" x14ac:dyDescent="0.25">
      <c r="A6" t="s">
        <v>4</v>
      </c>
      <c r="B6" s="25">
        <v>0.34700187610298672</v>
      </c>
      <c r="C6" s="29">
        <v>63765</v>
      </c>
      <c r="D6" s="29">
        <v>57980.666666666664</v>
      </c>
      <c r="E6" s="25">
        <v>8.5000000000000006E-3</v>
      </c>
      <c r="F6" s="30">
        <v>2.639164341390678E-2</v>
      </c>
    </row>
    <row r="7" spans="1:6" x14ac:dyDescent="0.25">
      <c r="A7" t="s">
        <v>16</v>
      </c>
      <c r="B7" s="25">
        <v>0.32185703688151784</v>
      </c>
      <c r="C7" s="29">
        <v>135073</v>
      </c>
      <c r="D7" s="29">
        <v>28889.666666666668</v>
      </c>
      <c r="E7" s="25">
        <v>2.2000000000000001E-3</v>
      </c>
      <c r="F7" s="30">
        <v>0.12891623081539913</v>
      </c>
    </row>
    <row r="8" spans="1:6" x14ac:dyDescent="0.25">
      <c r="A8" t="s">
        <v>9</v>
      </c>
      <c r="B8" s="25">
        <v>0.31158671220840922</v>
      </c>
      <c r="C8" s="29">
        <v>-2078</v>
      </c>
      <c r="D8" s="29">
        <v>1782</v>
      </c>
      <c r="E8" s="25">
        <v>9.9000000000000008E-3</v>
      </c>
      <c r="F8" s="30">
        <v>5.4599922884645E-3</v>
      </c>
    </row>
    <row r="9" spans="1:6" x14ac:dyDescent="0.25">
      <c r="A9" t="s">
        <v>5</v>
      </c>
      <c r="B9" s="25">
        <v>0.30176142122618366</v>
      </c>
      <c r="C9" s="29">
        <v>156303</v>
      </c>
      <c r="D9" s="29">
        <v>36948</v>
      </c>
      <c r="E9" s="25">
        <v>2.93E-2</v>
      </c>
      <c r="F9" s="30">
        <v>6.3837338423048187E-2</v>
      </c>
    </row>
    <row r="10" spans="1:6" x14ac:dyDescent="0.25">
      <c r="A10" t="s">
        <v>37</v>
      </c>
      <c r="B10" s="25">
        <v>0.28580530877298033</v>
      </c>
      <c r="C10" s="29">
        <v>56160.543442889684</v>
      </c>
      <c r="D10" s="29">
        <v>16446.490942618508</v>
      </c>
      <c r="E10" s="25">
        <v>1.4500000000000001E-2</v>
      </c>
      <c r="F10" s="30">
        <v>4.3438582560473997E-2</v>
      </c>
    </row>
    <row r="11" spans="1:6" x14ac:dyDescent="0.25">
      <c r="A11" t="s">
        <v>6</v>
      </c>
      <c r="B11" s="25">
        <v>0.2304633713054686</v>
      </c>
      <c r="C11" s="29">
        <v>3495</v>
      </c>
      <c r="D11" s="29">
        <v>80168.666666666672</v>
      </c>
      <c r="E11" s="25">
        <v>2.3999999999999998E-3</v>
      </c>
      <c r="F11" s="30">
        <v>3.0711584987697566E-2</v>
      </c>
    </row>
    <row r="12" spans="1:6" x14ac:dyDescent="0.25">
      <c r="A12" t="s">
        <v>14</v>
      </c>
      <c r="B12" s="25">
        <v>0.22513213737696844</v>
      </c>
      <c r="C12" s="29">
        <v>2860</v>
      </c>
      <c r="D12" s="29">
        <v>1618</v>
      </c>
      <c r="E12" s="25">
        <v>2.41E-2</v>
      </c>
      <c r="F12" s="30">
        <v>7.4169571376275292E-2</v>
      </c>
    </row>
    <row r="13" spans="1:6" x14ac:dyDescent="0.25">
      <c r="A13" t="s">
        <v>38</v>
      </c>
      <c r="B13" s="25">
        <v>0.19737115976940958</v>
      </c>
      <c r="C13" s="29">
        <v>4294.666666666667</v>
      </c>
      <c r="D13" s="29">
        <v>15012</v>
      </c>
      <c r="E13" s="25">
        <v>2.46E-2</v>
      </c>
      <c r="F13" s="30">
        <v>4.6760074917986109E-2</v>
      </c>
    </row>
    <row r="14" spans="1:6" x14ac:dyDescent="0.25">
      <c r="A14" t="s">
        <v>7</v>
      </c>
      <c r="B14" s="25">
        <v>0.16043203041244505</v>
      </c>
      <c r="C14" s="29">
        <v>-2403.6666666666665</v>
      </c>
      <c r="D14" s="29">
        <v>6538.3333333333339</v>
      </c>
      <c r="E14" s="25">
        <v>2.53E-2</v>
      </c>
      <c r="F14" s="30">
        <v>6.6664483946976799E-2</v>
      </c>
    </row>
    <row r="15" spans="1:6" x14ac:dyDescent="0.25">
      <c r="A15" t="s">
        <v>2</v>
      </c>
      <c r="B15" s="25">
        <v>0.14629143906548692</v>
      </c>
      <c r="C15" s="29">
        <v>-5009</v>
      </c>
      <c r="D15" s="29">
        <v>21384.333333333332</v>
      </c>
      <c r="E15" s="25">
        <v>2.92E-2</v>
      </c>
      <c r="F15" s="30">
        <v>7.1678484604082812E-2</v>
      </c>
    </row>
    <row r="16" spans="1:6" x14ac:dyDescent="0.25">
      <c r="A16" t="s">
        <v>10</v>
      </c>
      <c r="B16" s="25">
        <v>0.11564874041278966</v>
      </c>
      <c r="C16" s="29">
        <v>-3160.3333333333335</v>
      </c>
      <c r="D16" s="29">
        <v>1340.6666666666667</v>
      </c>
      <c r="E16" s="25">
        <v>0</v>
      </c>
      <c r="F16" s="30">
        <v>0.1282877975532879</v>
      </c>
    </row>
    <row r="17" spans="1:6" x14ac:dyDescent="0.25">
      <c r="A17" t="s">
        <v>0</v>
      </c>
      <c r="B17" s="25">
        <v>8.9467642110088744E-2</v>
      </c>
      <c r="C17" s="29">
        <v>421776.5</v>
      </c>
      <c r="D17" s="29">
        <v>30963.666666666668</v>
      </c>
      <c r="E17" s="25">
        <v>0</v>
      </c>
      <c r="F17" s="30">
        <v>-3.6600027574796634E-2</v>
      </c>
    </row>
    <row r="18" spans="1:6" x14ac:dyDescent="0.25">
      <c r="A18" t="s">
        <v>3</v>
      </c>
      <c r="B18" s="25">
        <v>8.6288682679110565E-2</v>
      </c>
      <c r="C18" s="29">
        <v>11147.700000000003</v>
      </c>
      <c r="D18" s="29">
        <v>3926.1333333333332</v>
      </c>
      <c r="E18" s="25">
        <v>3.0999999999999999E-3</v>
      </c>
      <c r="F18" s="30">
        <v>3.6649852768973541E-2</v>
      </c>
    </row>
    <row r="19" spans="1:6" x14ac:dyDescent="0.25">
      <c r="A19" t="s">
        <v>1</v>
      </c>
      <c r="B19" s="25">
        <v>6.2216278104935734E-2</v>
      </c>
      <c r="C19" s="29">
        <v>2200.3333333333335</v>
      </c>
      <c r="D19" s="29">
        <v>18046.666666666668</v>
      </c>
      <c r="E19" s="25">
        <v>1.32E-2</v>
      </c>
      <c r="F19" s="30">
        <v>4.8104020101369216E-2</v>
      </c>
    </row>
    <row r="20" spans="1:6" x14ac:dyDescent="0.25">
      <c r="A20" t="s">
        <v>72</v>
      </c>
      <c r="B20" s="25">
        <v>5.8220958700297865E-2</v>
      </c>
      <c r="C20" s="29">
        <v>14063.5</v>
      </c>
      <c r="D20" s="29">
        <v>7986</v>
      </c>
      <c r="E20" s="25">
        <v>1.3599999999999999E-2</v>
      </c>
      <c r="F20" s="30">
        <v>6.9461226314113472E-2</v>
      </c>
    </row>
    <row r="21" spans="1:6" x14ac:dyDescent="0.25">
      <c r="A21" t="s">
        <v>8</v>
      </c>
      <c r="B21" s="25">
        <v>4.750557172655568E-2</v>
      </c>
      <c r="C21" s="29">
        <v>12064.333333333334</v>
      </c>
      <c r="D21" s="29">
        <v>1251</v>
      </c>
      <c r="E21" s="25">
        <v>4.2000000000000003E-2</v>
      </c>
      <c r="F21" s="30">
        <v>5.2672061697490641E-2</v>
      </c>
    </row>
    <row r="22" spans="1:6" x14ac:dyDescent="0.25">
      <c r="A22" t="s">
        <v>11</v>
      </c>
      <c r="B22" s="25">
        <v>3.5823243662744308E-2</v>
      </c>
      <c r="C22" s="29">
        <v>6406.666666666667</v>
      </c>
      <c r="D22" s="29">
        <v>11092.333333333334</v>
      </c>
      <c r="E22" s="25">
        <v>2.2700000000000001E-2</v>
      </c>
      <c r="F22" s="30">
        <v>0.15502565650467853</v>
      </c>
    </row>
    <row r="23" spans="1:6" x14ac:dyDescent="0.25">
      <c r="A23" t="s">
        <v>15</v>
      </c>
      <c r="B23" s="25">
        <v>2.5441809736566883E-2</v>
      </c>
      <c r="C23" s="29">
        <v>10431.333333333334</v>
      </c>
      <c r="D23" s="29">
        <v>5017.666666666667</v>
      </c>
      <c r="E23" s="25">
        <v>8.3999999999999995E-3</v>
      </c>
      <c r="F23" s="30">
        <v>2.5269484203475096E-2</v>
      </c>
    </row>
    <row r="24" spans="1:6" x14ac:dyDescent="0.25">
      <c r="A24" t="s">
        <v>68</v>
      </c>
      <c r="B24" s="25">
        <v>2.4027206521289896E-2</v>
      </c>
      <c r="C24" s="29">
        <v>39619</v>
      </c>
      <c r="D24" s="29">
        <v>13925.666666666666</v>
      </c>
      <c r="E24" s="25">
        <v>1.47E-2</v>
      </c>
      <c r="F24" s="30">
        <v>3.2407903953433251E-2</v>
      </c>
    </row>
  </sheetData>
  <conditionalFormatting pivot="1" sqref="B4:B19 B21:B24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{9E851418-29A2-4A48-A112-B7CB61ACB9FA}</x14:id>
        </ext>
      </extLst>
    </cfRule>
  </conditionalFormatting>
  <conditionalFormatting pivot="1" sqref="D4:D11 D13:D19 D21:D2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{B445AD22-2553-4B89-9335-DA5AE2431404}</x14:id>
        </ext>
      </extLst>
    </cfRule>
  </conditionalFormatting>
  <conditionalFormatting pivot="1" sqref="C4:C11 C13:C19 C21:C24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{25A0D33D-6F07-41C9-B779-E718161B0877}</x14:id>
        </ext>
      </extLst>
    </cfRule>
  </conditionalFormatting>
  <conditionalFormatting pivot="1" sqref="E4:E11 E13:E19 E21:E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4:F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{C0B49720-4FD9-4BCE-948B-B8A7CFD9D1BA}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9E851418-29A2-4A48-A112-B7CB61ACB9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B4:B19 B21:B24</xm:sqref>
        </x14:conditionalFormatting>
        <x14:conditionalFormatting xmlns:xm="http://schemas.microsoft.com/office/excel/2006/main" pivot="1">
          <x14:cfRule type="dataBar" id="{B445AD22-2553-4B89-9335-DA5AE24314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D4:D11 D13:D19 D21:D24</xm:sqref>
        </x14:conditionalFormatting>
        <x14:conditionalFormatting xmlns:xm="http://schemas.microsoft.com/office/excel/2006/main" pivot="1">
          <x14:cfRule type="dataBar" id="{25A0D33D-6F07-41C9-B779-E718161B08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C4:C11 C13:C19 C21:C24</xm:sqref>
        </x14:conditionalFormatting>
        <x14:conditionalFormatting xmlns:xm="http://schemas.microsoft.com/office/excel/2006/main" pivot="1">
          <x14:cfRule type="dataBar" id="{C0B49720-4FD9-4BCE-948B-B8A7CFD9D1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F4:F24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34D69-2134-47F5-AAC7-F7E8FF5CB5BB}">
  <dimension ref="A1:AH91"/>
  <sheetViews>
    <sheetView topLeftCell="F1" workbookViewId="0">
      <pane ySplit="3" topLeftCell="A4" activePane="bottomLeft" state="frozen"/>
      <selection activeCell="F1" sqref="F1"/>
      <selection pane="bottomLeft" activeCell="T6" sqref="T6"/>
    </sheetView>
  </sheetViews>
  <sheetFormatPr defaultRowHeight="15" x14ac:dyDescent="0.25"/>
  <cols>
    <col min="1" max="1" width="12.42578125" hidden="1" customWidth="1"/>
    <col min="2" max="2" width="14.140625" hidden="1" customWidth="1"/>
    <col min="3" max="3" width="17" style="6" hidden="1" customWidth="1"/>
    <col min="4" max="4" width="18.7109375" style="6" hidden="1" customWidth="1"/>
    <col min="5" max="5" width="9.140625" hidden="1" customWidth="1"/>
    <col min="6" max="6" width="10.28515625" customWidth="1"/>
    <col min="7" max="7" width="6.7109375" customWidth="1"/>
    <col min="8" max="9" width="10.85546875" customWidth="1"/>
    <col min="10" max="10" width="10.42578125" customWidth="1"/>
    <col min="11" max="11" width="9.7109375" bestFit="1" customWidth="1"/>
    <col min="13" max="13" width="10" customWidth="1"/>
    <col min="14" max="14" width="9.5703125" customWidth="1"/>
    <col min="15" max="15" width="11.42578125" customWidth="1"/>
    <col min="16" max="16" width="9.28515625" customWidth="1"/>
    <col min="17" max="17" width="11.140625" customWidth="1"/>
    <col min="18" max="18" width="9.85546875" customWidth="1"/>
    <col min="19" max="19" width="9.85546875" style="47" customWidth="1"/>
    <col min="20" max="20" width="9.85546875" style="29" customWidth="1"/>
    <col min="21" max="21" width="10.42578125" customWidth="1"/>
    <col min="22" max="22" width="14.140625" customWidth="1"/>
    <col min="23" max="23" width="9.7109375" customWidth="1"/>
    <col min="24" max="24" width="8.7109375" customWidth="1"/>
    <col min="25" max="25" width="9" customWidth="1"/>
    <col min="26" max="26" width="11.85546875" customWidth="1"/>
    <col min="27" max="27" width="10.5703125" customWidth="1"/>
    <col min="28" max="28" width="11.5703125" customWidth="1"/>
    <col min="29" max="29" width="11.28515625" bestFit="1" customWidth="1"/>
    <col min="30" max="30" width="13.42578125" customWidth="1"/>
    <col min="31" max="31" width="11" customWidth="1"/>
    <col min="32" max="32" width="12" customWidth="1"/>
    <col min="33" max="33" width="12.85546875" customWidth="1"/>
    <col min="34" max="34" width="11.140625" customWidth="1"/>
  </cols>
  <sheetData>
    <row r="1" spans="1:33" x14ac:dyDescent="0.25">
      <c r="F1" t="s">
        <v>30</v>
      </c>
      <c r="L1" s="14"/>
      <c r="M1" s="14"/>
      <c r="N1" s="14"/>
      <c r="P1" s="14"/>
      <c r="Q1" s="14"/>
      <c r="R1" s="21"/>
      <c r="S1" s="44"/>
      <c r="T1" s="48"/>
      <c r="U1" s="14"/>
      <c r="V1" s="14"/>
      <c r="W1" s="14"/>
      <c r="X1" s="14"/>
      <c r="AC1" s="14"/>
    </row>
    <row r="2" spans="1:33" x14ac:dyDescent="0.25">
      <c r="F2">
        <v>3.5619999999999998</v>
      </c>
      <c r="G2" t="s">
        <v>36</v>
      </c>
      <c r="L2" s="14"/>
      <c r="M2" s="14"/>
      <c r="N2" s="14"/>
      <c r="P2" s="14"/>
      <c r="Q2" s="14"/>
      <c r="R2" s="21"/>
      <c r="S2" s="44"/>
      <c r="T2" s="48"/>
      <c r="U2" s="14"/>
      <c r="V2" s="14"/>
      <c r="W2" s="14"/>
      <c r="X2" s="14"/>
      <c r="AC2" s="14"/>
    </row>
    <row r="3" spans="1:33" s="24" customFormat="1" ht="60" customHeight="1" x14ac:dyDescent="0.25">
      <c r="A3" s="23"/>
      <c r="B3" s="23"/>
      <c r="C3" s="23"/>
      <c r="D3" s="23"/>
      <c r="E3" s="23"/>
      <c r="F3" s="23" t="s">
        <v>66</v>
      </c>
      <c r="G3" s="24" t="s">
        <v>41</v>
      </c>
      <c r="H3" s="24" t="s">
        <v>42</v>
      </c>
      <c r="I3" s="24" t="s">
        <v>43</v>
      </c>
      <c r="J3" s="24" t="s">
        <v>44</v>
      </c>
      <c r="K3" s="24" t="s">
        <v>45</v>
      </c>
      <c r="L3" s="24" t="s">
        <v>47</v>
      </c>
      <c r="M3" s="24" t="s">
        <v>48</v>
      </c>
      <c r="N3" s="24" t="s">
        <v>49</v>
      </c>
      <c r="O3" s="24" t="s">
        <v>50</v>
      </c>
      <c r="P3" s="24" t="s">
        <v>51</v>
      </c>
      <c r="Q3" s="24" t="s">
        <v>52</v>
      </c>
      <c r="R3" s="24" t="s">
        <v>53</v>
      </c>
      <c r="S3" s="45" t="s">
        <v>73</v>
      </c>
      <c r="T3" s="49" t="s">
        <v>74</v>
      </c>
      <c r="U3" s="24" t="s">
        <v>54</v>
      </c>
      <c r="V3" s="24" t="s">
        <v>55</v>
      </c>
      <c r="W3" s="24" t="s">
        <v>56</v>
      </c>
      <c r="X3" s="24" t="s">
        <v>57</v>
      </c>
      <c r="Y3" s="24" t="s">
        <v>58</v>
      </c>
      <c r="Z3" s="24" t="s">
        <v>46</v>
      </c>
      <c r="AA3" s="24" t="s">
        <v>59</v>
      </c>
      <c r="AB3" s="24" t="s">
        <v>60</v>
      </c>
      <c r="AC3" s="24" t="s">
        <v>61</v>
      </c>
      <c r="AD3" s="24" t="s">
        <v>62</v>
      </c>
      <c r="AE3" s="24" t="s">
        <v>63</v>
      </c>
      <c r="AF3" s="24" t="s">
        <v>64</v>
      </c>
      <c r="AG3" s="24" t="s">
        <v>65</v>
      </c>
    </row>
    <row r="4" spans="1:33" x14ac:dyDescent="0.25">
      <c r="F4" t="s">
        <v>11</v>
      </c>
      <c r="G4" s="11">
        <v>2020</v>
      </c>
      <c r="H4" s="5">
        <v>132498</v>
      </c>
      <c r="I4" s="5">
        <f>-101597-24500-874</f>
        <v>-126971</v>
      </c>
      <c r="J4" s="5">
        <f>-544+29+1105</f>
        <v>590</v>
      </c>
      <c r="K4" s="5">
        <v>-782</v>
      </c>
      <c r="L4" s="15">
        <f>H4+I4+J4+K4</f>
        <v>5335</v>
      </c>
      <c r="M4" s="16">
        <f>L4/H4</f>
        <v>4.0264758713339066E-2</v>
      </c>
      <c r="N4" s="16"/>
      <c r="P4" s="17">
        <f>L4+AG4+O4</f>
        <v>5335</v>
      </c>
      <c r="Q4" s="17">
        <f>(P4+P22+P21)/3</f>
        <v>2830.3333333333335</v>
      </c>
      <c r="R4" s="21"/>
      <c r="S4" s="44"/>
      <c r="T4" s="48"/>
      <c r="U4" s="17"/>
      <c r="V4" s="18"/>
      <c r="W4" s="18"/>
      <c r="X4" s="19">
        <v>3.56</v>
      </c>
      <c r="Y4" s="6"/>
      <c r="Z4" s="5">
        <f>534+1324</f>
        <v>1858</v>
      </c>
      <c r="AA4" s="6"/>
      <c r="AB4" s="6"/>
      <c r="AC4" s="15">
        <f t="shared" ref="AC4:AC34" si="0">SUM(Z4:AB4)</f>
        <v>1858</v>
      </c>
      <c r="AD4" s="1"/>
      <c r="AF4" s="6"/>
      <c r="AG4" s="6"/>
    </row>
    <row r="5" spans="1:33" x14ac:dyDescent="0.25">
      <c r="F5" t="s">
        <v>11</v>
      </c>
      <c r="G5" s="11">
        <v>2021</v>
      </c>
      <c r="H5" s="5">
        <v>137888</v>
      </c>
      <c r="I5" s="5">
        <f>-107539-23203-845</f>
        <v>-131587</v>
      </c>
      <c r="J5" s="5">
        <f>-571-34-821</f>
        <v>-1426</v>
      </c>
      <c r="K5" s="5">
        <v>-385</v>
      </c>
      <c r="L5" s="15">
        <f>H5+I5+J5+K5</f>
        <v>4490</v>
      </c>
      <c r="M5" s="16">
        <f>L5/H5</f>
        <v>3.2562659549779528E-2</v>
      </c>
      <c r="N5" s="16"/>
      <c r="P5" s="17">
        <f>L5+AG5+O5</f>
        <v>4490</v>
      </c>
      <c r="Q5" s="17">
        <f>(P5+P4+P22)/3</f>
        <v>3275</v>
      </c>
      <c r="R5" s="21"/>
      <c r="S5" s="44"/>
      <c r="T5" s="48"/>
      <c r="U5" s="17"/>
      <c r="V5" s="18"/>
      <c r="W5" s="18"/>
      <c r="X5" s="19">
        <v>3.56</v>
      </c>
      <c r="Y5" s="6">
        <v>1821</v>
      </c>
      <c r="Z5" s="5">
        <f>589+1647</f>
        <v>2236</v>
      </c>
      <c r="AA5" s="5">
        <f>49086-3076</f>
        <v>46010</v>
      </c>
      <c r="AB5" s="5">
        <v>-39657</v>
      </c>
      <c r="AC5" s="15">
        <f t="shared" si="0"/>
        <v>8589</v>
      </c>
      <c r="AD5" s="4"/>
      <c r="AF5" s="6"/>
      <c r="AG5" s="6"/>
    </row>
    <row r="6" spans="1:33" x14ac:dyDescent="0.25">
      <c r="F6" t="s">
        <v>11</v>
      </c>
      <c r="G6" s="11">
        <v>2022</v>
      </c>
      <c r="H6" s="5">
        <v>148258</v>
      </c>
      <c r="I6" s="5">
        <f>-116480-23848-839</f>
        <v>-141167</v>
      </c>
      <c r="J6" s="5">
        <f>-535-39-728</f>
        <v>-1302</v>
      </c>
      <c r="K6" s="5">
        <v>-653</v>
      </c>
      <c r="L6" s="15">
        <f>H6+I6+J6+K6</f>
        <v>5136</v>
      </c>
      <c r="M6" s="16">
        <f>L6/H6</f>
        <v>3.4642312725114331E-2</v>
      </c>
      <c r="N6" s="16">
        <f>(M6+M5+M4)/3</f>
        <v>3.5823243662744308E-2</v>
      </c>
      <c r="P6" s="17">
        <f>L6+AG6+O6</f>
        <v>5136</v>
      </c>
      <c r="Q6" s="17">
        <f>(P6+P5+P4)/3</f>
        <v>4987</v>
      </c>
      <c r="R6" s="21">
        <f>Q6/H6</f>
        <v>3.3637307936165331E-2</v>
      </c>
      <c r="S6" s="44">
        <v>47.21</v>
      </c>
      <c r="T6" s="48"/>
      <c r="U6" s="26">
        <v>33130</v>
      </c>
      <c r="V6" s="27">
        <f>P6/U6</f>
        <v>0.15502565650467853</v>
      </c>
      <c r="W6" s="18">
        <f>Q6/U6</f>
        <v>0.15052822215514639</v>
      </c>
      <c r="X6" s="19">
        <v>3.56</v>
      </c>
      <c r="Y6" s="6">
        <v>1015</v>
      </c>
      <c r="Z6" s="5">
        <f>682+993</f>
        <v>1675</v>
      </c>
      <c r="AA6" s="6">
        <f>49623-2916</f>
        <v>46707</v>
      </c>
      <c r="AB6" s="6">
        <v>-39609</v>
      </c>
      <c r="AC6" s="15">
        <f t="shared" si="0"/>
        <v>8773</v>
      </c>
      <c r="AD6" s="1">
        <v>2.2700000000000001E-2</v>
      </c>
      <c r="AE6">
        <v>7</v>
      </c>
      <c r="AF6" s="6"/>
      <c r="AG6" s="6"/>
    </row>
    <row r="7" spans="1:33" x14ac:dyDescent="0.25">
      <c r="G7" s="11"/>
      <c r="H7" s="5"/>
      <c r="I7" s="5"/>
      <c r="J7" s="5"/>
      <c r="K7" s="5"/>
      <c r="L7" s="15"/>
      <c r="M7" s="16"/>
      <c r="N7" s="16"/>
      <c r="P7" s="17"/>
      <c r="Q7" s="17"/>
      <c r="R7" s="21"/>
      <c r="S7" s="44"/>
      <c r="T7" s="48"/>
      <c r="U7" s="17"/>
      <c r="V7" s="18"/>
      <c r="W7" s="18"/>
      <c r="X7" s="19"/>
      <c r="Y7" s="6"/>
      <c r="Z7" s="5"/>
      <c r="AA7" s="5"/>
      <c r="AB7" s="5"/>
      <c r="AC7" s="15">
        <f t="shared" si="0"/>
        <v>0</v>
      </c>
      <c r="AD7" s="4"/>
      <c r="AF7" s="6"/>
      <c r="AG7" s="6"/>
    </row>
    <row r="8" spans="1:33" x14ac:dyDescent="0.25">
      <c r="B8" s="13" t="s">
        <v>19</v>
      </c>
      <c r="C8" s="5">
        <v>-266629</v>
      </c>
      <c r="D8" s="6">
        <v>-243945</v>
      </c>
      <c r="F8" t="s">
        <v>0</v>
      </c>
      <c r="G8" s="11">
        <v>2021</v>
      </c>
      <c r="H8" s="6">
        <v>276203</v>
      </c>
      <c r="I8" s="6">
        <v>-243945</v>
      </c>
      <c r="J8" s="6">
        <v>234</v>
      </c>
      <c r="K8" s="6">
        <v>-20879</v>
      </c>
      <c r="L8" s="15">
        <f>H8+I8+J8+K8</f>
        <v>11613</v>
      </c>
      <c r="M8" s="16">
        <f>L8/H8</f>
        <v>4.2045162434875799E-2</v>
      </c>
      <c r="N8" s="16"/>
      <c r="O8" s="6"/>
      <c r="P8" s="17">
        <f>L8+AG8+O8</f>
        <v>90155</v>
      </c>
      <c r="Q8" s="17"/>
      <c r="R8" s="21"/>
      <c r="S8" s="44"/>
      <c r="T8" s="48"/>
      <c r="U8" s="17"/>
      <c r="V8" s="18"/>
      <c r="W8" s="18"/>
      <c r="X8" s="19">
        <v>3.56</v>
      </c>
      <c r="Y8" s="6">
        <f>85319+58535</f>
        <v>143854</v>
      </c>
      <c r="Z8" s="6"/>
      <c r="AA8" s="6">
        <f>958784-47117-26758</f>
        <v>884909</v>
      </c>
      <c r="AB8" s="6">
        <v>-443854</v>
      </c>
      <c r="AC8" s="15">
        <f t="shared" si="0"/>
        <v>441055</v>
      </c>
      <c r="AD8" s="1"/>
      <c r="AE8" s="6"/>
      <c r="AF8" s="6">
        <f>16434+350719</f>
        <v>367153</v>
      </c>
      <c r="AG8" s="6">
        <v>78542</v>
      </c>
    </row>
    <row r="9" spans="1:33" x14ac:dyDescent="0.25">
      <c r="B9" s="2" t="s">
        <v>18</v>
      </c>
      <c r="C9" s="5">
        <v>302089</v>
      </c>
      <c r="D9" s="6">
        <v>276203</v>
      </c>
      <c r="F9" t="s">
        <v>0</v>
      </c>
      <c r="G9" s="11">
        <v>2022</v>
      </c>
      <c r="H9" s="5">
        <v>302089</v>
      </c>
      <c r="I9" s="5">
        <v>-266629</v>
      </c>
      <c r="J9" s="5">
        <v>-2625</v>
      </c>
      <c r="K9" s="5">
        <v>8518</v>
      </c>
      <c r="L9" s="15">
        <f>H9+I9+J9+K9</f>
        <v>41353</v>
      </c>
      <c r="M9" s="16">
        <f>L9/H9</f>
        <v>0.13689012178530169</v>
      </c>
      <c r="N9" s="16">
        <f>(M9+M8)/2</f>
        <v>8.9467642110088744E-2</v>
      </c>
      <c r="O9" s="6"/>
      <c r="P9" s="17">
        <f>L9+AG9+O9</f>
        <v>-26546</v>
      </c>
      <c r="Q9" s="17">
        <f>(P9+79437+40000)/3</f>
        <v>30963.666666666668</v>
      </c>
      <c r="R9" s="21">
        <f>Q9/H9</f>
        <v>0.10249849106278834</v>
      </c>
      <c r="S9" s="44">
        <v>335.9</v>
      </c>
      <c r="T9" s="48"/>
      <c r="U9" s="17">
        <v>725300</v>
      </c>
      <c r="V9" s="18">
        <f>P9/U9</f>
        <v>-3.6600027574796634E-2</v>
      </c>
      <c r="W9" s="18">
        <f>Q9/U9</f>
        <v>4.2690840571717452E-2</v>
      </c>
      <c r="X9" s="19">
        <v>3.56</v>
      </c>
      <c r="Y9" s="6">
        <f>32260+92774</f>
        <v>125034</v>
      </c>
      <c r="Z9" s="5"/>
      <c r="AA9" s="5">
        <f>948452-51522-26597</f>
        <v>870333</v>
      </c>
      <c r="AB9" s="5">
        <v>-467835</v>
      </c>
      <c r="AC9" s="15">
        <f t="shared" si="0"/>
        <v>402498</v>
      </c>
      <c r="AD9" s="4">
        <v>0</v>
      </c>
      <c r="AE9" s="5">
        <v>8</v>
      </c>
      <c r="AF9" s="6">
        <f>25128+308793</f>
        <v>333921</v>
      </c>
      <c r="AG9" s="6">
        <v>-67899</v>
      </c>
    </row>
    <row r="10" spans="1:33" x14ac:dyDescent="0.25">
      <c r="B10" s="2"/>
      <c r="C10" s="5"/>
      <c r="G10" s="11"/>
      <c r="L10" s="15"/>
      <c r="M10" s="16"/>
      <c r="N10" s="16"/>
      <c r="P10" s="17"/>
      <c r="Q10" s="17"/>
      <c r="R10" s="21"/>
      <c r="S10" s="44"/>
      <c r="T10" s="48"/>
      <c r="U10" s="17"/>
      <c r="V10" s="18"/>
      <c r="W10" s="20"/>
      <c r="X10" s="19"/>
      <c r="AC10" s="15">
        <f t="shared" si="0"/>
        <v>0</v>
      </c>
      <c r="AD10" s="1"/>
    </row>
    <row r="11" spans="1:33" x14ac:dyDescent="0.25">
      <c r="B11" t="s">
        <v>28</v>
      </c>
      <c r="C11" s="5">
        <v>8518</v>
      </c>
      <c r="D11" s="6">
        <v>-20879</v>
      </c>
      <c r="F11" t="s">
        <v>4</v>
      </c>
      <c r="G11" s="11">
        <v>2020</v>
      </c>
      <c r="H11" s="5">
        <v>143015</v>
      </c>
      <c r="I11" s="5">
        <f>-(46078+19269+19598+5111)</f>
        <v>-90056</v>
      </c>
      <c r="J11" s="5">
        <v>77</v>
      </c>
      <c r="K11" s="5">
        <v>-8755</v>
      </c>
      <c r="L11" s="15">
        <f>H11+I11+J11+K11</f>
        <v>44281</v>
      </c>
      <c r="M11" s="16">
        <f>L11/H11</f>
        <v>0.30962486452470023</v>
      </c>
      <c r="N11" s="16"/>
      <c r="P11" s="17">
        <f>L11+AG11+O11</f>
        <v>47807</v>
      </c>
      <c r="Q11" s="17"/>
      <c r="R11" s="21"/>
      <c r="S11" s="44"/>
      <c r="T11" s="48"/>
      <c r="U11" s="17"/>
      <c r="V11" s="18"/>
      <c r="W11" s="18"/>
      <c r="X11" s="19">
        <v>3.56</v>
      </c>
      <c r="Z11" s="5"/>
      <c r="AC11" s="15">
        <f t="shared" si="0"/>
        <v>0</v>
      </c>
      <c r="AD11" s="1"/>
      <c r="AG11" s="6">
        <v>3526</v>
      </c>
    </row>
    <row r="12" spans="1:33" x14ac:dyDescent="0.25">
      <c r="C12" s="5"/>
      <c r="F12" t="s">
        <v>4</v>
      </c>
      <c r="G12" s="11">
        <v>2021</v>
      </c>
      <c r="H12" s="5">
        <v>168088</v>
      </c>
      <c r="I12" s="5">
        <f>-(52232+20716+20117+5107)</f>
        <v>-98172</v>
      </c>
      <c r="J12" s="5">
        <v>1186</v>
      </c>
      <c r="K12" s="5">
        <v>-9831</v>
      </c>
      <c r="L12" s="15">
        <f>H12+I12+J12+K12</f>
        <v>61271</v>
      </c>
      <c r="M12" s="16">
        <f>L12/H12</f>
        <v>0.36451739564989766</v>
      </c>
      <c r="N12" s="16"/>
      <c r="P12" s="17">
        <f>L12+AG12+O12</f>
        <v>59897</v>
      </c>
      <c r="Q12" s="17"/>
      <c r="R12" s="21"/>
      <c r="S12" s="44"/>
      <c r="T12" s="48"/>
      <c r="U12" s="17"/>
      <c r="V12" s="18"/>
      <c r="W12" s="18"/>
      <c r="X12" s="19">
        <v>3.56</v>
      </c>
      <c r="Y12" s="6">
        <v>130334</v>
      </c>
      <c r="Z12" s="5"/>
      <c r="AA12" s="6">
        <f>333779-49711</f>
        <v>284068</v>
      </c>
      <c r="AB12" s="6">
        <v>-191791</v>
      </c>
      <c r="AC12" s="15">
        <f t="shared" si="0"/>
        <v>92277</v>
      </c>
      <c r="AD12" s="1"/>
      <c r="AF12" s="6"/>
      <c r="AG12" s="6">
        <v>-1374</v>
      </c>
    </row>
    <row r="13" spans="1:33" x14ac:dyDescent="0.25">
      <c r="A13" s="7" t="s">
        <v>29</v>
      </c>
      <c r="B13" s="7" t="s">
        <v>17</v>
      </c>
      <c r="C13" s="8">
        <f>C9+C8+C10+C11</f>
        <v>43978</v>
      </c>
      <c r="D13" s="8">
        <f>D9+D8+D10+D11</f>
        <v>11379</v>
      </c>
      <c r="E13" s="7"/>
      <c r="F13" t="s">
        <v>4</v>
      </c>
      <c r="G13" s="11">
        <v>2022</v>
      </c>
      <c r="H13" s="5">
        <v>198270</v>
      </c>
      <c r="I13" s="5">
        <f>-(62650+24512+21825+5900)</f>
        <v>-114887</v>
      </c>
      <c r="J13" s="5">
        <v>333</v>
      </c>
      <c r="K13" s="5">
        <v>-10978</v>
      </c>
      <c r="L13" s="15">
        <f>H13+I13+J13+K13</f>
        <v>72738</v>
      </c>
      <c r="M13" s="16">
        <f>L13/H13</f>
        <v>0.36686336813436221</v>
      </c>
      <c r="N13" s="16">
        <f>(M13+M12+M11)/3</f>
        <v>0.34700187610298672</v>
      </c>
      <c r="P13" s="17">
        <f>L13+AG13+O13</f>
        <v>66238</v>
      </c>
      <c r="Q13" s="17">
        <f>(P13+P12+P11)/3</f>
        <v>57980.666666666664</v>
      </c>
      <c r="R13" s="21">
        <f>Q13/H13</f>
        <v>0.29243287772566029</v>
      </c>
      <c r="S13" s="44">
        <v>337.34</v>
      </c>
      <c r="T13" s="48">
        <v>7440</v>
      </c>
      <c r="U13" s="17">
        <f>T13*S13</f>
        <v>2509809.5999999996</v>
      </c>
      <c r="V13" s="18">
        <f>P13/U13</f>
        <v>2.639164341390678E-2</v>
      </c>
      <c r="W13" s="18">
        <f>Q13/U13</f>
        <v>2.3101619607585642E-2</v>
      </c>
      <c r="X13" s="19">
        <v>3.56</v>
      </c>
      <c r="Y13" s="6">
        <v>104757</v>
      </c>
      <c r="Z13" s="5"/>
      <c r="AA13" s="5">
        <f>364840-67524</f>
        <v>297316</v>
      </c>
      <c r="AB13" s="5">
        <v>-198298</v>
      </c>
      <c r="AC13" s="15">
        <f t="shared" si="0"/>
        <v>99018</v>
      </c>
      <c r="AD13" s="4">
        <v>8.5000000000000006E-3</v>
      </c>
      <c r="AE13">
        <v>9</v>
      </c>
      <c r="AF13" s="6"/>
      <c r="AG13" s="6">
        <v>-6500</v>
      </c>
    </row>
    <row r="14" spans="1:33" x14ac:dyDescent="0.25">
      <c r="A14" s="7"/>
      <c r="B14" s="7"/>
      <c r="C14" s="9"/>
      <c r="D14" s="9"/>
      <c r="E14" s="7"/>
      <c r="G14" s="11"/>
      <c r="H14" s="5"/>
      <c r="I14" s="5"/>
      <c r="J14" s="5"/>
      <c r="K14" s="5"/>
      <c r="L14" s="15"/>
      <c r="M14" s="16"/>
      <c r="N14" s="16"/>
      <c r="P14" s="17"/>
      <c r="Q14" s="17"/>
      <c r="R14" s="21"/>
      <c r="S14" s="44"/>
      <c r="T14" s="48"/>
      <c r="U14" s="17"/>
      <c r="V14" s="18"/>
      <c r="W14" s="18"/>
      <c r="X14" s="14"/>
      <c r="Y14" s="6"/>
      <c r="Z14" s="5"/>
      <c r="AA14" s="6"/>
      <c r="AB14" s="6"/>
      <c r="AC14" s="15">
        <f t="shared" si="0"/>
        <v>0</v>
      </c>
      <c r="AD14" s="1"/>
      <c r="AF14" s="6"/>
      <c r="AG14" s="6"/>
    </row>
    <row r="15" spans="1:33" x14ac:dyDescent="0.25">
      <c r="A15" s="7"/>
      <c r="B15" s="7"/>
      <c r="C15" s="9"/>
      <c r="D15" s="10"/>
      <c r="E15" s="7"/>
      <c r="F15" t="s">
        <v>38</v>
      </c>
      <c r="G15" s="11">
        <v>2020</v>
      </c>
      <c r="H15" s="5">
        <v>70950</v>
      </c>
      <c r="I15" s="5">
        <f>-(35250+19994)</f>
        <v>-55244</v>
      </c>
      <c r="J15" s="5">
        <v>-1245</v>
      </c>
      <c r="K15" s="5">
        <v>-2731</v>
      </c>
      <c r="L15" s="15">
        <f>H15+I15+J15+K15</f>
        <v>11730</v>
      </c>
      <c r="M15" s="16">
        <f>L15/H15</f>
        <v>0.1653276955602537</v>
      </c>
      <c r="N15" s="16"/>
      <c r="P15" s="17">
        <f>L15+AG15+O15</f>
        <v>11730</v>
      </c>
      <c r="Q15" s="17"/>
      <c r="R15" s="21"/>
      <c r="S15" s="44"/>
      <c r="T15" s="48"/>
      <c r="U15" s="17"/>
      <c r="V15" s="20"/>
      <c r="W15" s="18"/>
      <c r="X15" s="19">
        <v>3.56</v>
      </c>
      <c r="Y15" s="6"/>
      <c r="Z15" s="5"/>
      <c r="AA15" s="5"/>
      <c r="AB15" s="5"/>
      <c r="AC15" s="15">
        <f t="shared" si="0"/>
        <v>0</v>
      </c>
      <c r="AD15" s="4"/>
      <c r="AF15" s="6"/>
      <c r="AG15" s="6"/>
    </row>
    <row r="16" spans="1:33" x14ac:dyDescent="0.25">
      <c r="A16" s="2" t="s">
        <v>20</v>
      </c>
      <c r="B16" t="s">
        <v>21</v>
      </c>
      <c r="C16" s="6">
        <v>-67899</v>
      </c>
      <c r="D16" s="6">
        <v>78542</v>
      </c>
      <c r="F16" t="s">
        <v>38</v>
      </c>
      <c r="G16" s="11">
        <v>2021</v>
      </c>
      <c r="H16" s="5">
        <v>76118</v>
      </c>
      <c r="I16" s="5">
        <f>-(37108+21024)</f>
        <v>-58132</v>
      </c>
      <c r="J16" s="5">
        <v>2425</v>
      </c>
      <c r="K16" s="5">
        <v>-3263</v>
      </c>
      <c r="L16" s="15">
        <f>H16+I16+J16+K16</f>
        <v>17148</v>
      </c>
      <c r="M16" s="16">
        <f>L16/H16</f>
        <v>0.22528179931159514</v>
      </c>
      <c r="N16" s="16"/>
      <c r="P16" s="17">
        <f>L16+AG16+O16</f>
        <v>17148</v>
      </c>
      <c r="Q16" s="17"/>
      <c r="R16" s="21"/>
      <c r="S16" s="44"/>
      <c r="T16" s="48"/>
      <c r="U16" s="17"/>
      <c r="V16" s="20"/>
      <c r="W16" s="18"/>
      <c r="X16" s="19">
        <v>3.56</v>
      </c>
      <c r="Y16" s="6">
        <v>10288</v>
      </c>
      <c r="Z16" s="5"/>
      <c r="AA16" s="6">
        <f>119307-40924</f>
        <v>78383</v>
      </c>
      <c r="AB16" s="6">
        <v>-72653</v>
      </c>
      <c r="AC16" s="15">
        <f t="shared" si="0"/>
        <v>5730</v>
      </c>
      <c r="AD16" s="1"/>
      <c r="AF16" s="6"/>
      <c r="AG16" s="6"/>
    </row>
    <row r="17" spans="1:33" x14ac:dyDescent="0.25">
      <c r="F17" t="s">
        <v>38</v>
      </c>
      <c r="G17" s="11">
        <v>2022</v>
      </c>
      <c r="H17" s="5">
        <v>80187</v>
      </c>
      <c r="I17" s="5">
        <f>-(42157+20217)</f>
        <v>-62374</v>
      </c>
      <c r="J17" s="5">
        <v>1547</v>
      </c>
      <c r="K17" s="5">
        <v>-3202</v>
      </c>
      <c r="L17" s="15">
        <f>H17+I17+J17+K17</f>
        <v>16158</v>
      </c>
      <c r="M17" s="16">
        <f>L17/H17</f>
        <v>0.20150398443637996</v>
      </c>
      <c r="N17" s="16">
        <f>(M17+M16+M15)/3</f>
        <v>0.19737115976940958</v>
      </c>
      <c r="P17" s="17">
        <f>L17+AG17+O17</f>
        <v>16158</v>
      </c>
      <c r="Q17" s="17">
        <f>(P17+P16+P15)/3</f>
        <v>15012</v>
      </c>
      <c r="R17" s="21">
        <f>Q17/H17</f>
        <v>0.18721239103595347</v>
      </c>
      <c r="S17" s="44">
        <v>146.41999999999999</v>
      </c>
      <c r="T17" s="48">
        <v>2360</v>
      </c>
      <c r="U17" s="17">
        <f>T17*S17</f>
        <v>345551.19999999995</v>
      </c>
      <c r="V17" s="18">
        <f>P17/U17</f>
        <v>4.6760074917986109E-2</v>
      </c>
      <c r="W17" s="18">
        <f>Q17/U17</f>
        <v>4.3443634402079927E-2</v>
      </c>
      <c r="X17" s="19">
        <v>3.56</v>
      </c>
      <c r="Y17" s="6">
        <v>7214</v>
      </c>
      <c r="Z17" s="5"/>
      <c r="AA17" s="5">
        <f>117208-39700</f>
        <v>77508</v>
      </c>
      <c r="AB17" s="5">
        <v>-70354</v>
      </c>
      <c r="AC17" s="15">
        <f t="shared" si="0"/>
        <v>7154</v>
      </c>
      <c r="AD17" s="4">
        <v>2.46E-2</v>
      </c>
      <c r="AE17">
        <v>9</v>
      </c>
      <c r="AF17" s="6"/>
      <c r="AG17" s="6"/>
    </row>
    <row r="18" spans="1:33" x14ac:dyDescent="0.25">
      <c r="B18" s="7"/>
      <c r="G18" s="11"/>
      <c r="H18" s="5"/>
      <c r="I18" s="5"/>
      <c r="J18" s="5"/>
      <c r="K18" s="5"/>
      <c r="L18" s="15"/>
      <c r="M18" s="16"/>
      <c r="N18" s="16"/>
      <c r="P18" s="17"/>
      <c r="Q18" s="17"/>
      <c r="R18" s="21"/>
      <c r="S18" s="44"/>
      <c r="T18" s="48"/>
      <c r="U18" s="17"/>
      <c r="V18" s="18"/>
      <c r="W18" s="18"/>
      <c r="X18" s="14"/>
      <c r="Y18" s="6"/>
      <c r="Z18" s="5"/>
      <c r="AA18" s="6"/>
      <c r="AB18" s="6"/>
      <c r="AC18" s="15">
        <f t="shared" si="0"/>
        <v>0</v>
      </c>
      <c r="AD18" s="1"/>
      <c r="AF18" s="6"/>
      <c r="AG18" s="6"/>
    </row>
    <row r="19" spans="1:33" x14ac:dyDescent="0.25">
      <c r="F19" t="s">
        <v>7</v>
      </c>
      <c r="G19" s="11">
        <v>2020</v>
      </c>
      <c r="H19" s="5">
        <v>17626</v>
      </c>
      <c r="I19" s="5">
        <f>-11497-3151-24</f>
        <v>-14672</v>
      </c>
      <c r="J19" s="5">
        <f>-113+466</f>
        <v>353</v>
      </c>
      <c r="K19" s="5">
        <v>-480</v>
      </c>
      <c r="L19" s="15">
        <f>H19+I19+J19+K19</f>
        <v>2827</v>
      </c>
      <c r="M19" s="16">
        <f>L19/H19</f>
        <v>0.16038806308861908</v>
      </c>
      <c r="N19" s="16"/>
      <c r="P19" s="17">
        <f>L19+AG19+O19</f>
        <v>2827</v>
      </c>
      <c r="Q19" s="17">
        <f>(P19+P70+P69)/3</f>
        <v>1731.6666666666667</v>
      </c>
      <c r="R19" s="21"/>
      <c r="S19" s="44"/>
      <c r="T19" s="48"/>
      <c r="U19" s="17"/>
      <c r="V19" s="18"/>
      <c r="W19" s="18"/>
      <c r="X19" s="19">
        <v>3.56</v>
      </c>
      <c r="Y19" s="6"/>
      <c r="Z19" s="5"/>
      <c r="AA19" s="6"/>
      <c r="AB19" s="6"/>
      <c r="AC19" s="15">
        <f t="shared" si="0"/>
        <v>0</v>
      </c>
      <c r="AD19" s="1"/>
      <c r="AF19" s="6"/>
      <c r="AG19" s="6"/>
    </row>
    <row r="20" spans="1:33" x14ac:dyDescent="0.25">
      <c r="F20" t="s">
        <v>7</v>
      </c>
      <c r="G20" s="11">
        <v>2021</v>
      </c>
      <c r="H20" s="5">
        <v>18127</v>
      </c>
      <c r="I20" s="5">
        <f>-11678-3079-53-170</f>
        <v>-14980</v>
      </c>
      <c r="J20" s="5">
        <f>-133+420</f>
        <v>287</v>
      </c>
      <c r="K20" s="5">
        <v>-629</v>
      </c>
      <c r="L20" s="15">
        <f>H20+I20+J20+K20</f>
        <v>2805</v>
      </c>
      <c r="M20" s="16">
        <f>L20/H20</f>
        <v>0.15474154576046781</v>
      </c>
      <c r="N20" s="16"/>
      <c r="P20" s="17">
        <f>L20+AG20+O20</f>
        <v>2805</v>
      </c>
      <c r="Q20" s="17">
        <f>(P20+P19+P70)/3</f>
        <v>1877.3333333333333</v>
      </c>
      <c r="R20" s="21"/>
      <c r="S20" s="44"/>
      <c r="T20" s="48"/>
      <c r="U20" s="17"/>
      <c r="V20" s="18"/>
      <c r="W20" s="18"/>
      <c r="X20" s="19">
        <v>3.56</v>
      </c>
      <c r="Y20" s="6">
        <v>1505</v>
      </c>
      <c r="Z20" s="5"/>
      <c r="AA20" s="5">
        <f>31842-14000</f>
        <v>17842</v>
      </c>
      <c r="AB20" s="5">
        <v>-21463</v>
      </c>
      <c r="AC20" s="15">
        <f t="shared" si="0"/>
        <v>-3621</v>
      </c>
      <c r="AD20" s="4"/>
      <c r="AF20" s="6"/>
      <c r="AG20" s="6"/>
    </row>
    <row r="21" spans="1:33" x14ac:dyDescent="0.25">
      <c r="F21" t="s">
        <v>7</v>
      </c>
      <c r="G21" s="11">
        <v>2022</v>
      </c>
      <c r="H21" s="5">
        <v>18993</v>
      </c>
      <c r="I21" s="5">
        <f>-12590-3147+194+26</f>
        <v>-15517</v>
      </c>
      <c r="J21" s="5">
        <f>-113+379</f>
        <v>266</v>
      </c>
      <c r="K21" s="5">
        <v>-586</v>
      </c>
      <c r="L21" s="15">
        <f>H21+I21+J21+K21</f>
        <v>3156</v>
      </c>
      <c r="M21" s="16">
        <f>L21/H21</f>
        <v>0.1661664823882483</v>
      </c>
      <c r="N21" s="16">
        <f>(M21+M20+M19)/3</f>
        <v>0.16043203041244505</v>
      </c>
      <c r="P21" s="17">
        <f>L21+AG21+O21</f>
        <v>3156</v>
      </c>
      <c r="Q21" s="17">
        <f>(P21+P20+P19)/3</f>
        <v>2929.3333333333335</v>
      </c>
      <c r="R21" s="21">
        <f>Q21/H21</f>
        <v>0.1542322610084417</v>
      </c>
      <c r="S21" s="44">
        <v>80.650000000000006</v>
      </c>
      <c r="T21" s="48">
        <v>587</v>
      </c>
      <c r="U21" s="17">
        <f>T21*S21</f>
        <v>47341.55</v>
      </c>
      <c r="V21" s="18">
        <f>P21/U21</f>
        <v>6.6664483946976799E-2</v>
      </c>
      <c r="W21" s="18">
        <f>Q21/U21</f>
        <v>6.1876582691807375E-2</v>
      </c>
      <c r="X21" s="19">
        <v>3.56</v>
      </c>
      <c r="Y21" s="6">
        <v>569</v>
      </c>
      <c r="Z21" s="5"/>
      <c r="AA21" s="6">
        <f>31090-14378</f>
        <v>16712</v>
      </c>
      <c r="AB21" s="6">
        <v>-20302</v>
      </c>
      <c r="AC21" s="15">
        <f t="shared" si="0"/>
        <v>-3590</v>
      </c>
      <c r="AD21" s="1">
        <v>2.53E-2</v>
      </c>
      <c r="AE21">
        <v>9</v>
      </c>
      <c r="AF21" s="6"/>
      <c r="AG21" s="6"/>
    </row>
    <row r="22" spans="1:33" x14ac:dyDescent="0.25">
      <c r="G22" s="11"/>
      <c r="H22" s="5"/>
      <c r="I22" s="5"/>
      <c r="J22" s="5"/>
      <c r="K22" s="5"/>
      <c r="L22" s="15"/>
      <c r="M22" s="16"/>
      <c r="N22" s="16"/>
      <c r="P22" s="17"/>
      <c r="Q22" s="17"/>
      <c r="R22" s="21"/>
      <c r="S22" s="44"/>
      <c r="T22" s="48"/>
      <c r="U22" s="17"/>
      <c r="V22" s="18"/>
      <c r="W22" s="18"/>
      <c r="X22" s="14"/>
      <c r="Y22" s="6"/>
      <c r="Z22" s="5"/>
      <c r="AA22" s="5"/>
      <c r="AB22" s="5"/>
      <c r="AC22" s="15">
        <f t="shared" si="0"/>
        <v>0</v>
      </c>
      <c r="AD22" s="4"/>
      <c r="AF22" s="6"/>
      <c r="AG22" s="6"/>
    </row>
    <row r="23" spans="1:33" x14ac:dyDescent="0.25">
      <c r="A23" s="7" t="s">
        <v>31</v>
      </c>
      <c r="B23" s="7" t="s">
        <v>32</v>
      </c>
      <c r="C23" s="6">
        <f>(C18+90000+42500)/3</f>
        <v>44166.666666666664</v>
      </c>
      <c r="F23" t="s">
        <v>6</v>
      </c>
      <c r="G23" s="11">
        <v>2020</v>
      </c>
      <c r="H23" s="5">
        <v>274515</v>
      </c>
      <c r="I23" s="5">
        <f>-169559-38668</f>
        <v>-208227</v>
      </c>
      <c r="J23" s="5">
        <v>42</v>
      </c>
      <c r="K23" s="5">
        <v>-9680</v>
      </c>
      <c r="L23" s="15">
        <f>H23+I23+J23+K23</f>
        <v>56650</v>
      </c>
      <c r="M23" s="16">
        <f>L23/H23</f>
        <v>0.20636395096807097</v>
      </c>
      <c r="N23" s="16"/>
      <c r="P23" s="17">
        <f>L23+AG23+O23</f>
        <v>56650</v>
      </c>
      <c r="Q23" s="17"/>
      <c r="R23" s="21"/>
      <c r="S23" s="44"/>
      <c r="T23" s="48"/>
      <c r="U23" s="17"/>
      <c r="V23" s="18"/>
      <c r="W23" s="18"/>
      <c r="X23" s="19">
        <v>3.56</v>
      </c>
      <c r="Y23" s="6"/>
      <c r="Z23" s="5"/>
      <c r="AA23" s="5"/>
      <c r="AB23" s="5"/>
      <c r="AC23" s="15">
        <f t="shared" si="0"/>
        <v>0</v>
      </c>
      <c r="AD23" s="4"/>
      <c r="AF23" s="6"/>
      <c r="AG23" s="6"/>
    </row>
    <row r="24" spans="1:33" x14ac:dyDescent="0.25">
      <c r="A24" s="7" t="s">
        <v>34</v>
      </c>
      <c r="B24" s="7"/>
      <c r="C24" s="6">
        <f>C23*10*1.03</f>
        <v>454916.66666666663</v>
      </c>
      <c r="F24" t="s">
        <v>6</v>
      </c>
      <c r="G24" s="11">
        <v>2021</v>
      </c>
      <c r="H24" s="5">
        <v>365817</v>
      </c>
      <c r="I24" s="5">
        <f>-212981-43887</f>
        <v>-256868</v>
      </c>
      <c r="J24" s="5">
        <v>569</v>
      </c>
      <c r="K24" s="5">
        <v>-14527</v>
      </c>
      <c r="L24" s="15">
        <f>H24+I24+J24+K24</f>
        <v>94991</v>
      </c>
      <c r="M24" s="16">
        <f>L24/H24</f>
        <v>0.25966808540882463</v>
      </c>
      <c r="N24" s="16"/>
      <c r="P24" s="17">
        <f>L24+AG24+O24</f>
        <v>94991</v>
      </c>
      <c r="Q24" s="17"/>
      <c r="R24" s="21"/>
      <c r="S24" s="44"/>
      <c r="T24" s="48"/>
      <c r="U24" s="17"/>
      <c r="V24" s="18"/>
      <c r="W24" s="18"/>
      <c r="X24" s="19">
        <v>3.56</v>
      </c>
      <c r="Y24" s="6">
        <v>34940</v>
      </c>
      <c r="Z24" s="5"/>
      <c r="AA24" s="6">
        <f>351002-48849</f>
        <v>302153</v>
      </c>
      <c r="AB24" s="6">
        <v>-287912</v>
      </c>
      <c r="AC24" s="15">
        <f t="shared" si="0"/>
        <v>14241</v>
      </c>
      <c r="AD24" s="1"/>
      <c r="AF24" s="6"/>
      <c r="AG24" s="6"/>
    </row>
    <row r="25" spans="1:33" x14ac:dyDescent="0.25">
      <c r="B25" s="7" t="s">
        <v>35</v>
      </c>
      <c r="C25" s="6">
        <v>725300</v>
      </c>
      <c r="F25" t="s">
        <v>6</v>
      </c>
      <c r="G25" s="11">
        <v>2022</v>
      </c>
      <c r="H25" s="5">
        <v>394328</v>
      </c>
      <c r="I25" s="5">
        <f>-223546-51345</f>
        <v>-274891</v>
      </c>
      <c r="J25" s="5">
        <v>-11272</v>
      </c>
      <c r="K25" s="5">
        <v>-19300</v>
      </c>
      <c r="L25" s="15">
        <f>H25+I25+J25+K25</f>
        <v>88865</v>
      </c>
      <c r="M25" s="16">
        <f>L25/H25</f>
        <v>0.22535807753951026</v>
      </c>
      <c r="N25" s="16">
        <f>(M25+M24+M23)/3</f>
        <v>0.2304633713054686</v>
      </c>
      <c r="P25" s="17">
        <f>L25+AG25+O25</f>
        <v>88865</v>
      </c>
      <c r="Q25" s="17">
        <f t="shared" ref="Q25:Q73" si="1">(P25+P24+P23)/3</f>
        <v>80168.666666666672</v>
      </c>
      <c r="R25" s="21">
        <f>Q25/H25</f>
        <v>0.20330452482873818</v>
      </c>
      <c r="S25" s="44">
        <v>183.95</v>
      </c>
      <c r="T25" s="48">
        <v>15730</v>
      </c>
      <c r="U25" s="17">
        <f>T25*S25</f>
        <v>2893533.5</v>
      </c>
      <c r="V25" s="18">
        <f>P25/U25</f>
        <v>3.0711584987697566E-2</v>
      </c>
      <c r="W25" s="18">
        <f>Q25/U25</f>
        <v>2.7706147748649417E-2</v>
      </c>
      <c r="X25" s="19">
        <v>3.56</v>
      </c>
      <c r="Y25" s="6">
        <v>23646</v>
      </c>
      <c r="Z25" s="5"/>
      <c r="AA25" s="5">
        <f>352755-54428</f>
        <v>298327</v>
      </c>
      <c r="AB25" s="5">
        <v>-302083</v>
      </c>
      <c r="AC25" s="15">
        <f t="shared" si="0"/>
        <v>-3756</v>
      </c>
      <c r="AD25" s="4">
        <v>2.3999999999999998E-3</v>
      </c>
      <c r="AE25">
        <v>8</v>
      </c>
      <c r="AF25" s="6"/>
      <c r="AG25" s="6"/>
    </row>
    <row r="26" spans="1:33" x14ac:dyDescent="0.25">
      <c r="A26" s="7"/>
      <c r="B26" s="7"/>
      <c r="C26" s="1"/>
      <c r="D26" s="1"/>
      <c r="G26" s="11"/>
      <c r="H26" s="5"/>
      <c r="I26" s="5"/>
      <c r="J26" s="5"/>
      <c r="K26" s="5"/>
      <c r="L26" s="15"/>
      <c r="M26" s="16"/>
      <c r="N26" s="16"/>
      <c r="P26" s="17"/>
      <c r="Q26" s="17"/>
      <c r="R26" s="21"/>
      <c r="S26" s="44"/>
      <c r="T26" s="48"/>
      <c r="U26" s="17"/>
      <c r="V26" s="18"/>
      <c r="W26" s="18"/>
      <c r="X26" s="19"/>
      <c r="Y26" s="6"/>
      <c r="Z26" s="5"/>
      <c r="AA26" s="6"/>
      <c r="AB26" s="6"/>
      <c r="AC26" s="15">
        <f t="shared" si="0"/>
        <v>0</v>
      </c>
      <c r="AD26" s="1"/>
      <c r="AF26" s="6"/>
      <c r="AG26" s="6"/>
    </row>
    <row r="27" spans="1:33" x14ac:dyDescent="0.25">
      <c r="F27" t="s">
        <v>5</v>
      </c>
      <c r="G27" s="11">
        <v>2020</v>
      </c>
      <c r="H27" s="5">
        <v>119951</v>
      </c>
      <c r="I27" s="5">
        <f>-66656</f>
        <v>-66656</v>
      </c>
      <c r="J27" s="5">
        <v>6417</v>
      </c>
      <c r="K27" s="5">
        <v>-6684</v>
      </c>
      <c r="L27" s="15">
        <f>H27+I27+J27+K27</f>
        <v>53028</v>
      </c>
      <c r="M27" s="16">
        <f>L27/H27</f>
        <v>0.44208051621078609</v>
      </c>
      <c r="N27" s="16"/>
      <c r="P27" s="17">
        <f>L27+AG27+O27</f>
        <v>53028</v>
      </c>
      <c r="Q27" s="17"/>
      <c r="R27" s="21"/>
      <c r="S27" s="44"/>
      <c r="T27" s="48"/>
      <c r="U27" s="17"/>
      <c r="V27" s="18"/>
      <c r="W27" s="18"/>
      <c r="X27" s="19">
        <v>3.56</v>
      </c>
      <c r="Y27" s="6"/>
      <c r="Z27" s="5"/>
      <c r="AA27" s="5"/>
      <c r="AB27" s="5"/>
      <c r="AC27" s="15">
        <f t="shared" si="0"/>
        <v>0</v>
      </c>
      <c r="AD27" s="4"/>
      <c r="AF27" s="6"/>
      <c r="AG27" s="6"/>
    </row>
    <row r="28" spans="1:33" x14ac:dyDescent="0.25">
      <c r="F28" t="s">
        <v>5</v>
      </c>
      <c r="G28" s="11">
        <v>2021</v>
      </c>
      <c r="H28" s="5">
        <v>121649</v>
      </c>
      <c r="I28" s="5">
        <f>-71343</f>
        <v>-71343</v>
      </c>
      <c r="J28" s="5">
        <v>-8070</v>
      </c>
      <c r="K28" s="5">
        <v>-11228</v>
      </c>
      <c r="L28" s="15">
        <f>H28+I28+J28+K28</f>
        <v>31008</v>
      </c>
      <c r="M28" s="16">
        <f>L28/H28</f>
        <v>0.25489728645529353</v>
      </c>
      <c r="N28" s="16"/>
      <c r="P28" s="17">
        <f>L28+AG28+O28</f>
        <v>31008</v>
      </c>
      <c r="Q28" s="17"/>
      <c r="R28" s="21"/>
      <c r="S28" s="44"/>
      <c r="T28" s="48"/>
      <c r="U28" s="17"/>
      <c r="V28" s="18"/>
      <c r="W28" s="18"/>
      <c r="X28" s="19">
        <v>3.56</v>
      </c>
      <c r="Y28" s="6">
        <v>26438</v>
      </c>
      <c r="Z28" s="5"/>
      <c r="AA28" s="6">
        <f>3743567-56691</f>
        <v>3686876</v>
      </c>
      <c r="AB28" s="6">
        <f>-3449440</f>
        <v>-3449440</v>
      </c>
      <c r="AC28" s="15">
        <f t="shared" si="0"/>
        <v>237436</v>
      </c>
      <c r="AD28" s="1"/>
      <c r="AF28" s="6"/>
      <c r="AG28" s="6"/>
    </row>
    <row r="29" spans="1:33" x14ac:dyDescent="0.25">
      <c r="F29" t="s">
        <v>5</v>
      </c>
      <c r="G29" s="11">
        <v>2022</v>
      </c>
      <c r="H29" s="5">
        <v>128695</v>
      </c>
      <c r="I29" s="5">
        <f>-76140</f>
        <v>-76140</v>
      </c>
      <c r="J29" s="5">
        <v>-17257</v>
      </c>
      <c r="K29" s="5">
        <v>-8490</v>
      </c>
      <c r="L29" s="15">
        <f>H29+I29+J29+K29</f>
        <v>26808</v>
      </c>
      <c r="M29" s="16">
        <f>L29/H29</f>
        <v>0.20830646101247136</v>
      </c>
      <c r="N29" s="16">
        <f>(M29+M28+M27)/3</f>
        <v>0.30176142122618366</v>
      </c>
      <c r="P29" s="17">
        <f>L29+AG29+O29</f>
        <v>26808</v>
      </c>
      <c r="Q29" s="17">
        <f>(P29+P28+P27)/3</f>
        <v>36948</v>
      </c>
      <c r="R29" s="21">
        <f>Q29/H29</f>
        <v>0.28709740083142316</v>
      </c>
      <c r="S29" s="44">
        <v>141.49</v>
      </c>
      <c r="T29" s="48">
        <v>2968</v>
      </c>
      <c r="U29" s="17">
        <f>T29*S29</f>
        <v>419942.32</v>
      </c>
      <c r="V29" s="18">
        <f>P29/U29</f>
        <v>6.3837338423048187E-2</v>
      </c>
      <c r="W29" s="18">
        <f>Q29/U29</f>
        <v>8.7983511640360515E-2</v>
      </c>
      <c r="X29" s="19">
        <v>3.56</v>
      </c>
      <c r="Y29" s="6">
        <v>27697</v>
      </c>
      <c r="Z29" s="5"/>
      <c r="AA29" s="5">
        <f>3665743-60859</f>
        <v>3604884</v>
      </c>
      <c r="AB29" s="5">
        <f>-3373411</f>
        <v>-3373411</v>
      </c>
      <c r="AC29" s="15">
        <f t="shared" si="0"/>
        <v>231473</v>
      </c>
      <c r="AD29" s="4">
        <v>2.93E-2</v>
      </c>
      <c r="AE29">
        <v>9</v>
      </c>
      <c r="AF29" s="6"/>
      <c r="AG29" s="6"/>
    </row>
    <row r="30" spans="1:33" x14ac:dyDescent="0.25">
      <c r="G30" s="11"/>
      <c r="H30" s="5"/>
      <c r="I30" s="5"/>
      <c r="J30" s="5"/>
      <c r="K30" s="5"/>
      <c r="L30" s="15"/>
      <c r="M30" s="16"/>
      <c r="N30" s="16"/>
      <c r="P30" s="17"/>
      <c r="Q30" s="17"/>
      <c r="R30" s="21"/>
      <c r="S30" s="44"/>
      <c r="T30" s="48"/>
      <c r="U30" s="17"/>
      <c r="V30" s="18"/>
      <c r="W30" s="18"/>
      <c r="X30" s="19"/>
      <c r="Y30" s="6"/>
      <c r="Z30" s="5"/>
      <c r="AA30" s="6"/>
      <c r="AB30" s="6"/>
      <c r="AC30" s="15">
        <f t="shared" si="0"/>
        <v>0</v>
      </c>
      <c r="AD30" s="1"/>
      <c r="AF30" s="6"/>
      <c r="AG30" s="6"/>
    </row>
    <row r="31" spans="1:33" x14ac:dyDescent="0.25">
      <c r="F31" t="s">
        <v>16</v>
      </c>
      <c r="G31" s="11">
        <v>2020</v>
      </c>
      <c r="H31" s="5">
        <v>85528</v>
      </c>
      <c r="I31" s="5">
        <f>-55213</f>
        <v>-55213</v>
      </c>
      <c r="J31" s="5"/>
      <c r="K31" s="5">
        <v>-1101</v>
      </c>
      <c r="L31" s="15">
        <f>H31+I31+J31+K31</f>
        <v>29214</v>
      </c>
      <c r="M31" s="16">
        <f>L31/H31</f>
        <v>0.34157235057525021</v>
      </c>
      <c r="N31" s="16"/>
      <c r="P31" s="17">
        <f>L31+AG31+O31</f>
        <v>29214</v>
      </c>
      <c r="Q31" s="17"/>
      <c r="R31" s="21"/>
      <c r="S31" s="44"/>
      <c r="T31" s="48"/>
      <c r="U31" s="17"/>
      <c r="V31" s="18"/>
      <c r="W31" s="18"/>
      <c r="X31" s="19">
        <v>3.56</v>
      </c>
      <c r="Y31" s="6"/>
      <c r="Z31" s="5"/>
      <c r="AA31" s="5"/>
      <c r="AB31" s="5"/>
      <c r="AC31" s="15">
        <f t="shared" si="0"/>
        <v>0</v>
      </c>
      <c r="AD31" s="4"/>
      <c r="AF31" s="6"/>
      <c r="AG31" s="6"/>
    </row>
    <row r="32" spans="1:33" x14ac:dyDescent="0.25">
      <c r="F32" t="s">
        <v>16</v>
      </c>
      <c r="G32" s="11">
        <v>2021</v>
      </c>
      <c r="H32" s="5">
        <v>89113</v>
      </c>
      <c r="I32" s="5">
        <f>-59731</f>
        <v>-59731</v>
      </c>
      <c r="J32" s="5"/>
      <c r="K32" s="5">
        <v>-1998</v>
      </c>
      <c r="L32" s="15">
        <f>H32+I32+J32+K32</f>
        <v>27384</v>
      </c>
      <c r="M32" s="16">
        <f>L32/H32</f>
        <v>0.30729523189658076</v>
      </c>
      <c r="N32" s="16"/>
      <c r="P32" s="17">
        <f>L32+AG32+O32</f>
        <v>27384</v>
      </c>
      <c r="Q32" s="17"/>
      <c r="R32" s="21"/>
      <c r="S32" s="44"/>
      <c r="T32" s="48"/>
      <c r="U32" s="17"/>
      <c r="V32" s="18"/>
      <c r="W32" s="18"/>
      <c r="X32" s="19">
        <v>3.56</v>
      </c>
      <c r="Y32" s="6">
        <v>348221</v>
      </c>
      <c r="Z32" s="5"/>
      <c r="AA32" s="6">
        <f>3169495-69022</f>
        <v>3100473</v>
      </c>
      <c r="AB32" s="6">
        <v>-2899429</v>
      </c>
      <c r="AC32" s="15">
        <f t="shared" si="0"/>
        <v>201044</v>
      </c>
      <c r="AD32" s="1"/>
      <c r="AF32" s="6"/>
      <c r="AG32" s="6"/>
    </row>
    <row r="33" spans="1:34" x14ac:dyDescent="0.25">
      <c r="F33" t="s">
        <v>16</v>
      </c>
      <c r="G33" s="11">
        <v>2022</v>
      </c>
      <c r="H33" s="5">
        <v>94950</v>
      </c>
      <c r="I33" s="5">
        <f>-61438</f>
        <v>-61438</v>
      </c>
      <c r="J33" s="5"/>
      <c r="K33" s="5">
        <v>-3441</v>
      </c>
      <c r="L33" s="15">
        <f>H33+I33+J33+K33</f>
        <v>30071</v>
      </c>
      <c r="M33" s="16">
        <f>L33/H33</f>
        <v>0.31670352817272246</v>
      </c>
      <c r="N33" s="16">
        <f>(M33+M32+M31)/3</f>
        <v>0.32185703688151784</v>
      </c>
      <c r="P33" s="17">
        <f>L33+AG33+O33</f>
        <v>30071</v>
      </c>
      <c r="Q33" s="17">
        <f>(P33+P32+P31)/3</f>
        <v>28889.666666666668</v>
      </c>
      <c r="R33" s="21">
        <f>Q33/H33</f>
        <v>0.30426189222397754</v>
      </c>
      <c r="S33" s="44">
        <v>29.12</v>
      </c>
      <c r="T33" s="48">
        <v>8066</v>
      </c>
      <c r="U33" s="17">
        <v>233260</v>
      </c>
      <c r="V33" s="18">
        <f>P33/U33</f>
        <v>0.12891623081539913</v>
      </c>
      <c r="W33" s="18">
        <f>Q33/U33</f>
        <v>0.123851781988625</v>
      </c>
      <c r="X33" s="19">
        <v>3.56</v>
      </c>
      <c r="Y33" s="6">
        <v>230203</v>
      </c>
      <c r="Z33" s="5"/>
      <c r="AA33" s="5">
        <f>3051375-69022</f>
        <v>2982353</v>
      </c>
      <c r="AB33" s="5">
        <v>-2778178</v>
      </c>
      <c r="AC33" s="15">
        <f t="shared" si="0"/>
        <v>204175</v>
      </c>
      <c r="AD33" s="4">
        <v>2.2000000000000001E-3</v>
      </c>
      <c r="AE33">
        <v>7</v>
      </c>
      <c r="AF33" s="6"/>
      <c r="AG33" s="6"/>
    </row>
    <row r="34" spans="1:34" x14ac:dyDescent="0.25">
      <c r="G34" s="11"/>
      <c r="H34" s="5"/>
      <c r="I34" s="5"/>
      <c r="J34" s="5"/>
      <c r="K34" s="5"/>
      <c r="L34" s="15"/>
      <c r="M34" s="16"/>
      <c r="N34" s="16"/>
      <c r="P34" s="17"/>
      <c r="Q34" s="17"/>
      <c r="R34" s="21"/>
      <c r="S34" s="44"/>
      <c r="T34" s="48"/>
      <c r="U34" s="17"/>
      <c r="V34" s="18"/>
      <c r="W34" s="18"/>
      <c r="X34" s="19"/>
      <c r="Y34" s="6"/>
      <c r="Z34" s="5"/>
      <c r="AA34" s="6"/>
      <c r="AB34" s="6"/>
      <c r="AC34" s="15">
        <f t="shared" si="0"/>
        <v>0</v>
      </c>
      <c r="AD34" s="1"/>
      <c r="AF34" s="6"/>
      <c r="AG34" s="6"/>
    </row>
    <row r="35" spans="1:34" x14ac:dyDescent="0.25">
      <c r="F35" t="s">
        <v>2</v>
      </c>
      <c r="G35" s="11">
        <v>2020</v>
      </c>
      <c r="H35" s="5">
        <v>132110</v>
      </c>
      <c r="I35" s="5">
        <f>-87257-18278</f>
        <v>-105535</v>
      </c>
      <c r="J35" s="5">
        <f>-1300</f>
        <v>-1300</v>
      </c>
      <c r="K35" s="5">
        <v>-4112</v>
      </c>
      <c r="L35" s="15">
        <f>H35+I35+J35+K35</f>
        <v>21163</v>
      </c>
      <c r="M35" s="16">
        <f>L35/H35</f>
        <v>0.16019226402240558</v>
      </c>
      <c r="N35" s="16"/>
      <c r="P35" s="17">
        <f>L35+AG35+O35</f>
        <v>21163</v>
      </c>
      <c r="Q35" s="17"/>
      <c r="R35" s="21"/>
      <c r="S35" s="44"/>
      <c r="T35" s="48"/>
      <c r="U35" s="17"/>
      <c r="V35" s="18"/>
      <c r="W35" s="18"/>
      <c r="X35" s="19">
        <v>3.56</v>
      </c>
      <c r="Y35" s="6"/>
      <c r="Z35" s="5"/>
      <c r="AA35" s="5"/>
      <c r="AB35" s="5"/>
      <c r="AC35" s="15">
        <f t="shared" ref="AC35:AC66" si="2">SUM(Z35:AB35)</f>
        <v>0</v>
      </c>
      <c r="AD35" s="4"/>
      <c r="AF35" s="6"/>
      <c r="AG35" s="6"/>
    </row>
    <row r="36" spans="1:34" x14ac:dyDescent="0.25">
      <c r="F36" t="s">
        <v>2</v>
      </c>
      <c r="G36" s="11">
        <v>2021</v>
      </c>
      <c r="H36" s="5">
        <v>151157</v>
      </c>
      <c r="I36" s="5">
        <f>-100325-23040</f>
        <v>-123365</v>
      </c>
      <c r="J36" s="5">
        <f>-1303</f>
        <v>-1303</v>
      </c>
      <c r="K36" s="5">
        <v>-5304</v>
      </c>
      <c r="L36" s="15">
        <f>H36+I36+J36+K36</f>
        <v>21185</v>
      </c>
      <c r="M36" s="16">
        <f>L36/H36</f>
        <v>0.14015229198780077</v>
      </c>
      <c r="N36" s="16"/>
      <c r="P36" s="17">
        <f>L36+AG36+O36</f>
        <v>21185</v>
      </c>
      <c r="Q36" s="17"/>
      <c r="R36" s="21"/>
      <c r="S36" s="44"/>
      <c r="T36" s="48"/>
      <c r="U36" s="17"/>
      <c r="V36" s="18"/>
      <c r="W36" s="18"/>
      <c r="X36" s="19">
        <v>3.56</v>
      </c>
      <c r="Y36" s="6">
        <v>2343</v>
      </c>
      <c r="Z36" s="5"/>
      <c r="AA36" s="6">
        <f>71876-7449</f>
        <v>64427</v>
      </c>
      <c r="AB36" s="6">
        <v>-73572</v>
      </c>
      <c r="AC36" s="15">
        <f t="shared" si="2"/>
        <v>-9145</v>
      </c>
      <c r="AD36" s="1"/>
      <c r="AF36" s="6"/>
      <c r="AG36" s="6"/>
    </row>
    <row r="37" spans="1:34" x14ac:dyDescent="0.25">
      <c r="F37" t="s">
        <v>2</v>
      </c>
      <c r="G37" s="11">
        <v>2022</v>
      </c>
      <c r="H37" s="5">
        <v>157403</v>
      </c>
      <c r="I37" s="5">
        <f>-104625-24039</f>
        <v>-128664</v>
      </c>
      <c r="J37" s="5">
        <f>-1562</f>
        <v>-1562</v>
      </c>
      <c r="K37" s="5">
        <v>-5372</v>
      </c>
      <c r="L37" s="15">
        <f>H37+I37+J37+K37</f>
        <v>21805</v>
      </c>
      <c r="M37" s="16">
        <f>L37/H37</f>
        <v>0.1385297611862544</v>
      </c>
      <c r="N37" s="16">
        <f>(M37+M36+M35)/3</f>
        <v>0.14629143906548692</v>
      </c>
      <c r="P37" s="17">
        <f>L37+AG37+O37</f>
        <v>21805</v>
      </c>
      <c r="Q37" s="17">
        <f>(P37+P36+P35)/3</f>
        <v>21384.333333333332</v>
      </c>
      <c r="R37" s="21">
        <f>Q37/H37</f>
        <v>0.13585721576674734</v>
      </c>
      <c r="S37" s="44">
        <v>299.70999999999998</v>
      </c>
      <c r="T37" s="48">
        <v>1015</v>
      </c>
      <c r="U37" s="17">
        <f>T37*S37</f>
        <v>304205.64999999997</v>
      </c>
      <c r="V37" s="18">
        <f>P37/U37</f>
        <v>7.1678484604082812E-2</v>
      </c>
      <c r="W37" s="18">
        <f>Q37/U37</f>
        <v>7.0295648135836178E-2</v>
      </c>
      <c r="X37" s="19">
        <v>3.56</v>
      </c>
      <c r="Y37" s="6">
        <v>2757</v>
      </c>
      <c r="Z37" s="5"/>
      <c r="AA37" s="5">
        <f>76445-7444</f>
        <v>69001</v>
      </c>
      <c r="AB37" s="5">
        <v>-74883</v>
      </c>
      <c r="AC37" s="15">
        <f t="shared" si="2"/>
        <v>-5882</v>
      </c>
      <c r="AD37" s="4">
        <v>2.92E-2</v>
      </c>
      <c r="AE37">
        <v>8</v>
      </c>
      <c r="AF37" s="6"/>
      <c r="AG37" s="6"/>
    </row>
    <row r="38" spans="1:34" x14ac:dyDescent="0.25">
      <c r="G38" s="11"/>
      <c r="H38" s="5"/>
      <c r="I38" s="5"/>
      <c r="J38" s="5"/>
      <c r="K38" s="5"/>
      <c r="L38" s="15"/>
      <c r="M38" s="16"/>
      <c r="N38" s="16"/>
      <c r="P38" s="17"/>
      <c r="Q38" s="17"/>
      <c r="R38" s="21"/>
      <c r="S38" s="44"/>
      <c r="T38" s="48"/>
      <c r="U38" s="17"/>
      <c r="V38" s="18"/>
      <c r="W38" s="18"/>
      <c r="X38" s="19"/>
      <c r="Y38" s="6"/>
      <c r="Z38" s="5"/>
      <c r="AA38" s="6"/>
      <c r="AB38" s="6"/>
      <c r="AC38" s="15">
        <f t="shared" si="2"/>
        <v>0</v>
      </c>
      <c r="AD38" s="1"/>
      <c r="AF38" s="6"/>
      <c r="AG38" s="6"/>
    </row>
    <row r="39" spans="1:34" x14ac:dyDescent="0.25">
      <c r="A39" s="7"/>
      <c r="B39" s="7"/>
      <c r="F39" t="s">
        <v>12</v>
      </c>
      <c r="G39" s="11">
        <v>2020</v>
      </c>
      <c r="H39" s="5">
        <v>21846</v>
      </c>
      <c r="I39" s="5">
        <v>-7765</v>
      </c>
      <c r="J39" s="5">
        <f>-291+1029</f>
        <v>738</v>
      </c>
      <c r="K39" s="5">
        <v>-2924</v>
      </c>
      <c r="L39" s="15">
        <f>H39+I39+J39+K39</f>
        <v>11895</v>
      </c>
      <c r="M39" s="16">
        <f>L39/H39</f>
        <v>0.54449327107937384</v>
      </c>
      <c r="N39" s="16"/>
      <c r="P39" s="17">
        <f>L39+AG39+O39</f>
        <v>11895</v>
      </c>
      <c r="Q39" s="17"/>
      <c r="R39" s="21"/>
      <c r="S39" s="44"/>
      <c r="T39" s="48"/>
      <c r="U39" s="17"/>
      <c r="V39" s="18"/>
      <c r="W39" s="18"/>
      <c r="X39" s="19">
        <v>3.56</v>
      </c>
      <c r="Y39" s="6"/>
      <c r="Z39" s="5"/>
      <c r="AA39" s="5"/>
      <c r="AB39" s="5"/>
      <c r="AC39" s="15">
        <f t="shared" si="2"/>
        <v>0</v>
      </c>
      <c r="AD39" s="4"/>
      <c r="AF39" s="6"/>
      <c r="AG39" s="6"/>
    </row>
    <row r="40" spans="1:34" x14ac:dyDescent="0.25">
      <c r="B40" s="3" t="s">
        <v>22</v>
      </c>
      <c r="C40" s="5">
        <v>0</v>
      </c>
      <c r="D40" s="6">
        <v>0</v>
      </c>
      <c r="F40" t="s">
        <v>12</v>
      </c>
      <c r="G40" s="11">
        <v>2021</v>
      </c>
      <c r="H40" s="5">
        <v>24105</v>
      </c>
      <c r="I40" s="5">
        <v>-8301</v>
      </c>
      <c r="J40" s="5">
        <f>259+82</f>
        <v>341</v>
      </c>
      <c r="K40" s="5">
        <v>-3752</v>
      </c>
      <c r="L40" s="15">
        <f>H40+I40+J40+K40</f>
        <v>12393</v>
      </c>
      <c r="M40" s="16">
        <f>L40/H40</f>
        <v>0.5141257000622278</v>
      </c>
      <c r="N40" s="16"/>
      <c r="P40" s="17">
        <f>L40+AG40+O40</f>
        <v>12393</v>
      </c>
      <c r="Q40" s="17"/>
      <c r="R40" s="21"/>
      <c r="S40" s="44"/>
      <c r="T40" s="48"/>
      <c r="U40" s="17"/>
      <c r="V40" s="18"/>
      <c r="W40" s="18"/>
      <c r="X40" s="19">
        <v>3.56</v>
      </c>
      <c r="Y40" s="6">
        <v>16487</v>
      </c>
      <c r="Z40" s="5"/>
      <c r="AA40" s="6">
        <f>82896-15958-27664</f>
        <v>39274</v>
      </c>
      <c r="AB40" s="6">
        <v>-45307</v>
      </c>
      <c r="AC40" s="15">
        <f t="shared" si="2"/>
        <v>-6033</v>
      </c>
      <c r="AD40" s="1"/>
      <c r="AF40" s="6"/>
      <c r="AG40" s="6"/>
    </row>
    <row r="41" spans="1:34" x14ac:dyDescent="0.25">
      <c r="B41" s="3"/>
      <c r="C41" s="5"/>
      <c r="F41" t="s">
        <v>12</v>
      </c>
      <c r="G41" s="11">
        <v>2022</v>
      </c>
      <c r="H41" s="5">
        <v>29310</v>
      </c>
      <c r="I41" s="5">
        <v>-10497</v>
      </c>
      <c r="J41" s="5">
        <f>-677-2805</f>
        <v>-3482</v>
      </c>
      <c r="K41" s="5">
        <v>-3179</v>
      </c>
      <c r="L41" s="15">
        <f>H41+I41+J41+K41</f>
        <v>12152</v>
      </c>
      <c r="M41" s="16">
        <f>L41/H41</f>
        <v>0.41460252473558512</v>
      </c>
      <c r="N41" s="16">
        <f>(M41+M40+M39)/3</f>
        <v>0.49107383195906223</v>
      </c>
      <c r="P41" s="17">
        <f>L41+AG41+O41</f>
        <v>12152</v>
      </c>
      <c r="Q41" s="17">
        <f t="shared" si="1"/>
        <v>12146.666666666666</v>
      </c>
      <c r="R41" s="21">
        <f>Q41/H41</f>
        <v>0.41442056181053111</v>
      </c>
      <c r="S41" s="44">
        <v>223.44</v>
      </c>
      <c r="T41" s="48">
        <v>1879</v>
      </c>
      <c r="U41" s="17">
        <f>T41*S41</f>
        <v>419843.76</v>
      </c>
      <c r="V41" s="18">
        <f>P41/U41</f>
        <v>2.8944100538733742E-2</v>
      </c>
      <c r="W41" s="18">
        <f>Q41/U41</f>
        <v>2.8931397400467893E-2</v>
      </c>
      <c r="X41" s="19">
        <v>3.56</v>
      </c>
      <c r="Y41" s="6">
        <v>15689</v>
      </c>
      <c r="Z41" s="5"/>
      <c r="AA41" s="5">
        <f>85501-17787-25065</f>
        <v>42649</v>
      </c>
      <c r="AB41" s="5">
        <v>-49920</v>
      </c>
      <c r="AC41" s="15">
        <f t="shared" si="2"/>
        <v>-7271</v>
      </c>
      <c r="AD41" s="4">
        <v>7.7000000000000002E-3</v>
      </c>
      <c r="AE41">
        <v>9</v>
      </c>
      <c r="AF41" s="6"/>
      <c r="AG41" s="6"/>
      <c r="AH41" t="s">
        <v>39</v>
      </c>
    </row>
    <row r="42" spans="1:34" x14ac:dyDescent="0.25">
      <c r="B42" s="2"/>
      <c r="C42" s="5"/>
      <c r="G42" s="11"/>
      <c r="H42" s="5"/>
      <c r="I42" s="5"/>
      <c r="J42" s="5"/>
      <c r="K42" s="5"/>
      <c r="L42" s="15"/>
      <c r="M42" s="16"/>
      <c r="N42" s="16"/>
      <c r="P42" s="17"/>
      <c r="Q42" s="17"/>
      <c r="R42" s="21"/>
      <c r="S42" s="44"/>
      <c r="T42" s="48"/>
      <c r="U42" s="17"/>
      <c r="V42" s="18"/>
      <c r="W42" s="18"/>
      <c r="X42" s="19"/>
      <c r="Y42" s="6"/>
      <c r="Z42" s="5"/>
      <c r="AA42" s="6"/>
      <c r="AB42" s="6"/>
      <c r="AC42" s="15">
        <f t="shared" si="2"/>
        <v>0</v>
      </c>
      <c r="AD42" s="1"/>
      <c r="AF42" s="6"/>
      <c r="AG42" s="6"/>
    </row>
    <row r="43" spans="1:34" x14ac:dyDescent="0.25">
      <c r="B43" s="2" t="s">
        <v>23</v>
      </c>
      <c r="C43" s="5">
        <v>-467835</v>
      </c>
      <c r="D43" s="6">
        <v>-443854</v>
      </c>
      <c r="F43" t="s">
        <v>13</v>
      </c>
      <c r="G43" s="11">
        <v>2020</v>
      </c>
      <c r="H43" s="5">
        <v>15301</v>
      </c>
      <c r="I43" s="5">
        <v>-7220</v>
      </c>
      <c r="J43" s="5">
        <f>-321</f>
        <v>-321</v>
      </c>
      <c r="K43" s="5">
        <v>-1349</v>
      </c>
      <c r="L43" s="15">
        <f>H43+I43+J43+K43</f>
        <v>6411</v>
      </c>
      <c r="M43" s="16">
        <f>L43/H43</f>
        <v>0.41899222273054049</v>
      </c>
      <c r="N43" s="16"/>
      <c r="P43" s="17">
        <f>L43+AG43+O43</f>
        <v>6411</v>
      </c>
      <c r="Q43" s="17"/>
      <c r="R43" s="21"/>
      <c r="S43" s="44"/>
      <c r="T43" s="48"/>
      <c r="U43" s="17"/>
      <c r="V43" s="18"/>
      <c r="W43" s="18"/>
      <c r="X43" s="19">
        <v>3.56</v>
      </c>
      <c r="Y43" s="6"/>
      <c r="Z43" s="5"/>
      <c r="AA43" s="5"/>
      <c r="AB43" s="5"/>
      <c r="AC43" s="15">
        <f t="shared" si="2"/>
        <v>0</v>
      </c>
      <c r="AD43" s="4"/>
      <c r="AF43" s="6"/>
      <c r="AG43" s="6"/>
    </row>
    <row r="44" spans="1:34" x14ac:dyDescent="0.25">
      <c r="B44" s="12" t="s">
        <v>33</v>
      </c>
      <c r="C44" s="5">
        <f>SUM(C42:C43)</f>
        <v>-467835</v>
      </c>
      <c r="D44" s="5">
        <f>SUM(D42:D43)</f>
        <v>-443854</v>
      </c>
      <c r="F44" t="s">
        <v>13</v>
      </c>
      <c r="G44" s="11">
        <v>2021</v>
      </c>
      <c r="H44" s="5">
        <v>18884</v>
      </c>
      <c r="I44" s="5">
        <v>-8802</v>
      </c>
      <c r="J44" s="5">
        <f>225</f>
        <v>225</v>
      </c>
      <c r="K44" s="5">
        <v>-1620</v>
      </c>
      <c r="L44" s="15">
        <f>H44+I44+J44+K44</f>
        <v>8687</v>
      </c>
      <c r="M44" s="16">
        <f>L44/H44</f>
        <v>0.46001906375767848</v>
      </c>
      <c r="N44" s="16"/>
      <c r="P44" s="17">
        <f>L44+AG44+O44</f>
        <v>8687</v>
      </c>
      <c r="Q44" s="17"/>
      <c r="R44" s="21"/>
      <c r="S44" s="44"/>
      <c r="T44" s="48"/>
      <c r="U44" s="17"/>
      <c r="V44" s="18"/>
      <c r="W44" s="18"/>
      <c r="X44" s="19">
        <v>3.56</v>
      </c>
      <c r="Y44" s="6">
        <v>7421</v>
      </c>
      <c r="Z44" s="5"/>
      <c r="AA44" s="6">
        <f>37669-7662-3671</f>
        <v>26336</v>
      </c>
      <c r="AB44" s="6">
        <v>-30257</v>
      </c>
      <c r="AC44" s="15">
        <f t="shared" si="2"/>
        <v>-3921</v>
      </c>
      <c r="AD44" s="1"/>
      <c r="AF44" s="6"/>
      <c r="AG44" s="6"/>
    </row>
    <row r="45" spans="1:34" x14ac:dyDescent="0.25">
      <c r="B45" s="2"/>
      <c r="C45" s="5"/>
      <c r="F45" t="s">
        <v>13</v>
      </c>
      <c r="G45" s="11">
        <v>2022</v>
      </c>
      <c r="H45" s="5">
        <v>22237</v>
      </c>
      <c r="I45" s="5">
        <v>-9973</v>
      </c>
      <c r="J45" s="5">
        <f>-532</f>
        <v>-532</v>
      </c>
      <c r="K45" s="5">
        <v>-1802</v>
      </c>
      <c r="L45" s="15">
        <f>H45+I45+J45+K45</f>
        <v>9930</v>
      </c>
      <c r="M45" s="16">
        <f>L45/H45</f>
        <v>0.44655304222691911</v>
      </c>
      <c r="N45" s="16">
        <f>(M45+M44+M43)/3</f>
        <v>0.44185477623837938</v>
      </c>
      <c r="P45" s="17">
        <f>L45+AG45+O45</f>
        <v>9930</v>
      </c>
      <c r="Q45" s="17">
        <f t="shared" si="1"/>
        <v>8342.6666666666661</v>
      </c>
      <c r="R45" s="21">
        <f>Q45/H45</f>
        <v>0.37517051160977949</v>
      </c>
      <c r="S45" s="44">
        <v>374.76</v>
      </c>
      <c r="T45" s="48">
        <v>953</v>
      </c>
      <c r="U45" s="17">
        <f>T45*S45</f>
        <v>357146.27999999997</v>
      </c>
      <c r="V45" s="18">
        <f>P45/U45</f>
        <v>2.7803733529017861E-2</v>
      </c>
      <c r="W45" s="18">
        <f>Q45/U45</f>
        <v>2.3359242791683752E-2</v>
      </c>
      <c r="X45" s="19">
        <v>3.56</v>
      </c>
      <c r="Y45" s="6">
        <v>7008</v>
      </c>
      <c r="Z45" s="5"/>
      <c r="AA45" s="5">
        <f>38724-7522-3859</f>
        <v>27343</v>
      </c>
      <c r="AB45" s="5">
        <v>-32347</v>
      </c>
      <c r="AC45" s="15">
        <f t="shared" si="2"/>
        <v>-5004</v>
      </c>
      <c r="AD45" s="4">
        <v>5.7000000000000002E-3</v>
      </c>
      <c r="AE45">
        <v>9</v>
      </c>
      <c r="AF45" s="6">
        <v>8800</v>
      </c>
      <c r="AG45" s="6"/>
      <c r="AH45" t="s">
        <v>40</v>
      </c>
    </row>
    <row r="46" spans="1:34" x14ac:dyDescent="0.25">
      <c r="B46" s="2"/>
      <c r="C46" s="5"/>
      <c r="G46" s="11"/>
      <c r="H46" s="5"/>
      <c r="I46" s="5"/>
      <c r="J46" s="5"/>
      <c r="K46" s="5"/>
      <c r="L46" s="15"/>
      <c r="M46" s="16"/>
      <c r="N46" s="16"/>
      <c r="P46" s="17"/>
      <c r="Q46" s="17"/>
      <c r="R46" s="21"/>
      <c r="S46" s="44"/>
      <c r="T46" s="48"/>
      <c r="U46" s="17"/>
      <c r="V46" s="20"/>
      <c r="W46" s="18"/>
      <c r="X46" s="19"/>
      <c r="Y46" s="6"/>
      <c r="Z46" s="5"/>
      <c r="AA46" s="6"/>
      <c r="AB46" s="6"/>
      <c r="AC46" s="15">
        <f t="shared" si="2"/>
        <v>0</v>
      </c>
      <c r="AD46" s="1"/>
      <c r="AF46" s="6"/>
      <c r="AG46" s="6"/>
    </row>
    <row r="47" spans="1:34" x14ac:dyDescent="0.25">
      <c r="A47" t="s">
        <v>24</v>
      </c>
      <c r="B47" s="2" t="s">
        <v>25</v>
      </c>
      <c r="C47" s="5">
        <v>8</v>
      </c>
      <c r="F47" t="s">
        <v>9</v>
      </c>
      <c r="G47" s="11">
        <v>2020</v>
      </c>
      <c r="H47" s="5">
        <v>5371</v>
      </c>
      <c r="I47" s="5">
        <f>-2983</f>
        <v>-2983</v>
      </c>
      <c r="J47" s="5">
        <f>-159-1</f>
        <v>-160</v>
      </c>
      <c r="K47" s="5">
        <v>-452</v>
      </c>
      <c r="L47" s="15">
        <f>H47+I47+J47+K47</f>
        <v>1776</v>
      </c>
      <c r="M47" s="16">
        <f>L47/H47</f>
        <v>0.33066468069260846</v>
      </c>
      <c r="N47" s="16"/>
      <c r="P47" s="17">
        <f>L47+AG47+O47</f>
        <v>1776</v>
      </c>
      <c r="Q47" s="17"/>
      <c r="R47" s="21"/>
      <c r="S47" s="44"/>
      <c r="T47" s="48"/>
      <c r="U47" s="17"/>
      <c r="V47" s="18"/>
      <c r="W47" s="20"/>
      <c r="X47" s="19">
        <v>3.56</v>
      </c>
      <c r="Y47" s="6"/>
      <c r="Z47" s="5"/>
      <c r="AB47" s="5"/>
      <c r="AC47" s="15">
        <f t="shared" si="2"/>
        <v>0</v>
      </c>
      <c r="AD47" s="4"/>
      <c r="AF47" s="6"/>
      <c r="AG47" s="6"/>
    </row>
    <row r="48" spans="1:34" x14ac:dyDescent="0.25">
      <c r="A48" t="s">
        <v>26</v>
      </c>
      <c r="B48" s="2" t="s">
        <v>27</v>
      </c>
      <c r="C48" s="5"/>
      <c r="F48" t="s">
        <v>9</v>
      </c>
      <c r="G48" s="11">
        <v>2021</v>
      </c>
      <c r="H48" s="5">
        <v>6218</v>
      </c>
      <c r="I48" s="5">
        <f>-3374</f>
        <v>-3374</v>
      </c>
      <c r="J48" s="5">
        <f>-89-2</f>
        <v>-91</v>
      </c>
      <c r="K48" s="5">
        <v>-541</v>
      </c>
      <c r="L48" s="15">
        <f>H48+I48+J48+K48</f>
        <v>2212</v>
      </c>
      <c r="M48" s="16">
        <f>L48/H48</f>
        <v>0.35574139594724991</v>
      </c>
      <c r="N48" s="16"/>
      <c r="P48" s="17">
        <f>L48+AG48+O48</f>
        <v>2212</v>
      </c>
      <c r="Q48" s="17"/>
      <c r="R48" s="21"/>
      <c r="S48" s="44"/>
      <c r="T48" s="48"/>
      <c r="U48" s="17"/>
      <c r="V48" s="18"/>
      <c r="W48" s="18"/>
      <c r="X48" s="19">
        <v>3.56</v>
      </c>
      <c r="Y48" s="6">
        <v>1811</v>
      </c>
      <c r="Z48" s="5"/>
      <c r="AA48" s="5">
        <f>14680-6000</f>
        <v>8680</v>
      </c>
      <c r="AB48" s="6">
        <v>-11764</v>
      </c>
      <c r="AC48" s="15">
        <f t="shared" si="2"/>
        <v>-3084</v>
      </c>
      <c r="AD48" s="1"/>
      <c r="AF48" s="6"/>
      <c r="AG48" s="6"/>
    </row>
    <row r="49" spans="6:33" x14ac:dyDescent="0.25">
      <c r="F49" t="s">
        <v>9</v>
      </c>
      <c r="G49" s="11">
        <v>2022</v>
      </c>
      <c r="H49" s="5">
        <v>5468</v>
      </c>
      <c r="I49" s="5">
        <f>-3585</f>
        <v>-3585</v>
      </c>
      <c r="J49" s="5">
        <f>-123-16</f>
        <v>-139</v>
      </c>
      <c r="K49" s="5">
        <v>-386</v>
      </c>
      <c r="L49" s="15">
        <f>H49+I49+J49+K49</f>
        <v>1358</v>
      </c>
      <c r="M49" s="16">
        <f>L49/H49</f>
        <v>0.24835405998536941</v>
      </c>
      <c r="N49" s="16">
        <f>(M49+M48+M47)/3</f>
        <v>0.31158671220840922</v>
      </c>
      <c r="P49" s="17">
        <f>L49+AG49+O49</f>
        <v>1358</v>
      </c>
      <c r="Q49" s="17">
        <f t="shared" si="1"/>
        <v>1782</v>
      </c>
      <c r="R49" s="21">
        <f>Q49/H49</f>
        <v>0.32589612289685443</v>
      </c>
      <c r="S49" s="44">
        <v>340.71</v>
      </c>
      <c r="T49" s="48">
        <v>730</v>
      </c>
      <c r="U49" s="17">
        <f>T49*S49</f>
        <v>248718.3</v>
      </c>
      <c r="V49" s="18">
        <f>P49/U49</f>
        <v>5.4599922884645E-3</v>
      </c>
      <c r="W49" s="18">
        <f>Q49/U49</f>
        <v>7.1647321487803674E-3</v>
      </c>
      <c r="X49" s="19">
        <v>3.56</v>
      </c>
      <c r="Y49" s="6">
        <v>1769</v>
      </c>
      <c r="Z49" s="5"/>
      <c r="AA49" s="6">
        <f>14349-5839</f>
        <v>8510</v>
      </c>
      <c r="AB49" s="5">
        <v>-11660</v>
      </c>
      <c r="AC49" s="15">
        <f t="shared" si="2"/>
        <v>-3150</v>
      </c>
      <c r="AD49" s="4">
        <v>9.9000000000000008E-3</v>
      </c>
      <c r="AE49">
        <v>10</v>
      </c>
      <c r="AF49" s="6"/>
      <c r="AG49" s="6"/>
    </row>
    <row r="50" spans="6:33" x14ac:dyDescent="0.25">
      <c r="G50" s="11"/>
      <c r="H50" s="5"/>
      <c r="I50" s="5"/>
      <c r="J50" s="5"/>
      <c r="K50" s="5"/>
      <c r="L50" s="15"/>
      <c r="M50" s="16"/>
      <c r="N50" s="16"/>
      <c r="P50" s="17"/>
      <c r="Q50" s="17"/>
      <c r="R50" s="21"/>
      <c r="S50" s="44"/>
      <c r="T50" s="48"/>
      <c r="U50" s="17"/>
      <c r="V50" s="18"/>
      <c r="W50" s="18"/>
      <c r="X50" s="19"/>
      <c r="Y50" s="6"/>
      <c r="Z50" s="5"/>
      <c r="AA50" s="6"/>
      <c r="AB50" s="6"/>
      <c r="AC50" s="15">
        <f t="shared" si="2"/>
        <v>0</v>
      </c>
      <c r="AD50" s="1"/>
      <c r="AF50" s="6"/>
      <c r="AG50" s="6"/>
    </row>
    <row r="51" spans="6:33" x14ac:dyDescent="0.25">
      <c r="F51" t="s">
        <v>15</v>
      </c>
      <c r="G51" s="11">
        <v>2020</v>
      </c>
      <c r="H51" s="5">
        <v>166761</v>
      </c>
      <c r="I51" s="5">
        <f>-144939-16387</f>
        <v>-161326</v>
      </c>
      <c r="J51" s="5">
        <f>-160+92</f>
        <v>-68</v>
      </c>
      <c r="K51" s="5">
        <v>-1308</v>
      </c>
      <c r="L51" s="15">
        <f>H51+I51+J51+K51</f>
        <v>4059</v>
      </c>
      <c r="M51" s="16">
        <f>L51/H51</f>
        <v>2.4340223433536617E-2</v>
      </c>
      <c r="N51" s="16"/>
      <c r="P51" s="17">
        <f>L51+AG51+O51</f>
        <v>4059</v>
      </c>
      <c r="Q51" s="17"/>
      <c r="R51" s="21"/>
      <c r="S51" s="44"/>
      <c r="T51" s="48"/>
      <c r="U51" s="17"/>
      <c r="V51" s="18"/>
      <c r="W51" s="18"/>
      <c r="X51" s="19">
        <v>3.56</v>
      </c>
      <c r="Z51" s="5"/>
      <c r="AA51" s="5"/>
      <c r="AB51" s="5"/>
      <c r="AC51" s="15">
        <f t="shared" si="2"/>
        <v>0</v>
      </c>
      <c r="AD51" s="4"/>
      <c r="AF51" s="6"/>
      <c r="AG51" s="6"/>
    </row>
    <row r="52" spans="6:33" x14ac:dyDescent="0.25">
      <c r="F52" t="s">
        <v>15</v>
      </c>
      <c r="G52" s="11">
        <v>2021</v>
      </c>
      <c r="H52" s="5">
        <v>195929</v>
      </c>
      <c r="I52" s="5">
        <f>-170684-18537</f>
        <v>-189221</v>
      </c>
      <c r="J52" s="5">
        <f>-171+143</f>
        <v>-28</v>
      </c>
      <c r="K52" s="5">
        <v>-1601</v>
      </c>
      <c r="L52" s="15">
        <f>H52+I52+J52+K52</f>
        <v>5079</v>
      </c>
      <c r="M52" s="16">
        <f>L52/H52</f>
        <v>2.5922655655875343E-2</v>
      </c>
      <c r="N52" s="16"/>
      <c r="P52" s="17">
        <f>L52+AG52+O52</f>
        <v>5079</v>
      </c>
      <c r="Q52" s="17"/>
      <c r="R52" s="21"/>
      <c r="S52" s="44"/>
      <c r="T52" s="48"/>
      <c r="U52" s="17"/>
      <c r="V52" s="18"/>
      <c r="W52" s="18"/>
      <c r="X52" s="19">
        <v>3.56</v>
      </c>
      <c r="Y52" s="6">
        <f>11258+917</f>
        <v>12175</v>
      </c>
      <c r="Z52" s="5"/>
      <c r="AA52" s="6">
        <f>59268-3381</f>
        <v>55887</v>
      </c>
      <c r="AB52" s="6">
        <v>-41190</v>
      </c>
      <c r="AC52" s="15">
        <f t="shared" si="2"/>
        <v>14697</v>
      </c>
      <c r="AD52" s="1"/>
      <c r="AF52" s="6"/>
      <c r="AG52" s="6"/>
    </row>
    <row r="53" spans="6:33" x14ac:dyDescent="0.25">
      <c r="F53" t="s">
        <v>15</v>
      </c>
      <c r="G53" s="11">
        <v>2022</v>
      </c>
      <c r="H53" s="5">
        <v>226954</v>
      </c>
      <c r="I53" s="5">
        <f>-199382-19779</f>
        <v>-219161</v>
      </c>
      <c r="J53" s="5">
        <f>-158+205</f>
        <v>47</v>
      </c>
      <c r="K53" s="5">
        <v>-1925</v>
      </c>
      <c r="L53" s="15">
        <f>H53+I53+J53+K53</f>
        <v>5915</v>
      </c>
      <c r="M53" s="16">
        <f>L53/H53</f>
        <v>2.6062550120288693E-2</v>
      </c>
      <c r="N53" s="16">
        <f t="shared" ref="N53" si="3">(M53+M52+M51)/3</f>
        <v>2.5441809736566883E-2</v>
      </c>
      <c r="P53" s="17">
        <f>L53+AG53+O53</f>
        <v>5915</v>
      </c>
      <c r="Q53" s="17">
        <f t="shared" si="1"/>
        <v>5017.666666666667</v>
      </c>
      <c r="R53" s="21">
        <f>Q53/H53</f>
        <v>2.2108738628385784E-2</v>
      </c>
      <c r="S53" s="44">
        <v>527.20000000000005</v>
      </c>
      <c r="T53" s="48">
        <v>444</v>
      </c>
      <c r="U53" s="17">
        <f>T53*S53</f>
        <v>234076.80000000002</v>
      </c>
      <c r="V53" s="18">
        <f>P53/U53</f>
        <v>2.5269484203475096E-2</v>
      </c>
      <c r="W53" s="18">
        <f>Q53/U53</f>
        <v>2.1435984542964817E-2</v>
      </c>
      <c r="X53" s="19">
        <v>3.56</v>
      </c>
      <c r="Y53" s="6">
        <f>10203+846</f>
        <v>11049</v>
      </c>
      <c r="Z53" s="5"/>
      <c r="AA53" s="5">
        <f>64166-4050</f>
        <v>60116</v>
      </c>
      <c r="AB53" s="5">
        <v>-43519</v>
      </c>
      <c r="AC53" s="15">
        <f t="shared" si="2"/>
        <v>16597</v>
      </c>
      <c r="AD53" s="4">
        <v>8.3999999999999995E-3</v>
      </c>
      <c r="AE53">
        <v>8</v>
      </c>
      <c r="AF53" s="6"/>
      <c r="AG53" s="6"/>
    </row>
    <row r="54" spans="6:33" x14ac:dyDescent="0.25">
      <c r="G54" s="11"/>
      <c r="H54" s="5"/>
      <c r="I54" s="5"/>
      <c r="J54" s="5"/>
      <c r="K54" s="5"/>
      <c r="L54" s="15"/>
      <c r="M54" s="16"/>
      <c r="N54" s="16"/>
      <c r="P54" s="17"/>
      <c r="Q54" s="17"/>
      <c r="R54" s="21"/>
      <c r="S54" s="44"/>
      <c r="T54" s="48"/>
      <c r="U54" s="17"/>
      <c r="V54" s="18"/>
      <c r="W54" s="18"/>
      <c r="X54" s="19"/>
      <c r="Y54" s="6"/>
      <c r="Z54" s="5"/>
      <c r="AA54" s="6"/>
      <c r="AB54" s="6"/>
      <c r="AC54" s="15">
        <f t="shared" si="2"/>
        <v>0</v>
      </c>
      <c r="AD54" s="1"/>
      <c r="AF54" s="6"/>
      <c r="AG54" s="6"/>
    </row>
    <row r="55" spans="6:33" x14ac:dyDescent="0.25">
      <c r="F55" t="s">
        <v>10</v>
      </c>
      <c r="G55" s="11">
        <v>2020</v>
      </c>
      <c r="H55" s="5">
        <v>11550</v>
      </c>
      <c r="I55" s="5">
        <v>-9856</v>
      </c>
      <c r="J55" s="5">
        <f>17-10</f>
        <v>7</v>
      </c>
      <c r="K55" s="5">
        <v>-314</v>
      </c>
      <c r="L55" s="15">
        <f>H55+I55+J55+K55</f>
        <v>1387</v>
      </c>
      <c r="M55" s="16">
        <f>L55/H55</f>
        <v>0.12008658008658009</v>
      </c>
      <c r="N55" s="16"/>
      <c r="P55" s="17">
        <f>L55+AG55+O55</f>
        <v>1387</v>
      </c>
      <c r="Q55" s="17"/>
      <c r="R55" s="21"/>
      <c r="S55" s="44"/>
      <c r="T55" s="48"/>
      <c r="U55" s="17"/>
      <c r="V55" s="18"/>
      <c r="W55" s="18"/>
      <c r="X55" s="19">
        <v>3.56</v>
      </c>
      <c r="Y55" s="6"/>
      <c r="Z55" s="5"/>
      <c r="AA55" s="5"/>
      <c r="AB55" s="5"/>
      <c r="AC55" s="15">
        <f t="shared" si="2"/>
        <v>0</v>
      </c>
      <c r="AD55" s="4"/>
      <c r="AF55" s="6"/>
      <c r="AG55" s="6"/>
    </row>
    <row r="56" spans="6:33" x14ac:dyDescent="0.25">
      <c r="F56" t="s">
        <v>10</v>
      </c>
      <c r="G56" s="11">
        <v>2021</v>
      </c>
      <c r="H56" s="5">
        <v>11619</v>
      </c>
      <c r="I56" s="5">
        <v>-9821</v>
      </c>
      <c r="J56" s="5">
        <v>6</v>
      </c>
      <c r="K56" s="5">
        <v>-307</v>
      </c>
      <c r="L56" s="15">
        <f>H56+I56+J56+K56</f>
        <v>1497</v>
      </c>
      <c r="M56" s="16">
        <f>L56/H56</f>
        <v>0.12884069197004905</v>
      </c>
      <c r="N56" s="16"/>
      <c r="P56" s="17">
        <f>L56+AG56+O56</f>
        <v>1497</v>
      </c>
      <c r="Q56" s="17"/>
      <c r="R56" s="21"/>
      <c r="S56" s="44"/>
      <c r="T56" s="48"/>
      <c r="U56" s="17"/>
      <c r="V56" s="18"/>
      <c r="W56" s="18"/>
      <c r="X56" s="19">
        <v>3.56</v>
      </c>
      <c r="Y56" s="6">
        <v>462</v>
      </c>
      <c r="Z56" s="5"/>
      <c r="AA56" s="6">
        <f>17121-7000</f>
        <v>10121</v>
      </c>
      <c r="AB56" s="6">
        <v>-14750</v>
      </c>
      <c r="AC56" s="15">
        <f t="shared" si="2"/>
        <v>-4629</v>
      </c>
      <c r="AD56" s="1"/>
      <c r="AF56" s="6"/>
      <c r="AG56" s="6"/>
    </row>
    <row r="57" spans="6:33" x14ac:dyDescent="0.25">
      <c r="F57" t="s">
        <v>10</v>
      </c>
      <c r="G57" s="11">
        <v>2022</v>
      </c>
      <c r="H57" s="5">
        <v>11610</v>
      </c>
      <c r="I57" s="5">
        <v>-10271</v>
      </c>
      <c r="J57" s="5">
        <f>-16+13</f>
        <v>-3</v>
      </c>
      <c r="K57" s="5">
        <v>-198</v>
      </c>
      <c r="L57" s="15">
        <f>H57+I57+J57+K57</f>
        <v>1138</v>
      </c>
      <c r="M57" s="16">
        <f>L57/H57</f>
        <v>9.8018949181739881E-2</v>
      </c>
      <c r="N57" s="16">
        <f t="shared" ref="N57:N73" si="4">(M57+M56+M55)/3</f>
        <v>0.11564874041278966</v>
      </c>
      <c r="P57" s="17">
        <f>L57+AG57+O57</f>
        <v>1138</v>
      </c>
      <c r="Q57" s="17">
        <f t="shared" si="1"/>
        <v>1340.6666666666667</v>
      </c>
      <c r="R57" s="21">
        <f>Q57/H57</f>
        <v>0.11547516508756819</v>
      </c>
      <c r="S57" s="44">
        <v>97.48</v>
      </c>
      <c r="T57" s="48">
        <v>91</v>
      </c>
      <c r="U57" s="17">
        <f>T57*S57</f>
        <v>8870.68</v>
      </c>
      <c r="V57" s="18">
        <f t="shared" ref="V57:V73" si="5">P57/U57</f>
        <v>0.1282877975532879</v>
      </c>
      <c r="W57" s="18">
        <f t="shared" ref="W57:W73" si="6">Q57/U57</f>
        <v>0.15113459922651551</v>
      </c>
      <c r="X57" s="19">
        <v>3.56</v>
      </c>
      <c r="Y57" s="6">
        <v>244</v>
      </c>
      <c r="Z57" s="5"/>
      <c r="AA57" s="5">
        <f>16928-7077</f>
        <v>9851</v>
      </c>
      <c r="AB57" s="5">
        <v>-14703</v>
      </c>
      <c r="AC57" s="15">
        <f t="shared" si="2"/>
        <v>-4852</v>
      </c>
      <c r="AD57" s="4">
        <v>0</v>
      </c>
      <c r="AE57">
        <v>9</v>
      </c>
      <c r="AF57" s="6"/>
      <c r="AG57" s="6"/>
    </row>
    <row r="58" spans="6:33" x14ac:dyDescent="0.25">
      <c r="G58" s="11"/>
      <c r="H58" s="5"/>
      <c r="I58" s="5"/>
      <c r="J58" s="5"/>
      <c r="K58" s="5"/>
      <c r="L58" s="15"/>
      <c r="M58" s="16"/>
      <c r="N58" s="16"/>
      <c r="P58" s="17"/>
      <c r="Q58" s="17"/>
      <c r="R58" s="21"/>
      <c r="S58" s="44"/>
      <c r="T58" s="48"/>
      <c r="U58" s="17"/>
      <c r="V58" s="18"/>
      <c r="W58" s="18"/>
      <c r="X58" s="19"/>
      <c r="Y58" s="6"/>
      <c r="Z58" s="5"/>
      <c r="AA58" s="5"/>
      <c r="AB58" s="5"/>
      <c r="AC58" s="15">
        <f t="shared" si="2"/>
        <v>0</v>
      </c>
      <c r="AD58" s="4"/>
      <c r="AF58" s="6"/>
      <c r="AG58" s="6"/>
    </row>
    <row r="59" spans="6:33" x14ac:dyDescent="0.25">
      <c r="F59" t="s">
        <v>1</v>
      </c>
      <c r="G59" s="11">
        <v>2020</v>
      </c>
      <c r="H59" s="5">
        <v>257141</v>
      </c>
      <c r="I59" s="5">
        <v>-234736</v>
      </c>
      <c r="J59" s="5">
        <v>-1663</v>
      </c>
      <c r="K59" s="5">
        <v>-4973</v>
      </c>
      <c r="L59" s="15">
        <f>H59+I59+J59+K59</f>
        <v>15769</v>
      </c>
      <c r="M59" s="16">
        <f>L59/H59</f>
        <v>6.1324331786840686E-2</v>
      </c>
      <c r="N59" s="16"/>
      <c r="P59" s="17">
        <f>L59+AG59+O59</f>
        <v>15769</v>
      </c>
      <c r="Q59" s="17"/>
      <c r="R59" s="21"/>
      <c r="S59" s="44"/>
      <c r="T59" s="48"/>
      <c r="U59" s="17"/>
      <c r="V59" s="18"/>
      <c r="W59" s="18"/>
      <c r="X59" s="19">
        <v>3.56</v>
      </c>
      <c r="Y59" s="6"/>
      <c r="Z59" s="5"/>
      <c r="AA59" s="6"/>
      <c r="AB59" s="6"/>
      <c r="AC59" s="15">
        <f t="shared" si="2"/>
        <v>0</v>
      </c>
      <c r="AD59" s="1"/>
      <c r="AF59" s="6"/>
      <c r="AG59" s="6"/>
    </row>
    <row r="60" spans="6:33" x14ac:dyDescent="0.25">
      <c r="F60" t="s">
        <v>1</v>
      </c>
      <c r="G60" s="11">
        <v>2021</v>
      </c>
      <c r="H60" s="5">
        <v>287597</v>
      </c>
      <c r="I60" s="5">
        <v>-263627</v>
      </c>
      <c r="J60" s="5">
        <v>-1660</v>
      </c>
      <c r="K60" s="5">
        <v>-4578</v>
      </c>
      <c r="L60" s="15">
        <f>H60+I60+J60+K60</f>
        <v>17732</v>
      </c>
      <c r="M60" s="16">
        <f>L60/H60</f>
        <v>6.1655719635462125E-2</v>
      </c>
      <c r="N60" s="16"/>
      <c r="P60" s="17">
        <f>L60+AG60+O60</f>
        <v>17732</v>
      </c>
      <c r="Q60" s="17"/>
      <c r="R60" s="21"/>
      <c r="S60" s="44"/>
      <c r="T60" s="48"/>
      <c r="U60" s="17"/>
      <c r="V60" s="18"/>
      <c r="W60" s="18"/>
      <c r="X60" s="19">
        <v>3.56</v>
      </c>
      <c r="Y60" s="6">
        <v>21375</v>
      </c>
      <c r="Z60" s="5"/>
      <c r="AA60" s="5">
        <f>212206+5992-75795</f>
        <v>142403</v>
      </c>
      <c r="AB60" s="5">
        <v>-135727</v>
      </c>
      <c r="AC60" s="15">
        <f t="shared" si="2"/>
        <v>6676</v>
      </c>
      <c r="AD60" s="4"/>
      <c r="AF60" s="6"/>
      <c r="AG60" s="6"/>
    </row>
    <row r="61" spans="6:33" x14ac:dyDescent="0.25">
      <c r="F61" t="s">
        <v>1</v>
      </c>
      <c r="G61" s="11">
        <v>2022</v>
      </c>
      <c r="H61" s="5">
        <v>324162</v>
      </c>
      <c r="I61" s="5">
        <v>-295727</v>
      </c>
      <c r="J61" s="5">
        <v>-2092</v>
      </c>
      <c r="K61" s="5">
        <v>-5704</v>
      </c>
      <c r="L61" s="15">
        <f>H61+I61+J61+K61</f>
        <v>20639</v>
      </c>
      <c r="M61" s="16">
        <f>L61/H61</f>
        <v>6.3668782892504369E-2</v>
      </c>
      <c r="N61" s="16">
        <f t="shared" si="4"/>
        <v>6.2216278104935734E-2</v>
      </c>
      <c r="P61" s="17">
        <f>L61+AG61+O61</f>
        <v>20639</v>
      </c>
      <c r="Q61" s="17">
        <f t="shared" si="1"/>
        <v>18046.666666666668</v>
      </c>
      <c r="R61" s="21">
        <f>Q61/H61</f>
        <v>5.5671752601065723E-2</v>
      </c>
      <c r="S61" s="44">
        <v>459.86</v>
      </c>
      <c r="T61" s="48">
        <v>933</v>
      </c>
      <c r="U61" s="17">
        <f>T61*S61</f>
        <v>429049.38</v>
      </c>
      <c r="V61" s="18">
        <f t="shared" si="5"/>
        <v>4.8104020101369216E-2</v>
      </c>
      <c r="W61" s="18">
        <f t="shared" si="6"/>
        <v>4.2061980526965609E-2</v>
      </c>
      <c r="X61" s="19">
        <v>3.56</v>
      </c>
      <c r="Y61" s="6">
        <v>23365</v>
      </c>
      <c r="Z61" s="5"/>
      <c r="AA61" s="6">
        <f>245705+6930-93352</f>
        <v>159283</v>
      </c>
      <c r="AB61" s="6">
        <v>-159358</v>
      </c>
      <c r="AC61" s="15">
        <f t="shared" si="2"/>
        <v>-75</v>
      </c>
      <c r="AD61" s="1">
        <v>1.32E-2</v>
      </c>
      <c r="AE61">
        <v>7</v>
      </c>
      <c r="AF61" s="6"/>
      <c r="AG61" s="6"/>
    </row>
    <row r="62" spans="6:33" x14ac:dyDescent="0.25">
      <c r="G62" s="11"/>
      <c r="H62" s="5"/>
      <c r="I62" s="5"/>
      <c r="J62" s="5"/>
      <c r="K62" s="5"/>
      <c r="L62" s="15"/>
      <c r="M62" s="16"/>
      <c r="N62" s="16"/>
      <c r="P62" s="17"/>
      <c r="Q62" s="17"/>
      <c r="R62" s="21"/>
      <c r="S62" s="44"/>
      <c r="T62" s="48"/>
      <c r="U62" s="17"/>
      <c r="V62" s="18"/>
      <c r="W62" s="18"/>
      <c r="X62" s="19"/>
      <c r="Y62" s="6"/>
      <c r="Z62" s="5"/>
      <c r="AA62" s="5"/>
      <c r="AB62" s="5"/>
      <c r="AC62" s="15">
        <f t="shared" si="2"/>
        <v>0</v>
      </c>
      <c r="AD62" s="4"/>
      <c r="AF62" s="6"/>
      <c r="AG62" s="6"/>
    </row>
    <row r="63" spans="6:33" x14ac:dyDescent="0.25">
      <c r="F63" t="s">
        <v>3</v>
      </c>
      <c r="G63" s="11">
        <v>2020</v>
      </c>
      <c r="H63" s="5">
        <v>42658</v>
      </c>
      <c r="I63" s="5">
        <v>-35484</v>
      </c>
      <c r="J63" s="5"/>
      <c r="K63" s="5">
        <v>-1468</v>
      </c>
      <c r="L63" s="15">
        <f>H63+I63+J63+K63</f>
        <v>5706</v>
      </c>
      <c r="M63" s="16">
        <f>L63/H63</f>
        <v>0.13376154531389189</v>
      </c>
      <c r="N63" s="16"/>
      <c r="P63" s="17">
        <f>L63+AG63+O63</f>
        <v>5706</v>
      </c>
      <c r="Q63" s="17"/>
      <c r="R63" s="21"/>
      <c r="S63" s="44"/>
      <c r="T63" s="48"/>
      <c r="U63" s="17"/>
      <c r="V63" s="18"/>
      <c r="W63" s="18"/>
      <c r="X63" s="19">
        <v>3.56</v>
      </c>
      <c r="Y63" s="6"/>
      <c r="Z63" s="5"/>
      <c r="AA63" s="6"/>
      <c r="AB63" s="6"/>
      <c r="AC63" s="15">
        <f t="shared" si="2"/>
        <v>0</v>
      </c>
      <c r="AD63" s="1"/>
      <c r="AF63" s="6"/>
      <c r="AG63" s="6"/>
    </row>
    <row r="64" spans="6:33" x14ac:dyDescent="0.25">
      <c r="F64" t="s">
        <v>3</v>
      </c>
      <c r="G64" s="11">
        <v>2021</v>
      </c>
      <c r="H64" s="5">
        <v>47702</v>
      </c>
      <c r="I64" s="5">
        <v>-43492</v>
      </c>
      <c r="J64" s="5"/>
      <c r="K64" s="5">
        <v>-859</v>
      </c>
      <c r="L64" s="15">
        <f>H64+I64+J64+K64</f>
        <v>3351</v>
      </c>
      <c r="M64" s="16">
        <f>L64/H64</f>
        <v>7.0248626891954213E-2</v>
      </c>
      <c r="N64" s="16"/>
      <c r="P64" s="17">
        <f>L64+AG64+O64</f>
        <v>3351</v>
      </c>
      <c r="Q64" s="17"/>
      <c r="R64" s="21"/>
      <c r="S64" s="44"/>
      <c r="T64" s="48"/>
      <c r="U64" s="17"/>
      <c r="V64" s="18"/>
      <c r="W64" s="18"/>
      <c r="X64" s="19">
        <v>3.56</v>
      </c>
      <c r="Y64" s="6">
        <v>187</v>
      </c>
      <c r="Z64" s="5"/>
      <c r="AA64" s="5">
        <f>71132-452</f>
        <v>70680</v>
      </c>
      <c r="AB64" s="5">
        <v>-52900</v>
      </c>
      <c r="AC64" s="15">
        <f t="shared" si="2"/>
        <v>17780</v>
      </c>
      <c r="AD64" s="4"/>
      <c r="AF64" s="6">
        <v>51514</v>
      </c>
      <c r="AG64" s="6"/>
    </row>
    <row r="65" spans="6:33" x14ac:dyDescent="0.25">
      <c r="F65" t="s">
        <v>3</v>
      </c>
      <c r="G65" s="11">
        <v>2022</v>
      </c>
      <c r="H65" s="5">
        <v>49610</v>
      </c>
      <c r="I65" s="5">
        <v>-46688</v>
      </c>
      <c r="J65" s="5"/>
      <c r="K65" s="5">
        <v>-200.6</v>
      </c>
      <c r="L65" s="15">
        <f>H65+I65+J65+K65</f>
        <v>2721.4</v>
      </c>
      <c r="M65" s="16">
        <f>L65/H65</f>
        <v>5.4855875831485587E-2</v>
      </c>
      <c r="N65" s="16">
        <f t="shared" si="4"/>
        <v>8.6288682679110565E-2</v>
      </c>
      <c r="P65" s="17">
        <f>L65+AG65+O65</f>
        <v>2721.4</v>
      </c>
      <c r="Q65" s="17">
        <f t="shared" si="1"/>
        <v>3926.1333333333332</v>
      </c>
      <c r="R65" s="21">
        <f>Q65/H65</f>
        <v>7.9139958341732181E-2</v>
      </c>
      <c r="S65" s="44">
        <v>126.93</v>
      </c>
      <c r="T65" s="48">
        <v>585</v>
      </c>
      <c r="U65" s="17">
        <f>T65*S65</f>
        <v>74254.05</v>
      </c>
      <c r="V65" s="18">
        <f t="shared" si="5"/>
        <v>3.6649852768973541E-2</v>
      </c>
      <c r="W65" s="18">
        <f t="shared" si="6"/>
        <v>5.2874332556046885E-2</v>
      </c>
      <c r="X65" s="19">
        <v>3.56</v>
      </c>
      <c r="Y65" s="6">
        <v>203</v>
      </c>
      <c r="Z65" s="5"/>
      <c r="AA65" s="6">
        <f>75465-227.9</f>
        <v>75237.100000000006</v>
      </c>
      <c r="AB65" s="6">
        <v>-59574</v>
      </c>
      <c r="AC65" s="15">
        <f t="shared" si="2"/>
        <v>15663.100000000006</v>
      </c>
      <c r="AD65" s="1">
        <v>3.0999999999999999E-3</v>
      </c>
      <c r="AE65">
        <v>7</v>
      </c>
      <c r="AF65" s="6">
        <v>53548</v>
      </c>
      <c r="AG65" s="6"/>
    </row>
    <row r="66" spans="6:33" x14ac:dyDescent="0.25">
      <c r="G66" s="11"/>
      <c r="H66" s="5"/>
      <c r="I66" s="5"/>
      <c r="J66" s="5"/>
      <c r="K66" s="5"/>
      <c r="L66" s="15"/>
      <c r="M66" s="16"/>
      <c r="N66" s="16"/>
      <c r="P66" s="17"/>
      <c r="Q66" s="17"/>
      <c r="R66" s="21"/>
      <c r="S66" s="44"/>
      <c r="T66" s="48"/>
      <c r="U66" s="17"/>
      <c r="V66" s="18"/>
      <c r="W66" s="18"/>
      <c r="X66" s="19"/>
      <c r="Y66" s="6"/>
      <c r="Z66" s="5"/>
      <c r="AA66" s="5"/>
      <c r="AB66" s="5"/>
      <c r="AC66" s="15">
        <f t="shared" si="2"/>
        <v>0</v>
      </c>
      <c r="AD66" s="4"/>
      <c r="AF66" s="6"/>
      <c r="AG66" s="6"/>
    </row>
    <row r="67" spans="6:33" x14ac:dyDescent="0.25">
      <c r="F67" t="s">
        <v>8</v>
      </c>
      <c r="G67" s="11">
        <v>2020</v>
      </c>
      <c r="H67" s="5">
        <v>26185</v>
      </c>
      <c r="I67" s="5">
        <f>-26185+1030</f>
        <v>-25155</v>
      </c>
      <c r="J67" s="5"/>
      <c r="K67" s="5">
        <v>-669</v>
      </c>
      <c r="L67" s="15">
        <f>H67+I67+J67+K67</f>
        <v>361</v>
      </c>
      <c r="M67" s="16">
        <f>L67/H67</f>
        <v>1.3786518999427153E-2</v>
      </c>
      <c r="N67" s="16"/>
      <c r="P67" s="17">
        <f>L67+AG67+O67</f>
        <v>361</v>
      </c>
      <c r="Q67" s="17"/>
      <c r="R67" s="21"/>
      <c r="S67" s="44"/>
      <c r="T67" s="48"/>
      <c r="U67" s="17"/>
      <c r="V67" s="18"/>
      <c r="W67" s="18"/>
      <c r="X67" s="19">
        <v>3.56</v>
      </c>
      <c r="Y67" s="6"/>
      <c r="Z67" s="5"/>
      <c r="AA67" s="6"/>
      <c r="AB67" s="6"/>
      <c r="AC67" s="15">
        <f t="shared" ref="AC67:AC87" si="7">SUM(Z67:AB67)</f>
        <v>0</v>
      </c>
      <c r="AD67" s="1"/>
      <c r="AF67" s="6"/>
      <c r="AG67" s="6"/>
    </row>
    <row r="68" spans="6:33" x14ac:dyDescent="0.25">
      <c r="F68" t="s">
        <v>8</v>
      </c>
      <c r="G68" s="11">
        <v>2021</v>
      </c>
      <c r="H68" s="5">
        <v>26042</v>
      </c>
      <c r="I68" s="5">
        <f>-26042+1708</f>
        <v>-24334</v>
      </c>
      <c r="J68" s="5"/>
      <c r="K68" s="5">
        <v>-684</v>
      </c>
      <c r="L68" s="15">
        <f>H68+I68+J68+K68</f>
        <v>1024</v>
      </c>
      <c r="M68" s="16">
        <f>L68/H68</f>
        <v>3.9321096689962372E-2</v>
      </c>
      <c r="N68" s="16"/>
      <c r="P68" s="17">
        <f>L68+AG68+O68</f>
        <v>1024</v>
      </c>
      <c r="Q68" s="17"/>
      <c r="R68" s="21"/>
      <c r="S68" s="44"/>
      <c r="T68" s="48"/>
      <c r="U68" s="17"/>
      <c r="V68" s="18"/>
      <c r="W68" s="18"/>
      <c r="X68" s="19">
        <v>3.56</v>
      </c>
      <c r="Y68" s="6">
        <v>3445</v>
      </c>
      <c r="Z68" s="5"/>
      <c r="AA68" s="5">
        <f>93394-31296</f>
        <v>62098</v>
      </c>
      <c r="AB68" s="5">
        <v>-43942</v>
      </c>
      <c r="AC68" s="15">
        <f t="shared" si="7"/>
        <v>18156</v>
      </c>
      <c r="AD68" s="4"/>
      <c r="AF68" s="6"/>
      <c r="AG68" s="6"/>
    </row>
    <row r="69" spans="6:33" x14ac:dyDescent="0.25">
      <c r="F69" t="s">
        <v>8</v>
      </c>
      <c r="G69" s="11">
        <v>2022</v>
      </c>
      <c r="H69" s="5">
        <v>26485</v>
      </c>
      <c r="I69" s="5">
        <f>-26485+2966</f>
        <v>-23519</v>
      </c>
      <c r="J69" s="5"/>
      <c r="K69" s="5">
        <v>-598</v>
      </c>
      <c r="L69" s="15">
        <f>H69+I69+J69+K69</f>
        <v>2368</v>
      </c>
      <c r="M69" s="16">
        <f>L69/H69</f>
        <v>8.9409099490277519E-2</v>
      </c>
      <c r="N69" s="16">
        <f t="shared" si="4"/>
        <v>4.750557172655568E-2</v>
      </c>
      <c r="P69" s="17">
        <f>L69+AG69+O69</f>
        <v>2368</v>
      </c>
      <c r="Q69" s="17">
        <f t="shared" si="1"/>
        <v>1251</v>
      </c>
      <c r="R69" s="21">
        <f>Q69/H69</f>
        <v>4.7234283556730226E-2</v>
      </c>
      <c r="S69" s="44">
        <v>36.67</v>
      </c>
      <c r="T69" s="48">
        <v>1226</v>
      </c>
      <c r="U69" s="17">
        <f>T69*S69</f>
        <v>44957.420000000006</v>
      </c>
      <c r="V69" s="18">
        <f t="shared" si="5"/>
        <v>5.2672061697490641E-2</v>
      </c>
      <c r="W69" s="18">
        <f t="shared" si="6"/>
        <v>2.7826329891706417E-2</v>
      </c>
      <c r="X69" s="19">
        <v>3.56</v>
      </c>
      <c r="Y69" s="6">
        <v>1040</v>
      </c>
      <c r="Z69" s="5"/>
      <c r="AA69" s="6">
        <f>90513-30833</f>
        <v>59680</v>
      </c>
      <c r="AB69" s="6">
        <v>-41643</v>
      </c>
      <c r="AC69" s="15">
        <f t="shared" si="7"/>
        <v>18037</v>
      </c>
      <c r="AD69" s="1">
        <v>4.2000000000000003E-2</v>
      </c>
      <c r="AE69">
        <v>9</v>
      </c>
      <c r="AF69" s="6"/>
      <c r="AG69" s="6"/>
    </row>
    <row r="70" spans="6:33" x14ac:dyDescent="0.25">
      <c r="G70" s="11"/>
      <c r="H70" s="5"/>
      <c r="I70" s="5"/>
      <c r="J70" s="5"/>
      <c r="K70" s="5"/>
      <c r="L70" s="15"/>
      <c r="M70" s="16"/>
      <c r="N70" s="16"/>
      <c r="P70" s="17"/>
      <c r="Q70" s="17"/>
      <c r="R70" s="21"/>
      <c r="S70" s="44"/>
      <c r="T70" s="48"/>
      <c r="U70" s="17"/>
      <c r="V70" s="18"/>
      <c r="W70" s="18"/>
      <c r="X70" s="19"/>
      <c r="Y70" s="6"/>
      <c r="Z70" s="5"/>
      <c r="AA70" s="5"/>
      <c r="AB70" s="5"/>
      <c r="AC70" s="15">
        <f t="shared" si="7"/>
        <v>0</v>
      </c>
      <c r="AD70" s="4"/>
      <c r="AF70" s="6"/>
      <c r="AG70" s="6"/>
    </row>
    <row r="71" spans="6:33" x14ac:dyDescent="0.25">
      <c r="F71" t="s">
        <v>37</v>
      </c>
      <c r="G71" s="11">
        <v>2020</v>
      </c>
      <c r="H71" s="5">
        <f>1339238/30.73</f>
        <v>43580.800520663848</v>
      </c>
      <c r="I71" s="5">
        <f>-(655684+117517+109486+8031+367+8577+9018+2081)/G74</f>
        <v>-29637.520338431499</v>
      </c>
      <c r="J71" s="5"/>
      <c r="K71" s="5">
        <f>-66619/30.73</f>
        <v>-2167.8815489749431</v>
      </c>
      <c r="L71" s="15">
        <f>H71+I71+J71+K71</f>
        <v>11775.398633257406</v>
      </c>
      <c r="M71" s="16">
        <f>L71/H71</f>
        <v>0.27019693288272889</v>
      </c>
      <c r="N71" s="16"/>
      <c r="P71" s="17">
        <f>L71+AG71+O71</f>
        <v>11775.398633257406</v>
      </c>
      <c r="Q71" s="17"/>
      <c r="R71" s="21"/>
      <c r="S71" s="44"/>
      <c r="T71" s="48"/>
      <c r="U71" s="17"/>
      <c r="V71" s="18"/>
      <c r="W71" s="18"/>
      <c r="X71" s="19">
        <v>3.56</v>
      </c>
      <c r="Y71" s="6">
        <f>791612/30.73</f>
        <v>25760.23429873088</v>
      </c>
      <c r="Z71" s="5"/>
      <c r="AA71" s="6">
        <f>(2760711-5437-20332)/30.73</f>
        <v>88999.088838268784</v>
      </c>
      <c r="AB71" s="6">
        <f>-910089/30.73</f>
        <v>-29615.652456882526</v>
      </c>
      <c r="AC71" s="15">
        <f t="shared" si="7"/>
        <v>59383.436381386258</v>
      </c>
      <c r="AD71" s="1"/>
      <c r="AF71" s="6"/>
      <c r="AG71" s="6"/>
    </row>
    <row r="72" spans="6:33" x14ac:dyDescent="0.25">
      <c r="F72" t="s">
        <v>37</v>
      </c>
      <c r="G72" s="11">
        <v>2021</v>
      </c>
      <c r="H72" s="5">
        <f>1587415/30.73</f>
        <v>51656.849983729255</v>
      </c>
      <c r="I72" s="5">
        <f>-(798594+138654+124735+13919+8245+15307+5709+5414)/G74</f>
        <v>-36139.83078424992</v>
      </c>
      <c r="J72" s="5"/>
      <c r="K72" s="5">
        <f>-66053/30.73</f>
        <v>-2149.4630654083958</v>
      </c>
      <c r="L72" s="15">
        <f>H72+I72+J72+K72</f>
        <v>13367.556134070939</v>
      </c>
      <c r="M72" s="16">
        <f>L72/H72</f>
        <v>0.25877606045048079</v>
      </c>
      <c r="N72" s="16"/>
      <c r="P72" s="17">
        <f>L72+AG72+O72</f>
        <v>13367.556134070939</v>
      </c>
      <c r="Q72" s="17"/>
      <c r="R72" s="21"/>
      <c r="S72" s="44"/>
      <c r="T72" s="48"/>
      <c r="U72" s="17"/>
      <c r="V72" s="18"/>
      <c r="W72" s="18"/>
      <c r="X72" s="19">
        <v>3.56</v>
      </c>
      <c r="Y72" s="6">
        <f>1188652/30.73</f>
        <v>38680.507647250241</v>
      </c>
      <c r="Z72" s="5"/>
      <c r="AA72" s="5">
        <f>(3725503-5379-21443)/30.73</f>
        <v>120360.59225512529</v>
      </c>
      <c r="AB72" s="5">
        <f>-1554770/30.73</f>
        <v>-50594.533029612758</v>
      </c>
      <c r="AC72" s="15">
        <f t="shared" si="7"/>
        <v>69766.059225512523</v>
      </c>
      <c r="AD72" s="4"/>
      <c r="AF72" s="6"/>
      <c r="AG72" s="6"/>
    </row>
    <row r="73" spans="6:33" x14ac:dyDescent="0.25">
      <c r="F73" t="s">
        <v>37</v>
      </c>
      <c r="G73" s="11">
        <v>2022</v>
      </c>
      <c r="H73" s="5">
        <f>2263891/30.73</f>
        <v>73670.387243735764</v>
      </c>
      <c r="I73" s="5">
        <f>-(947066+195187+163262+31925+1466+5547+22422+11750+14417)/G74</f>
        <v>-45331.662870159453</v>
      </c>
      <c r="J73" s="5"/>
      <c r="K73" s="5">
        <f>-127290/30.73</f>
        <v>-4142.2063130491379</v>
      </c>
      <c r="L73" s="15">
        <f>H73+I73+J73+K73</f>
        <v>24196.518060527174</v>
      </c>
      <c r="M73" s="16">
        <f>L73/H73</f>
        <v>0.32844293298573124</v>
      </c>
      <c r="N73" s="16">
        <f t="shared" si="4"/>
        <v>0.28580530877298033</v>
      </c>
      <c r="P73" s="17">
        <f>L73+AG73+O73</f>
        <v>24196.518060527174</v>
      </c>
      <c r="Q73" s="17">
        <f t="shared" si="1"/>
        <v>16446.490942618508</v>
      </c>
      <c r="R73" s="21">
        <f>Q73/H73</f>
        <v>0.22324425807897408</v>
      </c>
      <c r="S73" s="44">
        <v>107.41</v>
      </c>
      <c r="T73" s="48">
        <v>5186</v>
      </c>
      <c r="U73" s="17">
        <f>T73*S73</f>
        <v>557028.26</v>
      </c>
      <c r="V73" s="18">
        <f t="shared" si="5"/>
        <v>4.3438582560473997E-2</v>
      </c>
      <c r="W73" s="18">
        <f t="shared" si="6"/>
        <v>2.9525415717002415E-2</v>
      </c>
      <c r="X73" s="19">
        <v>3.56</v>
      </c>
      <c r="Y73" s="6">
        <f>1561612/30.73</f>
        <v>50817.181906931335</v>
      </c>
      <c r="Z73" s="5"/>
      <c r="AA73" s="6">
        <f>(4964779-5792-20207)/30.73</f>
        <v>160715.26195899773</v>
      </c>
      <c r="AB73" s="6">
        <f>-2004290/30.73</f>
        <v>-65222.583794337777</v>
      </c>
      <c r="AC73" s="15">
        <f t="shared" si="7"/>
        <v>95492.678164659941</v>
      </c>
      <c r="AD73" s="1">
        <v>1.4500000000000001E-2</v>
      </c>
      <c r="AE73">
        <v>10</v>
      </c>
      <c r="AF73" s="6"/>
      <c r="AG73" s="6"/>
    </row>
    <row r="74" spans="6:33" x14ac:dyDescent="0.25">
      <c r="F74" t="s">
        <v>37</v>
      </c>
      <c r="G74" s="22">
        <v>30.73</v>
      </c>
      <c r="H74" s="5"/>
      <c r="I74" s="5"/>
      <c r="J74" s="5"/>
      <c r="K74" s="5"/>
      <c r="L74" s="15"/>
      <c r="M74" s="16"/>
      <c r="N74" s="16"/>
      <c r="P74" s="17"/>
      <c r="Q74" s="17"/>
      <c r="R74" s="21"/>
      <c r="S74" s="44"/>
      <c r="T74" s="48"/>
      <c r="U74" s="17"/>
      <c r="V74" s="18"/>
      <c r="W74" s="18"/>
      <c r="X74" s="19"/>
      <c r="Y74" s="6"/>
      <c r="Z74" s="5"/>
      <c r="AA74" s="5"/>
      <c r="AB74" s="5"/>
      <c r="AC74" s="15">
        <f t="shared" si="7"/>
        <v>0</v>
      </c>
      <c r="AD74" s="4"/>
      <c r="AF74" s="6"/>
      <c r="AG74" s="6"/>
    </row>
    <row r="75" spans="6:33" x14ac:dyDescent="0.25">
      <c r="L75" s="14"/>
      <c r="M75" s="14"/>
      <c r="N75" s="14"/>
      <c r="P75" s="14"/>
      <c r="Q75" s="14"/>
      <c r="R75" s="21"/>
      <c r="S75" s="44"/>
      <c r="T75" s="48"/>
      <c r="U75" s="14"/>
      <c r="V75" s="14"/>
      <c r="W75" s="14"/>
      <c r="X75" s="14"/>
      <c r="AC75" s="15">
        <f t="shared" si="7"/>
        <v>0</v>
      </c>
    </row>
    <row r="76" spans="6:33" x14ac:dyDescent="0.25">
      <c r="F76" t="s">
        <v>67</v>
      </c>
      <c r="L76" s="14"/>
      <c r="M76" s="14">
        <v>-1E-3</v>
      </c>
      <c r="N76" s="14">
        <v>0</v>
      </c>
      <c r="P76" s="14">
        <v>-1</v>
      </c>
      <c r="Q76" s="14">
        <v>-1</v>
      </c>
      <c r="R76" s="21">
        <v>-0.01</v>
      </c>
      <c r="S76" s="44"/>
      <c r="T76" s="48"/>
      <c r="U76" s="14"/>
      <c r="V76" s="14">
        <v>-1</v>
      </c>
      <c r="W76" s="14"/>
      <c r="X76" s="14"/>
      <c r="AC76" s="15">
        <f t="shared" si="7"/>
        <v>0</v>
      </c>
      <c r="AD76">
        <v>0</v>
      </c>
      <c r="AE76">
        <v>1</v>
      </c>
    </row>
    <row r="77" spans="6:33" x14ac:dyDescent="0.25">
      <c r="F77" t="s">
        <v>68</v>
      </c>
      <c r="G77" s="11">
        <v>2021</v>
      </c>
      <c r="H77" s="5">
        <v>559151</v>
      </c>
      <c r="I77" s="5">
        <f>-420315-116288</f>
        <v>-536603</v>
      </c>
      <c r="J77" s="5">
        <f>-2194+210</f>
        <v>-1984</v>
      </c>
      <c r="K77" s="5">
        <v>-5271</v>
      </c>
      <c r="L77" s="15">
        <f>H77+I77+J77+K77</f>
        <v>15293</v>
      </c>
      <c r="M77" s="16">
        <f>L77/H77</f>
        <v>2.7350393721910539E-2</v>
      </c>
      <c r="N77" s="16"/>
      <c r="P77" s="17">
        <f>L77+AG77+O77</f>
        <v>15293</v>
      </c>
      <c r="Q77" s="17"/>
      <c r="R77" s="21"/>
      <c r="S77" s="44"/>
      <c r="T77" s="48"/>
      <c r="U77" s="17"/>
      <c r="V77" s="18"/>
      <c r="W77" s="18"/>
      <c r="X77" s="19">
        <v>3.56</v>
      </c>
      <c r="Y77" s="6"/>
      <c r="Z77" s="5">
        <v>19</v>
      </c>
      <c r="AA77" s="6"/>
      <c r="AB77" s="6"/>
      <c r="AC77" s="15">
        <f t="shared" si="7"/>
        <v>19</v>
      </c>
      <c r="AD77" s="1"/>
      <c r="AF77" s="6"/>
      <c r="AG77" s="6"/>
    </row>
    <row r="78" spans="6:33" x14ac:dyDescent="0.25">
      <c r="F78" t="s">
        <v>68</v>
      </c>
      <c r="G78" s="11">
        <v>2022</v>
      </c>
      <c r="H78" s="5">
        <v>572754</v>
      </c>
      <c r="I78" s="5">
        <f>-429000-117812</f>
        <v>-546812</v>
      </c>
      <c r="J78" s="5">
        <f>-1836-2410-3000</f>
        <v>-7246</v>
      </c>
      <c r="K78" s="5">
        <v>-5918</v>
      </c>
      <c r="L78" s="15">
        <f>H78+I78+J78+K78</f>
        <v>12778</v>
      </c>
      <c r="M78" s="16">
        <f>L78/H78</f>
        <v>2.2309752529008964E-2</v>
      </c>
      <c r="N78" s="16"/>
      <c r="P78" s="17">
        <f>L78+AG78+O78</f>
        <v>12778</v>
      </c>
      <c r="Q78" s="17"/>
      <c r="R78" s="21"/>
      <c r="S78" s="44"/>
      <c r="T78" s="48"/>
      <c r="U78" s="17"/>
      <c r="V78" s="18"/>
      <c r="W78" s="18"/>
      <c r="X78" s="19">
        <v>3.56</v>
      </c>
      <c r="Y78" s="6">
        <v>14760</v>
      </c>
      <c r="Z78" s="5">
        <v>70</v>
      </c>
      <c r="AA78" s="5">
        <f>244860-29014</f>
        <v>215846</v>
      </c>
      <c r="AB78" s="5">
        <f>-87379-34864-13009-4243-13474</f>
        <v>-152969</v>
      </c>
      <c r="AC78" s="15">
        <f t="shared" si="7"/>
        <v>62947</v>
      </c>
      <c r="AD78" s="4"/>
      <c r="AF78" s="6"/>
      <c r="AG78" s="6"/>
    </row>
    <row r="79" spans="6:33" x14ac:dyDescent="0.25">
      <c r="F79" t="s">
        <v>68</v>
      </c>
      <c r="G79" s="11">
        <v>2023</v>
      </c>
      <c r="H79" s="5">
        <v>611289</v>
      </c>
      <c r="I79" s="5">
        <f>-463721-127140</f>
        <v>-590861</v>
      </c>
      <c r="J79" s="5">
        <f>-1874-1538</f>
        <v>-3412</v>
      </c>
      <c r="K79" s="5">
        <v>-3310</v>
      </c>
      <c r="L79" s="15">
        <f>H79+I79+J79+K79</f>
        <v>13706</v>
      </c>
      <c r="M79" s="16">
        <f>L79/H79</f>
        <v>2.2421473312950177E-2</v>
      </c>
      <c r="N79" s="16">
        <f>(M79+M78+M77)/3</f>
        <v>2.4027206521289896E-2</v>
      </c>
      <c r="P79" s="17">
        <f>L79+AG79+O79</f>
        <v>13706</v>
      </c>
      <c r="Q79" s="17">
        <f>(P79+P78+P77)/3</f>
        <v>13925.666666666666</v>
      </c>
      <c r="R79" s="21">
        <f>Q79/H79</f>
        <v>2.2780823254903434E-2</v>
      </c>
      <c r="S79" s="44">
        <v>156.87</v>
      </c>
      <c r="T79" s="48">
        <v>2696</v>
      </c>
      <c r="U79" s="17">
        <f>T79*S79</f>
        <v>422921.52</v>
      </c>
      <c r="V79" s="18">
        <f>P79/U79</f>
        <v>3.2407903953433251E-2</v>
      </c>
      <c r="W79" s="18">
        <f>Q79/U79</f>
        <v>3.2927306859832209E-2</v>
      </c>
      <c r="X79" s="19">
        <v>3.56</v>
      </c>
      <c r="Y79" s="6">
        <v>8625</v>
      </c>
      <c r="Z79" s="5">
        <v>74</v>
      </c>
      <c r="AA79" s="6">
        <f>243197-28174</f>
        <v>215023</v>
      </c>
      <c r="AB79" s="6">
        <f>-92198-34649-12828-4843-14688</f>
        <v>-159206</v>
      </c>
      <c r="AC79" s="15">
        <f t="shared" si="7"/>
        <v>55891</v>
      </c>
      <c r="AD79" s="1">
        <v>1.47E-2</v>
      </c>
      <c r="AE79">
        <v>8</v>
      </c>
      <c r="AF79" s="6"/>
      <c r="AG79" s="6"/>
    </row>
    <row r="80" spans="6:33" x14ac:dyDescent="0.25">
      <c r="G80" s="11"/>
      <c r="H80" s="5"/>
      <c r="I80" s="5"/>
      <c r="J80" s="5"/>
      <c r="K80" s="5"/>
      <c r="L80" s="15"/>
      <c r="M80" s="16"/>
      <c r="N80" s="16"/>
      <c r="P80" s="17"/>
      <c r="Q80" s="17"/>
      <c r="R80" s="21"/>
      <c r="S80" s="44"/>
      <c r="T80" s="48"/>
      <c r="U80" s="17"/>
      <c r="V80" s="18"/>
      <c r="W80" s="18"/>
      <c r="X80" s="19"/>
      <c r="Y80" s="6"/>
      <c r="Z80" s="5"/>
      <c r="AA80" s="5"/>
      <c r="AB80" s="5"/>
      <c r="AC80" s="15">
        <f t="shared" si="7"/>
        <v>0</v>
      </c>
      <c r="AD80" s="4"/>
      <c r="AF80" s="6"/>
      <c r="AG80" s="6"/>
    </row>
    <row r="81" spans="6:34" x14ac:dyDescent="0.25">
      <c r="F81" t="s">
        <v>14</v>
      </c>
      <c r="G81" s="11">
        <v>2020</v>
      </c>
      <c r="H81" s="6">
        <v>5655</v>
      </c>
      <c r="I81" s="6">
        <f>-H81+664</f>
        <v>-4991</v>
      </c>
      <c r="J81" s="6">
        <f>134+17-109+6+126+1408+5</f>
        <v>1587</v>
      </c>
      <c r="K81" s="6">
        <v>-247</v>
      </c>
      <c r="L81" s="15">
        <f>H81+I81+J81+K81</f>
        <v>2004</v>
      </c>
      <c r="M81" s="16">
        <f>L81/H81</f>
        <v>0.35437665782493366</v>
      </c>
      <c r="N81" s="16"/>
      <c r="P81" s="17">
        <f>L81+AG81+O81</f>
        <v>2004</v>
      </c>
      <c r="Q81" s="17"/>
      <c r="R81" s="21"/>
      <c r="S81" s="44"/>
      <c r="T81" s="48"/>
      <c r="U81" s="17"/>
      <c r="V81" s="18"/>
      <c r="W81" s="18"/>
      <c r="X81" s="19">
        <v>3.56</v>
      </c>
      <c r="Y81" s="6"/>
      <c r="Z81" s="6"/>
      <c r="AA81" s="6"/>
      <c r="AB81" s="6"/>
      <c r="AC81" s="15">
        <f t="shared" si="7"/>
        <v>0</v>
      </c>
      <c r="AD81" s="1"/>
      <c r="AE81" s="1"/>
      <c r="AF81" s="6"/>
      <c r="AG81" s="6"/>
      <c r="AH81" s="6"/>
    </row>
    <row r="82" spans="6:34" x14ac:dyDescent="0.25">
      <c r="F82" t="s">
        <v>14</v>
      </c>
      <c r="G82" s="11">
        <v>2021</v>
      </c>
      <c r="H82" s="6">
        <v>8537</v>
      </c>
      <c r="I82" s="6">
        <f>-H82+1946</f>
        <v>-6591</v>
      </c>
      <c r="J82" s="6">
        <f>146+106-91-9+8+147-5</f>
        <v>302</v>
      </c>
      <c r="K82" s="6">
        <v>-330</v>
      </c>
      <c r="L82" s="15">
        <f>H82+I82+J82+K82</f>
        <v>1918</v>
      </c>
      <c r="M82" s="16">
        <f>L82/H82</f>
        <v>0.22466908750146422</v>
      </c>
      <c r="N82" s="16"/>
      <c r="P82" s="17">
        <f>L82+AG82+O82</f>
        <v>1918</v>
      </c>
      <c r="Q82" s="17"/>
      <c r="R82" s="21"/>
      <c r="S82" s="44"/>
      <c r="T82" s="48"/>
      <c r="U82" s="17"/>
      <c r="V82" s="18"/>
      <c r="W82" s="18"/>
      <c r="X82" s="19">
        <v>3.56</v>
      </c>
      <c r="Y82" s="6">
        <v>536</v>
      </c>
      <c r="Z82" s="6">
        <v>1000</v>
      </c>
      <c r="AA82" s="6">
        <f>11975-1412</f>
        <v>10563</v>
      </c>
      <c r="AB82" s="6">
        <f>-2505-3176-555-280-558-200-164</f>
        <v>-7438</v>
      </c>
      <c r="AC82" s="15">
        <f t="shared" si="7"/>
        <v>4125</v>
      </c>
      <c r="AD82" s="1"/>
      <c r="AF82" s="6"/>
      <c r="AG82" s="6"/>
    </row>
    <row r="83" spans="6:34" x14ac:dyDescent="0.25">
      <c r="F83" t="s">
        <v>14</v>
      </c>
      <c r="G83" s="11">
        <v>2022</v>
      </c>
      <c r="H83" s="6">
        <v>9673</v>
      </c>
      <c r="I83" s="6">
        <f>-H83+1378</f>
        <v>-8295</v>
      </c>
      <c r="J83" s="6">
        <f>220+17-405+69+133+9</f>
        <v>43</v>
      </c>
      <c r="K83" s="6">
        <v>-489</v>
      </c>
      <c r="L83" s="15">
        <f>H83+I83+J83+K83</f>
        <v>932</v>
      </c>
      <c r="M83" s="16">
        <f>L83/H83</f>
        <v>9.6350666804507393E-2</v>
      </c>
      <c r="N83" s="16">
        <f>(M83+M82+M81)/3</f>
        <v>0.22513213737696844</v>
      </c>
      <c r="P83" s="17">
        <f>L83+AG83+O83</f>
        <v>932</v>
      </c>
      <c r="Q83" s="17">
        <f>(P83+P82+P81)/3</f>
        <v>1618</v>
      </c>
      <c r="R83" s="21">
        <f>Q83/H83</f>
        <v>0.16726971983872635</v>
      </c>
      <c r="S83" s="44">
        <v>116.35</v>
      </c>
      <c r="T83" s="48">
        <v>108</v>
      </c>
      <c r="U83" s="17">
        <f>T83*S83</f>
        <v>12565.8</v>
      </c>
      <c r="V83" s="18">
        <f>P83/U83</f>
        <v>7.4169571376275292E-2</v>
      </c>
      <c r="W83" s="18">
        <f>Q83/U83</f>
        <v>0.12876219580130197</v>
      </c>
      <c r="X83" s="19">
        <v>3.56</v>
      </c>
      <c r="Y83" s="6">
        <v>1508</v>
      </c>
      <c r="Z83" s="6">
        <v>5492</v>
      </c>
      <c r="AA83" s="6">
        <f>26272-7142</f>
        <v>19130</v>
      </c>
      <c r="AB83" s="6">
        <f>-4068-13373-1242-322-411-364-387</f>
        <v>-20167</v>
      </c>
      <c r="AC83" s="15">
        <f t="shared" si="7"/>
        <v>4455</v>
      </c>
      <c r="AD83" s="1">
        <v>2.41E-2</v>
      </c>
      <c r="AE83">
        <v>8</v>
      </c>
      <c r="AF83" s="6"/>
      <c r="AG83" s="6"/>
    </row>
    <row r="84" spans="6:34" x14ac:dyDescent="0.25">
      <c r="G84" s="11"/>
      <c r="H84" s="5"/>
      <c r="I84" s="5"/>
      <c r="J84" s="5"/>
      <c r="K84" s="5"/>
      <c r="L84" s="17"/>
      <c r="M84" s="18"/>
      <c r="N84" s="18"/>
      <c r="P84" s="17"/>
      <c r="Q84" s="17"/>
      <c r="R84" s="21"/>
      <c r="S84" s="44"/>
      <c r="T84" s="48"/>
      <c r="U84" s="17"/>
      <c r="V84" s="18"/>
      <c r="W84" s="18"/>
      <c r="X84" s="14"/>
      <c r="Y84" s="6"/>
      <c r="Z84" s="6"/>
      <c r="AA84" s="6"/>
      <c r="AB84" s="6"/>
      <c r="AC84" s="15">
        <f t="shared" si="7"/>
        <v>0</v>
      </c>
      <c r="AD84" s="1"/>
      <c r="AE84" s="4"/>
      <c r="AF84" s="6"/>
      <c r="AG84" s="6"/>
      <c r="AH84" s="6"/>
    </row>
    <row r="85" spans="6:34" x14ac:dyDescent="0.25">
      <c r="F85" t="s">
        <v>72</v>
      </c>
      <c r="G85" s="32">
        <v>2020</v>
      </c>
      <c r="H85" s="5">
        <v>120867</v>
      </c>
      <c r="I85" s="5">
        <f>-115629</f>
        <v>-115629</v>
      </c>
      <c r="J85" s="5">
        <v>446</v>
      </c>
      <c r="K85" s="5">
        <v>1666</v>
      </c>
      <c r="L85" s="34">
        <f>H85+I85+J85+K85</f>
        <v>7350</v>
      </c>
      <c r="M85" s="35">
        <f>L85/H85</f>
        <v>6.0810643103576659E-2</v>
      </c>
      <c r="N85" s="35"/>
      <c r="O85" s="31"/>
      <c r="P85" s="34">
        <f>L85+AG85+O85</f>
        <v>7350</v>
      </c>
      <c r="Q85" s="34"/>
      <c r="R85" s="37"/>
      <c r="S85" s="46"/>
      <c r="T85" s="50"/>
      <c r="U85" s="34"/>
      <c r="V85" s="35"/>
      <c r="W85" s="35"/>
      <c r="X85" s="36">
        <v>3.56</v>
      </c>
      <c r="Y85" s="6"/>
      <c r="Z85" s="6">
        <v>2700</v>
      </c>
      <c r="AA85" s="6"/>
      <c r="AB85" s="6"/>
      <c r="AC85" s="15"/>
      <c r="AD85" s="1"/>
      <c r="AE85" s="1"/>
      <c r="AF85" s="6"/>
      <c r="AG85" s="6"/>
      <c r="AH85" s="6"/>
    </row>
    <row r="86" spans="6:34" x14ac:dyDescent="0.25">
      <c r="F86" t="s">
        <v>72</v>
      </c>
      <c r="G86" s="33">
        <v>2021</v>
      </c>
      <c r="H86" s="5">
        <v>138639</v>
      </c>
      <c r="I86" s="5">
        <v>-130714</v>
      </c>
      <c r="J86" s="5">
        <v>-330</v>
      </c>
      <c r="K86" s="5">
        <v>1830</v>
      </c>
      <c r="L86" s="34">
        <f>H86+I86+J86+K86</f>
        <v>9425</v>
      </c>
      <c r="M86" s="35">
        <f>L86/H86</f>
        <v>6.7982313778951087E-2</v>
      </c>
      <c r="N86" s="35"/>
      <c r="O86" s="2"/>
      <c r="P86" s="34">
        <f>L86+AG86+O86</f>
        <v>9425</v>
      </c>
      <c r="Q86" s="34"/>
      <c r="R86" s="37"/>
      <c r="S86" s="46"/>
      <c r="T86" s="50"/>
      <c r="U86" s="34"/>
      <c r="V86" s="35"/>
      <c r="W86" s="35"/>
      <c r="X86" s="36">
        <v>3.56</v>
      </c>
      <c r="Y86" s="6">
        <v>4880</v>
      </c>
      <c r="Z86" s="6">
        <v>1900</v>
      </c>
      <c r="AA86" s="6">
        <f>97460-24228</f>
        <v>73232</v>
      </c>
      <c r="AB86" s="6">
        <f>-61332</f>
        <v>-61332</v>
      </c>
      <c r="AC86" s="15">
        <f t="shared" si="7"/>
        <v>13800</v>
      </c>
      <c r="AD86" s="1"/>
      <c r="AE86" s="4"/>
      <c r="AF86" s="6"/>
      <c r="AG86" s="6"/>
      <c r="AH86" s="6"/>
    </row>
    <row r="87" spans="6:34" x14ac:dyDescent="0.25">
      <c r="F87" t="s">
        <v>72</v>
      </c>
      <c r="G87" s="38">
        <v>2022</v>
      </c>
      <c r="H87" s="5">
        <v>156595</v>
      </c>
      <c r="I87" s="5">
        <v>-148826</v>
      </c>
      <c r="J87" s="5">
        <v>-2336</v>
      </c>
      <c r="K87" s="5">
        <v>1750</v>
      </c>
      <c r="L87" s="39">
        <f>H87+I87+J87+K87</f>
        <v>7183</v>
      </c>
      <c r="M87" s="40">
        <f>L87/H87</f>
        <v>4.5869919218365848E-2</v>
      </c>
      <c r="N87" s="40">
        <f>(M87+M86+M85)/3</f>
        <v>5.8220958700297865E-2</v>
      </c>
      <c r="O87" s="41"/>
      <c r="P87" s="39">
        <f>L87+AG87+O87</f>
        <v>7183</v>
      </c>
      <c r="Q87" s="39">
        <f>(P87+P86+P85)/3</f>
        <v>7986</v>
      </c>
      <c r="R87" s="42">
        <f>Q87/H87</f>
        <v>5.0997796864523132E-2</v>
      </c>
      <c r="S87">
        <v>436.33</v>
      </c>
      <c r="T87">
        <v>237</v>
      </c>
      <c r="U87" s="17">
        <f>T87*S87</f>
        <v>103410.20999999999</v>
      </c>
      <c r="V87" s="40">
        <f>P87/U87</f>
        <v>6.9461226314113472E-2</v>
      </c>
      <c r="W87" s="40">
        <f>Q87/U87</f>
        <v>7.7226417004665218E-2</v>
      </c>
      <c r="X87" s="43">
        <v>3.56</v>
      </c>
      <c r="Y87" s="5">
        <v>7387</v>
      </c>
      <c r="Z87" s="5">
        <v>2316</v>
      </c>
      <c r="AA87" s="5">
        <f>102772-24383</f>
        <v>78389</v>
      </c>
      <c r="AB87" s="5">
        <v>-66378</v>
      </c>
      <c r="AC87" s="15">
        <f t="shared" si="7"/>
        <v>14327</v>
      </c>
      <c r="AD87" s="4">
        <v>1.3599999999999999E-2</v>
      </c>
      <c r="AE87" s="51">
        <v>7</v>
      </c>
      <c r="AF87" s="5"/>
      <c r="AG87" s="5"/>
      <c r="AH87" s="6"/>
    </row>
    <row r="89" spans="6:34" x14ac:dyDescent="0.25">
      <c r="G89" s="11"/>
      <c r="H89" s="5"/>
      <c r="I89" s="5"/>
      <c r="J89" s="5"/>
      <c r="K89" s="5"/>
      <c r="AE89" s="1"/>
      <c r="AG89" s="6"/>
      <c r="AH89" s="6"/>
    </row>
    <row r="90" spans="6:34" x14ac:dyDescent="0.25">
      <c r="G90" s="11"/>
      <c r="H90" s="5"/>
      <c r="I90" s="5"/>
      <c r="J90" s="5"/>
      <c r="K90" s="5"/>
      <c r="AE90" s="4"/>
      <c r="AG90" s="6"/>
      <c r="AH90" s="6"/>
    </row>
    <row r="91" spans="6:34" x14ac:dyDescent="0.25">
      <c r="G91" s="11"/>
      <c r="AE91" s="1"/>
      <c r="AG91" s="6"/>
      <c r="AH91" s="6"/>
    </row>
  </sheetData>
  <conditionalFormatting sqref="AF97:AF1048576 AE77:AE80 AE1:AE2 AE4:AE74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97:AE1048576 AD1:AD2 AE88 AD4:AD87">
    <cfRule type="colorScale" priority="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:N2 R87 R1:T2 N4:N87 R4:T86">
    <cfRule type="colorScale" priority="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:T2 R87 R4:T86">
    <cfRule type="colorScale" priority="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85:N87 R85:T86 R8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85:N8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85:T86 R87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85:V87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85:AC8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1:AC2 AC4:AC87">
    <cfRule type="colorScale" priority="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:N2 N4:N87">
    <cfRule type="colorScale" priority="1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1:V2 V4:V87">
    <cfRule type="colorScale" priority="1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4:AE87">
    <cfRule type="colorScale" priority="1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4:AC87">
    <cfRule type="colorScale" priority="1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89:AE96 AE81:AE87">
    <cfRule type="colorScale" priority="1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89:AF96 AF81:AF87">
    <cfRule type="colorScale" priority="1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0D575AE0-7CF7-4FBB-B65C-9E2760D6D1F8}">
          <xm:f>Data!$S$6</xm:f>
        </x15:webExtension>
        <x15:webExtension appRef="{1FC34627-0B42-4260-9DFD-8830906AE062}">
          <xm:f>Data!$S$9</xm:f>
        </x15:webExtension>
        <x15:webExtension appRef="{4CF21D37-8090-4712-8073-A07DFD6244B9}">
          <xm:f>Data!$S$13</xm:f>
        </x15:webExtension>
        <x15:webExtension appRef="{46885DDB-E213-4D1A-8F41-DE32944D5DFA}">
          <xm:f>Data!$S$17</xm:f>
        </x15:webExtension>
        <x15:webExtension appRef="{F4727519-81F1-48AF-95D5-5BE141D6A77A}">
          <xm:f>Data!$S$21</xm:f>
        </x15:webExtension>
        <x15:webExtension appRef="{E0B143C8-08DC-4EF1-8179-620B60953DBF}">
          <xm:f>Data!$S$25</xm:f>
        </x15:webExtension>
        <x15:webExtension appRef="{258DB686-3511-47C9-BAF0-BEAB77088733}">
          <xm:f>Data!$S$29</xm:f>
        </x15:webExtension>
        <x15:webExtension appRef="{5AB334DD-15F0-4AFF-BEF9-4F6839CC805F}">
          <xm:f>Data!$S$33</xm:f>
        </x15:webExtension>
        <x15:webExtension appRef="{5270DF75-97A0-4804-AFC8-FC381D72FF4B}">
          <xm:f>Data!$S$37</xm:f>
        </x15:webExtension>
        <x15:webExtension appRef="{FBBF6FEE-7B9B-4D90-A5D7-216308E88911}">
          <xm:f>Data!$S$41</xm:f>
        </x15:webExtension>
        <x15:webExtension appRef="{9AA81A46-4AF7-4B51-8F2D-C732E52CEED5}">
          <xm:f>Data!$S$45</xm:f>
        </x15:webExtension>
        <x15:webExtension appRef="{3C1D5444-20AD-4629-8F3A-A2DB0E5CAED9}">
          <xm:f>Data!$S$49</xm:f>
        </x15:webExtension>
        <x15:webExtension appRef="{40CB6467-ACA2-4E9E-A45C-A710ECA7789B}">
          <xm:f>Data!$S$53</xm:f>
        </x15:webExtension>
        <x15:webExtension appRef="{F9389A6E-C47B-4BC3-87BA-E956B6502991}">
          <xm:f>Data!$S$57</xm:f>
        </x15:webExtension>
        <x15:webExtension appRef="{5B9F19A9-5B4D-4CB9-8C38-B87C348A972A}">
          <xm:f>Data!$S$61</xm:f>
        </x15:webExtension>
        <x15:webExtension appRef="{4F2CCD64-E6FF-48F6-BDB3-E177CF02F66D}">
          <xm:f>Data!$S$65</xm:f>
        </x15:webExtension>
        <x15:webExtension appRef="{CE566A9A-BC8C-4542-9EC1-0A4FC1F300B1}">
          <xm:f>Data!$S$69</xm:f>
        </x15:webExtension>
        <x15:webExtension appRef="{05308C90-0589-4D1E-82B4-FD0D394ABCE1}">
          <xm:f>Data!$S$73</xm:f>
        </x15:webExtension>
        <x15:webExtension appRef="{FE9E95E7-6540-4E04-AEA7-439E217690EF}">
          <xm:f>Data!$S$79</xm:f>
        </x15:webExtension>
        <x15:webExtension appRef="{15128BCD-5EC5-48B8-9F50-6BCB1F916BBB}">
          <xm:f>Data!$S$83</xm:f>
        </x15:webExtension>
        <x15:webExtension appRef="{D9B9AB32-69AE-438B-89B4-267C1807EB8D}">
          <xm:f>Data!$S$87</xm:f>
        </x15:webExtension>
      </x15:webExtens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e b c e d c 4 - 8 2 f 8 - 4 8 8 a - b d c f - 0 5 e 2 9 8 6 7 b 4 7 6 "   x m l n s = " h t t p : / / s c h e m a s . m i c r o s o f t . c o m / D a t a M a s h u p " > A A A A A C w F A A B Q S w M E F A A C A A g A H F W 0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H F W 0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x V t F b I H g U D J g I A A N U G A A A T A B w A R m 9 y b X V s Y X M v U 2 V j d G l v b j E u b S C i G A A o o B Q A A A A A A A A A A A A A A A A A A A A A A A A A A A C l V M F u 4 j A U v C P x D 5 Z 7 S a Q o k F C Q t h W H i m q 1 7 A k t r P Z A 0 M o k j x I 1 t i P b K V Q o / 7 4 2 g Q A h o M J y w b y H 3 4 z m z V h C q G L O 0 L j 4 9 p 6 b j W Z D L o m A C D 3 g C Z k n g L w e R n 2 U g G o 2 k P 6 M e S Z C 0 J U / M H d H 5 A 0 s c x h w p o A p a e G l U q l 8 a r V W q 5 V L 4 1 B w y R f K D T l t x e w D p O K i J S D l Q s k W E b 6 v q x G s 3 a W i C b Z t p 8 B 4 J Y p 4 P Y 1 R g G 2 8 X j 4 1 t d m u / 4 B H g l O u N M s f Q C I Q 0 l D c 0 n V 3 n V 3 d K k Y 5 a L q r v y T J O C Q J E b K v R A Y z u x w 5 W B L 2 p i d O P l M 4 j J s I w u S C C z r g S U a Z a U q r B t / Z b L A 1 Z I j G S a K V l A 6 C d Q i p Q i k I t F U U E c o z L Z G N H a T 0 G K R g r X I H f f n e X 2 9 / k 2 V 0 D u K m u / 7 d q J 3 / Q H 2 8 G 7 V b Q c 3 t i 7 v 3 L i 6 / s t S v u O A X U P 6 h L x T r P v J V 0 d i V a x y g l 7 P B R d s o t j t 2 c W 4 3 G z G 7 N L 4 m c O 1 u D 1 k m W K j 7 z a 6 P 3 i h a u N v / S u t 7 r L k d 0 j d 4 C n 5 L z S Y A E b N l 8 A r y X f E 0 M C l A L 4 w k n z K W Q a R / S V A y o H K h k N d + R 3 7 b 9 9 0 0 W m B b a z S k a Q J U z y P m T e h j z + 3 g U q G S Y h n O 6 T D q l 8 z x r J r U G 2 K 1 H 2 K y V N S 9 M / 8 U 9 X M 3 H 5 Q f M t V 7 d M 3 E o 8 a 5 E f f 7 O b m Q 3 2 G E U 4 s d M y y x r 5 j 3 i n e r D G 5 9 x L z 7 X r G f G Q P U a T t n i h m T n O u r q 9 4 V E R m h 9 S K a R r 2 I X p V G e d 7 6 F O f V S J 1 i P P 8 D U E s B A i 0 A F A A C A A g A H F W 0 V j i y G d 2 k A A A A 9 g A A A B I A A A A A A A A A A A A A A A A A A A A A A E N v b m Z p Z y 9 Q Y W N r Y W d l L n h t b F B L A Q I t A B Q A A g A I A B x V t F Y P y u m r p A A A A O k A A A A T A A A A A A A A A A A A A A A A A P A A A A B b Q 2 9 u d G V u d F 9 U e X B l c 1 0 u e G 1 s U E s B A i 0 A F A A C A A g A H F W 0 V s g e B Q M m A g A A 1 Q Y A A B M A A A A A A A A A A A A A A A A A 4 Q E A A E Z v c m 1 1 b G F z L 1 N l Y 3 R p b 2 4 x L m 1 Q S w U G A A A A A A M A A w D C A A A A V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h c A A A A A A A D E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N i 9 B d X R v U m V t b 3 Z l Z E N v b H V t b n M x L n t Z Z W F y I E V u Z G V k I E p 1 b m U g M z A s L D B 9 J n F 1 b 3 Q 7 L C Z x d W 9 0 O 1 N l Y 3 R p b 2 4 x L 1 R h Y m x l I D E 2 L 0 F 1 d G 9 S Z W 1 v d m V k Q 2 9 s d W 1 u c z E u e z I w M j I s M X 0 m c X V v d D s s J n F 1 b 3 Q 7 U 2 V j d G l v b j E v V G F i b G U g M T Y v Q X V 0 b 1 J l b W 9 2 Z W R D b 2 x 1 b W 5 z M S 5 7 M j A y M S w y f S Z x d W 9 0 O y w m c X V v d D t T Z W N 0 a W 9 u M S 9 U Y W J s Z S A x N i 9 B d X R v U m V t b 3 Z l Z E N v b H V t b n M x L n s y M D I w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E 2 L 0 F 1 d G 9 S Z W 1 v d m V k Q 2 9 s d W 1 u c z E u e 1 l l Y X I g R W 5 k Z W Q g S n V u Z S A z M C w s M H 0 m c X V v d D s s J n F 1 b 3 Q 7 U 2 V j d G l v b j E v V G F i b G U g M T Y v Q X V 0 b 1 J l b W 9 2 Z W R D b 2 x 1 b W 5 z M S 5 7 M j A y M i w x f S Z x d W 9 0 O y w m c X V v d D t T Z W N 0 a W 9 u M S 9 U Y W J s Z S A x N i 9 B d X R v U m V t b 3 Z l Z E N v b H V t b n M x L n s y M D I x L D J 9 J n F 1 b 3 Q 7 L C Z x d W 9 0 O 1 N l Y 3 R p b 2 4 x L 1 R h Y m x l I D E 2 L 0 F 1 d G 9 S Z W 1 v d m V k Q 2 9 s d W 1 u c z E u e z I w M j A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l l Y X I g R W 5 k Z W Q g S n V u Z S A z M C w m c X V v d D s s J n F 1 b 3 Q 7 M j A y M i Z x d W 9 0 O y w m c X V v d D s y M D I x J n F 1 b 3 Q 7 L C Z x d W 9 0 O z I w M j A m c X V v d D t d I i A v P j x F b n R y e S B U e X B l P S J G a W x s Q 2 9 s d W 1 u V H l w Z X M i I F Z h b H V l P S J z Q m d V R k J R P T 0 i I C 8 + P E V u d H J 5 I F R 5 c G U 9 I k Z p b G x M Y X N 0 V X B k Y X R l Z C I g V m F s d W U 9 I m Q y M D I z L T A 1 L T E 5 V D A y O j I z O j A 1 L j M y M D M 1 M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y I g L z 4 8 R W 5 0 c n k g V H l w Z T 0 i Q W R k Z W R U b 0 R h d G F N b 2 R l b C I g V m F s d W U 9 I m w w I i A v P j x F b n R y e S B U e X B l P S J R d W V y e U l E I i B W Y W x 1 Z T 0 i c 2 Q x Z T c 0 O W Q 4 L T J m Z T Y t N D A 5 Z i 1 i N G N i L T Q 0 M T Y y Z D k w N z g 2 M i I g L z 4 8 L 1 N 0 Y W J s Z U V u d H J p Z X M + P C 9 J d G V t P j x J d G V t P j x J d G V t T G 9 j Y X R p b 2 4 + P E l 0 Z W 1 U e X B l P k Z v c m 1 1 b G E 8 L 0 l 0 Z W 1 U e X B l P j x J d G V t U G F 0 a D 5 T Z W N 0 a W 9 u M S 9 U Y W J s Z S U y M D E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Y v R G F 0 Y T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i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2 J T I w K F B h Z 2 U l M j A 1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V G F i b G U g M T Y i I C 8 + P E V u d H J 5 I F R 5 c G U 9 I l J l Y 2 9 2 Z X J 5 V G F y Z 2 V 0 Q 2 9 s d W 1 u I i B W Y W x 1 Z T 0 i b D Y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l U M D I 6 M z M 6 M z Q u N j M w M D k y O F o i I C 8 + P E V u d H J 5 I F R 5 c G U 9 I k Z p b G x D b 2 x 1 b W 5 U e X B l c y I g V m F s d W U 9 I n N C Z 0 1 E I i A v P j x F b n R y e S B U e X B l P S J G a W x s Q 2 9 s d W 1 u T m F t Z X M i I F Z h b H V l P S J z W y Z x d W 9 0 O 0 p 1 b m U g M z A s I D I w M j I m c X V v d D s s J n F 1 b 3 Q 7 M j A y M i Z x d W 9 0 O y w m c X V v d D s y M D I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Y g K F B h Z 2 U g N T k p L 0 F 1 d G 9 S Z W 1 v d m V k Q 2 9 s d W 1 u c z E u e 0 p 1 b m U g M z A s I D I w M j I s M H 0 m c X V v d D s s J n F 1 b 3 Q 7 U 2 V j d G l v b j E v V G F i b G U w N T Y g K F B h Z 2 U g N T k p L 0 F 1 d G 9 S Z W 1 v d m V k Q 2 9 s d W 1 u c z E u e z I w M j I s M X 0 m c X V v d D s s J n F 1 b 3 Q 7 U 2 V j d G l v b j E v V G F i b G U w N T Y g K F B h Z 2 U g N T k p L 0 F 1 d G 9 S Z W 1 v d m V k Q 2 9 s d W 1 u c z E u e z I w M j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w N T Y g K F B h Z 2 U g N T k p L 0 F 1 d G 9 S Z W 1 v d m V k Q 2 9 s d W 1 u c z E u e 0 p 1 b m U g M z A s I D I w M j I s M H 0 m c X V v d D s s J n F 1 b 3 Q 7 U 2 V j d G l v b j E v V G F i b G U w N T Y g K F B h Z 2 U g N T k p L 0 F 1 d G 9 S Z W 1 v d m V k Q 2 9 s d W 1 u c z E u e z I w M j I s M X 0 m c X V v d D s s J n F 1 b 3 Q 7 U 2 V j d G l v b j E v V G F i b G U w N T Y g K F B h Z 2 U g N T k p L 0 F 1 d G 9 S Z W 1 v d m V k Q 2 9 s d W 1 u c z E u e z I w M j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U 2 J T I w K F B h Z 2 U l M j A 1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T Y l M j A o U G F n Z S U y M D U 5 K S 9 U Y W J s Z T A 1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2 J T I w K F B h Z 2 U l M j A 1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N i U y M C h Q Y W d l J T I w N T k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T Y l M j A o U G F n Z S U y M D U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N i U y M C h Q Y W d l J T I w N T k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2 J T I w K F B h Z 2 U l M j A 1 O S k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a U g v T O Z / k S l s r U L O C / k s A A A A A A C A A A A A A A Q Z g A A A A E A A C A A A A D y O O I / f B z P K i T 4 C N p Z Q w F 3 X z C K I x M E J N N K n Y B F G Q E H T g A A A A A O g A A A A A I A A C A A A A A 8 T j x k q H S R O 3 m v x V p A 1 9 u 4 H u e O o H l m Z j x v 1 N 9 w q c Y I X F A A A A A r 0 K V T z m U P + c C D u W Y i x + v d 7 p B q U M 4 e L d 5 A y O Q S v / 0 h + 5 P J D y f j s 9 U I h f x X E t a S f 9 q e O D U 2 P J C / B v C t 1 Z D e A L Q F B 7 U g x I H 1 G 0 x x O 5 0 o M 0 f u c k A A A A B 3 y I Q k K E u X m H 4 x r I i v j B 7 r a C v I R c i z 6 r 4 a i o 5 o Z c 8 + W A n e y y V 5 O O Q P H W + L b X 6 M O c f m 4 i S R B M y 8 J 1 1 u 1 / x e m l y j < / D a t a M a s h u p > 
</file>

<file path=customXml/itemProps1.xml><?xml version="1.0" encoding="utf-8"?>
<ds:datastoreItem xmlns:ds="http://schemas.openxmlformats.org/officeDocument/2006/customXml" ds:itemID="{1F160834-1DCC-4ACC-A6DE-6C41DBA171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Chart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PaulR</dc:creator>
  <cp:lastModifiedBy>PaulR</cp:lastModifiedBy>
  <dcterms:created xsi:type="dcterms:W3CDTF">2023-05-12T10:40:02Z</dcterms:created>
  <dcterms:modified xsi:type="dcterms:W3CDTF">2023-06-15T02:51:08Z</dcterms:modified>
</cp:coreProperties>
</file>