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405\OneDrive - Syracuse University\Desktop\Syracuse Data Science\MBC 638\"/>
    </mc:Choice>
  </mc:AlternateContent>
  <xr:revisionPtr revIDLastSave="0" documentId="13_ncr:1_{A78E36A1-B916-4A59-85BC-382D5277DBFF}" xr6:coauthVersionLast="47" xr6:coauthVersionMax="47" xr10:uidLastSave="{00000000-0000-0000-0000-000000000000}"/>
  <bookViews>
    <workbookView xWindow="-108" yWindow="-108" windowWidth="23256" windowHeight="14016" xr2:uid="{6D43E580-E170-4958-BDB7-38FB672CD924}"/>
  </bookViews>
  <sheets>
    <sheet name="Data Measurement Plan" sheetId="1" r:id="rId1"/>
    <sheet name="DailyDataSheet(Feeders)" sheetId="3" r:id="rId2"/>
    <sheet name="Species Mode" sheetId="7" r:id="rId3"/>
    <sheet name="Time of Day Chi sq" sheetId="6" r:id="rId4"/>
    <sheet name="FeedDataSheet" sheetId="4" r:id="rId5"/>
    <sheet name="Diversity calculations" sheetId="8" r:id="rId6"/>
    <sheet name="Sunflower vs. Safflower" sheetId="11" r:id="rId7"/>
    <sheet name="Diversity" sheetId="5" r:id="rId8"/>
    <sheet name="Tube Diversity" sheetId="12" r:id="rId9"/>
    <sheet name="Diversity and temp" sheetId="10" r:id="rId10"/>
    <sheet name="DailyDataSheet(Birds)" sheetId="2" r:id="rId11"/>
    <sheet name="DailyDataSheet2(Birds)" sheetId="9" r:id="rId12"/>
    <sheet name="SQL" sheetId="13" r:id="rId13"/>
  </sheets>
  <definedNames>
    <definedName name="_xlchart.v1.0" hidden="1">'Sunflower vs. Safflower'!$E$3:$E$14</definedName>
    <definedName name="_xlchart.v1.1" hidden="1">'Sunflower vs. Safflower'!$F$3:$F$14</definedName>
    <definedName name="_xlchart.v1.2" hidden="1">'Sunflower vs. Safflower'!$A$3:$A$14</definedName>
    <definedName name="_xlchart.v1.3" hidden="1">'Sunflower vs. Safflower'!$B$3:$B$14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0" l="1"/>
  <c r="P4" i="10"/>
  <c r="G15" i="3"/>
  <c r="G12" i="3"/>
  <c r="E6" i="13"/>
  <c r="B8" i="13"/>
  <c r="B9" i="13" s="1"/>
  <c r="B7" i="13"/>
  <c r="I38" i="5"/>
  <c r="B40" i="5" s="1"/>
  <c r="B41" i="5" s="1"/>
  <c r="G38" i="5"/>
  <c r="D38" i="5"/>
  <c r="B38" i="5"/>
  <c r="S22" i="3"/>
  <c r="L24" i="3" s="1"/>
  <c r="L25" i="3" s="1"/>
  <c r="N22" i="3"/>
  <c r="Q22" i="3"/>
  <c r="P22" i="3"/>
  <c r="L22" i="3"/>
  <c r="K22" i="3"/>
  <c r="AF67" i="5"/>
  <c r="AE67" i="5"/>
  <c r="AD67" i="5"/>
  <c r="Y67" i="5"/>
  <c r="Z67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73" i="5"/>
  <c r="X72" i="5"/>
  <c r="X71" i="5"/>
  <c r="X70" i="5"/>
  <c r="X69" i="5"/>
  <c r="X68" i="5"/>
  <c r="N83" i="5"/>
  <c r="N67" i="5"/>
  <c r="M83" i="5"/>
  <c r="M67" i="5"/>
  <c r="L83" i="5"/>
  <c r="L67" i="5"/>
  <c r="H83" i="5"/>
  <c r="H67" i="5"/>
  <c r="G83" i="5"/>
  <c r="G67" i="5"/>
  <c r="F94" i="5"/>
  <c r="F93" i="5"/>
  <c r="F92" i="5"/>
  <c r="F91" i="5"/>
  <c r="F90" i="5"/>
  <c r="F89" i="5"/>
  <c r="F88" i="5"/>
  <c r="F87" i="5"/>
  <c r="F86" i="5"/>
  <c r="F85" i="5"/>
  <c r="F84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E4" i="3"/>
  <c r="E66" i="3"/>
  <c r="E65" i="3"/>
  <c r="E54" i="3"/>
  <c r="E53" i="3"/>
  <c r="E43" i="3"/>
  <c r="E42" i="3"/>
  <c r="E37" i="3"/>
  <c r="E36" i="3"/>
  <c r="E31" i="3"/>
  <c r="E30" i="3"/>
  <c r="E23" i="3"/>
  <c r="E22" i="3"/>
  <c r="E12" i="3"/>
  <c r="E11" i="3"/>
  <c r="I5" i="3"/>
  <c r="E117" i="3"/>
  <c r="E116" i="3"/>
  <c r="E115" i="3"/>
  <c r="E114" i="3"/>
  <c r="E94" i="3"/>
  <c r="E93" i="3"/>
  <c r="E92" i="3"/>
  <c r="E91" i="3"/>
  <c r="E90" i="3"/>
  <c r="E88" i="3"/>
  <c r="E79" i="3"/>
  <c r="E78" i="3"/>
  <c r="E77" i="3"/>
  <c r="E73" i="3"/>
  <c r="E72" i="3"/>
  <c r="E71" i="3"/>
  <c r="E70" i="3"/>
  <c r="E69" i="3"/>
  <c r="E62" i="3"/>
  <c r="E61" i="3"/>
  <c r="E60" i="3"/>
  <c r="E59" i="3"/>
  <c r="E52" i="3"/>
  <c r="E51" i="3"/>
  <c r="E50" i="3"/>
  <c r="E49" i="3"/>
  <c r="D20" i="5" s="1"/>
  <c r="E47" i="3"/>
  <c r="E34" i="3"/>
  <c r="E33" i="3"/>
  <c r="E32" i="3"/>
  <c r="E27" i="3"/>
  <c r="E26" i="3"/>
  <c r="E25" i="3"/>
  <c r="E24" i="3"/>
  <c r="E20" i="3"/>
  <c r="E19" i="3"/>
  <c r="E7" i="3"/>
  <c r="E6" i="3"/>
  <c r="E5" i="3"/>
  <c r="I3" i="3"/>
  <c r="E113" i="3" s="1"/>
  <c r="G4" i="3"/>
  <c r="I4" i="3" s="1"/>
  <c r="F14" i="11"/>
  <c r="F13" i="11"/>
  <c r="F12" i="11"/>
  <c r="F11" i="11"/>
  <c r="F10" i="11"/>
  <c r="F9" i="11"/>
  <c r="F8" i="11"/>
  <c r="F7" i="11"/>
  <c r="F6" i="11"/>
  <c r="F5" i="11"/>
  <c r="F4" i="11"/>
  <c r="F3" i="11"/>
  <c r="C14" i="11"/>
  <c r="C13" i="11"/>
  <c r="C12" i="11"/>
  <c r="C11" i="11"/>
  <c r="C10" i="11"/>
  <c r="C9" i="11"/>
  <c r="C8" i="11"/>
  <c r="C7" i="11"/>
  <c r="C6" i="11"/>
  <c r="C5" i="11"/>
  <c r="C4" i="11"/>
  <c r="C3" i="11"/>
  <c r="B14" i="11"/>
  <c r="B13" i="11"/>
  <c r="B12" i="11"/>
  <c r="B11" i="11"/>
  <c r="B10" i="11"/>
  <c r="B9" i="11"/>
  <c r="B8" i="11"/>
  <c r="B7" i="11"/>
  <c r="B6" i="11"/>
  <c r="B5" i="11"/>
  <c r="B4" i="11"/>
  <c r="B3" i="11"/>
  <c r="E35" i="11"/>
  <c r="E34" i="11"/>
  <c r="E32" i="11"/>
  <c r="H30" i="11"/>
  <c r="H28" i="11"/>
  <c r="H27" i="11"/>
  <c r="E30" i="11"/>
  <c r="E28" i="11"/>
  <c r="E27" i="11"/>
  <c r="K53" i="12"/>
  <c r="K52" i="12"/>
  <c r="K51" i="12"/>
  <c r="K50" i="12"/>
  <c r="K49" i="12"/>
  <c r="K48" i="12"/>
  <c r="J52" i="12"/>
  <c r="J51" i="12"/>
  <c r="J50" i="12"/>
  <c r="J49" i="12"/>
  <c r="J48" i="12"/>
  <c r="I53" i="12"/>
  <c r="K47" i="12"/>
  <c r="K46" i="12"/>
  <c r="K45" i="12"/>
  <c r="K44" i="12"/>
  <c r="K43" i="12"/>
  <c r="K42" i="12"/>
  <c r="J46" i="12"/>
  <c r="J45" i="12"/>
  <c r="J44" i="12"/>
  <c r="J43" i="12"/>
  <c r="J42" i="12"/>
  <c r="K41" i="12"/>
  <c r="K40" i="12"/>
  <c r="K39" i="12"/>
  <c r="K38" i="12"/>
  <c r="K37" i="12"/>
  <c r="J40" i="12"/>
  <c r="J39" i="12"/>
  <c r="J38" i="12"/>
  <c r="J37" i="12"/>
  <c r="I41" i="12"/>
  <c r="K36" i="12"/>
  <c r="K35" i="12"/>
  <c r="K34" i="12"/>
  <c r="K33" i="12"/>
  <c r="K32" i="12"/>
  <c r="K31" i="12"/>
  <c r="K30" i="12"/>
  <c r="J35" i="12"/>
  <c r="J34" i="12"/>
  <c r="J33" i="12"/>
  <c r="J32" i="12"/>
  <c r="J31" i="12"/>
  <c r="J30" i="12"/>
  <c r="K29" i="12"/>
  <c r="K28" i="12"/>
  <c r="K27" i="12"/>
  <c r="K26" i="12"/>
  <c r="K25" i="12"/>
  <c r="J28" i="12"/>
  <c r="J27" i="12"/>
  <c r="J26" i="12"/>
  <c r="J25" i="12"/>
  <c r="I29" i="12"/>
  <c r="K24" i="12"/>
  <c r="K23" i="12"/>
  <c r="K22" i="12"/>
  <c r="K21" i="12"/>
  <c r="J23" i="12"/>
  <c r="J22" i="12"/>
  <c r="J21" i="12"/>
  <c r="I24" i="12"/>
  <c r="K20" i="12"/>
  <c r="K19" i="12"/>
  <c r="K18" i="12"/>
  <c r="K17" i="12"/>
  <c r="K16" i="12"/>
  <c r="K15" i="12"/>
  <c r="J19" i="12"/>
  <c r="J18" i="12"/>
  <c r="J17" i="12"/>
  <c r="J16" i="12"/>
  <c r="J15" i="12"/>
  <c r="I20" i="12"/>
  <c r="K14" i="12"/>
  <c r="K13" i="12"/>
  <c r="K12" i="12"/>
  <c r="J13" i="12"/>
  <c r="J12" i="12"/>
  <c r="K11" i="12"/>
  <c r="K10" i="12"/>
  <c r="K9" i="12"/>
  <c r="K8" i="12"/>
  <c r="J10" i="12"/>
  <c r="J9" i="12"/>
  <c r="J8" i="12"/>
  <c r="I11" i="12"/>
  <c r="K7" i="12"/>
  <c r="K6" i="12"/>
  <c r="K5" i="12"/>
  <c r="K4" i="12"/>
  <c r="K3" i="12"/>
  <c r="J6" i="12"/>
  <c r="J5" i="12"/>
  <c r="J4" i="12"/>
  <c r="J3" i="12"/>
  <c r="E55" i="12"/>
  <c r="E54" i="12"/>
  <c r="E53" i="12"/>
  <c r="E52" i="12"/>
  <c r="D54" i="12"/>
  <c r="D53" i="12"/>
  <c r="D52" i="12"/>
  <c r="E51" i="12"/>
  <c r="E50" i="12"/>
  <c r="E49" i="12"/>
  <c r="D50" i="12"/>
  <c r="D49" i="12"/>
  <c r="E46" i="12"/>
  <c r="E45" i="12"/>
  <c r="E44" i="12"/>
  <c r="D45" i="12"/>
  <c r="D44" i="12"/>
  <c r="E43" i="12"/>
  <c r="E42" i="12"/>
  <c r="E41" i="12"/>
  <c r="D42" i="12"/>
  <c r="D41" i="12"/>
  <c r="E38" i="12"/>
  <c r="E37" i="12"/>
  <c r="E36" i="12"/>
  <c r="D37" i="12"/>
  <c r="D36" i="12"/>
  <c r="E35" i="12"/>
  <c r="E34" i="12"/>
  <c r="E33" i="12"/>
  <c r="D34" i="12"/>
  <c r="D33" i="12"/>
  <c r="E32" i="12"/>
  <c r="E31" i="12"/>
  <c r="E30" i="12"/>
  <c r="E27" i="12"/>
  <c r="E26" i="12"/>
  <c r="E25" i="12"/>
  <c r="D26" i="12"/>
  <c r="D25" i="12"/>
  <c r="E24" i="12"/>
  <c r="E23" i="12"/>
  <c r="E22" i="12"/>
  <c r="E21" i="12"/>
  <c r="E20" i="12"/>
  <c r="D23" i="12"/>
  <c r="D22" i="12"/>
  <c r="D21" i="12"/>
  <c r="D20" i="12"/>
  <c r="C24" i="12"/>
  <c r="E11" i="12"/>
  <c r="E10" i="12"/>
  <c r="E9" i="12"/>
  <c r="E8" i="12"/>
  <c r="D10" i="12"/>
  <c r="D9" i="12"/>
  <c r="D8" i="12"/>
  <c r="C11" i="12"/>
  <c r="E6" i="12"/>
  <c r="E5" i="12"/>
  <c r="E4" i="12"/>
  <c r="E3" i="12"/>
  <c r="D4" i="12"/>
  <c r="D3" i="12"/>
  <c r="E89" i="3" l="1"/>
  <c r="E56" i="3"/>
  <c r="E44" i="3"/>
  <c r="E68" i="3"/>
  <c r="E29" i="3"/>
  <c r="E112" i="3"/>
  <c r="E67" i="3"/>
  <c r="E28" i="3"/>
  <c r="D11" i="5" s="1"/>
  <c r="E21" i="3"/>
  <c r="E3" i="3"/>
  <c r="E82" i="3"/>
  <c r="E97" i="3"/>
  <c r="E96" i="3"/>
  <c r="E104" i="3"/>
  <c r="E83" i="3"/>
  <c r="E2" i="3"/>
  <c r="E76" i="3"/>
  <c r="E103" i="3"/>
  <c r="E58" i="3"/>
  <c r="E57" i="3"/>
  <c r="D5" i="5"/>
  <c r="D15" i="5"/>
  <c r="L11" i="3"/>
  <c r="E35" i="3"/>
  <c r="L8" i="3" s="1"/>
  <c r="E80" i="3"/>
  <c r="E13" i="3"/>
  <c r="E99" i="3"/>
  <c r="E39" i="3"/>
  <c r="E108" i="3"/>
  <c r="E8" i="3"/>
  <c r="L3" i="3" s="1"/>
  <c r="E105" i="3"/>
  <c r="E98" i="3"/>
  <c r="E38" i="3"/>
  <c r="E106" i="3"/>
  <c r="E14" i="3"/>
  <c r="E107" i="3"/>
  <c r="E100" i="3"/>
  <c r="E15" i="3"/>
  <c r="E40" i="3"/>
  <c r="E84" i="3"/>
  <c r="E101" i="3"/>
  <c r="E16" i="3"/>
  <c r="E41" i="3"/>
  <c r="E109" i="3"/>
  <c r="E85" i="3"/>
  <c r="E102" i="3"/>
  <c r="D14" i="5"/>
  <c r="E17" i="3"/>
  <c r="E45" i="3"/>
  <c r="E86" i="3"/>
  <c r="E18" i="3"/>
  <c r="E46" i="3"/>
  <c r="E87" i="3"/>
  <c r="F15" i="11"/>
  <c r="G3" i="11" s="1"/>
  <c r="B15" i="11"/>
  <c r="AF3" i="5"/>
  <c r="AE3" i="5"/>
  <c r="AD3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Z3" i="5"/>
  <c r="Y3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N23" i="5"/>
  <c r="M23" i="5"/>
  <c r="L23" i="5"/>
  <c r="H23" i="5"/>
  <c r="G23" i="5"/>
  <c r="F34" i="5"/>
  <c r="F33" i="5"/>
  <c r="F32" i="5"/>
  <c r="F31" i="5"/>
  <c r="F30" i="5"/>
  <c r="F29" i="5"/>
  <c r="F28" i="5"/>
  <c r="F27" i="5"/>
  <c r="F26" i="5"/>
  <c r="F25" i="5"/>
  <c r="F24" i="5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C534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C519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C505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C488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C471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C452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C436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C420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C405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C385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C371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C356" i="8"/>
  <c r="K9" i="5"/>
  <c r="K8" i="5"/>
  <c r="K7" i="5"/>
  <c r="K6" i="5"/>
  <c r="F14" i="5"/>
  <c r="F13" i="5"/>
  <c r="F12" i="5"/>
  <c r="F10" i="5"/>
  <c r="F8" i="5"/>
  <c r="C22" i="5"/>
  <c r="K22" i="5" s="1"/>
  <c r="C21" i="5"/>
  <c r="K21" i="5" s="1"/>
  <c r="C20" i="5"/>
  <c r="K20" i="5" s="1"/>
  <c r="C19" i="5"/>
  <c r="K19" i="5" s="1"/>
  <c r="C18" i="5"/>
  <c r="K18" i="5" s="1"/>
  <c r="C17" i="5"/>
  <c r="K17" i="5" s="1"/>
  <c r="C16" i="5"/>
  <c r="K16" i="5" s="1"/>
  <c r="C15" i="5"/>
  <c r="K15" i="5" s="1"/>
  <c r="C14" i="5"/>
  <c r="K14" i="5" s="1"/>
  <c r="C13" i="5"/>
  <c r="K13" i="5" s="1"/>
  <c r="C12" i="5"/>
  <c r="K12" i="5" s="1"/>
  <c r="C11" i="5"/>
  <c r="F11" i="5" s="1"/>
  <c r="C10" i="5"/>
  <c r="K10" i="5" s="1"/>
  <c r="C9" i="5"/>
  <c r="C8" i="5"/>
  <c r="F9" i="5" s="1"/>
  <c r="C7" i="5"/>
  <c r="C6" i="5"/>
  <c r="F7" i="5" s="1"/>
  <c r="C5" i="5"/>
  <c r="K5" i="5" s="1"/>
  <c r="C4" i="5"/>
  <c r="K4" i="5" s="1"/>
  <c r="C3" i="5"/>
  <c r="K3" i="5" s="1"/>
  <c r="E341" i="8"/>
  <c r="E323" i="8"/>
  <c r="E306" i="8"/>
  <c r="E290" i="8"/>
  <c r="E272" i="8"/>
  <c r="E253" i="8"/>
  <c r="E237" i="8"/>
  <c r="E221" i="8"/>
  <c r="E202" i="8"/>
  <c r="E184" i="8"/>
  <c r="E165" i="8"/>
  <c r="E150" i="8"/>
  <c r="E131" i="8"/>
  <c r="E113" i="8"/>
  <c r="E97" i="8"/>
  <c r="E79" i="8"/>
  <c r="E63" i="8"/>
  <c r="E47" i="8"/>
  <c r="E30" i="8"/>
  <c r="E17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29" i="8"/>
  <c r="E28" i="8"/>
  <c r="E27" i="8"/>
  <c r="E26" i="8"/>
  <c r="E25" i="8"/>
  <c r="E24" i="8"/>
  <c r="E23" i="8"/>
  <c r="E22" i="8"/>
  <c r="E21" i="8"/>
  <c r="E20" i="8"/>
  <c r="E19" i="8"/>
  <c r="E18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C341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C323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C306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C290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C272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C253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C237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C221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C202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C184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C165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C150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C131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C113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C97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C79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C63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C47" i="8"/>
  <c r="D29" i="8"/>
  <c r="D28" i="8"/>
  <c r="D27" i="8"/>
  <c r="D26" i="8"/>
  <c r="D25" i="8"/>
  <c r="D24" i="8"/>
  <c r="D23" i="8"/>
  <c r="D22" i="8"/>
  <c r="D21" i="8"/>
  <c r="D20" i="8"/>
  <c r="D19" i="8"/>
  <c r="D18" i="8"/>
  <c r="C30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C17" i="8"/>
  <c r="D41" i="6"/>
  <c r="E37" i="6"/>
  <c r="F37" i="6" s="1"/>
  <c r="E36" i="6"/>
  <c r="F36" i="6" s="1"/>
  <c r="E35" i="6"/>
  <c r="F35" i="6" s="1"/>
  <c r="E34" i="6"/>
  <c r="F34" i="6" s="1"/>
  <c r="E33" i="6"/>
  <c r="F33" i="6" s="1"/>
  <c r="E32" i="6"/>
  <c r="F32" i="6" s="1"/>
  <c r="E31" i="6"/>
  <c r="F31" i="6" s="1"/>
  <c r="E30" i="6"/>
  <c r="F30" i="6" s="1"/>
  <c r="E29" i="6"/>
  <c r="F29" i="6" s="1"/>
  <c r="E28" i="6"/>
  <c r="E27" i="6"/>
  <c r="F27" i="6" s="1"/>
  <c r="E26" i="6"/>
  <c r="F26" i="6" s="1"/>
  <c r="E25" i="6"/>
  <c r="F25" i="6" s="1"/>
  <c r="E24" i="6"/>
  <c r="F24" i="6" s="1"/>
  <c r="E23" i="6"/>
  <c r="F23" i="6" s="1"/>
  <c r="E22" i="6"/>
  <c r="F22" i="6" s="1"/>
  <c r="E21" i="6"/>
  <c r="F21" i="6" s="1"/>
  <c r="E20" i="6"/>
  <c r="F20" i="6" s="1"/>
  <c r="E19" i="6"/>
  <c r="F19" i="6" s="1"/>
  <c r="E18" i="6"/>
  <c r="F18" i="6" s="1"/>
  <c r="E17" i="6"/>
  <c r="F17" i="6" s="1"/>
  <c r="E16" i="6"/>
  <c r="F16" i="6" s="1"/>
  <c r="E15" i="6"/>
  <c r="F15" i="6" s="1"/>
  <c r="F28" i="6"/>
  <c r="E14" i="6"/>
  <c r="F14" i="6" s="1"/>
  <c r="E13" i="6"/>
  <c r="F13" i="6" s="1"/>
  <c r="E12" i="6"/>
  <c r="F12" i="6" s="1"/>
  <c r="E11" i="6"/>
  <c r="F11" i="6" s="1"/>
  <c r="E10" i="6"/>
  <c r="F10" i="6" s="1"/>
  <c r="D38" i="6"/>
  <c r="D40" i="6"/>
  <c r="P3" i="6"/>
  <c r="C4" i="6"/>
  <c r="P2" i="6"/>
  <c r="O4" i="6"/>
  <c r="N4" i="6"/>
  <c r="M4" i="6"/>
  <c r="L4" i="6"/>
  <c r="K4" i="6"/>
  <c r="J4" i="6"/>
  <c r="I4" i="6"/>
  <c r="H4" i="6"/>
  <c r="G4" i="6"/>
  <c r="F4" i="6"/>
  <c r="E4" i="6"/>
  <c r="D4" i="6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G10" i="7"/>
  <c r="F10" i="7"/>
  <c r="E10" i="7"/>
  <c r="D10" i="7"/>
  <c r="C10" i="7"/>
  <c r="B10" i="7"/>
  <c r="D4" i="5" l="1"/>
  <c r="D3" i="5"/>
  <c r="L2" i="3"/>
  <c r="D8" i="5"/>
  <c r="D7" i="5"/>
  <c r="L4" i="3"/>
  <c r="L17" i="3"/>
  <c r="D32" i="5"/>
  <c r="D31" i="5"/>
  <c r="L15" i="3"/>
  <c r="D28" i="5"/>
  <c r="D27" i="5"/>
  <c r="D6" i="5"/>
  <c r="L6" i="3"/>
  <c r="D18" i="5"/>
  <c r="D19" i="5"/>
  <c r="L10" i="3"/>
  <c r="D17" i="5"/>
  <c r="D16" i="5"/>
  <c r="L9" i="3"/>
  <c r="L13" i="3"/>
  <c r="D24" i="5"/>
  <c r="D23" i="5"/>
  <c r="D9" i="5"/>
  <c r="L5" i="3"/>
  <c r="D10" i="5"/>
  <c r="L18" i="3"/>
  <c r="D34" i="5"/>
  <c r="D33" i="5"/>
  <c r="L12" i="3"/>
  <c r="L14" i="3"/>
  <c r="D26" i="5"/>
  <c r="D25" i="5"/>
  <c r="L16" i="3"/>
  <c r="D30" i="5"/>
  <c r="D29" i="5"/>
  <c r="G8" i="11"/>
  <c r="G7" i="11"/>
  <c r="G6" i="11"/>
  <c r="G5" i="11"/>
  <c r="G4" i="11"/>
  <c r="G14" i="11"/>
  <c r="G13" i="11"/>
  <c r="G12" i="11"/>
  <c r="G11" i="11"/>
  <c r="G10" i="11"/>
  <c r="G9" i="11"/>
  <c r="L3" i="5"/>
  <c r="F15" i="5"/>
  <c r="F17" i="5"/>
  <c r="K11" i="5"/>
  <c r="F16" i="5"/>
  <c r="F18" i="5"/>
  <c r="F19" i="5"/>
  <c r="F4" i="5"/>
  <c r="F20" i="5"/>
  <c r="F5" i="5"/>
  <c r="F21" i="5"/>
  <c r="F6" i="5"/>
  <c r="F22" i="5"/>
  <c r="F38" i="6"/>
  <c r="E38" i="6"/>
  <c r="B4" i="6"/>
  <c r="P4" i="6"/>
  <c r="G15" i="11" l="1"/>
  <c r="C15" i="11"/>
  <c r="N3" i="5"/>
  <c r="G3" i="5"/>
  <c r="H3" i="5" s="1"/>
  <c r="M3" i="5" l="1"/>
</calcChain>
</file>

<file path=xl/sharedStrings.xml><?xml version="1.0" encoding="utf-8"?>
<sst xmlns="http://schemas.openxmlformats.org/spreadsheetml/2006/main" count="2124" uniqueCount="276">
  <si>
    <t>Performance Measure</t>
  </si>
  <si>
    <t>Data Source and Location</t>
  </si>
  <si>
    <t>How will data be collected?</t>
  </si>
  <si>
    <t>Who will Collect Data</t>
  </si>
  <si>
    <t>When will Data be Collected?</t>
  </si>
  <si>
    <t>Target Sample Size</t>
  </si>
  <si>
    <t>Price of seed per bag</t>
  </si>
  <si>
    <t>Types of seed used</t>
  </si>
  <si>
    <t>Price of other feed (suet, oranges, etc).</t>
  </si>
  <si>
    <t>temperature</t>
  </si>
  <si>
    <t>Species visiting</t>
  </si>
  <si>
    <t>Number of birds</t>
  </si>
  <si>
    <t>Diversity</t>
  </si>
  <si>
    <t>Input</t>
  </si>
  <si>
    <t>Output</t>
  </si>
  <si>
    <t>Measuring cup</t>
  </si>
  <si>
    <t>Manual data collection</t>
  </si>
  <si>
    <t>Reciepts/Tractor Supply website</t>
  </si>
  <si>
    <t>Look from website or receipt</t>
  </si>
  <si>
    <t>Receipts/Tractor Supply website</t>
  </si>
  <si>
    <t>Non-avian visitors</t>
  </si>
  <si>
    <t>Hawk visits</t>
  </si>
  <si>
    <t>Feeders visited</t>
  </si>
  <si>
    <t>Record type.</t>
  </si>
  <si>
    <t>Phone app</t>
  </si>
  <si>
    <t>Phone clock</t>
  </si>
  <si>
    <t>Data form</t>
  </si>
  <si>
    <t>Calculate</t>
  </si>
  <si>
    <t>Mother/father</t>
  </si>
  <si>
    <t>Myself</t>
  </si>
  <si>
    <t>Myself/Mom</t>
  </si>
  <si>
    <t>Time</t>
  </si>
  <si>
    <t>Date</t>
  </si>
  <si>
    <t>Species</t>
  </si>
  <si>
    <t>Number</t>
  </si>
  <si>
    <t>Visits</t>
  </si>
  <si>
    <t>Hanging Platform</t>
  </si>
  <si>
    <t>Ground Platform</t>
  </si>
  <si>
    <t>Temp.</t>
  </si>
  <si>
    <t>Wind</t>
  </si>
  <si>
    <t>Circular Feeder</t>
  </si>
  <si>
    <t>House Feeder</t>
  </si>
  <si>
    <t>Tube Feeder</t>
  </si>
  <si>
    <t>Front Suet</t>
  </si>
  <si>
    <t>Back Suet</t>
  </si>
  <si>
    <t>Front Orange</t>
  </si>
  <si>
    <t>Back Orange</t>
  </si>
  <si>
    <t>Hummingbird</t>
  </si>
  <si>
    <t>5:00-6:00</t>
  </si>
  <si>
    <t>Feeder</t>
  </si>
  <si>
    <t>Price Added</t>
  </si>
  <si>
    <t>Feed</t>
  </si>
  <si>
    <t>Brand</t>
  </si>
  <si>
    <t>Price</t>
  </si>
  <si>
    <t>#bought/week</t>
  </si>
  <si>
    <t>Shrub Platform</t>
  </si>
  <si>
    <t>Saucer</t>
  </si>
  <si>
    <t>NA</t>
  </si>
  <si>
    <t>SpeciesRichness</t>
  </si>
  <si>
    <t>SpeciesDiversity</t>
  </si>
  <si>
    <t>Diversity/$Spent</t>
  </si>
  <si>
    <t>Mammal</t>
  </si>
  <si>
    <t>Predator</t>
  </si>
  <si>
    <t>Catch?</t>
  </si>
  <si>
    <t>10:00-11:00</t>
  </si>
  <si>
    <t>Common Grackle</t>
  </si>
  <si>
    <t>Downy Woodpecker</t>
  </si>
  <si>
    <t>Blue Jay</t>
  </si>
  <si>
    <t>Mourning Dove</t>
  </si>
  <si>
    <t>Northern Cardinal</t>
  </si>
  <si>
    <t>Song Sparrow</t>
  </si>
  <si>
    <t>House Finch</t>
  </si>
  <si>
    <t>White-breasted Nuthatch</t>
  </si>
  <si>
    <t>Tufted Titmouse</t>
  </si>
  <si>
    <t>Red-bellied Woodpecker</t>
  </si>
  <si>
    <t>Eastern Bluebird</t>
  </si>
  <si>
    <t>American Goldfinch</t>
  </si>
  <si>
    <t>White-throated Sparrow</t>
  </si>
  <si>
    <t>Eastern Towhee</t>
  </si>
  <si>
    <t>Hairy Woodpecker</t>
  </si>
  <si>
    <t>Brown-headed Cowbird</t>
  </si>
  <si>
    <t>Squirrel</t>
  </si>
  <si>
    <t>Chipmunk</t>
  </si>
  <si>
    <t>Carolina Chickadee</t>
  </si>
  <si>
    <t>Chipping Sparrow</t>
  </si>
  <si>
    <t>House Sparrow</t>
  </si>
  <si>
    <t>No</t>
  </si>
  <si>
    <t>American Robin</t>
  </si>
  <si>
    <t>Cooper's Hawk</t>
  </si>
  <si>
    <t>unknown</t>
  </si>
  <si>
    <t>5:00 - 6:00</t>
  </si>
  <si>
    <t>Ruby-throated Hummingbird</t>
  </si>
  <si>
    <t>Red-winged Blackbird</t>
  </si>
  <si>
    <t>Pine Siskin</t>
  </si>
  <si>
    <t>Carolina Wren</t>
  </si>
  <si>
    <t>Pilleated Woodpecker</t>
  </si>
  <si>
    <t>Baltimore Oriole</t>
  </si>
  <si>
    <t>Gray Catbird</t>
  </si>
  <si>
    <t>Cape May Warbler</t>
  </si>
  <si>
    <t>Mode</t>
  </si>
  <si>
    <t>Rose-breasted Grosbeak</t>
  </si>
  <si>
    <t>Total</t>
  </si>
  <si>
    <t>df</t>
  </si>
  <si>
    <t>f(observed)</t>
  </si>
  <si>
    <t>F(expected)</t>
  </si>
  <si>
    <t>(f-F)^2/F</t>
  </si>
  <si>
    <t>House Finch/morn</t>
  </si>
  <si>
    <t>House Finch/Aft</t>
  </si>
  <si>
    <t>Red-bellied/morn</t>
  </si>
  <si>
    <t>Red-bellied/aft</t>
  </si>
  <si>
    <t>Grackle/morn</t>
  </si>
  <si>
    <t>Grackle/aft</t>
  </si>
  <si>
    <t>Dove/morn</t>
  </si>
  <si>
    <t>Dove/aft</t>
  </si>
  <si>
    <t>Downy/morn</t>
  </si>
  <si>
    <t>Downy/aft</t>
  </si>
  <si>
    <t>Jay/morn</t>
  </si>
  <si>
    <t>Jay/aft</t>
  </si>
  <si>
    <t>Cardinal/morn</t>
  </si>
  <si>
    <t>Cardinal/aft</t>
  </si>
  <si>
    <t>Titmouse/morn</t>
  </si>
  <si>
    <t>Titmouse/aft</t>
  </si>
  <si>
    <t>Nuthatch/morn</t>
  </si>
  <si>
    <t>Nuthatch/aft</t>
  </si>
  <si>
    <t>Song Sparrow/morn</t>
  </si>
  <si>
    <t>Song Sparrow/aft</t>
  </si>
  <si>
    <t>Chickadee/morn</t>
  </si>
  <si>
    <t>Chickadee/aft</t>
  </si>
  <si>
    <t>White-throated/morn</t>
  </si>
  <si>
    <t>White-throated/aft</t>
  </si>
  <si>
    <t>Towhee/morn</t>
  </si>
  <si>
    <t>Towhee/aft</t>
  </si>
  <si>
    <t>Chipping Sparrow/morn</t>
  </si>
  <si>
    <t>Chipping Sparrow/aft</t>
  </si>
  <si>
    <t>Totals</t>
  </si>
  <si>
    <t>Chi-squared</t>
  </si>
  <si>
    <t>Date/Time</t>
  </si>
  <si>
    <t>Date/time</t>
  </si>
  <si>
    <t>pi</t>
  </si>
  <si>
    <t>4/20//10:00</t>
  </si>
  <si>
    <t>Num</t>
  </si>
  <si>
    <t>4/20//5:00</t>
  </si>
  <si>
    <t>4/21//10:00</t>
  </si>
  <si>
    <t>4/21//5:00</t>
  </si>
  <si>
    <t>4/22//10:00</t>
  </si>
  <si>
    <t>4/22//5:00</t>
  </si>
  <si>
    <t>4/23//10:00</t>
  </si>
  <si>
    <t>4/26//10:00</t>
  </si>
  <si>
    <t>4/26//5:00</t>
  </si>
  <si>
    <t>4/27//10:00</t>
  </si>
  <si>
    <t>4/27//5:00</t>
  </si>
  <si>
    <t>4/28//10:00</t>
  </si>
  <si>
    <t>4/28//5:00</t>
  </si>
  <si>
    <t>5/2//10:00</t>
  </si>
  <si>
    <t>5/2//5:00</t>
  </si>
  <si>
    <t>5/3//10:00</t>
  </si>
  <si>
    <t>5/3//5:00</t>
  </si>
  <si>
    <t>5/4//5:00</t>
  </si>
  <si>
    <t>5/5//10:00</t>
  </si>
  <si>
    <t>5/5//5:00</t>
  </si>
  <si>
    <t>pi(ln(pi))</t>
  </si>
  <si>
    <t>House</t>
  </si>
  <si>
    <t>Circular</t>
  </si>
  <si>
    <t>Tube</t>
  </si>
  <si>
    <t>Safflower</t>
  </si>
  <si>
    <t>2/3 Safflower, 1/3 Sunflower</t>
  </si>
  <si>
    <t>Sunflower</t>
  </si>
  <si>
    <t>Volume Added (ml)</t>
  </si>
  <si>
    <t>Suet 1</t>
  </si>
  <si>
    <t>Suet</t>
  </si>
  <si>
    <t>1 cake</t>
  </si>
  <si>
    <t>Suet 2</t>
  </si>
  <si>
    <t>Orange 1</t>
  </si>
  <si>
    <t>Orange</t>
  </si>
  <si>
    <t>1 slice</t>
  </si>
  <si>
    <t>Orange 2</t>
  </si>
  <si>
    <t>Insect</t>
  </si>
  <si>
    <t>European Starling</t>
  </si>
  <si>
    <t>R chart</t>
  </si>
  <si>
    <t>UCL</t>
  </si>
  <si>
    <t>LCL</t>
  </si>
  <si>
    <t>X-bar</t>
  </si>
  <si>
    <t xml:space="preserve">X </t>
  </si>
  <si>
    <t xml:space="preserve">mR  </t>
  </si>
  <si>
    <t>mR-bar</t>
  </si>
  <si>
    <t>5/23//10:00</t>
  </si>
  <si>
    <t>5/12//10:00</t>
  </si>
  <si>
    <t>5/12//5:00</t>
  </si>
  <si>
    <t>5/17//10:00</t>
  </si>
  <si>
    <t>5/17//5:00</t>
  </si>
  <si>
    <t>5/18//10:00</t>
  </si>
  <si>
    <t>5/18//5:00</t>
  </si>
  <si>
    <t>5/19//10:00</t>
  </si>
  <si>
    <t>5/19//5:00</t>
  </si>
  <si>
    <t>5/20//10:00</t>
  </si>
  <si>
    <t>5/20//5:00</t>
  </si>
  <si>
    <t>5/23//5:00</t>
  </si>
  <si>
    <t>Temperature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</si>
  <si>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</si>
  <si>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</si>
  <si>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</si>
  <si>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</si>
  <si>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</si>
  <si>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</si>
  <si>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</si>
  <si>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</si>
  <si>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</si>
  <si>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</si>
  <si>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</si>
  <si>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</si>
  <si>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</si>
  <si>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</si>
  <si>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</si>
  <si>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</si>
  <si>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</si>
  <si>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</si>
  <si>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</si>
  <si>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</si>
  <si>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</si>
  <si>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</si>
  <si>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n</t>
  </si>
  <si>
    <t>pi*ln(pi)</t>
  </si>
  <si>
    <t>Sunflower tube</t>
  </si>
  <si>
    <t>Safflower tube</t>
  </si>
  <si>
    <t>Tube feeder diversity</t>
  </si>
  <si>
    <t>Mean</t>
  </si>
  <si>
    <t>sd</t>
  </si>
  <si>
    <t>sd^2/n</t>
  </si>
  <si>
    <t>Z</t>
  </si>
  <si>
    <t>H(0): mean(Safflower) &gt;= mean(Sunflower)</t>
  </si>
  <si>
    <t>H(1): mean(Safflower) &lt; mean(Sunflower)</t>
  </si>
  <si>
    <t>P</t>
  </si>
  <si>
    <t>Total Visits</t>
  </si>
  <si>
    <t>Percent Visits</t>
  </si>
  <si>
    <t>Visits (pre-switch)</t>
  </si>
  <si>
    <t>Visits (post-switch)</t>
  </si>
  <si>
    <t>volume per bag (liters)</t>
  </si>
  <si>
    <t>Price ($)</t>
  </si>
  <si>
    <t>Price/l</t>
  </si>
  <si>
    <t>2 slices</t>
  </si>
  <si>
    <t>10 cakes</t>
  </si>
  <si>
    <t>1 orange</t>
  </si>
  <si>
    <t>Amount of seed added in each feeder each day</t>
  </si>
  <si>
    <t>4/19-5/23</t>
  </si>
  <si>
    <t>Data Type</t>
  </si>
  <si>
    <t>Continuous</t>
  </si>
  <si>
    <t>Discrete</t>
  </si>
  <si>
    <t>Money Spent</t>
  </si>
  <si>
    <t>Before Switch</t>
  </si>
  <si>
    <t>After Switch</t>
  </si>
  <si>
    <t>t</t>
  </si>
  <si>
    <t>There are 13 species that regularly visit the feeders.</t>
  </si>
  <si>
    <t>Therefore, a defect is defined as observation times in which less than 13 species were observed.</t>
  </si>
  <si>
    <t>Defect opportunities per unit (D)</t>
  </si>
  <si>
    <t>Units per day (U)</t>
  </si>
  <si>
    <t>Total possible defects/day</t>
  </si>
  <si>
    <t>Defects per opportunity</t>
  </si>
  <si>
    <t>Defects per million opportunities</t>
  </si>
  <si>
    <t>SQL</t>
  </si>
  <si>
    <t>Before switch</t>
  </si>
  <si>
    <t>After switch</t>
  </si>
  <si>
    <t>Actual defects/day</t>
  </si>
  <si>
    <t>Sample Size</t>
  </si>
  <si>
    <t>z</t>
  </si>
  <si>
    <t>E</t>
  </si>
  <si>
    <t>(95% CI)</t>
  </si>
  <si>
    <t>H0:  Mean price (tube has safflower) &lt;= mean price (tube has sunflower)</t>
  </si>
  <si>
    <t>H1: Mean price (tube has safflower) &gt; mean price (tube has sunflower)</t>
  </si>
  <si>
    <t>Tube = safflower</t>
  </si>
  <si>
    <t>Tube = sunflower</t>
  </si>
  <si>
    <t>H0: diversity (tube has safflower) &gt;= diversity (tube has sunflower)</t>
  </si>
  <si>
    <t>H1: diversity (tube has safflower) &lt; diversity (tube has sunflower)</t>
  </si>
  <si>
    <t>alpha = 0.05</t>
  </si>
  <si>
    <t>Species/time of day</t>
  </si>
  <si>
    <t>Sample Size temp</t>
  </si>
  <si>
    <t>time of day observing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</si>
</sst>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/d;@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5" borderId="4" applyNumberFormat="0" applyAlignment="0" applyProtection="0"/>
    <xf numFmtId="0" fontId="6" fillId="5" borderId="3" applyNumberFormat="0" applyAlignment="0" applyProtection="0"/>
    <xf numFmtId="0" fontId="8" fillId="6" borderId="5" applyNumberFormat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</cellStyleXfs>
  <cellXfs count="47">
    <xf numFmtId="0" fontId="0" fillId="0" borderId="0" xfId="0"/>
    <xf numFmtId="0" fontId="1" fillId="2" borderId="0" xfId="1"/>
    <xf numFmtId="0" fontId="2" fillId="3" borderId="0" xfId="2"/>
    <xf numFmtId="0" fontId="2" fillId="4" borderId="0" xfId="3"/>
    <xf numFmtId="14" fontId="0" fillId="0" borderId="0" xfId="0" applyNumberFormat="1"/>
    <xf numFmtId="0" fontId="3" fillId="0" borderId="1" xfId="4"/>
    <xf numFmtId="0" fontId="4" fillId="0" borderId="2" xfId="5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2" xfId="5" applyFill="1"/>
    <xf numFmtId="0" fontId="7" fillId="0" borderId="0" xfId="0" applyFont="1"/>
    <xf numFmtId="0" fontId="6" fillId="5" borderId="3" xfId="7"/>
    <xf numFmtId="0" fontId="5" fillId="5" borderId="4" xfId="6"/>
    <xf numFmtId="0" fontId="0" fillId="0" borderId="0" xfId="0" applyAlignment="1"/>
    <xf numFmtId="0" fontId="4" fillId="0" borderId="2" xfId="5" applyAlignment="1"/>
    <xf numFmtId="0" fontId="8" fillId="6" borderId="5" xfId="8"/>
    <xf numFmtId="0" fontId="4" fillId="0" borderId="0" xfId="5" applyFill="1" applyBorder="1"/>
    <xf numFmtId="0" fontId="9" fillId="7" borderId="0" xfId="9"/>
    <xf numFmtId="0" fontId="0" fillId="0" borderId="6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10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Continuous"/>
    </xf>
    <xf numFmtId="0" fontId="0" fillId="0" borderId="0" xfId="0" applyFont="1" applyFill="1" applyBorder="1"/>
    <xf numFmtId="0" fontId="0" fillId="0" borderId="0" xfId="0" applyFont="1"/>
    <xf numFmtId="0" fontId="9" fillId="8" borderId="0" xfId="10"/>
    <xf numFmtId="0" fontId="0" fillId="0" borderId="0" xfId="0" applyFont="1" applyBorder="1"/>
    <xf numFmtId="0" fontId="0" fillId="0" borderId="0" xfId="0" applyBorder="1"/>
    <xf numFmtId="8" fontId="0" fillId="0" borderId="0" xfId="0" applyNumberFormat="1"/>
    <xf numFmtId="0" fontId="9" fillId="8" borderId="6" xfId="10" applyBorder="1"/>
    <xf numFmtId="0" fontId="0" fillId="0" borderId="9" xfId="0" applyBorder="1"/>
    <xf numFmtId="0" fontId="9" fillId="8" borderId="9" xfId="10" applyBorder="1"/>
    <xf numFmtId="0" fontId="9" fillId="8" borderId="0" xfId="10" applyBorder="1"/>
    <xf numFmtId="14" fontId="0" fillId="0" borderId="9" xfId="0" applyNumberFormat="1" applyBorder="1"/>
    <xf numFmtId="8" fontId="0" fillId="0" borderId="9" xfId="0" applyNumberFormat="1" applyBorder="1"/>
    <xf numFmtId="14" fontId="0" fillId="0" borderId="0" xfId="0" applyNumberFormat="1" applyBorder="1"/>
    <xf numFmtId="8" fontId="0" fillId="0" borderId="0" xfId="0" applyNumberFormat="1" applyBorder="1"/>
    <xf numFmtId="0" fontId="0" fillId="0" borderId="0" xfId="0" applyNumberFormat="1"/>
    <xf numFmtId="165" fontId="0" fillId="0" borderId="0" xfId="0" applyNumberFormat="1" applyFill="1" applyBorder="1" applyAlignment="1"/>
    <xf numFmtId="165" fontId="0" fillId="0" borderId="6" xfId="0" applyNumberFormat="1" applyFill="1" applyBorder="1" applyAlignment="1"/>
    <xf numFmtId="0" fontId="0" fillId="0" borderId="0" xfId="0" applyAlignment="1">
      <alignment horizontal="center"/>
    </xf>
    <xf numFmtId="0" fontId="3" fillId="0" borderId="8" xfId="4" applyBorder="1" applyAlignment="1">
      <alignment horizontal="center"/>
    </xf>
    <xf numFmtId="0" fontId="4" fillId="0" borderId="2" xfId="5" applyAlignment="1">
      <alignment horizontal="center"/>
    </xf>
    <xf numFmtId="0" fontId="3" fillId="0" borderId="1" xfId="4" applyAlignment="1">
      <alignment horizontal="center"/>
    </xf>
    <xf numFmtId="0" fontId="3" fillId="0" borderId="1" xfId="4" applyFill="1" applyAlignment="1">
      <alignment horizontal="center"/>
    </xf>
  </cellXfs>
  <cellStyles count="11">
    <cellStyle name="40% - Accent3" xfId="9" builtinId="39"/>
    <cellStyle name="60% - Accent3" xfId="10" builtinId="40"/>
    <cellStyle name="Accent1" xfId="2" builtinId="29"/>
    <cellStyle name="Accent2" xfId="3" builtinId="33"/>
    <cellStyle name="Calculation" xfId="7" builtinId="22"/>
    <cellStyle name="Check Cell" xfId="8" builtinId="23"/>
    <cellStyle name="Heading 2" xfId="4" builtinId="17"/>
    <cellStyle name="Heading 3" xfId="5" builtinId="18"/>
    <cellStyle name="Neutral" xfId="1" builtinId="28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mR-bar</a:t>
            </a:r>
            <a:r>
              <a:rPr lang="en-US" baseline="0"/>
              <a:t> before switch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Diversity!$F$2</c:f>
              <c:strCache>
                <c:ptCount val="1"/>
                <c:pt idx="0">
                  <c:v>mR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Diversity!$F$3:$F$22</c:f>
              <c:numCache>
                <c:formatCode>General</c:formatCode>
                <c:ptCount val="20"/>
                <c:pt idx="1">
                  <c:v>0.27736786224930832</c:v>
                </c:pt>
                <c:pt idx="2">
                  <c:v>0.28504580142681535</c:v>
                </c:pt>
                <c:pt idx="3">
                  <c:v>1.3142996547743646E-2</c:v>
                </c:pt>
                <c:pt idx="4">
                  <c:v>1.9999053030930192E-2</c:v>
                </c:pt>
                <c:pt idx="5">
                  <c:v>4.802646397771726E-2</c:v>
                </c:pt>
                <c:pt idx="6">
                  <c:v>8.3920693370771016E-2</c:v>
                </c:pt>
                <c:pt idx="7">
                  <c:v>0.1579622614672882</c:v>
                </c:pt>
                <c:pt idx="8">
                  <c:v>5.5205267961979221E-2</c:v>
                </c:pt>
                <c:pt idx="9">
                  <c:v>0.1996358987363327</c:v>
                </c:pt>
                <c:pt idx="10">
                  <c:v>0.24064744406052307</c:v>
                </c:pt>
                <c:pt idx="11">
                  <c:v>5.2869867752761035E-2</c:v>
                </c:pt>
                <c:pt idx="12">
                  <c:v>8.0998907242402662E-2</c:v>
                </c:pt>
                <c:pt idx="13">
                  <c:v>0.17457567662788698</c:v>
                </c:pt>
                <c:pt idx="14">
                  <c:v>2.5350150396087567E-2</c:v>
                </c:pt>
                <c:pt idx="15">
                  <c:v>0.16372615975275284</c:v>
                </c:pt>
                <c:pt idx="16">
                  <c:v>0.10115051254737839</c:v>
                </c:pt>
                <c:pt idx="17">
                  <c:v>6.5337147296343101E-2</c:v>
                </c:pt>
                <c:pt idx="18">
                  <c:v>2.1336773444347923E-2</c:v>
                </c:pt>
                <c:pt idx="19">
                  <c:v>0.15452548165646496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A-4E4E-915A-496191B3CCD4}"/>
            </c:ext>
          </c:extLst>
        </c:ser>
        <c:ser>
          <c:idx val="1"/>
          <c:order val="1"/>
          <c:tx>
            <c:strRef>
              <c:f>Diversity!$G$2</c:f>
              <c:strCache>
                <c:ptCount val="1"/>
                <c:pt idx="0">
                  <c:v>mR-bar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Diversity!$G$3:$G$22</c:f>
              <c:numCache>
                <c:formatCode>General</c:formatCode>
                <c:ptCount val="20"/>
                <c:pt idx="0">
                  <c:v>0.11688549576557024</c:v>
                </c:pt>
                <c:pt idx="1">
                  <c:v>0.11688549576557024</c:v>
                </c:pt>
                <c:pt idx="2">
                  <c:v>0.11688549576557024</c:v>
                </c:pt>
                <c:pt idx="3">
                  <c:v>0.11688549576557024</c:v>
                </c:pt>
                <c:pt idx="4">
                  <c:v>0.11688549576557024</c:v>
                </c:pt>
                <c:pt idx="5">
                  <c:v>0.11688549576557024</c:v>
                </c:pt>
                <c:pt idx="6">
                  <c:v>0.11688549576557024</c:v>
                </c:pt>
                <c:pt idx="7">
                  <c:v>0.11688549576557024</c:v>
                </c:pt>
                <c:pt idx="8">
                  <c:v>0.11688549576557024</c:v>
                </c:pt>
                <c:pt idx="9">
                  <c:v>0.11688549576557024</c:v>
                </c:pt>
                <c:pt idx="10">
                  <c:v>0.11688549576557024</c:v>
                </c:pt>
                <c:pt idx="11">
                  <c:v>0.11688549576557024</c:v>
                </c:pt>
                <c:pt idx="12">
                  <c:v>0.11688549576557024</c:v>
                </c:pt>
                <c:pt idx="13">
                  <c:v>0.11688549576557024</c:v>
                </c:pt>
                <c:pt idx="14">
                  <c:v>0.11688549576557024</c:v>
                </c:pt>
                <c:pt idx="15">
                  <c:v>0.11688549576557024</c:v>
                </c:pt>
                <c:pt idx="16">
                  <c:v>0.11688549576557024</c:v>
                </c:pt>
                <c:pt idx="17">
                  <c:v>0.11688549576557024</c:v>
                </c:pt>
                <c:pt idx="18">
                  <c:v>0.11688549576557024</c:v>
                </c:pt>
                <c:pt idx="19">
                  <c:v>0.11688549576557024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A-4E4E-915A-496191B3CCD4}"/>
            </c:ext>
          </c:extLst>
        </c:ser>
        <c:ser>
          <c:idx val="2"/>
          <c:order val="2"/>
          <c:tx>
            <c:strRef>
              <c:f>Diversity!$H$2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Diversity!$H$3:$H$22</c:f>
              <c:numCache>
                <c:formatCode>General</c:formatCode>
                <c:ptCount val="20"/>
                <c:pt idx="0">
                  <c:v>0.3822155711534147</c:v>
                </c:pt>
                <c:pt idx="1">
                  <c:v>0.3822155711534147</c:v>
                </c:pt>
                <c:pt idx="2">
                  <c:v>0.3822155711534147</c:v>
                </c:pt>
                <c:pt idx="3">
                  <c:v>0.3822155711534147</c:v>
                </c:pt>
                <c:pt idx="4">
                  <c:v>0.3822155711534147</c:v>
                </c:pt>
                <c:pt idx="5">
                  <c:v>0.3822155711534147</c:v>
                </c:pt>
                <c:pt idx="6">
                  <c:v>0.3822155711534147</c:v>
                </c:pt>
                <c:pt idx="7">
                  <c:v>0.3822155711534147</c:v>
                </c:pt>
                <c:pt idx="8">
                  <c:v>0.3822155711534147</c:v>
                </c:pt>
                <c:pt idx="9">
                  <c:v>0.3822155711534147</c:v>
                </c:pt>
                <c:pt idx="10">
                  <c:v>0.3822155711534147</c:v>
                </c:pt>
                <c:pt idx="11">
                  <c:v>0.3822155711534147</c:v>
                </c:pt>
                <c:pt idx="12">
                  <c:v>0.3822155711534147</c:v>
                </c:pt>
                <c:pt idx="13">
                  <c:v>0.3822155711534147</c:v>
                </c:pt>
                <c:pt idx="14">
                  <c:v>0.3822155711534147</c:v>
                </c:pt>
                <c:pt idx="15">
                  <c:v>0.3822155711534147</c:v>
                </c:pt>
                <c:pt idx="16">
                  <c:v>0.3822155711534147</c:v>
                </c:pt>
                <c:pt idx="17">
                  <c:v>0.3822155711534147</c:v>
                </c:pt>
                <c:pt idx="18">
                  <c:v>0.3822155711534147</c:v>
                </c:pt>
                <c:pt idx="19">
                  <c:v>0.3822155711534147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A-4E4E-915A-496191B3CCD4}"/>
            </c:ext>
          </c:extLst>
        </c:ser>
        <c:ser>
          <c:idx val="3"/>
          <c:order val="3"/>
          <c:tx>
            <c:strRef>
              <c:f>Diversity!$I$2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Diversity!$I$3:$I$22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5A-4E4E-915A-496191B3C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71967"/>
        <c:axId val="350953663"/>
      </c:lineChart>
      <c:catAx>
        <c:axId val="35097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53663"/>
        <c:crosses val="autoZero"/>
        <c:auto val="1"/>
        <c:lblAlgn val="ctr"/>
        <c:lblOffset val="100"/>
        <c:noMultiLvlLbl val="0"/>
      </c:catAx>
      <c:valAx>
        <c:axId val="3509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7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</a:t>
            </a:r>
            <a:r>
              <a:rPr lang="en-US" baseline="0"/>
              <a:t> price</a:t>
            </a:r>
          </a:p>
          <a:p>
            <a:pPr>
              <a:defRPr/>
            </a:pPr>
            <a:r>
              <a:rPr lang="en-US" baseline="0"/>
              <a:t>after switch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Diversity!$K$66</c:f>
              <c:strCache>
                <c:ptCount val="1"/>
                <c:pt idx="0">
                  <c:v>X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Diversity!$B$83:$B$94</c:f>
              <c:strCache>
                <c:ptCount val="12"/>
                <c:pt idx="0">
                  <c:v>5/12//10:00</c:v>
                </c:pt>
                <c:pt idx="1">
                  <c:v>5/12//5:00</c:v>
                </c:pt>
                <c:pt idx="2">
                  <c:v>5/17//10:00</c:v>
                </c:pt>
                <c:pt idx="3">
                  <c:v>5/17//5:00</c:v>
                </c:pt>
                <c:pt idx="4">
                  <c:v>5/18//10:00</c:v>
                </c:pt>
                <c:pt idx="5">
                  <c:v>5/18//5:00</c:v>
                </c:pt>
                <c:pt idx="6">
                  <c:v>5/19//10:00</c:v>
                </c:pt>
                <c:pt idx="7">
                  <c:v>5/19//5:00</c:v>
                </c:pt>
                <c:pt idx="8">
                  <c:v>5/20//10:00</c:v>
                </c:pt>
                <c:pt idx="9">
                  <c:v>5/20//5:00</c:v>
                </c:pt>
                <c:pt idx="10">
                  <c:v>5/23//10:00</c:v>
                </c:pt>
                <c:pt idx="11">
                  <c:v>5/23//5:00</c:v>
                </c:pt>
              </c:strCache>
            </c:strRef>
          </c:cat>
          <c:val>
            <c:numRef>
              <c:f>Diversity!$K$83:$K$94</c:f>
              <c:numCache>
                <c:formatCode>General</c:formatCode>
                <c:ptCount val="12"/>
                <c:pt idx="0">
                  <c:v>0.18922238460822835</c:v>
                </c:pt>
                <c:pt idx="1">
                  <c:v>0.19230188193226316</c:v>
                </c:pt>
                <c:pt idx="2">
                  <c:v>0.34688666248131672</c:v>
                </c:pt>
                <c:pt idx="3">
                  <c:v>0.38430386236360092</c:v>
                </c:pt>
                <c:pt idx="4">
                  <c:v>0.28839003995416279</c:v>
                </c:pt>
                <c:pt idx="5">
                  <c:v>0.26973618894357154</c:v>
                </c:pt>
                <c:pt idx="6">
                  <c:v>0.32683457750163325</c:v>
                </c:pt>
                <c:pt idx="7">
                  <c:v>0.33472176025635653</c:v>
                </c:pt>
                <c:pt idx="8">
                  <c:v>0.32021553539539355</c:v>
                </c:pt>
                <c:pt idx="9">
                  <c:v>0.32881377595682476</c:v>
                </c:pt>
                <c:pt idx="10">
                  <c:v>0.28894569671042242</c:v>
                </c:pt>
                <c:pt idx="11">
                  <c:v>0.33758554179267264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7-4D38-B9CA-58715C6814C6}"/>
            </c:ext>
          </c:extLst>
        </c:ser>
        <c:ser>
          <c:idx val="1"/>
          <c:order val="1"/>
          <c:tx>
            <c:strRef>
              <c:f>Diversity!$L$66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Diversity!$B$83:$B$94</c:f>
              <c:strCache>
                <c:ptCount val="12"/>
                <c:pt idx="0">
                  <c:v>5/12//10:00</c:v>
                </c:pt>
                <c:pt idx="1">
                  <c:v>5/12//5:00</c:v>
                </c:pt>
                <c:pt idx="2">
                  <c:v>5/17//10:00</c:v>
                </c:pt>
                <c:pt idx="3">
                  <c:v>5/17//5:00</c:v>
                </c:pt>
                <c:pt idx="4">
                  <c:v>5/18//10:00</c:v>
                </c:pt>
                <c:pt idx="5">
                  <c:v>5/18//5:00</c:v>
                </c:pt>
                <c:pt idx="6">
                  <c:v>5/19//10:00</c:v>
                </c:pt>
                <c:pt idx="7">
                  <c:v>5/19//5:00</c:v>
                </c:pt>
                <c:pt idx="8">
                  <c:v>5/20//10:00</c:v>
                </c:pt>
                <c:pt idx="9">
                  <c:v>5/20//5:00</c:v>
                </c:pt>
                <c:pt idx="10">
                  <c:v>5/23//10:00</c:v>
                </c:pt>
                <c:pt idx="11">
                  <c:v>5/23//5:00</c:v>
                </c:pt>
              </c:strCache>
            </c:strRef>
          </c:cat>
          <c:val>
            <c:numRef>
              <c:f>Diversity!$L$83:$L$94</c:f>
              <c:numCache>
                <c:formatCode>General</c:formatCode>
                <c:ptCount val="12"/>
                <c:pt idx="0">
                  <c:v>0.30066315899137053</c:v>
                </c:pt>
                <c:pt idx="1">
                  <c:v>0.30066315899137053</c:v>
                </c:pt>
                <c:pt idx="2">
                  <c:v>0.30066315899137053</c:v>
                </c:pt>
                <c:pt idx="3">
                  <c:v>0.30066315899137053</c:v>
                </c:pt>
                <c:pt idx="4">
                  <c:v>0.30066315899137053</c:v>
                </c:pt>
                <c:pt idx="5">
                  <c:v>0.30066315899137053</c:v>
                </c:pt>
                <c:pt idx="6">
                  <c:v>0.30066315899137053</c:v>
                </c:pt>
                <c:pt idx="7">
                  <c:v>0.30066315899137053</c:v>
                </c:pt>
                <c:pt idx="8">
                  <c:v>0.30066315899137053</c:v>
                </c:pt>
                <c:pt idx="9">
                  <c:v>0.30066315899137053</c:v>
                </c:pt>
                <c:pt idx="10">
                  <c:v>0.30066315899137053</c:v>
                </c:pt>
                <c:pt idx="11">
                  <c:v>0.30066315899137053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7-4D38-B9CA-58715C6814C6}"/>
            </c:ext>
          </c:extLst>
        </c:ser>
        <c:ser>
          <c:idx val="2"/>
          <c:order val="2"/>
          <c:tx>
            <c:strRef>
              <c:f>Diversity!$M$66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Diversity!$B$83:$B$94</c:f>
              <c:strCache>
                <c:ptCount val="12"/>
                <c:pt idx="0">
                  <c:v>5/12//10:00</c:v>
                </c:pt>
                <c:pt idx="1">
                  <c:v>5/12//5:00</c:v>
                </c:pt>
                <c:pt idx="2">
                  <c:v>5/17//10:00</c:v>
                </c:pt>
                <c:pt idx="3">
                  <c:v>5/17//5:00</c:v>
                </c:pt>
                <c:pt idx="4">
                  <c:v>5/18//10:00</c:v>
                </c:pt>
                <c:pt idx="5">
                  <c:v>5/18//5:00</c:v>
                </c:pt>
                <c:pt idx="6">
                  <c:v>5/19//10:00</c:v>
                </c:pt>
                <c:pt idx="7">
                  <c:v>5/19//5:00</c:v>
                </c:pt>
                <c:pt idx="8">
                  <c:v>5/20//10:00</c:v>
                </c:pt>
                <c:pt idx="9">
                  <c:v>5/20//5:00</c:v>
                </c:pt>
                <c:pt idx="10">
                  <c:v>5/23//10:00</c:v>
                </c:pt>
                <c:pt idx="11">
                  <c:v>5/23//5:00</c:v>
                </c:pt>
              </c:strCache>
            </c:strRef>
          </c:cat>
          <c:val>
            <c:numRef>
              <c:f>Diversity!$M$83:$M$94</c:f>
              <c:numCache>
                <c:formatCode>General</c:formatCode>
                <c:ptCount val="12"/>
                <c:pt idx="0">
                  <c:v>0.41824655158740343</c:v>
                </c:pt>
                <c:pt idx="1">
                  <c:v>0.41824655158740343</c:v>
                </c:pt>
                <c:pt idx="2">
                  <c:v>0.41824655158740343</c:v>
                </c:pt>
                <c:pt idx="3">
                  <c:v>0.41824655158740343</c:v>
                </c:pt>
                <c:pt idx="4">
                  <c:v>0.41824655158740343</c:v>
                </c:pt>
                <c:pt idx="5">
                  <c:v>0.41824655158740343</c:v>
                </c:pt>
                <c:pt idx="6">
                  <c:v>0.41824655158740343</c:v>
                </c:pt>
                <c:pt idx="7">
                  <c:v>0.41824655158740343</c:v>
                </c:pt>
                <c:pt idx="8">
                  <c:v>0.41824655158740343</c:v>
                </c:pt>
                <c:pt idx="9">
                  <c:v>0.41824655158740343</c:v>
                </c:pt>
                <c:pt idx="10">
                  <c:v>0.41824655158740343</c:v>
                </c:pt>
                <c:pt idx="11">
                  <c:v>0.41824655158740343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7-4D38-B9CA-58715C6814C6}"/>
            </c:ext>
          </c:extLst>
        </c:ser>
        <c:ser>
          <c:idx val="3"/>
          <c:order val="3"/>
          <c:tx>
            <c:strRef>
              <c:f>Diversity!$N$66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Diversity!$B$83:$B$94</c:f>
              <c:strCache>
                <c:ptCount val="12"/>
                <c:pt idx="0">
                  <c:v>5/12//10:00</c:v>
                </c:pt>
                <c:pt idx="1">
                  <c:v>5/12//5:00</c:v>
                </c:pt>
                <c:pt idx="2">
                  <c:v>5/17//10:00</c:v>
                </c:pt>
                <c:pt idx="3">
                  <c:v>5/17//5:00</c:v>
                </c:pt>
                <c:pt idx="4">
                  <c:v>5/18//10:00</c:v>
                </c:pt>
                <c:pt idx="5">
                  <c:v>5/18//5:00</c:v>
                </c:pt>
                <c:pt idx="6">
                  <c:v>5/19//10:00</c:v>
                </c:pt>
                <c:pt idx="7">
                  <c:v>5/19//5:00</c:v>
                </c:pt>
                <c:pt idx="8">
                  <c:v>5/20//10:00</c:v>
                </c:pt>
                <c:pt idx="9">
                  <c:v>5/20//5:00</c:v>
                </c:pt>
                <c:pt idx="10">
                  <c:v>5/23//10:00</c:v>
                </c:pt>
                <c:pt idx="11">
                  <c:v>5/23//5:00</c:v>
                </c:pt>
              </c:strCache>
            </c:strRef>
          </c:cat>
          <c:val>
            <c:numRef>
              <c:f>Diversity!$N$83:$N$94</c:f>
              <c:numCache>
                <c:formatCode>General</c:formatCode>
                <c:ptCount val="12"/>
                <c:pt idx="0">
                  <c:v>0.18307976639533766</c:v>
                </c:pt>
                <c:pt idx="1">
                  <c:v>0.18307976639533766</c:v>
                </c:pt>
                <c:pt idx="2">
                  <c:v>0.18307976639533766</c:v>
                </c:pt>
                <c:pt idx="3">
                  <c:v>0.18307976639533766</c:v>
                </c:pt>
                <c:pt idx="4">
                  <c:v>0.18307976639533766</c:v>
                </c:pt>
                <c:pt idx="5">
                  <c:v>0.18307976639533766</c:v>
                </c:pt>
                <c:pt idx="6">
                  <c:v>0.18307976639533766</c:v>
                </c:pt>
                <c:pt idx="7">
                  <c:v>0.18307976639533766</c:v>
                </c:pt>
                <c:pt idx="8">
                  <c:v>0.18307976639533766</c:v>
                </c:pt>
                <c:pt idx="9">
                  <c:v>0.18307976639533766</c:v>
                </c:pt>
                <c:pt idx="10">
                  <c:v>0.18307976639533766</c:v>
                </c:pt>
                <c:pt idx="11">
                  <c:v>0.18307976639533766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7-4D38-B9CA-58715C681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91632"/>
        <c:axId val="1640972496"/>
      </c:lineChart>
      <c:catAx>
        <c:axId val="16409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72496"/>
        <c:crosses val="autoZero"/>
        <c:auto val="1"/>
        <c:lblAlgn val="ctr"/>
        <c:lblOffset val="100"/>
        <c:noMultiLvlLbl val="0"/>
      </c:catAx>
      <c:valAx>
        <c:axId val="16409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mR-bar</a:t>
            </a:r>
            <a:endParaRPr lang="en-US" sz="1400" b="0" i="0" u="none" strike="noStrike" baseline="0">
              <a:effectLst/>
            </a:endParaRP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Diversity!$X$66</c:f>
              <c:strCache>
                <c:ptCount val="1"/>
                <c:pt idx="0">
                  <c:v>mR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Diversity!$B$67:$B$94</c:f>
              <c:strCache>
                <c:ptCount val="28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4/28//10:00</c:v>
                </c:pt>
                <c:pt idx="10">
                  <c:v>4/28//5:00</c:v>
                </c:pt>
                <c:pt idx="11">
                  <c:v>5/2//10:00</c:v>
                </c:pt>
                <c:pt idx="12">
                  <c:v>5/2//5:00</c:v>
                </c:pt>
                <c:pt idx="13">
                  <c:v>5/3//10:00</c:v>
                </c:pt>
                <c:pt idx="14">
                  <c:v>5/3//5:00</c:v>
                </c:pt>
                <c:pt idx="15">
                  <c:v>5/4//5:00</c:v>
                </c:pt>
                <c:pt idx="16">
                  <c:v>5/12//10:00</c:v>
                </c:pt>
                <c:pt idx="17">
                  <c:v>5/12//5:00</c:v>
                </c:pt>
                <c:pt idx="18">
                  <c:v>5/17//10:00</c:v>
                </c:pt>
                <c:pt idx="19">
                  <c:v>5/17//5:00</c:v>
                </c:pt>
                <c:pt idx="20">
                  <c:v>5/18//10:00</c:v>
                </c:pt>
                <c:pt idx="21">
                  <c:v>5/18//5:00</c:v>
                </c:pt>
                <c:pt idx="22">
                  <c:v>5/19//10:00</c:v>
                </c:pt>
                <c:pt idx="23">
                  <c:v>5/19//5:00</c:v>
                </c:pt>
                <c:pt idx="24">
                  <c:v>5/20//10:00</c:v>
                </c:pt>
                <c:pt idx="25">
                  <c:v>5/20//5:00</c:v>
                </c:pt>
                <c:pt idx="26">
                  <c:v>5/23//10:00</c:v>
                </c:pt>
                <c:pt idx="27">
                  <c:v>5/23//5:00</c:v>
                </c:pt>
              </c:strCache>
            </c:strRef>
          </c:cat>
          <c:val>
            <c:numRef>
              <c:f>Diversity!$X$67:$X$94</c:f>
              <c:numCache>
                <c:formatCode>General</c:formatCode>
                <c:ptCount val="28"/>
                <c:pt idx="1">
                  <c:v>4.2008535814477277E-2</c:v>
                </c:pt>
                <c:pt idx="2">
                  <c:v>0.12114026998897132</c:v>
                </c:pt>
                <c:pt idx="3">
                  <c:v>2.3864574343787637E-3</c:v>
                </c:pt>
                <c:pt idx="4">
                  <c:v>0.45813320948469316</c:v>
                </c:pt>
                <c:pt idx="5">
                  <c:v>1.7046831654983552E-2</c:v>
                </c:pt>
                <c:pt idx="6">
                  <c:v>0.33075765193912632</c:v>
                </c:pt>
                <c:pt idx="7">
                  <c:v>0.22094967422232487</c:v>
                </c:pt>
                <c:pt idx="8">
                  <c:v>7.9651025096608707E-3</c:v>
                </c:pt>
                <c:pt idx="9">
                  <c:v>0.37524676656343176</c:v>
                </c:pt>
                <c:pt idx="10">
                  <c:v>2.3094212431700289E-2</c:v>
                </c:pt>
                <c:pt idx="11">
                  <c:v>0.23057152127526037</c:v>
                </c:pt>
                <c:pt idx="12">
                  <c:v>5.4533878991462892E-3</c:v>
                </c:pt>
                <c:pt idx="13">
                  <c:v>0.26268351401306156</c:v>
                </c:pt>
                <c:pt idx="14">
                  <c:v>3.0214288576419612E-2</c:v>
                </c:pt>
                <c:pt idx="15">
                  <c:v>0.21584700562824888</c:v>
                </c:pt>
                <c:pt idx="16">
                  <c:v>0.37760681269822383</c:v>
                </c:pt>
                <c:pt idx="17">
                  <c:v>3.0794973240348134E-3</c:v>
                </c:pt>
                <c:pt idx="18">
                  <c:v>0.15458478054905356</c:v>
                </c:pt>
                <c:pt idx="19">
                  <c:v>3.7417199882284202E-2</c:v>
                </c:pt>
                <c:pt idx="20">
                  <c:v>9.5913822409438132E-2</c:v>
                </c:pt>
                <c:pt idx="21">
                  <c:v>1.8653851010591249E-2</c:v>
                </c:pt>
                <c:pt idx="22">
                  <c:v>5.7098388558061708E-2</c:v>
                </c:pt>
                <c:pt idx="23">
                  <c:v>7.8871827547232765E-3</c:v>
                </c:pt>
                <c:pt idx="24">
                  <c:v>1.450622486096298E-2</c:v>
                </c:pt>
                <c:pt idx="25">
                  <c:v>8.5982405614312141E-3</c:v>
                </c:pt>
                <c:pt idx="26">
                  <c:v>3.9868079246402344E-2</c:v>
                </c:pt>
                <c:pt idx="27">
                  <c:v>4.8639845082250222E-2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F-416A-9D12-C46CF1E6F8D7}"/>
            </c:ext>
          </c:extLst>
        </c:ser>
        <c:ser>
          <c:idx val="1"/>
          <c:order val="1"/>
          <c:tx>
            <c:strRef>
              <c:f>Diversity!$Y$66</c:f>
              <c:strCache>
                <c:ptCount val="1"/>
                <c:pt idx="0">
                  <c:v>mR-bar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Diversity!$B$67:$B$94</c:f>
              <c:strCache>
                <c:ptCount val="28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4/28//10:00</c:v>
                </c:pt>
                <c:pt idx="10">
                  <c:v>4/28//5:00</c:v>
                </c:pt>
                <c:pt idx="11">
                  <c:v>5/2//10:00</c:v>
                </c:pt>
                <c:pt idx="12">
                  <c:v>5/2//5:00</c:v>
                </c:pt>
                <c:pt idx="13">
                  <c:v>5/3//10:00</c:v>
                </c:pt>
                <c:pt idx="14">
                  <c:v>5/3//5:00</c:v>
                </c:pt>
                <c:pt idx="15">
                  <c:v>5/4//5:00</c:v>
                </c:pt>
                <c:pt idx="16">
                  <c:v>5/12//10:00</c:v>
                </c:pt>
                <c:pt idx="17">
                  <c:v>5/12//5:00</c:v>
                </c:pt>
                <c:pt idx="18">
                  <c:v>5/17//10:00</c:v>
                </c:pt>
                <c:pt idx="19">
                  <c:v>5/17//5:00</c:v>
                </c:pt>
                <c:pt idx="20">
                  <c:v>5/18//10:00</c:v>
                </c:pt>
                <c:pt idx="21">
                  <c:v>5/18//5:00</c:v>
                </c:pt>
                <c:pt idx="22">
                  <c:v>5/19//10:00</c:v>
                </c:pt>
                <c:pt idx="23">
                  <c:v>5/19//5:00</c:v>
                </c:pt>
                <c:pt idx="24">
                  <c:v>5/20//10:00</c:v>
                </c:pt>
                <c:pt idx="25">
                  <c:v>5/20//5:00</c:v>
                </c:pt>
                <c:pt idx="26">
                  <c:v>5/23//10:00</c:v>
                </c:pt>
                <c:pt idx="27">
                  <c:v>5/23//5:00</c:v>
                </c:pt>
              </c:strCache>
            </c:strRef>
          </c:cat>
          <c:val>
            <c:numRef>
              <c:f>Diversity!$Y$67:$Y$94</c:f>
              <c:numCache>
                <c:formatCode>General</c:formatCode>
                <c:ptCount val="28"/>
                <c:pt idx="0">
                  <c:v>0.11879082793975346</c:v>
                </c:pt>
                <c:pt idx="1">
                  <c:v>0.11879082793975346</c:v>
                </c:pt>
                <c:pt idx="2">
                  <c:v>0.11879082793975346</c:v>
                </c:pt>
                <c:pt idx="3">
                  <c:v>0.11879082793975346</c:v>
                </c:pt>
                <c:pt idx="4">
                  <c:v>0.11879082793975346</c:v>
                </c:pt>
                <c:pt idx="5">
                  <c:v>0.11879082793975346</c:v>
                </c:pt>
                <c:pt idx="6">
                  <c:v>0.11879082793975346</c:v>
                </c:pt>
                <c:pt idx="7">
                  <c:v>0.11879082793975346</c:v>
                </c:pt>
                <c:pt idx="8">
                  <c:v>0.11879082793975346</c:v>
                </c:pt>
                <c:pt idx="9">
                  <c:v>0.11879082793975346</c:v>
                </c:pt>
                <c:pt idx="10">
                  <c:v>0.11879082793975346</c:v>
                </c:pt>
                <c:pt idx="11">
                  <c:v>0.11879082793975346</c:v>
                </c:pt>
                <c:pt idx="12">
                  <c:v>0.11879082793975346</c:v>
                </c:pt>
                <c:pt idx="13">
                  <c:v>0.11879082793975346</c:v>
                </c:pt>
                <c:pt idx="14">
                  <c:v>0.11879082793975346</c:v>
                </c:pt>
                <c:pt idx="15">
                  <c:v>0.11879082793975346</c:v>
                </c:pt>
                <c:pt idx="16">
                  <c:v>0.11879082793975346</c:v>
                </c:pt>
                <c:pt idx="17">
                  <c:v>0.11879082793975346</c:v>
                </c:pt>
                <c:pt idx="18">
                  <c:v>0.11879082793975346</c:v>
                </c:pt>
                <c:pt idx="19">
                  <c:v>0.11879082793975346</c:v>
                </c:pt>
                <c:pt idx="20">
                  <c:v>0.11879082793975346</c:v>
                </c:pt>
                <c:pt idx="21">
                  <c:v>0.11879082793975346</c:v>
                </c:pt>
                <c:pt idx="22">
                  <c:v>0.11879082793975346</c:v>
                </c:pt>
                <c:pt idx="23">
                  <c:v>0.11879082793975346</c:v>
                </c:pt>
                <c:pt idx="24">
                  <c:v>0.11879082793975346</c:v>
                </c:pt>
                <c:pt idx="25">
                  <c:v>0.11879082793975346</c:v>
                </c:pt>
                <c:pt idx="26">
                  <c:v>0.11879082793975346</c:v>
                </c:pt>
                <c:pt idx="27">
                  <c:v>0.11879082793975346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F-416A-9D12-C46CF1E6F8D7}"/>
            </c:ext>
          </c:extLst>
        </c:ser>
        <c:ser>
          <c:idx val="2"/>
          <c:order val="2"/>
          <c:tx>
            <c:strRef>
              <c:f>Diversity!$Z$66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Diversity!$B$67:$B$94</c:f>
              <c:strCache>
                <c:ptCount val="28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4/28//10:00</c:v>
                </c:pt>
                <c:pt idx="10">
                  <c:v>4/28//5:00</c:v>
                </c:pt>
                <c:pt idx="11">
                  <c:v>5/2//10:00</c:v>
                </c:pt>
                <c:pt idx="12">
                  <c:v>5/2//5:00</c:v>
                </c:pt>
                <c:pt idx="13">
                  <c:v>5/3//10:00</c:v>
                </c:pt>
                <c:pt idx="14">
                  <c:v>5/3//5:00</c:v>
                </c:pt>
                <c:pt idx="15">
                  <c:v>5/4//5:00</c:v>
                </c:pt>
                <c:pt idx="16">
                  <c:v>5/12//10:00</c:v>
                </c:pt>
                <c:pt idx="17">
                  <c:v>5/12//5:00</c:v>
                </c:pt>
                <c:pt idx="18">
                  <c:v>5/17//10:00</c:v>
                </c:pt>
                <c:pt idx="19">
                  <c:v>5/17//5:00</c:v>
                </c:pt>
                <c:pt idx="20">
                  <c:v>5/18//10:00</c:v>
                </c:pt>
                <c:pt idx="21">
                  <c:v>5/18//5:00</c:v>
                </c:pt>
                <c:pt idx="22">
                  <c:v>5/19//10:00</c:v>
                </c:pt>
                <c:pt idx="23">
                  <c:v>5/19//5:00</c:v>
                </c:pt>
                <c:pt idx="24">
                  <c:v>5/20//10:00</c:v>
                </c:pt>
                <c:pt idx="25">
                  <c:v>5/20//5:00</c:v>
                </c:pt>
                <c:pt idx="26">
                  <c:v>5/23//10:00</c:v>
                </c:pt>
                <c:pt idx="27">
                  <c:v>5/23//5:00</c:v>
                </c:pt>
              </c:strCache>
            </c:strRef>
          </c:cat>
          <c:val>
            <c:numRef>
              <c:f>Diversity!$Z$67:$Z$94</c:f>
              <c:numCache>
                <c:formatCode>General</c:formatCode>
                <c:ptCount val="28"/>
                <c:pt idx="0">
                  <c:v>0.38844600736299378</c:v>
                </c:pt>
                <c:pt idx="1">
                  <c:v>0.38844600736299378</c:v>
                </c:pt>
                <c:pt idx="2">
                  <c:v>0.38844600736299378</c:v>
                </c:pt>
                <c:pt idx="3">
                  <c:v>0.38844600736299378</c:v>
                </c:pt>
                <c:pt idx="4">
                  <c:v>0.38844600736299378</c:v>
                </c:pt>
                <c:pt idx="5">
                  <c:v>0.38844600736299378</c:v>
                </c:pt>
                <c:pt idx="6">
                  <c:v>0.38844600736299378</c:v>
                </c:pt>
                <c:pt idx="7">
                  <c:v>0.38844600736299378</c:v>
                </c:pt>
                <c:pt idx="8">
                  <c:v>0.38844600736299378</c:v>
                </c:pt>
                <c:pt idx="9">
                  <c:v>0.38844600736299378</c:v>
                </c:pt>
                <c:pt idx="10">
                  <c:v>0.38844600736299378</c:v>
                </c:pt>
                <c:pt idx="11">
                  <c:v>0.38844600736299378</c:v>
                </c:pt>
                <c:pt idx="12">
                  <c:v>0.38844600736299378</c:v>
                </c:pt>
                <c:pt idx="13">
                  <c:v>0.38844600736299378</c:v>
                </c:pt>
                <c:pt idx="14">
                  <c:v>0.38844600736299378</c:v>
                </c:pt>
                <c:pt idx="15">
                  <c:v>0.38844600736299378</c:v>
                </c:pt>
                <c:pt idx="16">
                  <c:v>0.38844600736299378</c:v>
                </c:pt>
                <c:pt idx="17">
                  <c:v>0.38844600736299378</c:v>
                </c:pt>
                <c:pt idx="18">
                  <c:v>0.38844600736299378</c:v>
                </c:pt>
                <c:pt idx="19">
                  <c:v>0.38844600736299378</c:v>
                </c:pt>
                <c:pt idx="20">
                  <c:v>0.38844600736299378</c:v>
                </c:pt>
                <c:pt idx="21">
                  <c:v>0.38844600736299378</c:v>
                </c:pt>
                <c:pt idx="22">
                  <c:v>0.38844600736299378</c:v>
                </c:pt>
                <c:pt idx="23">
                  <c:v>0.38844600736299378</c:v>
                </c:pt>
                <c:pt idx="24">
                  <c:v>0.38844600736299378</c:v>
                </c:pt>
                <c:pt idx="25">
                  <c:v>0.38844600736299378</c:v>
                </c:pt>
                <c:pt idx="26">
                  <c:v>0.38844600736299378</c:v>
                </c:pt>
                <c:pt idx="27">
                  <c:v>0.38844600736299378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F-416A-9D12-C46CF1E6F8D7}"/>
            </c:ext>
          </c:extLst>
        </c:ser>
        <c:ser>
          <c:idx val="3"/>
          <c:order val="3"/>
          <c:tx>
            <c:strRef>
              <c:f>Diversity!$AA$66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Diversity!$B$67:$B$94</c:f>
              <c:strCache>
                <c:ptCount val="28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4/28//10:00</c:v>
                </c:pt>
                <c:pt idx="10">
                  <c:v>4/28//5:00</c:v>
                </c:pt>
                <c:pt idx="11">
                  <c:v>5/2//10:00</c:v>
                </c:pt>
                <c:pt idx="12">
                  <c:v>5/2//5:00</c:v>
                </c:pt>
                <c:pt idx="13">
                  <c:v>5/3//10:00</c:v>
                </c:pt>
                <c:pt idx="14">
                  <c:v>5/3//5:00</c:v>
                </c:pt>
                <c:pt idx="15">
                  <c:v>5/4//5:00</c:v>
                </c:pt>
                <c:pt idx="16">
                  <c:v>5/12//10:00</c:v>
                </c:pt>
                <c:pt idx="17">
                  <c:v>5/12//5:00</c:v>
                </c:pt>
                <c:pt idx="18">
                  <c:v>5/17//10:00</c:v>
                </c:pt>
                <c:pt idx="19">
                  <c:v>5/17//5:00</c:v>
                </c:pt>
                <c:pt idx="20">
                  <c:v>5/18//10:00</c:v>
                </c:pt>
                <c:pt idx="21">
                  <c:v>5/18//5:00</c:v>
                </c:pt>
                <c:pt idx="22">
                  <c:v>5/19//10:00</c:v>
                </c:pt>
                <c:pt idx="23">
                  <c:v>5/19//5:00</c:v>
                </c:pt>
                <c:pt idx="24">
                  <c:v>5/20//10:00</c:v>
                </c:pt>
                <c:pt idx="25">
                  <c:v>5/20//5:00</c:v>
                </c:pt>
                <c:pt idx="26">
                  <c:v>5/23//10:00</c:v>
                </c:pt>
                <c:pt idx="27">
                  <c:v>5/23//5:00</c:v>
                </c:pt>
              </c:strCache>
            </c:strRef>
          </c:cat>
          <c:val>
            <c:numRef>
              <c:f>Diversity!$AA$67:$AA$94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EF-416A-9D12-C46CF1E6F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80896"/>
        <c:axId val="2139387552"/>
      </c:lineChart>
      <c:catAx>
        <c:axId val="21393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87552"/>
        <c:crosses val="autoZero"/>
        <c:auto val="1"/>
        <c:lblAlgn val="ctr"/>
        <c:lblOffset val="100"/>
        <c:noMultiLvlLbl val="0"/>
      </c:catAx>
      <c:valAx>
        <c:axId val="21393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X-bar</a:t>
            </a:r>
          </a:p>
          <a:p>
            <a:pPr>
              <a:defRPr/>
            </a:pPr>
            <a:r>
              <a:rPr lang="en-US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Diversity!$AC$66</c:f>
              <c:strCache>
                <c:ptCount val="1"/>
                <c:pt idx="0">
                  <c:v>X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Diversity!$B$67:$B$94</c:f>
              <c:strCache>
                <c:ptCount val="28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4/28//10:00</c:v>
                </c:pt>
                <c:pt idx="10">
                  <c:v>4/28//5:00</c:v>
                </c:pt>
                <c:pt idx="11">
                  <c:v>5/2//10:00</c:v>
                </c:pt>
                <c:pt idx="12">
                  <c:v>5/2//5:00</c:v>
                </c:pt>
                <c:pt idx="13">
                  <c:v>5/3//10:00</c:v>
                </c:pt>
                <c:pt idx="14">
                  <c:v>5/3//5:00</c:v>
                </c:pt>
                <c:pt idx="15">
                  <c:v>5/4//5:00</c:v>
                </c:pt>
                <c:pt idx="16">
                  <c:v>5/12//10:00</c:v>
                </c:pt>
                <c:pt idx="17">
                  <c:v>5/12//5:00</c:v>
                </c:pt>
                <c:pt idx="18">
                  <c:v>5/17//10:00</c:v>
                </c:pt>
                <c:pt idx="19">
                  <c:v>5/17//5:00</c:v>
                </c:pt>
                <c:pt idx="20">
                  <c:v>5/18//10:00</c:v>
                </c:pt>
                <c:pt idx="21">
                  <c:v>5/18//5:00</c:v>
                </c:pt>
                <c:pt idx="22">
                  <c:v>5/19//10:00</c:v>
                </c:pt>
                <c:pt idx="23">
                  <c:v>5/19//5:00</c:v>
                </c:pt>
                <c:pt idx="24">
                  <c:v>5/20//10:00</c:v>
                </c:pt>
                <c:pt idx="25">
                  <c:v>5/20//5:00</c:v>
                </c:pt>
                <c:pt idx="26">
                  <c:v>5/23//10:00</c:v>
                </c:pt>
                <c:pt idx="27">
                  <c:v>5/23//5:00</c:v>
                </c:pt>
              </c:strCache>
            </c:strRef>
          </c:cat>
          <c:val>
            <c:numRef>
              <c:f>Diversity!$AC$67:$AC$94</c:f>
              <c:numCache>
                <c:formatCode>General</c:formatCode>
                <c:ptCount val="28"/>
                <c:pt idx="0">
                  <c:v>0.39086510359989629</c:v>
                </c:pt>
                <c:pt idx="1">
                  <c:v>0.34885656778541901</c:v>
                </c:pt>
                <c:pt idx="2">
                  <c:v>0.46999683777439033</c:v>
                </c:pt>
                <c:pt idx="3">
                  <c:v>0.47238329520876909</c:v>
                </c:pt>
                <c:pt idx="4">
                  <c:v>0.93051650469346225</c:v>
                </c:pt>
                <c:pt idx="5">
                  <c:v>0.94756333634844581</c:v>
                </c:pt>
                <c:pt idx="6">
                  <c:v>0.61680568440931949</c:v>
                </c:pt>
                <c:pt idx="7">
                  <c:v>0.39585601018699462</c:v>
                </c:pt>
                <c:pt idx="8">
                  <c:v>0.38789090767733375</c:v>
                </c:pt>
                <c:pt idx="9">
                  <c:v>0.76313767424076551</c:v>
                </c:pt>
                <c:pt idx="10">
                  <c:v>0.7862318866724658</c:v>
                </c:pt>
                <c:pt idx="11">
                  <c:v>0.55566036539720542</c:v>
                </c:pt>
                <c:pt idx="12">
                  <c:v>0.55020697749805914</c:v>
                </c:pt>
                <c:pt idx="13">
                  <c:v>0.81289049151112069</c:v>
                </c:pt>
                <c:pt idx="14">
                  <c:v>0.78267620293470108</c:v>
                </c:pt>
                <c:pt idx="15">
                  <c:v>0.5668291973064522</c:v>
                </c:pt>
                <c:pt idx="16">
                  <c:v>0.18922238460822835</c:v>
                </c:pt>
                <c:pt idx="17">
                  <c:v>0.19230188193226316</c:v>
                </c:pt>
                <c:pt idx="18">
                  <c:v>0.34688666248131672</c:v>
                </c:pt>
                <c:pt idx="19">
                  <c:v>0.38430386236360092</c:v>
                </c:pt>
                <c:pt idx="20">
                  <c:v>0.28839003995416279</c:v>
                </c:pt>
                <c:pt idx="21">
                  <c:v>0.26973618894357154</c:v>
                </c:pt>
                <c:pt idx="22">
                  <c:v>0.32683457750163325</c:v>
                </c:pt>
                <c:pt idx="23">
                  <c:v>0.33472176025635653</c:v>
                </c:pt>
                <c:pt idx="24">
                  <c:v>0.32021553539539355</c:v>
                </c:pt>
                <c:pt idx="25">
                  <c:v>0.32881377595682476</c:v>
                </c:pt>
                <c:pt idx="26">
                  <c:v>0.28894569671042242</c:v>
                </c:pt>
                <c:pt idx="27">
                  <c:v>0.33758554179267264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8-4391-A3D3-1A744DA641C8}"/>
            </c:ext>
          </c:extLst>
        </c:ser>
        <c:ser>
          <c:idx val="1"/>
          <c:order val="1"/>
          <c:tx>
            <c:strRef>
              <c:f>Diversity!$AD$66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Diversity!$B$67:$B$94</c:f>
              <c:strCache>
                <c:ptCount val="28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4/28//10:00</c:v>
                </c:pt>
                <c:pt idx="10">
                  <c:v>4/28//5:00</c:v>
                </c:pt>
                <c:pt idx="11">
                  <c:v>5/2//10:00</c:v>
                </c:pt>
                <c:pt idx="12">
                  <c:v>5/2//5:00</c:v>
                </c:pt>
                <c:pt idx="13">
                  <c:v>5/3//10:00</c:v>
                </c:pt>
                <c:pt idx="14">
                  <c:v>5/3//5:00</c:v>
                </c:pt>
                <c:pt idx="15">
                  <c:v>5/4//5:00</c:v>
                </c:pt>
                <c:pt idx="16">
                  <c:v>5/12//10:00</c:v>
                </c:pt>
                <c:pt idx="17">
                  <c:v>5/12//5:00</c:v>
                </c:pt>
                <c:pt idx="18">
                  <c:v>5/17//10:00</c:v>
                </c:pt>
                <c:pt idx="19">
                  <c:v>5/17//5:00</c:v>
                </c:pt>
                <c:pt idx="20">
                  <c:v>5/18//10:00</c:v>
                </c:pt>
                <c:pt idx="21">
                  <c:v>5/18//5:00</c:v>
                </c:pt>
                <c:pt idx="22">
                  <c:v>5/19//10:00</c:v>
                </c:pt>
                <c:pt idx="23">
                  <c:v>5/19//5:00</c:v>
                </c:pt>
                <c:pt idx="24">
                  <c:v>5/20//10:00</c:v>
                </c:pt>
                <c:pt idx="25">
                  <c:v>5/20//5:00</c:v>
                </c:pt>
                <c:pt idx="26">
                  <c:v>5/23//10:00</c:v>
                </c:pt>
                <c:pt idx="27">
                  <c:v>5/23//5:00</c:v>
                </c:pt>
              </c:strCache>
            </c:strRef>
          </c:cat>
          <c:val>
            <c:numRef>
              <c:f>Diversity!$AD$67:$AD$94</c:f>
              <c:numCache>
                <c:formatCode>General</c:formatCode>
                <c:ptCount val="28"/>
                <c:pt idx="0">
                  <c:v>0.47808303396933022</c:v>
                </c:pt>
                <c:pt idx="1">
                  <c:v>0.47808303396933022</c:v>
                </c:pt>
                <c:pt idx="2">
                  <c:v>0.47808303396933022</c:v>
                </c:pt>
                <c:pt idx="3">
                  <c:v>0.47808303396933022</c:v>
                </c:pt>
                <c:pt idx="4">
                  <c:v>0.47808303396933022</c:v>
                </c:pt>
                <c:pt idx="5">
                  <c:v>0.47808303396933022</c:v>
                </c:pt>
                <c:pt idx="6">
                  <c:v>0.47808303396933022</c:v>
                </c:pt>
                <c:pt idx="7">
                  <c:v>0.47808303396933022</c:v>
                </c:pt>
                <c:pt idx="8">
                  <c:v>0.47808303396933022</c:v>
                </c:pt>
                <c:pt idx="9">
                  <c:v>0.47808303396933022</c:v>
                </c:pt>
                <c:pt idx="10">
                  <c:v>0.47808303396933022</c:v>
                </c:pt>
                <c:pt idx="11">
                  <c:v>0.47808303396933022</c:v>
                </c:pt>
                <c:pt idx="12">
                  <c:v>0.47808303396933022</c:v>
                </c:pt>
                <c:pt idx="13">
                  <c:v>0.47808303396933022</c:v>
                </c:pt>
                <c:pt idx="14">
                  <c:v>0.47808303396933022</c:v>
                </c:pt>
                <c:pt idx="15">
                  <c:v>0.47808303396933022</c:v>
                </c:pt>
                <c:pt idx="16">
                  <c:v>0.47808303396933022</c:v>
                </c:pt>
                <c:pt idx="17">
                  <c:v>0.47808303396933022</c:v>
                </c:pt>
                <c:pt idx="18">
                  <c:v>0.47808303396933022</c:v>
                </c:pt>
                <c:pt idx="19">
                  <c:v>0.47808303396933022</c:v>
                </c:pt>
                <c:pt idx="20">
                  <c:v>0.47808303396933022</c:v>
                </c:pt>
                <c:pt idx="21">
                  <c:v>0.47808303396933022</c:v>
                </c:pt>
                <c:pt idx="22">
                  <c:v>0.47808303396933022</c:v>
                </c:pt>
                <c:pt idx="23">
                  <c:v>0.47808303396933022</c:v>
                </c:pt>
                <c:pt idx="24">
                  <c:v>0.47808303396933022</c:v>
                </c:pt>
                <c:pt idx="25">
                  <c:v>0.47808303396933022</c:v>
                </c:pt>
                <c:pt idx="26">
                  <c:v>0.47808303396933022</c:v>
                </c:pt>
                <c:pt idx="27">
                  <c:v>0.47808303396933022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8-4391-A3D3-1A744DA641C8}"/>
            </c:ext>
          </c:extLst>
        </c:ser>
        <c:ser>
          <c:idx val="2"/>
          <c:order val="2"/>
          <c:tx>
            <c:strRef>
              <c:f>Diversity!$AE$66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Diversity!$B$67:$B$94</c:f>
              <c:strCache>
                <c:ptCount val="28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4/28//10:00</c:v>
                </c:pt>
                <c:pt idx="10">
                  <c:v>4/28//5:00</c:v>
                </c:pt>
                <c:pt idx="11">
                  <c:v>5/2//10:00</c:v>
                </c:pt>
                <c:pt idx="12">
                  <c:v>5/2//5:00</c:v>
                </c:pt>
                <c:pt idx="13">
                  <c:v>5/3//10:00</c:v>
                </c:pt>
                <c:pt idx="14">
                  <c:v>5/3//5:00</c:v>
                </c:pt>
                <c:pt idx="15">
                  <c:v>5/4//5:00</c:v>
                </c:pt>
                <c:pt idx="16">
                  <c:v>5/12//10:00</c:v>
                </c:pt>
                <c:pt idx="17">
                  <c:v>5/12//5:00</c:v>
                </c:pt>
                <c:pt idx="18">
                  <c:v>5/17//10:00</c:v>
                </c:pt>
                <c:pt idx="19">
                  <c:v>5/17//5:00</c:v>
                </c:pt>
                <c:pt idx="20">
                  <c:v>5/18//10:00</c:v>
                </c:pt>
                <c:pt idx="21">
                  <c:v>5/18//5:00</c:v>
                </c:pt>
                <c:pt idx="22">
                  <c:v>5/19//10:00</c:v>
                </c:pt>
                <c:pt idx="23">
                  <c:v>5/19//5:00</c:v>
                </c:pt>
                <c:pt idx="24">
                  <c:v>5/20//10:00</c:v>
                </c:pt>
                <c:pt idx="25">
                  <c:v>5/20//5:00</c:v>
                </c:pt>
                <c:pt idx="26">
                  <c:v>5/23//10:00</c:v>
                </c:pt>
                <c:pt idx="27">
                  <c:v>5/23//5:00</c:v>
                </c:pt>
              </c:strCache>
            </c:strRef>
          </c:cat>
          <c:val>
            <c:numRef>
              <c:f>Diversity!$AE$67:$AE$94</c:f>
              <c:numCache>
                <c:formatCode>General</c:formatCode>
                <c:ptCount val="28"/>
                <c:pt idx="0">
                  <c:v>0.79406663628907448</c:v>
                </c:pt>
                <c:pt idx="1">
                  <c:v>0.79406663628907448</c:v>
                </c:pt>
                <c:pt idx="2">
                  <c:v>0.79406663628907448</c:v>
                </c:pt>
                <c:pt idx="3">
                  <c:v>0.79406663628907448</c:v>
                </c:pt>
                <c:pt idx="4">
                  <c:v>0.79406663628907448</c:v>
                </c:pt>
                <c:pt idx="5">
                  <c:v>0.79406663628907448</c:v>
                </c:pt>
                <c:pt idx="6">
                  <c:v>0.79406663628907448</c:v>
                </c:pt>
                <c:pt idx="7">
                  <c:v>0.79406663628907448</c:v>
                </c:pt>
                <c:pt idx="8">
                  <c:v>0.79406663628907448</c:v>
                </c:pt>
                <c:pt idx="9">
                  <c:v>0.79406663628907448</c:v>
                </c:pt>
                <c:pt idx="10">
                  <c:v>0.79406663628907448</c:v>
                </c:pt>
                <c:pt idx="11">
                  <c:v>0.79406663628907448</c:v>
                </c:pt>
                <c:pt idx="12">
                  <c:v>0.79406663628907448</c:v>
                </c:pt>
                <c:pt idx="13">
                  <c:v>0.79406663628907448</c:v>
                </c:pt>
                <c:pt idx="14">
                  <c:v>0.79406663628907448</c:v>
                </c:pt>
                <c:pt idx="15">
                  <c:v>0.79406663628907448</c:v>
                </c:pt>
                <c:pt idx="16">
                  <c:v>0.79406663628907448</c:v>
                </c:pt>
                <c:pt idx="17">
                  <c:v>0.79406663628907448</c:v>
                </c:pt>
                <c:pt idx="18">
                  <c:v>0.79406663628907448</c:v>
                </c:pt>
                <c:pt idx="19">
                  <c:v>0.79406663628907448</c:v>
                </c:pt>
                <c:pt idx="20">
                  <c:v>0.79406663628907448</c:v>
                </c:pt>
                <c:pt idx="21">
                  <c:v>0.79406663628907448</c:v>
                </c:pt>
                <c:pt idx="22">
                  <c:v>0.79406663628907448</c:v>
                </c:pt>
                <c:pt idx="23">
                  <c:v>0.79406663628907448</c:v>
                </c:pt>
                <c:pt idx="24">
                  <c:v>0.79406663628907448</c:v>
                </c:pt>
                <c:pt idx="25">
                  <c:v>0.79406663628907448</c:v>
                </c:pt>
                <c:pt idx="26">
                  <c:v>0.79406663628907448</c:v>
                </c:pt>
                <c:pt idx="27">
                  <c:v>0.79406663628907448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8-4391-A3D3-1A744DA641C8}"/>
            </c:ext>
          </c:extLst>
        </c:ser>
        <c:ser>
          <c:idx val="3"/>
          <c:order val="3"/>
          <c:tx>
            <c:strRef>
              <c:f>Diversity!$AF$66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Diversity!$B$67:$B$94</c:f>
              <c:strCache>
                <c:ptCount val="28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4/28//10:00</c:v>
                </c:pt>
                <c:pt idx="10">
                  <c:v>4/28//5:00</c:v>
                </c:pt>
                <c:pt idx="11">
                  <c:v>5/2//10:00</c:v>
                </c:pt>
                <c:pt idx="12">
                  <c:v>5/2//5:00</c:v>
                </c:pt>
                <c:pt idx="13">
                  <c:v>5/3//10:00</c:v>
                </c:pt>
                <c:pt idx="14">
                  <c:v>5/3//5:00</c:v>
                </c:pt>
                <c:pt idx="15">
                  <c:v>5/4//5:00</c:v>
                </c:pt>
                <c:pt idx="16">
                  <c:v>5/12//10:00</c:v>
                </c:pt>
                <c:pt idx="17">
                  <c:v>5/12//5:00</c:v>
                </c:pt>
                <c:pt idx="18">
                  <c:v>5/17//10:00</c:v>
                </c:pt>
                <c:pt idx="19">
                  <c:v>5/17//5:00</c:v>
                </c:pt>
                <c:pt idx="20">
                  <c:v>5/18//10:00</c:v>
                </c:pt>
                <c:pt idx="21">
                  <c:v>5/18//5:00</c:v>
                </c:pt>
                <c:pt idx="22">
                  <c:v>5/19//10:00</c:v>
                </c:pt>
                <c:pt idx="23">
                  <c:v>5/19//5:00</c:v>
                </c:pt>
                <c:pt idx="24">
                  <c:v>5/20//10:00</c:v>
                </c:pt>
                <c:pt idx="25">
                  <c:v>5/20//5:00</c:v>
                </c:pt>
                <c:pt idx="26">
                  <c:v>5/23//10:00</c:v>
                </c:pt>
                <c:pt idx="27">
                  <c:v>5/23//5:00</c:v>
                </c:pt>
              </c:strCache>
            </c:strRef>
          </c:cat>
          <c:val>
            <c:numRef>
              <c:f>Diversity!$AF$67:$AF$94</c:f>
              <c:numCache>
                <c:formatCode>General</c:formatCode>
                <c:ptCount val="28"/>
                <c:pt idx="0">
                  <c:v>0.16209943164958601</c:v>
                </c:pt>
                <c:pt idx="1">
                  <c:v>0.16209943164958601</c:v>
                </c:pt>
                <c:pt idx="2">
                  <c:v>0.16209943164958601</c:v>
                </c:pt>
                <c:pt idx="3">
                  <c:v>0.16209943164958601</c:v>
                </c:pt>
                <c:pt idx="4">
                  <c:v>0.16209943164958601</c:v>
                </c:pt>
                <c:pt idx="5">
                  <c:v>0.16209943164958601</c:v>
                </c:pt>
                <c:pt idx="6">
                  <c:v>0.16209943164958601</c:v>
                </c:pt>
                <c:pt idx="7">
                  <c:v>0.16209943164958601</c:v>
                </c:pt>
                <c:pt idx="8">
                  <c:v>0.16209943164958601</c:v>
                </c:pt>
                <c:pt idx="9">
                  <c:v>0.16209943164958601</c:v>
                </c:pt>
                <c:pt idx="10">
                  <c:v>0.16209943164958601</c:v>
                </c:pt>
                <c:pt idx="11">
                  <c:v>0.16209943164958601</c:v>
                </c:pt>
                <c:pt idx="12">
                  <c:v>0.16209943164958601</c:v>
                </c:pt>
                <c:pt idx="13">
                  <c:v>0.16209943164958601</c:v>
                </c:pt>
                <c:pt idx="14">
                  <c:v>0.16209943164958601</c:v>
                </c:pt>
                <c:pt idx="15">
                  <c:v>0.16209943164958601</c:v>
                </c:pt>
                <c:pt idx="16">
                  <c:v>0.16209943164958601</c:v>
                </c:pt>
                <c:pt idx="17">
                  <c:v>0.16209943164958601</c:v>
                </c:pt>
                <c:pt idx="18">
                  <c:v>0.16209943164958601</c:v>
                </c:pt>
                <c:pt idx="19">
                  <c:v>0.16209943164958601</c:v>
                </c:pt>
                <c:pt idx="20">
                  <c:v>0.16209943164958601</c:v>
                </c:pt>
                <c:pt idx="21">
                  <c:v>0.16209943164958601</c:v>
                </c:pt>
                <c:pt idx="22">
                  <c:v>0.16209943164958601</c:v>
                </c:pt>
                <c:pt idx="23">
                  <c:v>0.16209943164958601</c:v>
                </c:pt>
                <c:pt idx="24">
                  <c:v>0.16209943164958601</c:v>
                </c:pt>
                <c:pt idx="25">
                  <c:v>0.16209943164958601</c:v>
                </c:pt>
                <c:pt idx="26">
                  <c:v>0.16209943164958601</c:v>
                </c:pt>
                <c:pt idx="27">
                  <c:v>0.16209943164958601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8-4391-A3D3-1A744DA64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388576"/>
        <c:axId val="2035388992"/>
      </c:lineChart>
      <c:catAx>
        <c:axId val="203538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88992"/>
        <c:crosses val="autoZero"/>
        <c:auto val="1"/>
        <c:lblAlgn val="ctr"/>
        <c:lblOffset val="100"/>
        <c:noMultiLvlLbl val="0"/>
      </c:catAx>
      <c:valAx>
        <c:axId val="20353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122287839020123"/>
                  <c:y val="9.98632983377077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'Diversity and temp'!$D$2:$D$33</c:f>
              <c:numCache>
                <c:formatCode>General</c:formatCode>
                <c:ptCount val="32"/>
                <c:pt idx="0">
                  <c:v>50.2</c:v>
                </c:pt>
                <c:pt idx="1">
                  <c:v>70.900000000000006</c:v>
                </c:pt>
                <c:pt idx="2">
                  <c:v>35.6</c:v>
                </c:pt>
                <c:pt idx="3">
                  <c:v>42.3</c:v>
                </c:pt>
                <c:pt idx="4">
                  <c:v>37.799999999999997</c:v>
                </c:pt>
                <c:pt idx="5">
                  <c:v>47.1</c:v>
                </c:pt>
                <c:pt idx="6">
                  <c:v>45.3</c:v>
                </c:pt>
                <c:pt idx="7">
                  <c:v>50.3</c:v>
                </c:pt>
                <c:pt idx="8">
                  <c:v>71</c:v>
                </c:pt>
                <c:pt idx="9">
                  <c:v>68.5</c:v>
                </c:pt>
                <c:pt idx="10">
                  <c:v>84.2</c:v>
                </c:pt>
                <c:pt idx="11">
                  <c:v>72</c:v>
                </c:pt>
                <c:pt idx="12">
                  <c:v>79.400000000000006</c:v>
                </c:pt>
                <c:pt idx="13">
                  <c:v>66.5</c:v>
                </c:pt>
                <c:pt idx="14">
                  <c:v>80.599999999999994</c:v>
                </c:pt>
                <c:pt idx="15">
                  <c:v>59.4</c:v>
                </c:pt>
                <c:pt idx="16">
                  <c:v>74.099999999999994</c:v>
                </c:pt>
                <c:pt idx="17">
                  <c:v>75.599999999999994</c:v>
                </c:pt>
                <c:pt idx="18">
                  <c:v>54.7</c:v>
                </c:pt>
                <c:pt idx="19">
                  <c:v>59.1</c:v>
                </c:pt>
                <c:pt idx="20">
                  <c:v>52.1</c:v>
                </c:pt>
                <c:pt idx="21">
                  <c:v>59.6</c:v>
                </c:pt>
                <c:pt idx="22">
                  <c:v>57</c:v>
                </c:pt>
                <c:pt idx="23">
                  <c:v>63</c:v>
                </c:pt>
                <c:pt idx="24">
                  <c:v>64.099999999999994</c:v>
                </c:pt>
                <c:pt idx="25">
                  <c:v>78.5</c:v>
                </c:pt>
                <c:pt idx="26">
                  <c:v>69.5</c:v>
                </c:pt>
                <c:pt idx="27">
                  <c:v>83.9</c:v>
                </c:pt>
                <c:pt idx="28">
                  <c:v>69.5</c:v>
                </c:pt>
                <c:pt idx="29">
                  <c:v>83.9</c:v>
                </c:pt>
                <c:pt idx="30">
                  <c:v>73.099999999999994</c:v>
                </c:pt>
                <c:pt idx="31">
                  <c:v>85.7</c:v>
                </c:pt>
              </c:numCache>
            </c:numRef>
          </c:xVal>
          <c:yVal>
            <c:numRef>
              <c:f>'Diversity and temp'!$C$2:$C$33</c:f>
              <c:numCache>
                <c:formatCode>General</c:formatCode>
                <c:ptCount val="32"/>
                <c:pt idx="0">
                  <c:v>2.5807473674432471</c:v>
                </c:pt>
                <c:pt idx="1">
                  <c:v>2.3033795051939387</c:v>
                </c:pt>
                <c:pt idx="2">
                  <c:v>2.5884253066207541</c:v>
                </c:pt>
                <c:pt idx="3">
                  <c:v>2.6015683031684977</c:v>
                </c:pt>
                <c:pt idx="4">
                  <c:v>2.6215673561994279</c:v>
                </c:pt>
                <c:pt idx="5">
                  <c:v>2.6695938201771452</c:v>
                </c:pt>
                <c:pt idx="6">
                  <c:v>2.5856731268063742</c:v>
                </c:pt>
                <c:pt idx="7">
                  <c:v>2.7436353882736624</c:v>
                </c:pt>
                <c:pt idx="8">
                  <c:v>2.6884301203116832</c:v>
                </c:pt>
                <c:pt idx="9">
                  <c:v>2.4887942215753505</c:v>
                </c:pt>
                <c:pt idx="10">
                  <c:v>2.7294416656358735</c:v>
                </c:pt>
                <c:pt idx="11">
                  <c:v>2.6765717978831125</c:v>
                </c:pt>
                <c:pt idx="12">
                  <c:v>2.7575707051255152</c:v>
                </c:pt>
                <c:pt idx="13">
                  <c:v>2.5829950284976282</c:v>
                </c:pt>
                <c:pt idx="14">
                  <c:v>2.5576448781015406</c:v>
                </c:pt>
                <c:pt idx="15">
                  <c:v>2.7213710378542935</c:v>
                </c:pt>
                <c:pt idx="16">
                  <c:v>2.6202205253069151</c:v>
                </c:pt>
                <c:pt idx="17">
                  <c:v>2.554883378010572</c:v>
                </c:pt>
                <c:pt idx="18">
                  <c:v>2.533546604566224</c:v>
                </c:pt>
                <c:pt idx="19">
                  <c:v>2.688072086222689</c:v>
                </c:pt>
                <c:pt idx="20">
                  <c:v>2.4601563716345098</c:v>
                </c:pt>
                <c:pt idx="21">
                  <c:v>2.5001941556358127</c:v>
                </c:pt>
                <c:pt idx="22">
                  <c:v>2.4042341114242607</c:v>
                </c:pt>
                <c:pt idx="23">
                  <c:v>2.6635686954277973</c:v>
                </c:pt>
                <c:pt idx="24">
                  <c:v>2.3546100072406393</c:v>
                </c:pt>
                <c:pt idx="25">
                  <c:v>2.2023074371862257</c:v>
                </c:pt>
                <c:pt idx="26">
                  <c:v>2.4688156171237479</c:v>
                </c:pt>
                <c:pt idx="27">
                  <c:v>2.5283931566509805</c:v>
                </c:pt>
                <c:pt idx="28">
                  <c:v>2.6144547302526542</c:v>
                </c:pt>
                <c:pt idx="29">
                  <c:v>2.6846565419165596</c:v>
                </c:pt>
                <c:pt idx="30">
                  <c:v>2.0294050732037219</c:v>
                </c:pt>
                <c:pt idx="31">
                  <c:v>2.3710261788078228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9-4BF4-8922-489CB132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86287"/>
        <c:axId val="1223285039"/>
      </c:scatterChart>
      <c:valAx>
        <c:axId val="12232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(degrees 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85039"/>
        <c:crosses val="autoZero"/>
        <c:crossBetween val="midCat"/>
      </c:valAx>
      <c:valAx>
        <c:axId val="12232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8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X-bar</a:t>
            </a:r>
            <a:r>
              <a:rPr lang="en-US" baseline="0"/>
              <a:t> (tube has safflower)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Diversity!$K$2</c:f>
              <c:strCache>
                <c:ptCount val="1"/>
                <c:pt idx="0">
                  <c:v>X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Diversity!$A$3:$A$22</c:f>
              <c:strCache>
                <c:ptCount val="20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4/27//10:00</c:v>
                </c:pt>
                <c:pt idx="10">
                  <c:v>4/27//5:00</c:v>
                </c:pt>
                <c:pt idx="11">
                  <c:v>4/28//10:00</c:v>
                </c:pt>
                <c:pt idx="12">
                  <c:v>4/28//5:00</c:v>
                </c:pt>
                <c:pt idx="13">
                  <c:v>5/2//10:00</c:v>
                </c:pt>
                <c:pt idx="14">
                  <c:v>5/2//5:00</c:v>
                </c:pt>
                <c:pt idx="15">
                  <c:v>5/3//10:00</c:v>
                </c:pt>
                <c:pt idx="16">
                  <c:v>5/3//5:00</c:v>
                </c:pt>
                <c:pt idx="17">
                  <c:v>5/4//5:00</c:v>
                </c:pt>
                <c:pt idx="18">
                  <c:v>5/5//10:00</c:v>
                </c:pt>
                <c:pt idx="19">
                  <c:v>5/5//5:00</c:v>
                </c:pt>
              </c:strCache>
            </c:strRef>
          </c:cat>
          <c:val>
            <c:numRef>
              <c:f>Diversity!$K$3:$K$22</c:f>
              <c:numCache>
                <c:formatCode>General</c:formatCode>
                <c:ptCount val="20"/>
                <c:pt idx="0">
                  <c:v>2.5807473674432471</c:v>
                </c:pt>
                <c:pt idx="1">
                  <c:v>2.3033795051939387</c:v>
                </c:pt>
                <c:pt idx="2">
                  <c:v>2.5884253066207541</c:v>
                </c:pt>
                <c:pt idx="3">
                  <c:v>2.6015683031684977</c:v>
                </c:pt>
                <c:pt idx="4">
                  <c:v>2.6215673561994279</c:v>
                </c:pt>
                <c:pt idx="5">
                  <c:v>2.6695938201771452</c:v>
                </c:pt>
                <c:pt idx="6">
                  <c:v>2.5856731268063742</c:v>
                </c:pt>
                <c:pt idx="7">
                  <c:v>2.7436353882736624</c:v>
                </c:pt>
                <c:pt idx="8">
                  <c:v>2.6884301203116832</c:v>
                </c:pt>
                <c:pt idx="9">
                  <c:v>2.4887942215753505</c:v>
                </c:pt>
                <c:pt idx="10">
                  <c:v>2.7294416656358735</c:v>
                </c:pt>
                <c:pt idx="11">
                  <c:v>2.6765717978831125</c:v>
                </c:pt>
                <c:pt idx="12">
                  <c:v>2.7575707051255152</c:v>
                </c:pt>
                <c:pt idx="13">
                  <c:v>2.5829950284976282</c:v>
                </c:pt>
                <c:pt idx="14">
                  <c:v>2.5576448781015406</c:v>
                </c:pt>
                <c:pt idx="15">
                  <c:v>2.7213710378542935</c:v>
                </c:pt>
                <c:pt idx="16">
                  <c:v>2.6202205253069151</c:v>
                </c:pt>
                <c:pt idx="17">
                  <c:v>2.554883378010572</c:v>
                </c:pt>
                <c:pt idx="18">
                  <c:v>2.533546604566224</c:v>
                </c:pt>
                <c:pt idx="19">
                  <c:v>2.688072086222689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7-47F5-8BEB-800228F6D1C4}"/>
            </c:ext>
          </c:extLst>
        </c:ser>
        <c:ser>
          <c:idx val="1"/>
          <c:order val="1"/>
          <c:tx>
            <c:strRef>
              <c:f>Diversity!$L$2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Diversity!$A$3:$A$22</c:f>
              <c:strCache>
                <c:ptCount val="20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4/27//10:00</c:v>
                </c:pt>
                <c:pt idx="10">
                  <c:v>4/27//5:00</c:v>
                </c:pt>
                <c:pt idx="11">
                  <c:v>4/28//10:00</c:v>
                </c:pt>
                <c:pt idx="12">
                  <c:v>4/28//5:00</c:v>
                </c:pt>
                <c:pt idx="13">
                  <c:v>5/2//10:00</c:v>
                </c:pt>
                <c:pt idx="14">
                  <c:v>5/2//5:00</c:v>
                </c:pt>
                <c:pt idx="15">
                  <c:v>5/3//10:00</c:v>
                </c:pt>
                <c:pt idx="16">
                  <c:v>5/3//5:00</c:v>
                </c:pt>
                <c:pt idx="17">
                  <c:v>5/4//5:00</c:v>
                </c:pt>
                <c:pt idx="18">
                  <c:v>5/5//10:00</c:v>
                </c:pt>
                <c:pt idx="19">
                  <c:v>5/5//5:00</c:v>
                </c:pt>
              </c:strCache>
            </c:strRef>
          </c:cat>
          <c:val>
            <c:numRef>
              <c:f>Diversity!$L$3:$L$22</c:f>
              <c:numCache>
                <c:formatCode>General</c:formatCode>
                <c:ptCount val="20"/>
                <c:pt idx="0">
                  <c:v>2.6147066111487223</c:v>
                </c:pt>
                <c:pt idx="1">
                  <c:v>2.6147066111487223</c:v>
                </c:pt>
                <c:pt idx="2">
                  <c:v>2.6147066111487223</c:v>
                </c:pt>
                <c:pt idx="3">
                  <c:v>2.6147066111487223</c:v>
                </c:pt>
                <c:pt idx="4">
                  <c:v>2.6147066111487223</c:v>
                </c:pt>
                <c:pt idx="5">
                  <c:v>2.6147066111487223</c:v>
                </c:pt>
                <c:pt idx="6">
                  <c:v>2.6147066111487223</c:v>
                </c:pt>
                <c:pt idx="7">
                  <c:v>2.6147066111487223</c:v>
                </c:pt>
                <c:pt idx="8">
                  <c:v>2.6147066111487223</c:v>
                </c:pt>
                <c:pt idx="9">
                  <c:v>2.6147066111487223</c:v>
                </c:pt>
                <c:pt idx="10">
                  <c:v>2.6147066111487223</c:v>
                </c:pt>
                <c:pt idx="11">
                  <c:v>2.6147066111487223</c:v>
                </c:pt>
                <c:pt idx="12">
                  <c:v>2.6147066111487223</c:v>
                </c:pt>
                <c:pt idx="13">
                  <c:v>2.6147066111487223</c:v>
                </c:pt>
                <c:pt idx="14">
                  <c:v>2.6147066111487223</c:v>
                </c:pt>
                <c:pt idx="15">
                  <c:v>2.6147066111487223</c:v>
                </c:pt>
                <c:pt idx="16">
                  <c:v>2.6147066111487223</c:v>
                </c:pt>
                <c:pt idx="17">
                  <c:v>2.6147066111487223</c:v>
                </c:pt>
                <c:pt idx="18">
                  <c:v>2.6147066111487223</c:v>
                </c:pt>
                <c:pt idx="19">
                  <c:v>2.6147066111487223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7-47F5-8BEB-800228F6D1C4}"/>
            </c:ext>
          </c:extLst>
        </c:ser>
        <c:ser>
          <c:idx val="2"/>
          <c:order val="2"/>
          <c:tx>
            <c:strRef>
              <c:f>Diversity!$M$2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Diversity!$A$3:$A$22</c:f>
              <c:strCache>
                <c:ptCount val="20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4/27//10:00</c:v>
                </c:pt>
                <c:pt idx="10">
                  <c:v>4/27//5:00</c:v>
                </c:pt>
                <c:pt idx="11">
                  <c:v>4/28//10:00</c:v>
                </c:pt>
                <c:pt idx="12">
                  <c:v>4/28//5:00</c:v>
                </c:pt>
                <c:pt idx="13">
                  <c:v>5/2//10:00</c:v>
                </c:pt>
                <c:pt idx="14">
                  <c:v>5/2//5:00</c:v>
                </c:pt>
                <c:pt idx="15">
                  <c:v>5/3//10:00</c:v>
                </c:pt>
                <c:pt idx="16">
                  <c:v>5/3//5:00</c:v>
                </c:pt>
                <c:pt idx="17">
                  <c:v>5/4//5:00</c:v>
                </c:pt>
                <c:pt idx="18">
                  <c:v>5/5//10:00</c:v>
                </c:pt>
                <c:pt idx="19">
                  <c:v>5/5//5:00</c:v>
                </c:pt>
              </c:strCache>
            </c:strRef>
          </c:cat>
          <c:val>
            <c:numRef>
              <c:f>Diversity!$M$3:$M$22</c:f>
              <c:numCache>
                <c:formatCode>General</c:formatCode>
                <c:ptCount val="20"/>
                <c:pt idx="0">
                  <c:v>2.925622029885139</c:v>
                </c:pt>
                <c:pt idx="1">
                  <c:v>2.925622029885139</c:v>
                </c:pt>
                <c:pt idx="2">
                  <c:v>2.925622029885139</c:v>
                </c:pt>
                <c:pt idx="3">
                  <c:v>2.925622029885139</c:v>
                </c:pt>
                <c:pt idx="4">
                  <c:v>2.925622029885139</c:v>
                </c:pt>
                <c:pt idx="5">
                  <c:v>2.925622029885139</c:v>
                </c:pt>
                <c:pt idx="6">
                  <c:v>2.925622029885139</c:v>
                </c:pt>
                <c:pt idx="7">
                  <c:v>2.925622029885139</c:v>
                </c:pt>
                <c:pt idx="8">
                  <c:v>2.925622029885139</c:v>
                </c:pt>
                <c:pt idx="9">
                  <c:v>2.925622029885139</c:v>
                </c:pt>
                <c:pt idx="10">
                  <c:v>2.925622029885139</c:v>
                </c:pt>
                <c:pt idx="11">
                  <c:v>2.925622029885139</c:v>
                </c:pt>
                <c:pt idx="12">
                  <c:v>2.925622029885139</c:v>
                </c:pt>
                <c:pt idx="13">
                  <c:v>2.925622029885139</c:v>
                </c:pt>
                <c:pt idx="14">
                  <c:v>2.925622029885139</c:v>
                </c:pt>
                <c:pt idx="15">
                  <c:v>2.925622029885139</c:v>
                </c:pt>
                <c:pt idx="16">
                  <c:v>2.925622029885139</c:v>
                </c:pt>
                <c:pt idx="17">
                  <c:v>2.925622029885139</c:v>
                </c:pt>
                <c:pt idx="18">
                  <c:v>2.925622029885139</c:v>
                </c:pt>
                <c:pt idx="19">
                  <c:v>2.925622029885139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7-47F5-8BEB-800228F6D1C4}"/>
            </c:ext>
          </c:extLst>
        </c:ser>
        <c:ser>
          <c:idx val="3"/>
          <c:order val="3"/>
          <c:tx>
            <c:strRef>
              <c:f>Diversity!$N$2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Diversity!$A$3:$A$22</c:f>
              <c:strCache>
                <c:ptCount val="20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4/27//10:00</c:v>
                </c:pt>
                <c:pt idx="10">
                  <c:v>4/27//5:00</c:v>
                </c:pt>
                <c:pt idx="11">
                  <c:v>4/28//10:00</c:v>
                </c:pt>
                <c:pt idx="12">
                  <c:v>4/28//5:00</c:v>
                </c:pt>
                <c:pt idx="13">
                  <c:v>5/2//10:00</c:v>
                </c:pt>
                <c:pt idx="14">
                  <c:v>5/2//5:00</c:v>
                </c:pt>
                <c:pt idx="15">
                  <c:v>5/3//10:00</c:v>
                </c:pt>
                <c:pt idx="16">
                  <c:v>5/3//5:00</c:v>
                </c:pt>
                <c:pt idx="17">
                  <c:v>5/4//5:00</c:v>
                </c:pt>
                <c:pt idx="18">
                  <c:v>5/5//10:00</c:v>
                </c:pt>
                <c:pt idx="19">
                  <c:v>5/5//5:00</c:v>
                </c:pt>
              </c:strCache>
            </c:strRef>
          </c:cat>
          <c:val>
            <c:numRef>
              <c:f>Diversity!$N$3:$N$22</c:f>
              <c:numCache>
                <c:formatCode>General</c:formatCode>
                <c:ptCount val="20"/>
                <c:pt idx="0">
                  <c:v>2.3037911924123056</c:v>
                </c:pt>
                <c:pt idx="1">
                  <c:v>2.3037911924123056</c:v>
                </c:pt>
                <c:pt idx="2">
                  <c:v>2.3037911924123056</c:v>
                </c:pt>
                <c:pt idx="3">
                  <c:v>2.3037911924123056</c:v>
                </c:pt>
                <c:pt idx="4">
                  <c:v>2.3037911924123056</c:v>
                </c:pt>
                <c:pt idx="5">
                  <c:v>2.3037911924123056</c:v>
                </c:pt>
                <c:pt idx="6">
                  <c:v>2.3037911924123056</c:v>
                </c:pt>
                <c:pt idx="7">
                  <c:v>2.3037911924123056</c:v>
                </c:pt>
                <c:pt idx="8">
                  <c:v>2.3037911924123056</c:v>
                </c:pt>
                <c:pt idx="9">
                  <c:v>2.3037911924123056</c:v>
                </c:pt>
                <c:pt idx="10">
                  <c:v>2.3037911924123056</c:v>
                </c:pt>
                <c:pt idx="11">
                  <c:v>2.3037911924123056</c:v>
                </c:pt>
                <c:pt idx="12">
                  <c:v>2.3037911924123056</c:v>
                </c:pt>
                <c:pt idx="13">
                  <c:v>2.3037911924123056</c:v>
                </c:pt>
                <c:pt idx="14">
                  <c:v>2.3037911924123056</c:v>
                </c:pt>
                <c:pt idx="15">
                  <c:v>2.3037911924123056</c:v>
                </c:pt>
                <c:pt idx="16">
                  <c:v>2.3037911924123056</c:v>
                </c:pt>
                <c:pt idx="17">
                  <c:v>2.3037911924123056</c:v>
                </c:pt>
                <c:pt idx="18">
                  <c:v>2.3037911924123056</c:v>
                </c:pt>
                <c:pt idx="19">
                  <c:v>2.3037911924123056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7-47F5-8BEB-800228F6D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78207"/>
        <c:axId val="350981119"/>
      </c:lineChart>
      <c:catAx>
        <c:axId val="350978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81119"/>
        <c:crosses val="autoZero"/>
        <c:auto val="1"/>
        <c:lblAlgn val="ctr"/>
        <c:lblOffset val="100"/>
        <c:noMultiLvlLbl val="0"/>
      </c:catAx>
      <c:valAx>
        <c:axId val="35098111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mR-bar</a:t>
            </a:r>
            <a:r>
              <a:rPr lang="en-US" baseline="0"/>
              <a:t> after switch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Diversity!$F$2</c:f>
              <c:strCache>
                <c:ptCount val="1"/>
                <c:pt idx="0">
                  <c:v>mR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Diversity!$F$23:$F$34</c:f>
              <c:numCache>
                <c:formatCode>General</c:formatCode>
                <c:ptCount val="12"/>
                <c:pt idx="1">
                  <c:v>4.0037784001302867E-2</c:v>
                </c:pt>
                <c:pt idx="2">
                  <c:v>9.596004421155202E-2</c:v>
                </c:pt>
                <c:pt idx="3">
                  <c:v>0.25933458400353659</c:v>
                </c:pt>
                <c:pt idx="4">
                  <c:v>0.30895868818715799</c:v>
                </c:pt>
                <c:pt idx="5">
                  <c:v>0.15230257005441361</c:v>
                </c:pt>
                <c:pt idx="6">
                  <c:v>0.26650817993752218</c:v>
                </c:pt>
                <c:pt idx="7">
                  <c:v>5.9577539527232659E-2</c:v>
                </c:pt>
                <c:pt idx="8">
                  <c:v>8.6061573601673658E-2</c:v>
                </c:pt>
                <c:pt idx="9">
                  <c:v>7.0201811663905378E-2</c:v>
                </c:pt>
                <c:pt idx="10">
                  <c:v>0.65525146871283768</c:v>
                </c:pt>
                <c:pt idx="11">
                  <c:v>0.34162110560410097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9-460C-B577-A2BC717A47A2}"/>
            </c:ext>
          </c:extLst>
        </c:ser>
        <c:ser>
          <c:idx val="1"/>
          <c:order val="1"/>
          <c:tx>
            <c:strRef>
              <c:f>Diversity!$G$2</c:f>
              <c:strCache>
                <c:ptCount val="1"/>
                <c:pt idx="0">
                  <c:v>mR-bar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Diversity!$G$23:$G$34</c:f>
              <c:numCache>
                <c:formatCode>General</c:formatCode>
                <c:ptCount val="12"/>
                <c:pt idx="0">
                  <c:v>0.21234684995502143</c:v>
                </c:pt>
                <c:pt idx="1">
                  <c:v>0.21234684995502143</c:v>
                </c:pt>
                <c:pt idx="2">
                  <c:v>0.21234684995502143</c:v>
                </c:pt>
                <c:pt idx="3">
                  <c:v>0.21234684995502143</c:v>
                </c:pt>
                <c:pt idx="4">
                  <c:v>0.21234684995502143</c:v>
                </c:pt>
                <c:pt idx="5">
                  <c:v>0.21234684995502143</c:v>
                </c:pt>
                <c:pt idx="6">
                  <c:v>0.21234684995502143</c:v>
                </c:pt>
                <c:pt idx="7">
                  <c:v>0.21234684995502143</c:v>
                </c:pt>
                <c:pt idx="8">
                  <c:v>0.21234684995502143</c:v>
                </c:pt>
                <c:pt idx="9">
                  <c:v>0.21234684995502143</c:v>
                </c:pt>
                <c:pt idx="10">
                  <c:v>0.21234684995502143</c:v>
                </c:pt>
                <c:pt idx="11">
                  <c:v>0.21234684995502143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9-460C-B577-A2BC717A47A2}"/>
            </c:ext>
          </c:extLst>
        </c:ser>
        <c:ser>
          <c:idx val="2"/>
          <c:order val="2"/>
          <c:tx>
            <c:strRef>
              <c:f>Diversity!$H$2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Diversity!$H$23:$H$34</c:f>
              <c:numCache>
                <c:formatCode>General</c:formatCode>
                <c:ptCount val="12"/>
                <c:pt idx="0">
                  <c:v>0.69437419935292011</c:v>
                </c:pt>
                <c:pt idx="1">
                  <c:v>0.69437419935292011</c:v>
                </c:pt>
                <c:pt idx="2">
                  <c:v>0.69437419935292011</c:v>
                </c:pt>
                <c:pt idx="3">
                  <c:v>0.69437419935292011</c:v>
                </c:pt>
                <c:pt idx="4">
                  <c:v>0.69437419935292011</c:v>
                </c:pt>
                <c:pt idx="5">
                  <c:v>0.69437419935292011</c:v>
                </c:pt>
                <c:pt idx="6">
                  <c:v>0.69437419935292011</c:v>
                </c:pt>
                <c:pt idx="7">
                  <c:v>0.69437419935292011</c:v>
                </c:pt>
                <c:pt idx="8">
                  <c:v>0.69437419935292011</c:v>
                </c:pt>
                <c:pt idx="9">
                  <c:v>0.69437419935292011</c:v>
                </c:pt>
                <c:pt idx="10">
                  <c:v>0.69437419935292011</c:v>
                </c:pt>
                <c:pt idx="11">
                  <c:v>0.69437419935292011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9-460C-B577-A2BC717A47A2}"/>
            </c:ext>
          </c:extLst>
        </c:ser>
        <c:ser>
          <c:idx val="3"/>
          <c:order val="3"/>
          <c:tx>
            <c:strRef>
              <c:f>Diversity!$I$2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Diversity!$I$23:$I$34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9-460C-B577-A2BC717A4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816591"/>
        <c:axId val="185804111"/>
      </c:lineChart>
      <c:catAx>
        <c:axId val="18581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04111"/>
        <c:crosses val="autoZero"/>
        <c:auto val="1"/>
        <c:lblAlgn val="ctr"/>
        <c:lblOffset val="100"/>
        <c:noMultiLvlLbl val="0"/>
      </c:catAx>
      <c:valAx>
        <c:axId val="18580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 (tube</a:t>
            </a:r>
            <a:r>
              <a:rPr lang="en-US" baseline="0"/>
              <a:t> has sunflower)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Diversity!$K$2</c:f>
              <c:strCache>
                <c:ptCount val="1"/>
                <c:pt idx="0">
                  <c:v>X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Diversity!$A$23:$A$34</c:f>
              <c:strCache>
                <c:ptCount val="12"/>
                <c:pt idx="0">
                  <c:v>5/12//10:00</c:v>
                </c:pt>
                <c:pt idx="1">
                  <c:v>5/12//5:00</c:v>
                </c:pt>
                <c:pt idx="2">
                  <c:v>5/17//10:00</c:v>
                </c:pt>
                <c:pt idx="3">
                  <c:v>5/17//5:00</c:v>
                </c:pt>
                <c:pt idx="4">
                  <c:v>5/18//10:00</c:v>
                </c:pt>
                <c:pt idx="5">
                  <c:v>5/18//5:00</c:v>
                </c:pt>
                <c:pt idx="6">
                  <c:v>5/19//10:00</c:v>
                </c:pt>
                <c:pt idx="7">
                  <c:v>5/19//5:00</c:v>
                </c:pt>
                <c:pt idx="8">
                  <c:v>5/20//10:00</c:v>
                </c:pt>
                <c:pt idx="9">
                  <c:v>5/20//5:00</c:v>
                </c:pt>
                <c:pt idx="10">
                  <c:v>5/23//10:00</c:v>
                </c:pt>
                <c:pt idx="11">
                  <c:v>5/23//5:00</c:v>
                </c:pt>
              </c:strCache>
            </c:strRef>
          </c:cat>
          <c:val>
            <c:numRef>
              <c:f>Diversity!$K$23:$K$34</c:f>
              <c:numCache>
                <c:formatCode>General</c:formatCode>
                <c:ptCount val="12"/>
                <c:pt idx="0">
                  <c:v>2.4601563716345098</c:v>
                </c:pt>
                <c:pt idx="1">
                  <c:v>2.5001941556358127</c:v>
                </c:pt>
                <c:pt idx="2">
                  <c:v>2.4042341114242607</c:v>
                </c:pt>
                <c:pt idx="3">
                  <c:v>2.6635686954277973</c:v>
                </c:pt>
                <c:pt idx="4">
                  <c:v>2.3546100072406393</c:v>
                </c:pt>
                <c:pt idx="5">
                  <c:v>2.2023074371862257</c:v>
                </c:pt>
                <c:pt idx="6">
                  <c:v>2.4688156171237479</c:v>
                </c:pt>
                <c:pt idx="7">
                  <c:v>2.5283931566509805</c:v>
                </c:pt>
                <c:pt idx="8">
                  <c:v>2.6144547302526542</c:v>
                </c:pt>
                <c:pt idx="9">
                  <c:v>2.6846565419165596</c:v>
                </c:pt>
                <c:pt idx="10">
                  <c:v>2.0294050732037219</c:v>
                </c:pt>
                <c:pt idx="11">
                  <c:v>2.3710261788078228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B-48D0-9F3C-ABC08D7E7672}"/>
            </c:ext>
          </c:extLst>
        </c:ser>
        <c:ser>
          <c:idx val="1"/>
          <c:order val="1"/>
          <c:tx>
            <c:strRef>
              <c:f>Diversity!$L$2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Diversity!$A$23:$A$34</c:f>
              <c:strCache>
                <c:ptCount val="12"/>
                <c:pt idx="0">
                  <c:v>5/12//10:00</c:v>
                </c:pt>
                <c:pt idx="1">
                  <c:v>5/12//5:00</c:v>
                </c:pt>
                <c:pt idx="2">
                  <c:v>5/17//10:00</c:v>
                </c:pt>
                <c:pt idx="3">
                  <c:v>5/17//5:00</c:v>
                </c:pt>
                <c:pt idx="4">
                  <c:v>5/18//10:00</c:v>
                </c:pt>
                <c:pt idx="5">
                  <c:v>5/18//5:00</c:v>
                </c:pt>
                <c:pt idx="6">
                  <c:v>5/19//10:00</c:v>
                </c:pt>
                <c:pt idx="7">
                  <c:v>5/19//5:00</c:v>
                </c:pt>
                <c:pt idx="8">
                  <c:v>5/20//10:00</c:v>
                </c:pt>
                <c:pt idx="9">
                  <c:v>5/20//5:00</c:v>
                </c:pt>
                <c:pt idx="10">
                  <c:v>5/23//10:00</c:v>
                </c:pt>
                <c:pt idx="11">
                  <c:v>5/23//5:00</c:v>
                </c:pt>
              </c:strCache>
            </c:strRef>
          </c:cat>
          <c:val>
            <c:numRef>
              <c:f>Diversity!$L$23:$L$34</c:f>
              <c:numCache>
                <c:formatCode>General</c:formatCode>
                <c:ptCount val="12"/>
                <c:pt idx="0">
                  <c:v>2.4401518397087281</c:v>
                </c:pt>
                <c:pt idx="1">
                  <c:v>2.4401518397087281</c:v>
                </c:pt>
                <c:pt idx="2">
                  <c:v>2.4401518397087281</c:v>
                </c:pt>
                <c:pt idx="3">
                  <c:v>2.4401518397087281</c:v>
                </c:pt>
                <c:pt idx="4">
                  <c:v>2.4401518397087281</c:v>
                </c:pt>
                <c:pt idx="5">
                  <c:v>2.4401518397087281</c:v>
                </c:pt>
                <c:pt idx="6">
                  <c:v>2.4401518397087281</c:v>
                </c:pt>
                <c:pt idx="7">
                  <c:v>2.4401518397087281</c:v>
                </c:pt>
                <c:pt idx="8">
                  <c:v>2.4401518397087281</c:v>
                </c:pt>
                <c:pt idx="9">
                  <c:v>2.4401518397087281</c:v>
                </c:pt>
                <c:pt idx="10">
                  <c:v>2.4401518397087281</c:v>
                </c:pt>
                <c:pt idx="11">
                  <c:v>2.4401518397087281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B-48D0-9F3C-ABC08D7E7672}"/>
            </c:ext>
          </c:extLst>
        </c:ser>
        <c:ser>
          <c:idx val="2"/>
          <c:order val="2"/>
          <c:tx>
            <c:strRef>
              <c:f>Diversity!$M$2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Diversity!$A$23:$A$34</c:f>
              <c:strCache>
                <c:ptCount val="12"/>
                <c:pt idx="0">
                  <c:v>5/12//10:00</c:v>
                </c:pt>
                <c:pt idx="1">
                  <c:v>5/12//5:00</c:v>
                </c:pt>
                <c:pt idx="2">
                  <c:v>5/17//10:00</c:v>
                </c:pt>
                <c:pt idx="3">
                  <c:v>5/17//5:00</c:v>
                </c:pt>
                <c:pt idx="4">
                  <c:v>5/18//10:00</c:v>
                </c:pt>
                <c:pt idx="5">
                  <c:v>5/18//5:00</c:v>
                </c:pt>
                <c:pt idx="6">
                  <c:v>5/19//10:00</c:v>
                </c:pt>
                <c:pt idx="7">
                  <c:v>5/19//5:00</c:v>
                </c:pt>
                <c:pt idx="8">
                  <c:v>5/20//10:00</c:v>
                </c:pt>
                <c:pt idx="9">
                  <c:v>5/20//5:00</c:v>
                </c:pt>
                <c:pt idx="10">
                  <c:v>5/23//10:00</c:v>
                </c:pt>
                <c:pt idx="11">
                  <c:v>5/23//5:00</c:v>
                </c:pt>
              </c:strCache>
            </c:strRef>
          </c:cat>
          <c:val>
            <c:numRef>
              <c:f>Diversity!$M$23:$M$34</c:f>
              <c:numCache>
                <c:formatCode>General</c:formatCode>
                <c:ptCount val="12"/>
                <c:pt idx="0">
                  <c:v>3.004994460589085</c:v>
                </c:pt>
                <c:pt idx="1">
                  <c:v>3.004994460589085</c:v>
                </c:pt>
                <c:pt idx="2">
                  <c:v>3.004994460589085</c:v>
                </c:pt>
                <c:pt idx="3">
                  <c:v>3.004994460589085</c:v>
                </c:pt>
                <c:pt idx="4">
                  <c:v>3.004994460589085</c:v>
                </c:pt>
                <c:pt idx="5">
                  <c:v>3.004994460589085</c:v>
                </c:pt>
                <c:pt idx="6">
                  <c:v>3.004994460589085</c:v>
                </c:pt>
                <c:pt idx="7">
                  <c:v>3.004994460589085</c:v>
                </c:pt>
                <c:pt idx="8">
                  <c:v>3.004994460589085</c:v>
                </c:pt>
                <c:pt idx="9">
                  <c:v>3.004994460589085</c:v>
                </c:pt>
                <c:pt idx="10">
                  <c:v>3.004994460589085</c:v>
                </c:pt>
                <c:pt idx="11">
                  <c:v>3.004994460589085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B-48D0-9F3C-ABC08D7E7672}"/>
            </c:ext>
          </c:extLst>
        </c:ser>
        <c:ser>
          <c:idx val="3"/>
          <c:order val="3"/>
          <c:tx>
            <c:strRef>
              <c:f>Diversity!$N$2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Diversity!$A$23:$A$34</c:f>
              <c:strCache>
                <c:ptCount val="12"/>
                <c:pt idx="0">
                  <c:v>5/12//10:00</c:v>
                </c:pt>
                <c:pt idx="1">
                  <c:v>5/12//5:00</c:v>
                </c:pt>
                <c:pt idx="2">
                  <c:v>5/17//10:00</c:v>
                </c:pt>
                <c:pt idx="3">
                  <c:v>5/17//5:00</c:v>
                </c:pt>
                <c:pt idx="4">
                  <c:v>5/18//10:00</c:v>
                </c:pt>
                <c:pt idx="5">
                  <c:v>5/18//5:00</c:v>
                </c:pt>
                <c:pt idx="6">
                  <c:v>5/19//10:00</c:v>
                </c:pt>
                <c:pt idx="7">
                  <c:v>5/19//5:00</c:v>
                </c:pt>
                <c:pt idx="8">
                  <c:v>5/20//10:00</c:v>
                </c:pt>
                <c:pt idx="9">
                  <c:v>5/20//5:00</c:v>
                </c:pt>
                <c:pt idx="10">
                  <c:v>5/23//10:00</c:v>
                </c:pt>
                <c:pt idx="11">
                  <c:v>5/23//5:00</c:v>
                </c:pt>
              </c:strCache>
            </c:strRef>
          </c:cat>
          <c:val>
            <c:numRef>
              <c:f>Diversity!$N$23:$N$34</c:f>
              <c:numCache>
                <c:formatCode>General</c:formatCode>
                <c:ptCount val="12"/>
                <c:pt idx="0">
                  <c:v>1.8753092188283711</c:v>
                </c:pt>
                <c:pt idx="1">
                  <c:v>1.8753092188283711</c:v>
                </c:pt>
                <c:pt idx="2">
                  <c:v>1.8753092188283711</c:v>
                </c:pt>
                <c:pt idx="3">
                  <c:v>1.8753092188283711</c:v>
                </c:pt>
                <c:pt idx="4">
                  <c:v>1.8753092188283711</c:v>
                </c:pt>
                <c:pt idx="5">
                  <c:v>1.8753092188283711</c:v>
                </c:pt>
                <c:pt idx="6">
                  <c:v>1.8753092188283711</c:v>
                </c:pt>
                <c:pt idx="7">
                  <c:v>1.8753092188283711</c:v>
                </c:pt>
                <c:pt idx="8">
                  <c:v>1.8753092188283711</c:v>
                </c:pt>
                <c:pt idx="9">
                  <c:v>1.8753092188283711</c:v>
                </c:pt>
                <c:pt idx="10">
                  <c:v>1.8753092188283711</c:v>
                </c:pt>
                <c:pt idx="11">
                  <c:v>1.8753092188283711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AB-48D0-9F3C-ABC08D7E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232159"/>
        <c:axId val="713922431"/>
      </c:lineChart>
      <c:catAx>
        <c:axId val="72423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22431"/>
        <c:crosses val="autoZero"/>
        <c:auto val="1"/>
        <c:lblAlgn val="ctr"/>
        <c:lblOffset val="100"/>
        <c:noMultiLvlLbl val="0"/>
      </c:catAx>
      <c:valAx>
        <c:axId val="713922431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3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mR-Bar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Diversity!$X$2</c:f>
              <c:strCache>
                <c:ptCount val="1"/>
                <c:pt idx="0">
                  <c:v>mR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Diversity!$X$3:$X$34</c:f>
              <c:numCache>
                <c:formatCode>General</c:formatCode>
                <c:ptCount val="32"/>
                <c:pt idx="1">
                  <c:v>0.27736786224930832</c:v>
                </c:pt>
                <c:pt idx="2">
                  <c:v>0.28504580142681535</c:v>
                </c:pt>
                <c:pt idx="3">
                  <c:v>1.3142996547743646E-2</c:v>
                </c:pt>
                <c:pt idx="4">
                  <c:v>1.9999053030930192E-2</c:v>
                </c:pt>
                <c:pt idx="5">
                  <c:v>4.802646397771726E-2</c:v>
                </c:pt>
                <c:pt idx="6">
                  <c:v>8.3920693370771016E-2</c:v>
                </c:pt>
                <c:pt idx="7">
                  <c:v>0.1579622614672882</c:v>
                </c:pt>
                <c:pt idx="8">
                  <c:v>5.5205267961979221E-2</c:v>
                </c:pt>
                <c:pt idx="9">
                  <c:v>0.1996358987363327</c:v>
                </c:pt>
                <c:pt idx="10">
                  <c:v>0.24064744406052307</c:v>
                </c:pt>
                <c:pt idx="11">
                  <c:v>5.2869867752761035E-2</c:v>
                </c:pt>
                <c:pt idx="12">
                  <c:v>8.0998907242402662E-2</c:v>
                </c:pt>
                <c:pt idx="13">
                  <c:v>0.17457567662788698</c:v>
                </c:pt>
                <c:pt idx="14">
                  <c:v>2.5350150396087567E-2</c:v>
                </c:pt>
                <c:pt idx="15">
                  <c:v>0.16372615975275284</c:v>
                </c:pt>
                <c:pt idx="16">
                  <c:v>0.10115051254737839</c:v>
                </c:pt>
                <c:pt idx="17">
                  <c:v>6.5337147296343101E-2</c:v>
                </c:pt>
                <c:pt idx="18">
                  <c:v>2.1336773444347923E-2</c:v>
                </c:pt>
                <c:pt idx="19">
                  <c:v>0.15452548165646496</c:v>
                </c:pt>
                <c:pt idx="20">
                  <c:v>0.22791571458817916</c:v>
                </c:pt>
                <c:pt idx="21">
                  <c:v>4.0037784001302867E-2</c:v>
                </c:pt>
                <c:pt idx="22">
                  <c:v>9.596004421155202E-2</c:v>
                </c:pt>
                <c:pt idx="23">
                  <c:v>0.25933458400353659</c:v>
                </c:pt>
                <c:pt idx="24">
                  <c:v>0.30895868818715799</c:v>
                </c:pt>
                <c:pt idx="25">
                  <c:v>0.15230257005441361</c:v>
                </c:pt>
                <c:pt idx="26">
                  <c:v>0.26650817993752218</c:v>
                </c:pt>
                <c:pt idx="27">
                  <c:v>5.9577539527232659E-2</c:v>
                </c:pt>
                <c:pt idx="28">
                  <c:v>8.6061573601673658E-2</c:v>
                </c:pt>
                <c:pt idx="29">
                  <c:v>7.0201811663905378E-2</c:v>
                </c:pt>
                <c:pt idx="30">
                  <c:v>0.65525146871283768</c:v>
                </c:pt>
                <c:pt idx="31">
                  <c:v>0.34162110560410097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B-4863-90DB-51127FC7772B}"/>
            </c:ext>
          </c:extLst>
        </c:ser>
        <c:ser>
          <c:idx val="1"/>
          <c:order val="1"/>
          <c:tx>
            <c:strRef>
              <c:f>Diversity!$Y$2</c:f>
              <c:strCache>
                <c:ptCount val="1"/>
                <c:pt idx="0">
                  <c:v>mR-bar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Diversity!$Y$3:$Y$34</c:f>
              <c:numCache>
                <c:formatCode>General</c:formatCode>
                <c:ptCount val="32"/>
                <c:pt idx="0">
                  <c:v>0.15434049947223383</c:v>
                </c:pt>
                <c:pt idx="1">
                  <c:v>0.15434049947223383</c:v>
                </c:pt>
                <c:pt idx="2">
                  <c:v>0.15434049947223383</c:v>
                </c:pt>
                <c:pt idx="3">
                  <c:v>0.15434049947223383</c:v>
                </c:pt>
                <c:pt idx="4">
                  <c:v>0.15434049947223383</c:v>
                </c:pt>
                <c:pt idx="5">
                  <c:v>0.15434049947223383</c:v>
                </c:pt>
                <c:pt idx="6">
                  <c:v>0.15434049947223383</c:v>
                </c:pt>
                <c:pt idx="7">
                  <c:v>0.15434049947223383</c:v>
                </c:pt>
                <c:pt idx="8">
                  <c:v>0.15434049947223383</c:v>
                </c:pt>
                <c:pt idx="9">
                  <c:v>0.15434049947223383</c:v>
                </c:pt>
                <c:pt idx="10">
                  <c:v>0.15434049947223383</c:v>
                </c:pt>
                <c:pt idx="11">
                  <c:v>0.15434049947223383</c:v>
                </c:pt>
                <c:pt idx="12">
                  <c:v>0.15434049947223383</c:v>
                </c:pt>
                <c:pt idx="13">
                  <c:v>0.15434049947223383</c:v>
                </c:pt>
                <c:pt idx="14">
                  <c:v>0.15434049947223383</c:v>
                </c:pt>
                <c:pt idx="15">
                  <c:v>0.15434049947223383</c:v>
                </c:pt>
                <c:pt idx="16">
                  <c:v>0.15434049947223383</c:v>
                </c:pt>
                <c:pt idx="17">
                  <c:v>0.15434049947223383</c:v>
                </c:pt>
                <c:pt idx="18">
                  <c:v>0.15434049947223383</c:v>
                </c:pt>
                <c:pt idx="19">
                  <c:v>0.15434049947223383</c:v>
                </c:pt>
                <c:pt idx="20">
                  <c:v>0.15434049947223383</c:v>
                </c:pt>
                <c:pt idx="21">
                  <c:v>0.15434049947223383</c:v>
                </c:pt>
                <c:pt idx="22">
                  <c:v>0.15434049947223383</c:v>
                </c:pt>
                <c:pt idx="23">
                  <c:v>0.15434049947223383</c:v>
                </c:pt>
                <c:pt idx="24">
                  <c:v>0.15434049947223383</c:v>
                </c:pt>
                <c:pt idx="25">
                  <c:v>0.15434049947223383</c:v>
                </c:pt>
                <c:pt idx="26">
                  <c:v>0.15434049947223383</c:v>
                </c:pt>
                <c:pt idx="27">
                  <c:v>0.15434049947223383</c:v>
                </c:pt>
                <c:pt idx="28">
                  <c:v>0.15434049947223383</c:v>
                </c:pt>
                <c:pt idx="29">
                  <c:v>0.15434049947223383</c:v>
                </c:pt>
                <c:pt idx="30">
                  <c:v>0.15434049947223383</c:v>
                </c:pt>
                <c:pt idx="31">
                  <c:v>0.15434049947223383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B-4863-90DB-51127FC7772B}"/>
            </c:ext>
          </c:extLst>
        </c:ser>
        <c:ser>
          <c:idx val="2"/>
          <c:order val="2"/>
          <c:tx>
            <c:strRef>
              <c:f>Diversity!$Z$2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Diversity!$Z$3:$Z$34</c:f>
              <c:numCache>
                <c:formatCode>General</c:formatCode>
                <c:ptCount val="32"/>
                <c:pt idx="0">
                  <c:v>0.50469343327420457</c:v>
                </c:pt>
                <c:pt idx="1">
                  <c:v>0.50469343327420457</c:v>
                </c:pt>
                <c:pt idx="2">
                  <c:v>0.50469343327420457</c:v>
                </c:pt>
                <c:pt idx="3">
                  <c:v>0.50469343327420457</c:v>
                </c:pt>
                <c:pt idx="4">
                  <c:v>0.50469343327420457</c:v>
                </c:pt>
                <c:pt idx="5">
                  <c:v>0.50469343327420457</c:v>
                </c:pt>
                <c:pt idx="6">
                  <c:v>0.50469343327420457</c:v>
                </c:pt>
                <c:pt idx="7">
                  <c:v>0.50469343327420457</c:v>
                </c:pt>
                <c:pt idx="8">
                  <c:v>0.50469343327420457</c:v>
                </c:pt>
                <c:pt idx="9">
                  <c:v>0.50469343327420457</c:v>
                </c:pt>
                <c:pt idx="10">
                  <c:v>0.50469343327420457</c:v>
                </c:pt>
                <c:pt idx="11">
                  <c:v>0.50469343327420457</c:v>
                </c:pt>
                <c:pt idx="12">
                  <c:v>0.50469343327420457</c:v>
                </c:pt>
                <c:pt idx="13">
                  <c:v>0.50469343327420457</c:v>
                </c:pt>
                <c:pt idx="14">
                  <c:v>0.50469343327420457</c:v>
                </c:pt>
                <c:pt idx="15">
                  <c:v>0.50469343327420457</c:v>
                </c:pt>
                <c:pt idx="16">
                  <c:v>0.50469343327420457</c:v>
                </c:pt>
                <c:pt idx="17">
                  <c:v>0.50469343327420457</c:v>
                </c:pt>
                <c:pt idx="18">
                  <c:v>0.50469343327420457</c:v>
                </c:pt>
                <c:pt idx="19">
                  <c:v>0.50469343327420457</c:v>
                </c:pt>
                <c:pt idx="20">
                  <c:v>0.50469343327420457</c:v>
                </c:pt>
                <c:pt idx="21">
                  <c:v>0.50469343327420457</c:v>
                </c:pt>
                <c:pt idx="22">
                  <c:v>0.50469343327420457</c:v>
                </c:pt>
                <c:pt idx="23">
                  <c:v>0.50469343327420457</c:v>
                </c:pt>
                <c:pt idx="24">
                  <c:v>0.50469343327420457</c:v>
                </c:pt>
                <c:pt idx="25">
                  <c:v>0.50469343327420457</c:v>
                </c:pt>
                <c:pt idx="26">
                  <c:v>0.50469343327420457</c:v>
                </c:pt>
                <c:pt idx="27">
                  <c:v>0.50469343327420457</c:v>
                </c:pt>
                <c:pt idx="28">
                  <c:v>0.50469343327420457</c:v>
                </c:pt>
                <c:pt idx="29">
                  <c:v>0.50469343327420457</c:v>
                </c:pt>
                <c:pt idx="30">
                  <c:v>0.50469343327420457</c:v>
                </c:pt>
                <c:pt idx="31">
                  <c:v>0.50469343327420457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B-4863-90DB-51127FC7772B}"/>
            </c:ext>
          </c:extLst>
        </c:ser>
        <c:ser>
          <c:idx val="3"/>
          <c:order val="3"/>
          <c:tx>
            <c:strRef>
              <c:f>Diversity!$AA$2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Diversity!$AA$3:$AA$34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B-4863-90DB-51127FC77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547887"/>
        <c:axId val="724553295"/>
      </c:lineChart>
      <c:catAx>
        <c:axId val="72454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53295"/>
        <c:crosses val="autoZero"/>
        <c:auto val="1"/>
        <c:lblAlgn val="ctr"/>
        <c:lblOffset val="100"/>
        <c:noMultiLvlLbl val="0"/>
      </c:catAx>
      <c:valAx>
        <c:axId val="7245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4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X-bar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Diversity!$AC$2</c:f>
              <c:strCache>
                <c:ptCount val="1"/>
                <c:pt idx="0">
                  <c:v>X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Diversity!$AC$3:$AC$34</c:f>
              <c:numCache>
                <c:formatCode>General</c:formatCode>
                <c:ptCount val="32"/>
                <c:pt idx="0">
                  <c:v>2.5807473674432471</c:v>
                </c:pt>
                <c:pt idx="1">
                  <c:v>2.3033795051939387</c:v>
                </c:pt>
                <c:pt idx="2">
                  <c:v>2.5884253066207541</c:v>
                </c:pt>
                <c:pt idx="3">
                  <c:v>2.6015683031684977</c:v>
                </c:pt>
                <c:pt idx="4">
                  <c:v>2.6215673561994279</c:v>
                </c:pt>
                <c:pt idx="5">
                  <c:v>2.6695938201771452</c:v>
                </c:pt>
                <c:pt idx="6">
                  <c:v>2.5856731268063742</c:v>
                </c:pt>
                <c:pt idx="7">
                  <c:v>2.7436353882736624</c:v>
                </c:pt>
                <c:pt idx="8">
                  <c:v>2.6884301203116832</c:v>
                </c:pt>
                <c:pt idx="9">
                  <c:v>2.4887942215753505</c:v>
                </c:pt>
                <c:pt idx="10">
                  <c:v>2.7294416656358735</c:v>
                </c:pt>
                <c:pt idx="11">
                  <c:v>2.6765717978831125</c:v>
                </c:pt>
                <c:pt idx="12">
                  <c:v>2.7575707051255152</c:v>
                </c:pt>
                <c:pt idx="13">
                  <c:v>2.5829950284976282</c:v>
                </c:pt>
                <c:pt idx="14">
                  <c:v>2.5576448781015406</c:v>
                </c:pt>
                <c:pt idx="15">
                  <c:v>2.7213710378542935</c:v>
                </c:pt>
                <c:pt idx="16">
                  <c:v>2.6202205253069151</c:v>
                </c:pt>
                <c:pt idx="17">
                  <c:v>2.554883378010572</c:v>
                </c:pt>
                <c:pt idx="18">
                  <c:v>2.533546604566224</c:v>
                </c:pt>
                <c:pt idx="19">
                  <c:v>2.688072086222689</c:v>
                </c:pt>
                <c:pt idx="20">
                  <c:v>2.4601563716345098</c:v>
                </c:pt>
                <c:pt idx="21">
                  <c:v>2.5001941556358127</c:v>
                </c:pt>
                <c:pt idx="22">
                  <c:v>2.4042341114242607</c:v>
                </c:pt>
                <c:pt idx="23">
                  <c:v>2.6635686954277973</c:v>
                </c:pt>
                <c:pt idx="24">
                  <c:v>2.3546100072406393</c:v>
                </c:pt>
                <c:pt idx="25">
                  <c:v>2.2023074371862257</c:v>
                </c:pt>
                <c:pt idx="26">
                  <c:v>2.4688156171237479</c:v>
                </c:pt>
                <c:pt idx="27">
                  <c:v>2.5283931566509805</c:v>
                </c:pt>
                <c:pt idx="28">
                  <c:v>2.6144547302526542</c:v>
                </c:pt>
                <c:pt idx="29">
                  <c:v>2.6846565419165596</c:v>
                </c:pt>
                <c:pt idx="30">
                  <c:v>2.0294050732037219</c:v>
                </c:pt>
                <c:pt idx="31">
                  <c:v>2.3710261788078228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9F0-943F-5135E6C37FBE}"/>
            </c:ext>
          </c:extLst>
        </c:ser>
        <c:ser>
          <c:idx val="1"/>
          <c:order val="1"/>
          <c:tx>
            <c:strRef>
              <c:f>Diversity!$AD$2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Diversity!$AD$3:$AD$34</c:f>
              <c:numCache>
                <c:formatCode>General</c:formatCode>
                <c:ptCount val="32"/>
                <c:pt idx="0">
                  <c:v>2.5492485718587243</c:v>
                </c:pt>
                <c:pt idx="1">
                  <c:v>2.5492485718587243</c:v>
                </c:pt>
                <c:pt idx="2">
                  <c:v>2.5492485718587243</c:v>
                </c:pt>
                <c:pt idx="3">
                  <c:v>2.5492485718587243</c:v>
                </c:pt>
                <c:pt idx="4">
                  <c:v>2.5492485718587243</c:v>
                </c:pt>
                <c:pt idx="5">
                  <c:v>2.5492485718587243</c:v>
                </c:pt>
                <c:pt idx="6">
                  <c:v>2.5492485718587243</c:v>
                </c:pt>
                <c:pt idx="7">
                  <c:v>2.5492485718587243</c:v>
                </c:pt>
                <c:pt idx="8">
                  <c:v>2.5492485718587243</c:v>
                </c:pt>
                <c:pt idx="9">
                  <c:v>2.5492485718587243</c:v>
                </c:pt>
                <c:pt idx="10">
                  <c:v>2.5492485718587243</c:v>
                </c:pt>
                <c:pt idx="11">
                  <c:v>2.5492485718587243</c:v>
                </c:pt>
                <c:pt idx="12">
                  <c:v>2.5492485718587243</c:v>
                </c:pt>
                <c:pt idx="13">
                  <c:v>2.5492485718587243</c:v>
                </c:pt>
                <c:pt idx="14">
                  <c:v>2.5492485718587243</c:v>
                </c:pt>
                <c:pt idx="15">
                  <c:v>2.5492485718587243</c:v>
                </c:pt>
                <c:pt idx="16">
                  <c:v>2.5492485718587243</c:v>
                </c:pt>
                <c:pt idx="17">
                  <c:v>2.5492485718587243</c:v>
                </c:pt>
                <c:pt idx="18">
                  <c:v>2.5492485718587243</c:v>
                </c:pt>
                <c:pt idx="19">
                  <c:v>2.5492485718587243</c:v>
                </c:pt>
                <c:pt idx="20">
                  <c:v>2.5492485718587243</c:v>
                </c:pt>
                <c:pt idx="21">
                  <c:v>2.5492485718587243</c:v>
                </c:pt>
                <c:pt idx="22">
                  <c:v>2.5492485718587243</c:v>
                </c:pt>
                <c:pt idx="23">
                  <c:v>2.5492485718587243</c:v>
                </c:pt>
                <c:pt idx="24">
                  <c:v>2.5492485718587243</c:v>
                </c:pt>
                <c:pt idx="25">
                  <c:v>2.5492485718587243</c:v>
                </c:pt>
                <c:pt idx="26">
                  <c:v>2.5492485718587243</c:v>
                </c:pt>
                <c:pt idx="27">
                  <c:v>2.5492485718587243</c:v>
                </c:pt>
                <c:pt idx="28">
                  <c:v>2.5492485718587243</c:v>
                </c:pt>
                <c:pt idx="29">
                  <c:v>2.5492485718587243</c:v>
                </c:pt>
                <c:pt idx="30">
                  <c:v>2.5492485718587243</c:v>
                </c:pt>
                <c:pt idx="31">
                  <c:v>2.5492485718587243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A-49F0-943F-5135E6C37FBE}"/>
            </c:ext>
          </c:extLst>
        </c:ser>
        <c:ser>
          <c:idx val="2"/>
          <c:order val="2"/>
          <c:tx>
            <c:strRef>
              <c:f>Diversity!$AE$2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Diversity!$AE$3:$AE$34</c:f>
              <c:numCache>
                <c:formatCode>General</c:formatCode>
                <c:ptCount val="32"/>
                <c:pt idx="0">
                  <c:v>2.9597943004548664</c:v>
                </c:pt>
                <c:pt idx="1">
                  <c:v>2.9597943004548664</c:v>
                </c:pt>
                <c:pt idx="2">
                  <c:v>2.9597943004548664</c:v>
                </c:pt>
                <c:pt idx="3">
                  <c:v>2.9597943004548664</c:v>
                </c:pt>
                <c:pt idx="4">
                  <c:v>2.9597943004548664</c:v>
                </c:pt>
                <c:pt idx="5">
                  <c:v>2.9597943004548664</c:v>
                </c:pt>
                <c:pt idx="6">
                  <c:v>2.9597943004548664</c:v>
                </c:pt>
                <c:pt idx="7">
                  <c:v>2.9597943004548664</c:v>
                </c:pt>
                <c:pt idx="8">
                  <c:v>2.9597943004548664</c:v>
                </c:pt>
                <c:pt idx="9">
                  <c:v>2.9597943004548664</c:v>
                </c:pt>
                <c:pt idx="10">
                  <c:v>2.9597943004548664</c:v>
                </c:pt>
                <c:pt idx="11">
                  <c:v>2.9597943004548664</c:v>
                </c:pt>
                <c:pt idx="12">
                  <c:v>2.9597943004548664</c:v>
                </c:pt>
                <c:pt idx="13">
                  <c:v>2.9597943004548664</c:v>
                </c:pt>
                <c:pt idx="14">
                  <c:v>2.9597943004548664</c:v>
                </c:pt>
                <c:pt idx="15">
                  <c:v>2.9597943004548664</c:v>
                </c:pt>
                <c:pt idx="16">
                  <c:v>2.9597943004548664</c:v>
                </c:pt>
                <c:pt idx="17">
                  <c:v>2.9597943004548664</c:v>
                </c:pt>
                <c:pt idx="18">
                  <c:v>2.9597943004548664</c:v>
                </c:pt>
                <c:pt idx="19">
                  <c:v>2.9597943004548664</c:v>
                </c:pt>
                <c:pt idx="20">
                  <c:v>2.9597943004548664</c:v>
                </c:pt>
                <c:pt idx="21">
                  <c:v>2.9597943004548664</c:v>
                </c:pt>
                <c:pt idx="22">
                  <c:v>2.9597943004548664</c:v>
                </c:pt>
                <c:pt idx="23">
                  <c:v>2.9597943004548664</c:v>
                </c:pt>
                <c:pt idx="24">
                  <c:v>2.9597943004548664</c:v>
                </c:pt>
                <c:pt idx="25">
                  <c:v>2.9597943004548664</c:v>
                </c:pt>
                <c:pt idx="26">
                  <c:v>2.9597943004548664</c:v>
                </c:pt>
                <c:pt idx="27">
                  <c:v>2.9597943004548664</c:v>
                </c:pt>
                <c:pt idx="28">
                  <c:v>2.9597943004548664</c:v>
                </c:pt>
                <c:pt idx="29">
                  <c:v>2.9597943004548664</c:v>
                </c:pt>
                <c:pt idx="30">
                  <c:v>2.9597943004548664</c:v>
                </c:pt>
                <c:pt idx="31">
                  <c:v>2.9597943004548664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9A-49F0-943F-5135E6C37FBE}"/>
            </c:ext>
          </c:extLst>
        </c:ser>
        <c:ser>
          <c:idx val="3"/>
          <c:order val="3"/>
          <c:tx>
            <c:strRef>
              <c:f>Diversity!$AF$2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Diversity!$AF$3:$AF$34</c:f>
              <c:numCache>
                <c:formatCode>General</c:formatCode>
                <c:ptCount val="32"/>
                <c:pt idx="0">
                  <c:v>2.1387028432625823</c:v>
                </c:pt>
                <c:pt idx="1">
                  <c:v>2.1387028432625823</c:v>
                </c:pt>
                <c:pt idx="2">
                  <c:v>2.1387028432625823</c:v>
                </c:pt>
                <c:pt idx="3">
                  <c:v>2.1387028432625823</c:v>
                </c:pt>
                <c:pt idx="4">
                  <c:v>2.1387028432625823</c:v>
                </c:pt>
                <c:pt idx="5">
                  <c:v>2.1387028432625823</c:v>
                </c:pt>
                <c:pt idx="6">
                  <c:v>2.1387028432625823</c:v>
                </c:pt>
                <c:pt idx="7">
                  <c:v>2.1387028432625823</c:v>
                </c:pt>
                <c:pt idx="8">
                  <c:v>2.1387028432625823</c:v>
                </c:pt>
                <c:pt idx="9">
                  <c:v>2.1387028432625823</c:v>
                </c:pt>
                <c:pt idx="10">
                  <c:v>2.1387028432625823</c:v>
                </c:pt>
                <c:pt idx="11">
                  <c:v>2.1387028432625823</c:v>
                </c:pt>
                <c:pt idx="12">
                  <c:v>2.1387028432625823</c:v>
                </c:pt>
                <c:pt idx="13">
                  <c:v>2.1387028432625823</c:v>
                </c:pt>
                <c:pt idx="14">
                  <c:v>2.1387028432625823</c:v>
                </c:pt>
                <c:pt idx="15">
                  <c:v>2.1387028432625823</c:v>
                </c:pt>
                <c:pt idx="16">
                  <c:v>2.1387028432625823</c:v>
                </c:pt>
                <c:pt idx="17">
                  <c:v>2.1387028432625823</c:v>
                </c:pt>
                <c:pt idx="18">
                  <c:v>2.1387028432625823</c:v>
                </c:pt>
                <c:pt idx="19">
                  <c:v>2.1387028432625823</c:v>
                </c:pt>
                <c:pt idx="20">
                  <c:v>2.1387028432625823</c:v>
                </c:pt>
                <c:pt idx="21">
                  <c:v>2.1387028432625823</c:v>
                </c:pt>
                <c:pt idx="22">
                  <c:v>2.1387028432625823</c:v>
                </c:pt>
                <c:pt idx="23">
                  <c:v>2.1387028432625823</c:v>
                </c:pt>
                <c:pt idx="24">
                  <c:v>2.1387028432625823</c:v>
                </c:pt>
                <c:pt idx="25">
                  <c:v>2.1387028432625823</c:v>
                </c:pt>
                <c:pt idx="26">
                  <c:v>2.1387028432625823</c:v>
                </c:pt>
                <c:pt idx="27">
                  <c:v>2.1387028432625823</c:v>
                </c:pt>
                <c:pt idx="28">
                  <c:v>2.1387028432625823</c:v>
                </c:pt>
                <c:pt idx="29">
                  <c:v>2.1387028432625823</c:v>
                </c:pt>
                <c:pt idx="30">
                  <c:v>2.1387028432625823</c:v>
                </c:pt>
                <c:pt idx="31">
                  <c:v>2.1387028432625823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9A-49F0-943F-5135E6C3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996207"/>
        <c:axId val="373014095"/>
      </c:lineChart>
      <c:catAx>
        <c:axId val="372996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14095"/>
        <c:crosses val="autoZero"/>
        <c:auto val="1"/>
        <c:lblAlgn val="ctr"/>
        <c:lblOffset val="100"/>
        <c:noMultiLvlLbl val="0"/>
      </c:catAx>
      <c:valAx>
        <c:axId val="373014095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mR-bar</a:t>
            </a:r>
            <a:r>
              <a:rPr lang="en-US" baseline="0"/>
              <a:t> price</a:t>
            </a:r>
          </a:p>
          <a:p>
            <a:pPr>
              <a:defRPr/>
            </a:pPr>
            <a:r>
              <a:rPr lang="en-US" baseline="0"/>
              <a:t>before switch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Diversity!$F$66</c:f>
              <c:strCache>
                <c:ptCount val="1"/>
                <c:pt idx="0">
                  <c:v>mR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Diversity!$B$67:$B$82</c:f>
              <c:strCache>
                <c:ptCount val="16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4/28//10:00</c:v>
                </c:pt>
                <c:pt idx="10">
                  <c:v>4/28//5:00</c:v>
                </c:pt>
                <c:pt idx="11">
                  <c:v>5/2//10:00</c:v>
                </c:pt>
                <c:pt idx="12">
                  <c:v>5/2//5:00</c:v>
                </c:pt>
                <c:pt idx="13">
                  <c:v>5/3//10:00</c:v>
                </c:pt>
                <c:pt idx="14">
                  <c:v>5/3//5:00</c:v>
                </c:pt>
                <c:pt idx="15">
                  <c:v>5/4//5:00</c:v>
                </c:pt>
              </c:strCache>
            </c:strRef>
          </c:cat>
          <c:val>
            <c:numRef>
              <c:f>Diversity!$F$67:$F$82</c:f>
              <c:numCache>
                <c:formatCode>General</c:formatCode>
                <c:ptCount val="16"/>
                <c:pt idx="1">
                  <c:v>4.2008535814477277E-2</c:v>
                </c:pt>
                <c:pt idx="2">
                  <c:v>0.12114026998897132</c:v>
                </c:pt>
                <c:pt idx="3">
                  <c:v>2.3864574343787637E-3</c:v>
                </c:pt>
                <c:pt idx="4">
                  <c:v>0.45813320948469316</c:v>
                </c:pt>
                <c:pt idx="5">
                  <c:v>1.7046831654983552E-2</c:v>
                </c:pt>
                <c:pt idx="6">
                  <c:v>0.33075765193912632</c:v>
                </c:pt>
                <c:pt idx="7">
                  <c:v>0.22094967422232487</c:v>
                </c:pt>
                <c:pt idx="8">
                  <c:v>7.9651025096608707E-3</c:v>
                </c:pt>
                <c:pt idx="9">
                  <c:v>0.37524676656343176</c:v>
                </c:pt>
                <c:pt idx="10">
                  <c:v>2.3094212431700289E-2</c:v>
                </c:pt>
                <c:pt idx="11">
                  <c:v>0.23057152127526037</c:v>
                </c:pt>
                <c:pt idx="12">
                  <c:v>5.4533878991462892E-3</c:v>
                </c:pt>
                <c:pt idx="13">
                  <c:v>0.26268351401306156</c:v>
                </c:pt>
                <c:pt idx="14">
                  <c:v>3.0214288576419612E-2</c:v>
                </c:pt>
                <c:pt idx="15">
                  <c:v>0.21584700562824888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D-4B9D-B1A0-3E604A36EDFE}"/>
            </c:ext>
          </c:extLst>
        </c:ser>
        <c:ser>
          <c:idx val="1"/>
          <c:order val="1"/>
          <c:tx>
            <c:strRef>
              <c:f>Diversity!$G$66</c:f>
              <c:strCache>
                <c:ptCount val="1"/>
                <c:pt idx="0">
                  <c:v>mR-bar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Diversity!$B$67:$B$82</c:f>
              <c:strCache>
                <c:ptCount val="16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4/28//10:00</c:v>
                </c:pt>
                <c:pt idx="10">
                  <c:v>4/28//5:00</c:v>
                </c:pt>
                <c:pt idx="11">
                  <c:v>5/2//10:00</c:v>
                </c:pt>
                <c:pt idx="12">
                  <c:v>5/2//5:00</c:v>
                </c:pt>
                <c:pt idx="13">
                  <c:v>5/3//10:00</c:v>
                </c:pt>
                <c:pt idx="14">
                  <c:v>5/3//5:00</c:v>
                </c:pt>
                <c:pt idx="15">
                  <c:v>5/4//5:00</c:v>
                </c:pt>
              </c:strCache>
            </c:strRef>
          </c:cat>
          <c:val>
            <c:numRef>
              <c:f>Diversity!$G$67:$G$82</c:f>
              <c:numCache>
                <c:formatCode>General</c:formatCode>
                <c:ptCount val="16"/>
                <c:pt idx="0">
                  <c:v>0.15623322862905903</c:v>
                </c:pt>
                <c:pt idx="1">
                  <c:v>0.15623322862905903</c:v>
                </c:pt>
                <c:pt idx="2">
                  <c:v>0.15623322862905903</c:v>
                </c:pt>
                <c:pt idx="3">
                  <c:v>0.15623322862905903</c:v>
                </c:pt>
                <c:pt idx="4">
                  <c:v>0.15623322862905903</c:v>
                </c:pt>
                <c:pt idx="5">
                  <c:v>0.15623322862905903</c:v>
                </c:pt>
                <c:pt idx="6">
                  <c:v>0.15623322862905903</c:v>
                </c:pt>
                <c:pt idx="7">
                  <c:v>0.15623322862905903</c:v>
                </c:pt>
                <c:pt idx="8">
                  <c:v>0.15623322862905903</c:v>
                </c:pt>
                <c:pt idx="9">
                  <c:v>0.15623322862905903</c:v>
                </c:pt>
                <c:pt idx="10">
                  <c:v>0.15623322862905903</c:v>
                </c:pt>
                <c:pt idx="11">
                  <c:v>0.15623322862905903</c:v>
                </c:pt>
                <c:pt idx="12">
                  <c:v>0.15623322862905903</c:v>
                </c:pt>
                <c:pt idx="13">
                  <c:v>0.15623322862905903</c:v>
                </c:pt>
                <c:pt idx="14">
                  <c:v>0.15623322862905903</c:v>
                </c:pt>
                <c:pt idx="15">
                  <c:v>0.15623322862905903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D-4B9D-B1A0-3E604A36EDFE}"/>
            </c:ext>
          </c:extLst>
        </c:ser>
        <c:ser>
          <c:idx val="2"/>
          <c:order val="2"/>
          <c:tx>
            <c:strRef>
              <c:f>Diversity!$H$66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Diversity!$B$67:$B$82</c:f>
              <c:strCache>
                <c:ptCount val="16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4/28//10:00</c:v>
                </c:pt>
                <c:pt idx="10">
                  <c:v>4/28//5:00</c:v>
                </c:pt>
                <c:pt idx="11">
                  <c:v>5/2//10:00</c:v>
                </c:pt>
                <c:pt idx="12">
                  <c:v>5/2//5:00</c:v>
                </c:pt>
                <c:pt idx="13">
                  <c:v>5/3//10:00</c:v>
                </c:pt>
                <c:pt idx="14">
                  <c:v>5/3//5:00</c:v>
                </c:pt>
                <c:pt idx="15">
                  <c:v>5/4//5:00</c:v>
                </c:pt>
              </c:strCache>
            </c:strRef>
          </c:cat>
          <c:val>
            <c:numRef>
              <c:f>Diversity!$H$67:$H$82</c:f>
              <c:numCache>
                <c:formatCode>General</c:formatCode>
                <c:ptCount val="16"/>
                <c:pt idx="0">
                  <c:v>0.51088265761702301</c:v>
                </c:pt>
                <c:pt idx="1">
                  <c:v>0.51088265761702301</c:v>
                </c:pt>
                <c:pt idx="2">
                  <c:v>0.51088265761702301</c:v>
                </c:pt>
                <c:pt idx="3">
                  <c:v>0.51088265761702301</c:v>
                </c:pt>
                <c:pt idx="4">
                  <c:v>0.51088265761702301</c:v>
                </c:pt>
                <c:pt idx="5">
                  <c:v>0.51088265761702301</c:v>
                </c:pt>
                <c:pt idx="6">
                  <c:v>0.51088265761702301</c:v>
                </c:pt>
                <c:pt idx="7">
                  <c:v>0.51088265761702301</c:v>
                </c:pt>
                <c:pt idx="8">
                  <c:v>0.51088265761702301</c:v>
                </c:pt>
                <c:pt idx="9">
                  <c:v>0.51088265761702301</c:v>
                </c:pt>
                <c:pt idx="10">
                  <c:v>0.51088265761702301</c:v>
                </c:pt>
                <c:pt idx="11">
                  <c:v>0.51088265761702301</c:v>
                </c:pt>
                <c:pt idx="12">
                  <c:v>0.51088265761702301</c:v>
                </c:pt>
                <c:pt idx="13">
                  <c:v>0.51088265761702301</c:v>
                </c:pt>
                <c:pt idx="14">
                  <c:v>0.51088265761702301</c:v>
                </c:pt>
                <c:pt idx="15">
                  <c:v>0.51088265761702301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4D-4B9D-B1A0-3E604A36EDFE}"/>
            </c:ext>
          </c:extLst>
        </c:ser>
        <c:ser>
          <c:idx val="3"/>
          <c:order val="3"/>
          <c:tx>
            <c:strRef>
              <c:f>Diversity!$I$66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Diversity!$B$67:$B$82</c:f>
              <c:strCache>
                <c:ptCount val="16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4/28//10:00</c:v>
                </c:pt>
                <c:pt idx="10">
                  <c:v>4/28//5:00</c:v>
                </c:pt>
                <c:pt idx="11">
                  <c:v>5/2//10:00</c:v>
                </c:pt>
                <c:pt idx="12">
                  <c:v>5/2//5:00</c:v>
                </c:pt>
                <c:pt idx="13">
                  <c:v>5/3//10:00</c:v>
                </c:pt>
                <c:pt idx="14">
                  <c:v>5/3//5:00</c:v>
                </c:pt>
                <c:pt idx="15">
                  <c:v>5/4//5:00</c:v>
                </c:pt>
              </c:strCache>
            </c:strRef>
          </c:cat>
          <c:val>
            <c:numRef>
              <c:f>Diversity!$I$67:$I$82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4D-4B9D-B1A0-3E604A36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146928"/>
        <c:axId val="2023167728"/>
      </c:lineChart>
      <c:catAx>
        <c:axId val="20231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67728"/>
        <c:crosses val="autoZero"/>
        <c:auto val="1"/>
        <c:lblAlgn val="ctr"/>
        <c:lblOffset val="100"/>
        <c:noMultiLvlLbl val="0"/>
      </c:catAx>
      <c:valAx>
        <c:axId val="20231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mR-bar</a:t>
            </a:r>
            <a:r>
              <a:rPr lang="en-US" baseline="0"/>
              <a:t> price</a:t>
            </a:r>
          </a:p>
          <a:p>
            <a:pPr>
              <a:defRPr/>
            </a:pPr>
            <a:r>
              <a:rPr lang="en-US" baseline="0"/>
              <a:t>after switch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Diversity!$B$83:$B$94</c:f>
              <c:strCache>
                <c:ptCount val="12"/>
                <c:pt idx="0">
                  <c:v>5/12//10:00</c:v>
                </c:pt>
                <c:pt idx="1">
                  <c:v>5/12//5:00</c:v>
                </c:pt>
                <c:pt idx="2">
                  <c:v>5/17//10:00</c:v>
                </c:pt>
                <c:pt idx="3">
                  <c:v>5/17//5:00</c:v>
                </c:pt>
                <c:pt idx="4">
                  <c:v>5/18//10:00</c:v>
                </c:pt>
                <c:pt idx="5">
                  <c:v>5/18//5:00</c:v>
                </c:pt>
                <c:pt idx="6">
                  <c:v>5/19//10:00</c:v>
                </c:pt>
                <c:pt idx="7">
                  <c:v>5/19//5:00</c:v>
                </c:pt>
                <c:pt idx="8">
                  <c:v>5/20//10:00</c:v>
                </c:pt>
                <c:pt idx="9">
                  <c:v>5/20//5:00</c:v>
                </c:pt>
                <c:pt idx="10">
                  <c:v>5/23//10:00</c:v>
                </c:pt>
                <c:pt idx="11">
                  <c:v>5/23//5:00</c:v>
                </c:pt>
              </c:strCache>
            </c:strRef>
          </c:cat>
          <c:val>
            <c:numRef>
              <c:f>Diversity!$F$83:$F$94</c:f>
              <c:numCache>
                <c:formatCode>General</c:formatCode>
                <c:ptCount val="12"/>
                <c:pt idx="1">
                  <c:v>3.0794973240348134E-3</c:v>
                </c:pt>
                <c:pt idx="2">
                  <c:v>0.15458478054905356</c:v>
                </c:pt>
                <c:pt idx="3">
                  <c:v>3.7417199882284202E-2</c:v>
                </c:pt>
                <c:pt idx="4">
                  <c:v>9.5913822409438132E-2</c:v>
                </c:pt>
                <c:pt idx="5">
                  <c:v>1.8653851010591249E-2</c:v>
                </c:pt>
                <c:pt idx="6">
                  <c:v>5.7098388558061708E-2</c:v>
                </c:pt>
                <c:pt idx="7">
                  <c:v>7.8871827547232765E-3</c:v>
                </c:pt>
                <c:pt idx="8">
                  <c:v>1.450622486096298E-2</c:v>
                </c:pt>
                <c:pt idx="9">
                  <c:v>8.5982405614312141E-3</c:v>
                </c:pt>
                <c:pt idx="10">
                  <c:v>3.9868079246402344E-2</c:v>
                </c:pt>
                <c:pt idx="11">
                  <c:v>4.8639845082250222E-2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2-40F9-B554-1ACF04867D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Diversity!$B$83:$B$94</c:f>
              <c:strCache>
                <c:ptCount val="12"/>
                <c:pt idx="0">
                  <c:v>5/12//10:00</c:v>
                </c:pt>
                <c:pt idx="1">
                  <c:v>5/12//5:00</c:v>
                </c:pt>
                <c:pt idx="2">
                  <c:v>5/17//10:00</c:v>
                </c:pt>
                <c:pt idx="3">
                  <c:v>5/17//5:00</c:v>
                </c:pt>
                <c:pt idx="4">
                  <c:v>5/18//10:00</c:v>
                </c:pt>
                <c:pt idx="5">
                  <c:v>5/18//5:00</c:v>
                </c:pt>
                <c:pt idx="6">
                  <c:v>5/19//10:00</c:v>
                </c:pt>
                <c:pt idx="7">
                  <c:v>5/19//5:00</c:v>
                </c:pt>
                <c:pt idx="8">
                  <c:v>5/20//10:00</c:v>
                </c:pt>
                <c:pt idx="9">
                  <c:v>5/20//5:00</c:v>
                </c:pt>
                <c:pt idx="10">
                  <c:v>5/23//10:00</c:v>
                </c:pt>
                <c:pt idx="11">
                  <c:v>5/23//5:00</c:v>
                </c:pt>
              </c:strCache>
            </c:strRef>
          </c:cat>
          <c:val>
            <c:numRef>
              <c:f>Diversity!$G$83:$G$94</c:f>
              <c:numCache>
                <c:formatCode>General</c:formatCode>
                <c:ptCount val="12"/>
                <c:pt idx="0">
                  <c:v>4.4204282930839424E-2</c:v>
                </c:pt>
                <c:pt idx="1">
                  <c:v>4.4204282930839424E-2</c:v>
                </c:pt>
                <c:pt idx="2">
                  <c:v>4.4204282930839424E-2</c:v>
                </c:pt>
                <c:pt idx="3">
                  <c:v>4.4204282930839424E-2</c:v>
                </c:pt>
                <c:pt idx="4">
                  <c:v>4.4204282930839424E-2</c:v>
                </c:pt>
                <c:pt idx="5">
                  <c:v>4.4204282930839424E-2</c:v>
                </c:pt>
                <c:pt idx="6">
                  <c:v>4.4204282930839424E-2</c:v>
                </c:pt>
                <c:pt idx="7">
                  <c:v>4.4204282930839424E-2</c:v>
                </c:pt>
                <c:pt idx="8">
                  <c:v>4.4204282930839424E-2</c:v>
                </c:pt>
                <c:pt idx="9">
                  <c:v>4.4204282930839424E-2</c:v>
                </c:pt>
                <c:pt idx="10">
                  <c:v>4.4204282930839424E-2</c:v>
                </c:pt>
                <c:pt idx="11">
                  <c:v>4.4204282930839424E-2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2-40F9-B554-1ACF04867D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Diversity!$B$83:$B$94</c:f>
              <c:strCache>
                <c:ptCount val="12"/>
                <c:pt idx="0">
                  <c:v>5/12//10:00</c:v>
                </c:pt>
                <c:pt idx="1">
                  <c:v>5/12//5:00</c:v>
                </c:pt>
                <c:pt idx="2">
                  <c:v>5/17//10:00</c:v>
                </c:pt>
                <c:pt idx="3">
                  <c:v>5/17//5:00</c:v>
                </c:pt>
                <c:pt idx="4">
                  <c:v>5/18//10:00</c:v>
                </c:pt>
                <c:pt idx="5">
                  <c:v>5/18//5:00</c:v>
                </c:pt>
                <c:pt idx="6">
                  <c:v>5/19//10:00</c:v>
                </c:pt>
                <c:pt idx="7">
                  <c:v>5/19//5:00</c:v>
                </c:pt>
                <c:pt idx="8">
                  <c:v>5/20//10:00</c:v>
                </c:pt>
                <c:pt idx="9">
                  <c:v>5/20//5:00</c:v>
                </c:pt>
                <c:pt idx="10">
                  <c:v>5/23//10:00</c:v>
                </c:pt>
                <c:pt idx="11">
                  <c:v>5/23//5:00</c:v>
                </c:pt>
              </c:strCache>
            </c:strRef>
          </c:cat>
          <c:val>
            <c:numRef>
              <c:f>Diversity!$H$83:$H$94</c:f>
              <c:numCache>
                <c:formatCode>General</c:formatCode>
                <c:ptCount val="12"/>
                <c:pt idx="0">
                  <c:v>0.14454800518384492</c:v>
                </c:pt>
                <c:pt idx="1">
                  <c:v>0.14454800518384492</c:v>
                </c:pt>
                <c:pt idx="2">
                  <c:v>0.14454800518384492</c:v>
                </c:pt>
                <c:pt idx="3">
                  <c:v>0.14454800518384492</c:v>
                </c:pt>
                <c:pt idx="4">
                  <c:v>0.14454800518384492</c:v>
                </c:pt>
                <c:pt idx="5">
                  <c:v>0.14454800518384492</c:v>
                </c:pt>
                <c:pt idx="6">
                  <c:v>0.14454800518384492</c:v>
                </c:pt>
                <c:pt idx="7">
                  <c:v>0.14454800518384492</c:v>
                </c:pt>
                <c:pt idx="8">
                  <c:v>0.14454800518384492</c:v>
                </c:pt>
                <c:pt idx="9">
                  <c:v>0.14454800518384492</c:v>
                </c:pt>
                <c:pt idx="10">
                  <c:v>0.14454800518384492</c:v>
                </c:pt>
                <c:pt idx="11">
                  <c:v>0.14454800518384492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2-40F9-B554-1ACF04867D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Diversity!$B$83:$B$94</c:f>
              <c:strCache>
                <c:ptCount val="12"/>
                <c:pt idx="0">
                  <c:v>5/12//10:00</c:v>
                </c:pt>
                <c:pt idx="1">
                  <c:v>5/12//5:00</c:v>
                </c:pt>
                <c:pt idx="2">
                  <c:v>5/17//10:00</c:v>
                </c:pt>
                <c:pt idx="3">
                  <c:v>5/17//5:00</c:v>
                </c:pt>
                <c:pt idx="4">
                  <c:v>5/18//10:00</c:v>
                </c:pt>
                <c:pt idx="5">
                  <c:v>5/18//5:00</c:v>
                </c:pt>
                <c:pt idx="6">
                  <c:v>5/19//10:00</c:v>
                </c:pt>
                <c:pt idx="7">
                  <c:v>5/19//5:00</c:v>
                </c:pt>
                <c:pt idx="8">
                  <c:v>5/20//10:00</c:v>
                </c:pt>
                <c:pt idx="9">
                  <c:v>5/20//5:00</c:v>
                </c:pt>
                <c:pt idx="10">
                  <c:v>5/23//10:00</c:v>
                </c:pt>
                <c:pt idx="11">
                  <c:v>5/23//5:00</c:v>
                </c:pt>
              </c:strCache>
            </c:strRef>
          </c:cat>
          <c:val>
            <c:numRef>
              <c:f>Diversity!$I$83:$I$94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C2-40F9-B554-1ACF0486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301632"/>
        <c:axId val="2032304960"/>
      </c:lineChart>
      <c:catAx>
        <c:axId val="20323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04960"/>
        <c:crosses val="autoZero"/>
        <c:auto val="1"/>
        <c:lblAlgn val="ctr"/>
        <c:lblOffset val="100"/>
        <c:noMultiLvlLbl val="0"/>
      </c:catAx>
      <c:valAx>
        <c:axId val="20323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3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</a:t>
            </a:r>
            <a:r>
              <a:rPr lang="en-US" baseline="0"/>
              <a:t> price</a:t>
            </a:r>
          </a:p>
          <a:p>
            <a:pPr>
              <a:defRPr/>
            </a:pPr>
            <a:r>
              <a:rPr lang="en-US" baseline="0"/>
              <a:t>before switch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Diversity!$K$66</c:f>
              <c:strCache>
                <c:ptCount val="1"/>
                <c:pt idx="0">
                  <c:v>X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Diversity!$B$67:$B$82</c:f>
              <c:strCache>
                <c:ptCount val="16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4/28//10:00</c:v>
                </c:pt>
                <c:pt idx="10">
                  <c:v>4/28//5:00</c:v>
                </c:pt>
                <c:pt idx="11">
                  <c:v>5/2//10:00</c:v>
                </c:pt>
                <c:pt idx="12">
                  <c:v>5/2//5:00</c:v>
                </c:pt>
                <c:pt idx="13">
                  <c:v>5/3//10:00</c:v>
                </c:pt>
                <c:pt idx="14">
                  <c:v>5/3//5:00</c:v>
                </c:pt>
                <c:pt idx="15">
                  <c:v>5/4//5:00</c:v>
                </c:pt>
              </c:strCache>
            </c:strRef>
          </c:cat>
          <c:val>
            <c:numRef>
              <c:f>Diversity!$K$67:$K$82</c:f>
              <c:numCache>
                <c:formatCode>General</c:formatCode>
                <c:ptCount val="16"/>
                <c:pt idx="0">
                  <c:v>0.39086510359989629</c:v>
                </c:pt>
                <c:pt idx="1">
                  <c:v>0.34885656778541901</c:v>
                </c:pt>
                <c:pt idx="2">
                  <c:v>0.46999683777439033</c:v>
                </c:pt>
                <c:pt idx="3">
                  <c:v>0.47238329520876909</c:v>
                </c:pt>
                <c:pt idx="4">
                  <c:v>0.93051650469346225</c:v>
                </c:pt>
                <c:pt idx="5">
                  <c:v>0.94756333634844581</c:v>
                </c:pt>
                <c:pt idx="6">
                  <c:v>0.61680568440931949</c:v>
                </c:pt>
                <c:pt idx="7">
                  <c:v>0.39585601018699462</c:v>
                </c:pt>
                <c:pt idx="8">
                  <c:v>0.38789090767733375</c:v>
                </c:pt>
                <c:pt idx="9">
                  <c:v>0.76313767424076551</c:v>
                </c:pt>
                <c:pt idx="10">
                  <c:v>0.7862318866724658</c:v>
                </c:pt>
                <c:pt idx="11">
                  <c:v>0.55566036539720542</c:v>
                </c:pt>
                <c:pt idx="12">
                  <c:v>0.55020697749805914</c:v>
                </c:pt>
                <c:pt idx="13">
                  <c:v>0.81289049151112069</c:v>
                </c:pt>
                <c:pt idx="14">
                  <c:v>0.78267620293470108</c:v>
                </c:pt>
                <c:pt idx="15">
                  <c:v>0.5668291973064522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5-46C0-9629-2CD515B946DC}"/>
            </c:ext>
          </c:extLst>
        </c:ser>
        <c:ser>
          <c:idx val="1"/>
          <c:order val="1"/>
          <c:tx>
            <c:strRef>
              <c:f>Diversity!$L$66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Diversity!$B$67:$B$82</c:f>
              <c:strCache>
                <c:ptCount val="16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4/28//10:00</c:v>
                </c:pt>
                <c:pt idx="10">
                  <c:v>4/28//5:00</c:v>
                </c:pt>
                <c:pt idx="11">
                  <c:v>5/2//10:00</c:v>
                </c:pt>
                <c:pt idx="12">
                  <c:v>5/2//5:00</c:v>
                </c:pt>
                <c:pt idx="13">
                  <c:v>5/3//10:00</c:v>
                </c:pt>
                <c:pt idx="14">
                  <c:v>5/3//5:00</c:v>
                </c:pt>
                <c:pt idx="15">
                  <c:v>5/4//5:00</c:v>
                </c:pt>
              </c:strCache>
            </c:strRef>
          </c:cat>
          <c:val>
            <c:numRef>
              <c:f>Diversity!$L$67:$L$82</c:f>
              <c:numCache>
                <c:formatCode>General</c:formatCode>
                <c:ptCount val="16"/>
                <c:pt idx="0">
                  <c:v>0.61114794020280006</c:v>
                </c:pt>
                <c:pt idx="1">
                  <c:v>0.61114794020280006</c:v>
                </c:pt>
                <c:pt idx="2">
                  <c:v>0.61114794020280006</c:v>
                </c:pt>
                <c:pt idx="3">
                  <c:v>0.61114794020280006</c:v>
                </c:pt>
                <c:pt idx="4">
                  <c:v>0.61114794020280006</c:v>
                </c:pt>
                <c:pt idx="5">
                  <c:v>0.61114794020280006</c:v>
                </c:pt>
                <c:pt idx="6">
                  <c:v>0.61114794020280006</c:v>
                </c:pt>
                <c:pt idx="7">
                  <c:v>0.61114794020280006</c:v>
                </c:pt>
                <c:pt idx="8">
                  <c:v>0.61114794020280006</c:v>
                </c:pt>
                <c:pt idx="9">
                  <c:v>0.61114794020280006</c:v>
                </c:pt>
                <c:pt idx="10">
                  <c:v>0.61114794020280006</c:v>
                </c:pt>
                <c:pt idx="11">
                  <c:v>0.61114794020280006</c:v>
                </c:pt>
                <c:pt idx="12">
                  <c:v>0.61114794020280006</c:v>
                </c:pt>
                <c:pt idx="13">
                  <c:v>0.61114794020280006</c:v>
                </c:pt>
                <c:pt idx="14">
                  <c:v>0.61114794020280006</c:v>
                </c:pt>
                <c:pt idx="15">
                  <c:v>0.61114794020280006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5-46C0-9629-2CD515B946DC}"/>
            </c:ext>
          </c:extLst>
        </c:ser>
        <c:ser>
          <c:idx val="2"/>
          <c:order val="2"/>
          <c:tx>
            <c:strRef>
              <c:f>Diversity!$M$66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Diversity!$B$67:$B$82</c:f>
              <c:strCache>
                <c:ptCount val="16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4/28//10:00</c:v>
                </c:pt>
                <c:pt idx="10">
                  <c:v>4/28//5:00</c:v>
                </c:pt>
                <c:pt idx="11">
                  <c:v>5/2//10:00</c:v>
                </c:pt>
                <c:pt idx="12">
                  <c:v>5/2//5:00</c:v>
                </c:pt>
                <c:pt idx="13">
                  <c:v>5/3//10:00</c:v>
                </c:pt>
                <c:pt idx="14">
                  <c:v>5/3//5:00</c:v>
                </c:pt>
                <c:pt idx="15">
                  <c:v>5/4//5:00</c:v>
                </c:pt>
              </c:strCache>
            </c:strRef>
          </c:cat>
          <c:val>
            <c:numRef>
              <c:f>Diversity!$M$67:$M$82</c:f>
              <c:numCache>
                <c:formatCode>General</c:formatCode>
                <c:ptCount val="16"/>
                <c:pt idx="0">
                  <c:v>1.0267283283560971</c:v>
                </c:pt>
                <c:pt idx="1">
                  <c:v>1.0267283283560971</c:v>
                </c:pt>
                <c:pt idx="2">
                  <c:v>1.0267283283560971</c:v>
                </c:pt>
                <c:pt idx="3">
                  <c:v>1.0267283283560971</c:v>
                </c:pt>
                <c:pt idx="4">
                  <c:v>1.0267283283560971</c:v>
                </c:pt>
                <c:pt idx="5">
                  <c:v>1.0267283283560971</c:v>
                </c:pt>
                <c:pt idx="6">
                  <c:v>1.0267283283560971</c:v>
                </c:pt>
                <c:pt idx="7">
                  <c:v>1.0267283283560971</c:v>
                </c:pt>
                <c:pt idx="8">
                  <c:v>1.0267283283560971</c:v>
                </c:pt>
                <c:pt idx="9">
                  <c:v>1.0267283283560971</c:v>
                </c:pt>
                <c:pt idx="10">
                  <c:v>1.0267283283560971</c:v>
                </c:pt>
                <c:pt idx="11">
                  <c:v>1.0267283283560971</c:v>
                </c:pt>
                <c:pt idx="12">
                  <c:v>1.0267283283560971</c:v>
                </c:pt>
                <c:pt idx="13">
                  <c:v>1.0267283283560971</c:v>
                </c:pt>
                <c:pt idx="14">
                  <c:v>1.0267283283560971</c:v>
                </c:pt>
                <c:pt idx="15">
                  <c:v>1.0267283283560971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5-46C0-9629-2CD515B946DC}"/>
            </c:ext>
          </c:extLst>
        </c:ser>
        <c:ser>
          <c:idx val="3"/>
          <c:order val="3"/>
          <c:tx>
            <c:strRef>
              <c:f>Diversity!$N$66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Diversity!$B$67:$B$82</c:f>
              <c:strCache>
                <c:ptCount val="16"/>
                <c:pt idx="0">
                  <c:v>4/20//10:00</c:v>
                </c:pt>
                <c:pt idx="1">
                  <c:v>4/20//5:00</c:v>
                </c:pt>
                <c:pt idx="2">
                  <c:v>4/21//10:00</c:v>
                </c:pt>
                <c:pt idx="3">
                  <c:v>4/21//5:00</c:v>
                </c:pt>
                <c:pt idx="4">
                  <c:v>4/22//10:00</c:v>
                </c:pt>
                <c:pt idx="5">
                  <c:v>4/22//5:00</c:v>
                </c:pt>
                <c:pt idx="6">
                  <c:v>4/23//10:00</c:v>
                </c:pt>
                <c:pt idx="7">
                  <c:v>4/26//10:00</c:v>
                </c:pt>
                <c:pt idx="8">
                  <c:v>4/26//5:00</c:v>
                </c:pt>
                <c:pt idx="9">
                  <c:v>4/28//10:00</c:v>
                </c:pt>
                <c:pt idx="10">
                  <c:v>4/28//5:00</c:v>
                </c:pt>
                <c:pt idx="11">
                  <c:v>5/2//10:00</c:v>
                </c:pt>
                <c:pt idx="12">
                  <c:v>5/2//5:00</c:v>
                </c:pt>
                <c:pt idx="13">
                  <c:v>5/3//10:00</c:v>
                </c:pt>
                <c:pt idx="14">
                  <c:v>5/3//5:00</c:v>
                </c:pt>
                <c:pt idx="15">
                  <c:v>5/4//5:00</c:v>
                </c:pt>
              </c:strCache>
            </c:strRef>
          </c:cat>
          <c:val>
            <c:numRef>
              <c:f>Diversity!$N$67:$N$82</c:f>
              <c:numCache>
                <c:formatCode>General</c:formatCode>
                <c:ptCount val="16"/>
                <c:pt idx="0">
                  <c:v>0.19556755204950299</c:v>
                </c:pt>
                <c:pt idx="1">
                  <c:v>0.19556755204950299</c:v>
                </c:pt>
                <c:pt idx="2">
                  <c:v>0.19556755204950299</c:v>
                </c:pt>
                <c:pt idx="3">
                  <c:v>0.19556755204950299</c:v>
                </c:pt>
                <c:pt idx="4">
                  <c:v>0.19556755204950299</c:v>
                </c:pt>
                <c:pt idx="5">
                  <c:v>0.19556755204950299</c:v>
                </c:pt>
                <c:pt idx="6">
                  <c:v>0.19556755204950299</c:v>
                </c:pt>
                <c:pt idx="7">
                  <c:v>0.19556755204950299</c:v>
                </c:pt>
                <c:pt idx="8">
                  <c:v>0.19556755204950299</c:v>
                </c:pt>
                <c:pt idx="9">
                  <c:v>0.19556755204950299</c:v>
                </c:pt>
                <c:pt idx="10">
                  <c:v>0.19556755204950299</c:v>
                </c:pt>
                <c:pt idx="11">
                  <c:v>0.19556755204950299</c:v>
                </c:pt>
                <c:pt idx="12">
                  <c:v>0.19556755204950299</c:v>
                </c:pt>
                <c:pt idx="13">
                  <c:v>0.19556755204950299</c:v>
                </c:pt>
                <c:pt idx="14">
                  <c:v>0.19556755204950299</c:v>
                </c:pt>
                <c:pt idx="15">
                  <c:v>0.19556755204950299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5-46C0-9629-2CD515B9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244592"/>
        <c:axId val="2026237104"/>
      </c:lineChart>
      <c:catAx>
        <c:axId val="20262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37104"/>
        <c:crosses val="autoZero"/>
        <c:auto val="1"/>
        <c:lblAlgn val="ctr"/>
        <c:lblOffset val="100"/>
        <c:noMultiLvlLbl val="0"/>
      </c:catAx>
      <c:valAx>
        <c:axId val="20262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Feeder Visits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cs typeface="Calibri" panose="020F0502020204030204" pitchFamily="34" charset="0"/>
            </a:endParaRP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cs typeface="Calibri" panose="020F0502020204030204" pitchFamily="34" charset="0"/>
              </a:rPr>
              <a:t>(tube = safflower)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2ECB9D6-170B-4353-9B0B-9F3D4EDF911D}">
          <cx:dataId val="0"/>
          <cx:layoutPr>
            <cx:aggregation/>
          </cx:layoutPr>
          <cx:axisId val="1"/>
        </cx:series>
        <cx:series layoutId="paretoLine" ownerIdx="0" uniqueId="{DD2AD8FE-4C56-479C-9D1B-A457D274296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Feeder Visits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(tube = sunflower)</a:t>
            </a:r>
          </a:p>
        </cx:rich>
      </cx:tx>
    </cx:title>
    <cx:plotArea>
      <cx:plotAreaRegion>
        <cx:series layoutId="clusteredColumn" uniqueId="{3A1A685A-0575-4724-A9DB-A31342C3A191}">
          <cx:dataId val="0"/>
          <cx:layoutPr>
            <cx:aggregation/>
          </cx:layoutPr>
          <cx:axisId val="1"/>
        </cx:series>
        <cx:series layoutId="paretoLine" ownerIdx="0" uniqueId="{7C049F3D-09BA-4A4A-8ED3-35CDF73D7B6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1</xdr:row>
      <xdr:rowOff>11430</xdr:rowOff>
    </xdr:from>
    <xdr:to>
      <xdr:col>15</xdr:col>
      <xdr:colOff>594360</xdr:colOff>
      <xdr:row>18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FBCBD3-1CF1-429C-883F-BB81759C1D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6400" y="201930"/>
              <a:ext cx="5135880" cy="321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60960</xdr:colOff>
      <xdr:row>1</xdr:row>
      <xdr:rowOff>11430</xdr:rowOff>
    </xdr:from>
    <xdr:to>
      <xdr:col>24</xdr:col>
      <xdr:colOff>243840</xdr:colOff>
      <xdr:row>18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3E0DA2E-6DEA-4C46-8170-8DA745D9B4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08480" y="201930"/>
              <a:ext cx="5059680" cy="321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396240</xdr:colOff>
      <xdr:row>15</xdr:row>
      <xdr:rowOff>125730</xdr:rowOff>
    </xdr:from>
    <xdr:to>
      <xdr:col>22</xdr:col>
      <xdr:colOff>91440</xdr:colOff>
      <xdr:row>30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2FC0D-D04B-4759-91C3-0DAF4D599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358140</xdr:colOff>
      <xdr:row>0</xdr:row>
      <xdr:rowOff>41910</xdr:rowOff>
    </xdr:from>
    <xdr:to>
      <xdr:col>22</xdr:col>
      <xdr:colOff>53340</xdr:colOff>
      <xdr:row>15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C4D89-E54F-4E34-9611-F2BA88853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411480</xdr:colOff>
      <xdr:row>47</xdr:row>
      <xdr:rowOff>148590</xdr:rowOff>
    </xdr:from>
    <xdr:to>
      <xdr:col>22</xdr:col>
      <xdr:colOff>106680</xdr:colOff>
      <xdr:row>62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73C1C7-3FE2-4E64-99AD-3BB4C7EC3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320040</xdr:colOff>
      <xdr:row>31</xdr:row>
      <xdr:rowOff>118110</xdr:rowOff>
    </xdr:from>
    <xdr:to>
      <xdr:col>22</xdr:col>
      <xdr:colOff>15240</xdr:colOff>
      <xdr:row>46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B66258-497B-42B2-834A-773F7CBB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167640</xdr:colOff>
      <xdr:row>1</xdr:row>
      <xdr:rowOff>110490</xdr:rowOff>
    </xdr:from>
    <xdr:to>
      <xdr:col>39</xdr:col>
      <xdr:colOff>472440</xdr:colOff>
      <xdr:row>16</xdr:row>
      <xdr:rowOff>102870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63F528-ABA9-4F87-9DCB-8E046C156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152400</xdr:colOff>
      <xdr:row>18</xdr:row>
      <xdr:rowOff>3810</xdr:rowOff>
    </xdr:from>
    <xdr:to>
      <xdr:col>39</xdr:col>
      <xdr:colOff>457200</xdr:colOff>
      <xdr:row>32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160B87-534F-459A-9EF0-0B4124D12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137160</xdr:colOff>
      <xdr:row>64</xdr:row>
      <xdr:rowOff>163830</xdr:rowOff>
    </xdr:from>
    <xdr:to>
      <xdr:col>21</xdr:col>
      <xdr:colOff>441960</xdr:colOff>
      <xdr:row>79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6C0ED-6643-4404-B50B-67E6E7878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68580</xdr:colOff>
      <xdr:row>80</xdr:row>
      <xdr:rowOff>87630</xdr:rowOff>
    </xdr:from>
    <xdr:to>
      <xdr:col>21</xdr:col>
      <xdr:colOff>373380</xdr:colOff>
      <xdr:row>95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EA4DCB-F205-4298-8DD7-0648A2563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68580</xdr:colOff>
      <xdr:row>96</xdr:row>
      <xdr:rowOff>156210</xdr:rowOff>
    </xdr:from>
    <xdr:to>
      <xdr:col>21</xdr:col>
      <xdr:colOff>373380</xdr:colOff>
      <xdr:row>111</xdr:row>
      <xdr:rowOff>156210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1FEE88-CDC1-4F0B-8C58-0FC19046B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30480</xdr:colOff>
      <xdr:row>112</xdr:row>
      <xdr:rowOff>110490</xdr:rowOff>
    </xdr:from>
    <xdr:to>
      <xdr:col>21</xdr:col>
      <xdr:colOff>335280</xdr:colOff>
      <xdr:row>127</xdr:row>
      <xdr:rowOff>110490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D541E1-F382-4845-80B0-90E79FC53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266700</xdr:colOff>
      <xdr:row>65</xdr:row>
      <xdr:rowOff>3810</xdr:rowOff>
    </xdr:from>
    <xdr:to>
      <xdr:col>39</xdr:col>
      <xdr:colOff>571500</xdr:colOff>
      <xdr:row>79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571FF1-1D6B-4F02-AD28-B94D27B29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304800</xdr:colOff>
      <xdr:row>80</xdr:row>
      <xdr:rowOff>156210</xdr:rowOff>
    </xdr:from>
    <xdr:to>
      <xdr:col>40</xdr:col>
      <xdr:colOff>0</xdr:colOff>
      <xdr:row>95</xdr:row>
      <xdr:rowOff>156210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CD897A-342A-4181-BC0D-6491C1E48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19</xdr:row>
      <xdr:rowOff>83820</xdr:rowOff>
    </xdr:from>
    <xdr:to>
      <xdr:col>12</xdr:col>
      <xdr:colOff>312420</xdr:colOff>
      <xdr:row>34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83C81-2CA1-44C8-9A74-7F4EF5DA3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0963-F7D7-4C93-B4BF-E445B1274D2F}">
  <dimension ref="A1:G18"/>
  <sheetViews>
    <sheetView tabSelected="1" workbookViewId="0">
      <selection sqref="A1:G13"/>
    </sheetView>
  </sheetViews>
  <sheetFormatPr defaultRowHeight="14.4" x14ac:dyDescent="0.3"/>
  <cols>
    <col min="1" max="1" width="39.44140625" bestFit="1" customWidth="1"/>
    <col min="2" max="2" width="40.6640625" bestFit="1" customWidth="1"/>
    <col min="3" max="3" width="35.5546875" bestFit="1" customWidth="1"/>
    <col min="4" max="4" width="18.77734375" bestFit="1" customWidth="1"/>
    <col min="5" max="5" width="25.109375" bestFit="1" customWidth="1"/>
    <col min="6" max="6" width="16.21875" bestFit="1" customWidth="1"/>
    <col min="7" max="7" width="10.21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244</v>
      </c>
    </row>
    <row r="2" spans="1:7" x14ac:dyDescent="0.3">
      <c r="A2" s="2" t="s">
        <v>6</v>
      </c>
      <c r="B2" t="s">
        <v>19</v>
      </c>
      <c r="C2" t="s">
        <v>18</v>
      </c>
      <c r="D2" t="s">
        <v>28</v>
      </c>
      <c r="E2" s="8">
        <v>44305</v>
      </c>
      <c r="F2">
        <v>4</v>
      </c>
      <c r="G2" t="s">
        <v>245</v>
      </c>
    </row>
    <row r="3" spans="1:7" x14ac:dyDescent="0.3">
      <c r="A3" s="2" t="s">
        <v>242</v>
      </c>
      <c r="B3" t="s">
        <v>16</v>
      </c>
      <c r="C3" t="s">
        <v>15</v>
      </c>
      <c r="D3" t="s">
        <v>29</v>
      </c>
      <c r="E3" s="9" t="s">
        <v>243</v>
      </c>
      <c r="F3">
        <v>30</v>
      </c>
      <c r="G3" t="s">
        <v>245</v>
      </c>
    </row>
    <row r="4" spans="1:7" x14ac:dyDescent="0.3">
      <c r="A4" s="2" t="s">
        <v>7</v>
      </c>
      <c r="B4" t="s">
        <v>16</v>
      </c>
      <c r="C4" t="s">
        <v>23</v>
      </c>
      <c r="D4" t="s">
        <v>29</v>
      </c>
      <c r="E4" s="8">
        <v>44305</v>
      </c>
      <c r="F4">
        <v>5</v>
      </c>
      <c r="G4" t="s">
        <v>246</v>
      </c>
    </row>
    <row r="5" spans="1:7" x14ac:dyDescent="0.3">
      <c r="A5" s="2" t="s">
        <v>8</v>
      </c>
      <c r="B5" t="s">
        <v>17</v>
      </c>
      <c r="C5" t="s">
        <v>18</v>
      </c>
      <c r="D5" t="s">
        <v>29</v>
      </c>
      <c r="E5" s="8">
        <v>44305</v>
      </c>
      <c r="F5">
        <v>3</v>
      </c>
      <c r="G5" t="s">
        <v>245</v>
      </c>
    </row>
    <row r="6" spans="1:7" x14ac:dyDescent="0.3">
      <c r="A6" s="2" t="s">
        <v>9</v>
      </c>
      <c r="B6" t="s">
        <v>16</v>
      </c>
      <c r="C6" t="s">
        <v>24</v>
      </c>
      <c r="D6" t="s">
        <v>29</v>
      </c>
      <c r="E6" s="9" t="s">
        <v>243</v>
      </c>
      <c r="F6">
        <v>34</v>
      </c>
      <c r="G6" t="s">
        <v>245</v>
      </c>
    </row>
    <row r="7" spans="1:7" x14ac:dyDescent="0.3">
      <c r="A7" s="2" t="s">
        <v>275</v>
      </c>
      <c r="B7" t="s">
        <v>16</v>
      </c>
      <c r="C7" t="s">
        <v>25</v>
      </c>
      <c r="D7" t="s">
        <v>29</v>
      </c>
      <c r="E7" s="9" t="s">
        <v>243</v>
      </c>
      <c r="F7">
        <v>30</v>
      </c>
      <c r="G7" t="s">
        <v>246</v>
      </c>
    </row>
    <row r="8" spans="1:7" x14ac:dyDescent="0.3">
      <c r="A8" s="2" t="s">
        <v>10</v>
      </c>
      <c r="B8" t="s">
        <v>16</v>
      </c>
      <c r="C8" t="s">
        <v>26</v>
      </c>
      <c r="D8" t="s">
        <v>30</v>
      </c>
      <c r="E8" s="9" t="s">
        <v>243</v>
      </c>
      <c r="F8">
        <v>30</v>
      </c>
      <c r="G8" t="s">
        <v>246</v>
      </c>
    </row>
    <row r="9" spans="1:7" x14ac:dyDescent="0.3">
      <c r="A9" s="2" t="s">
        <v>22</v>
      </c>
      <c r="B9" t="s">
        <v>16</v>
      </c>
      <c r="C9" t="s">
        <v>26</v>
      </c>
      <c r="D9" t="s">
        <v>29</v>
      </c>
      <c r="E9" s="9" t="s">
        <v>243</v>
      </c>
      <c r="F9">
        <v>30</v>
      </c>
      <c r="G9" t="s">
        <v>246</v>
      </c>
    </row>
    <row r="10" spans="1:7" x14ac:dyDescent="0.3">
      <c r="A10" s="2" t="s">
        <v>11</v>
      </c>
      <c r="B10" t="s">
        <v>16</v>
      </c>
      <c r="C10" t="s">
        <v>26</v>
      </c>
      <c r="D10" t="s">
        <v>30</v>
      </c>
      <c r="E10" s="9" t="s">
        <v>243</v>
      </c>
      <c r="F10">
        <v>30</v>
      </c>
      <c r="G10" t="s">
        <v>246</v>
      </c>
    </row>
    <row r="11" spans="1:7" x14ac:dyDescent="0.3">
      <c r="A11" s="2" t="s">
        <v>20</v>
      </c>
      <c r="B11" t="s">
        <v>16</v>
      </c>
      <c r="C11" t="s">
        <v>26</v>
      </c>
      <c r="D11" t="s">
        <v>29</v>
      </c>
      <c r="E11" s="9" t="s">
        <v>243</v>
      </c>
      <c r="F11">
        <v>30</v>
      </c>
      <c r="G11" t="s">
        <v>246</v>
      </c>
    </row>
    <row r="12" spans="1:7" x14ac:dyDescent="0.3">
      <c r="A12" s="2" t="s">
        <v>21</v>
      </c>
      <c r="B12" t="s">
        <v>16</v>
      </c>
      <c r="C12" t="s">
        <v>26</v>
      </c>
      <c r="D12" t="s">
        <v>29</v>
      </c>
      <c r="E12" s="9" t="s">
        <v>243</v>
      </c>
      <c r="F12">
        <v>30</v>
      </c>
      <c r="G12" t="s">
        <v>246</v>
      </c>
    </row>
    <row r="13" spans="1:7" x14ac:dyDescent="0.3">
      <c r="A13" s="3" t="s">
        <v>12</v>
      </c>
      <c r="B13" t="s">
        <v>16</v>
      </c>
      <c r="C13" t="s">
        <v>27</v>
      </c>
      <c r="D13" t="s">
        <v>29</v>
      </c>
      <c r="E13" s="9" t="s">
        <v>243</v>
      </c>
      <c r="F13">
        <v>17</v>
      </c>
      <c r="G13" t="s">
        <v>245</v>
      </c>
    </row>
    <row r="17" spans="1:1" x14ac:dyDescent="0.3">
      <c r="A17" s="2" t="s">
        <v>13</v>
      </c>
    </row>
    <row r="18" spans="1:1" x14ac:dyDescent="0.3">
      <c r="A18" s="3" t="s">
        <v>14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5ED6-83A0-469F-905F-95414DBD938C}">
  <dimension ref="A1:P33"/>
  <sheetViews>
    <sheetView workbookViewId="0">
      <selection activeCell="D18" sqref="D18"/>
    </sheetView>
  </sheetViews>
  <sheetFormatPr defaultRowHeight="14.4" x14ac:dyDescent="0.3"/>
  <cols>
    <col min="1" max="1" width="10.88671875" bestFit="1" customWidth="1"/>
    <col min="2" max="3" width="14.109375" bestFit="1" customWidth="1"/>
    <col min="4" max="4" width="11.5546875" bestFit="1" customWidth="1"/>
    <col min="6" max="6" width="17.44140625" bestFit="1" customWidth="1"/>
    <col min="7" max="7" width="12.77734375" bestFit="1" customWidth="1"/>
    <col min="8" max="8" width="13.6640625" bestFit="1" customWidth="1"/>
    <col min="9" max="9" width="11.5546875" bestFit="1" customWidth="1"/>
    <col min="10" max="10" width="10.6640625" bestFit="1" customWidth="1"/>
    <col min="11" max="11" width="11.21875" bestFit="1" customWidth="1"/>
    <col min="12" max="12" width="10.5546875" bestFit="1" customWidth="1"/>
    <col min="13" max="13" width="11.21875" bestFit="1" customWidth="1"/>
    <col min="14" max="14" width="10.5546875" bestFit="1" customWidth="1"/>
  </cols>
  <sheetData>
    <row r="1" spans="1:16" x14ac:dyDescent="0.3">
      <c r="A1" t="s">
        <v>136</v>
      </c>
      <c r="B1" t="s">
        <v>58</v>
      </c>
      <c r="C1" t="s">
        <v>59</v>
      </c>
      <c r="D1" t="s">
        <v>197</v>
      </c>
    </row>
    <row r="2" spans="1:16" x14ac:dyDescent="0.3">
      <c r="A2" t="s">
        <v>139</v>
      </c>
      <c r="B2">
        <v>15</v>
      </c>
      <c r="C2">
        <v>2.5807473674432471</v>
      </c>
      <c r="D2">
        <v>50.2</v>
      </c>
      <c r="F2" t="s">
        <v>198</v>
      </c>
      <c r="P2" t="s">
        <v>274</v>
      </c>
    </row>
    <row r="3" spans="1:16" ht="15" thickBot="1" x14ac:dyDescent="0.35">
      <c r="A3" t="s">
        <v>141</v>
      </c>
      <c r="B3">
        <v>12</v>
      </c>
      <c r="C3">
        <v>2.3033795051939387</v>
      </c>
      <c r="D3">
        <v>70.900000000000006</v>
      </c>
      <c r="O3" t="s">
        <v>228</v>
      </c>
      <c r="P3">
        <v>1.96</v>
      </c>
    </row>
    <row r="4" spans="1:16" x14ac:dyDescent="0.3">
      <c r="A4" t="s">
        <v>142</v>
      </c>
      <c r="B4">
        <v>16</v>
      </c>
      <c r="C4">
        <v>2.5884253066207541</v>
      </c>
      <c r="D4">
        <v>35.6</v>
      </c>
      <c r="F4" s="24" t="s">
        <v>199</v>
      </c>
      <c r="G4" s="24"/>
      <c r="O4" t="s">
        <v>226</v>
      </c>
      <c r="P4">
        <f>_xlfn.STDEV.S(D2:D21)</f>
        <v>15.043729240905826</v>
      </c>
    </row>
    <row r="5" spans="1:16" x14ac:dyDescent="0.3">
      <c r="A5" t="s">
        <v>143</v>
      </c>
      <c r="B5">
        <v>15</v>
      </c>
      <c r="C5">
        <v>2.6015683031684977</v>
      </c>
      <c r="D5">
        <v>42.3</v>
      </c>
      <c r="F5" s="21" t="s">
        <v>200</v>
      </c>
      <c r="G5" s="40">
        <v>0.17579669296736772</v>
      </c>
      <c r="O5" t="s">
        <v>264</v>
      </c>
      <c r="P5">
        <v>5</v>
      </c>
    </row>
    <row r="6" spans="1:16" x14ac:dyDescent="0.3">
      <c r="A6" t="s">
        <v>144</v>
      </c>
      <c r="B6">
        <v>15</v>
      </c>
      <c r="C6">
        <v>2.6215673561994279</v>
      </c>
      <c r="D6">
        <v>37.799999999999997</v>
      </c>
      <c r="F6" s="21" t="s">
        <v>201</v>
      </c>
      <c r="G6" s="40">
        <v>3.0904477258262959E-2</v>
      </c>
    </row>
    <row r="7" spans="1:16" x14ac:dyDescent="0.3">
      <c r="A7" t="s">
        <v>145</v>
      </c>
      <c r="B7">
        <v>17</v>
      </c>
      <c r="C7">
        <v>2.6695938201771452</v>
      </c>
      <c r="D7">
        <v>47.1</v>
      </c>
      <c r="F7" s="21" t="s">
        <v>202</v>
      </c>
      <c r="G7" s="40">
        <v>-1.3987068331282751E-3</v>
      </c>
      <c r="O7" t="s">
        <v>220</v>
      </c>
      <c r="P7">
        <f>((P3*P4)/P5)^2</f>
        <v>34.776282145684327</v>
      </c>
    </row>
    <row r="8" spans="1:16" x14ac:dyDescent="0.3">
      <c r="A8" t="s">
        <v>146</v>
      </c>
      <c r="B8">
        <v>15</v>
      </c>
      <c r="C8">
        <v>2.5856731268063742</v>
      </c>
      <c r="D8">
        <v>45.3</v>
      </c>
      <c r="F8" s="21" t="s">
        <v>203</v>
      </c>
      <c r="G8" s="40">
        <v>0.16366922439424619</v>
      </c>
    </row>
    <row r="9" spans="1:16" ht="15" thickBot="1" x14ac:dyDescent="0.35">
      <c r="A9" t="s">
        <v>147</v>
      </c>
      <c r="B9">
        <v>17</v>
      </c>
      <c r="C9">
        <v>2.7436353882736624</v>
      </c>
      <c r="D9">
        <v>50.3</v>
      </c>
      <c r="F9" s="22" t="s">
        <v>204</v>
      </c>
      <c r="G9" s="22">
        <v>32</v>
      </c>
    </row>
    <row r="10" spans="1:16" x14ac:dyDescent="0.3">
      <c r="A10" t="s">
        <v>148</v>
      </c>
      <c r="B10">
        <v>18</v>
      </c>
      <c r="C10">
        <v>2.6884301203116832</v>
      </c>
      <c r="D10">
        <v>71</v>
      </c>
    </row>
    <row r="11" spans="1:16" ht="15" thickBot="1" x14ac:dyDescent="0.35">
      <c r="A11" t="s">
        <v>149</v>
      </c>
      <c r="B11">
        <v>14</v>
      </c>
      <c r="C11">
        <v>2.4887942215753505</v>
      </c>
      <c r="D11">
        <v>68.5</v>
      </c>
      <c r="F11" t="s">
        <v>205</v>
      </c>
    </row>
    <row r="12" spans="1:16" x14ac:dyDescent="0.3">
      <c r="A12" t="s">
        <v>150</v>
      </c>
      <c r="B12">
        <v>18</v>
      </c>
      <c r="C12">
        <v>2.7294416656358735</v>
      </c>
      <c r="D12">
        <v>84.2</v>
      </c>
      <c r="F12" s="23"/>
      <c r="G12" s="23" t="s">
        <v>102</v>
      </c>
      <c r="H12" s="23" t="s">
        <v>209</v>
      </c>
      <c r="I12" s="23" t="s">
        <v>210</v>
      </c>
      <c r="J12" s="23" t="s">
        <v>211</v>
      </c>
      <c r="K12" s="23" t="s">
        <v>212</v>
      </c>
    </row>
    <row r="13" spans="1:16" x14ac:dyDescent="0.3">
      <c r="A13" t="s">
        <v>151</v>
      </c>
      <c r="B13">
        <v>17</v>
      </c>
      <c r="C13">
        <v>2.6765717978831125</v>
      </c>
      <c r="D13">
        <v>72</v>
      </c>
      <c r="F13" s="21" t="s">
        <v>206</v>
      </c>
      <c r="G13" s="21">
        <v>1</v>
      </c>
      <c r="H13" s="40">
        <v>2.5627728729631483E-2</v>
      </c>
      <c r="I13" s="40">
        <v>2.5627728729631483E-2</v>
      </c>
      <c r="J13" s="40">
        <v>0.956700651267965</v>
      </c>
      <c r="K13" s="40">
        <v>0.33584168049341223</v>
      </c>
    </row>
    <row r="14" spans="1:16" x14ac:dyDescent="0.3">
      <c r="A14" t="s">
        <v>152</v>
      </c>
      <c r="B14">
        <v>18</v>
      </c>
      <c r="C14">
        <v>2.7575707051255152</v>
      </c>
      <c r="D14">
        <v>79.400000000000006</v>
      </c>
      <c r="F14" s="21" t="s">
        <v>207</v>
      </c>
      <c r="G14" s="21">
        <v>30</v>
      </c>
      <c r="H14" s="40">
        <v>0.80362845041442355</v>
      </c>
      <c r="I14" s="40">
        <v>2.6787615013814117E-2</v>
      </c>
      <c r="J14" s="40"/>
      <c r="K14" s="40"/>
    </row>
    <row r="15" spans="1:16" ht="15" thickBot="1" x14ac:dyDescent="0.35">
      <c r="A15" t="s">
        <v>153</v>
      </c>
      <c r="B15">
        <v>15</v>
      </c>
      <c r="C15">
        <v>2.5829950284976282</v>
      </c>
      <c r="D15">
        <v>66.5</v>
      </c>
      <c r="F15" s="22" t="s">
        <v>101</v>
      </c>
      <c r="G15" s="22">
        <v>31</v>
      </c>
      <c r="H15" s="41">
        <v>0.82925617914405503</v>
      </c>
      <c r="I15" s="41"/>
      <c r="J15" s="41"/>
      <c r="K15" s="41"/>
    </row>
    <row r="16" spans="1:16" ht="15" thickBot="1" x14ac:dyDescent="0.35">
      <c r="A16" t="s">
        <v>154</v>
      </c>
      <c r="B16">
        <v>15</v>
      </c>
      <c r="C16">
        <v>2.5576448781015406</v>
      </c>
      <c r="D16">
        <v>80.599999999999994</v>
      </c>
    </row>
    <row r="17" spans="1:14" x14ac:dyDescent="0.3">
      <c r="A17" t="s">
        <v>155</v>
      </c>
      <c r="B17">
        <v>18</v>
      </c>
      <c r="C17">
        <v>2.7213710378542935</v>
      </c>
      <c r="D17">
        <v>59.4</v>
      </c>
      <c r="F17" s="23"/>
      <c r="G17" s="23" t="s">
        <v>213</v>
      </c>
      <c r="H17" s="23" t="s">
        <v>203</v>
      </c>
      <c r="I17" s="23" t="s">
        <v>214</v>
      </c>
      <c r="J17" s="23" t="s">
        <v>215</v>
      </c>
      <c r="K17" s="23" t="s">
        <v>216</v>
      </c>
      <c r="L17" s="23" t="s">
        <v>217</v>
      </c>
      <c r="M17" s="23" t="s">
        <v>218</v>
      </c>
      <c r="N17" s="23" t="s">
        <v>219</v>
      </c>
    </row>
    <row r="18" spans="1:14" x14ac:dyDescent="0.3">
      <c r="A18" t="s">
        <v>156</v>
      </c>
      <c r="B18">
        <v>17</v>
      </c>
      <c r="C18">
        <v>2.6202205253069151</v>
      </c>
      <c r="D18">
        <v>74.099999999999994</v>
      </c>
      <c r="F18" s="21" t="s">
        <v>208</v>
      </c>
      <c r="G18" s="40">
        <v>2.6796566227916498</v>
      </c>
      <c r="H18" s="40">
        <v>0.13642968749818332</v>
      </c>
      <c r="I18" s="40">
        <v>19.641301478663372</v>
      </c>
      <c r="J18" s="40">
        <v>1.118991933829918E-18</v>
      </c>
      <c r="K18" s="40">
        <v>2.4010300297923246</v>
      </c>
      <c r="L18" s="40">
        <v>2.9582832157909751</v>
      </c>
      <c r="M18" s="40">
        <v>2.4010300297923246</v>
      </c>
      <c r="N18" s="40">
        <v>2.9582832157909751</v>
      </c>
    </row>
    <row r="19" spans="1:14" ht="15" thickBot="1" x14ac:dyDescent="0.35">
      <c r="A19" t="s">
        <v>157</v>
      </c>
      <c r="B19">
        <v>15</v>
      </c>
      <c r="C19">
        <v>2.554883378010572</v>
      </c>
      <c r="D19">
        <v>75.599999999999994</v>
      </c>
      <c r="F19" s="22" t="s">
        <v>197</v>
      </c>
      <c r="G19" s="41">
        <v>-2.0213405811836376E-3</v>
      </c>
      <c r="H19" s="41">
        <v>2.0665763754300361E-3</v>
      </c>
      <c r="I19" s="41">
        <v>-0.97811075613550202</v>
      </c>
      <c r="J19" s="41">
        <v>0.33584168049341268</v>
      </c>
      <c r="K19" s="41">
        <v>-6.2418525915672466E-3</v>
      </c>
      <c r="L19" s="41">
        <v>2.1991714291999713E-3</v>
      </c>
      <c r="M19" s="41">
        <v>-6.2418525915672466E-3</v>
      </c>
      <c r="N19" s="41">
        <v>2.1991714291999713E-3</v>
      </c>
    </row>
    <row r="20" spans="1:14" x14ac:dyDescent="0.3">
      <c r="A20" t="s">
        <v>158</v>
      </c>
      <c r="B20">
        <v>16</v>
      </c>
      <c r="C20">
        <v>2.533546604566224</v>
      </c>
      <c r="D20">
        <v>54.7</v>
      </c>
    </row>
    <row r="21" spans="1:14" x14ac:dyDescent="0.3">
      <c r="A21" t="s">
        <v>159</v>
      </c>
      <c r="B21">
        <v>17</v>
      </c>
      <c r="C21">
        <v>2.688072086222689</v>
      </c>
      <c r="D21">
        <v>59.1</v>
      </c>
    </row>
    <row r="22" spans="1:14" x14ac:dyDescent="0.3">
      <c r="A22" t="s">
        <v>186</v>
      </c>
      <c r="B22">
        <v>14</v>
      </c>
      <c r="C22">
        <v>2.4601563716345098</v>
      </c>
      <c r="D22">
        <v>52.1</v>
      </c>
    </row>
    <row r="23" spans="1:14" x14ac:dyDescent="0.3">
      <c r="A23" t="s">
        <v>187</v>
      </c>
      <c r="B23">
        <v>14</v>
      </c>
      <c r="C23">
        <v>2.5001941556358127</v>
      </c>
      <c r="D23">
        <v>59.6</v>
      </c>
    </row>
    <row r="24" spans="1:14" x14ac:dyDescent="0.3">
      <c r="A24" t="s">
        <v>188</v>
      </c>
      <c r="B24">
        <v>13</v>
      </c>
      <c r="C24">
        <v>2.4042341114242607</v>
      </c>
      <c r="D24">
        <v>57</v>
      </c>
    </row>
    <row r="25" spans="1:14" x14ac:dyDescent="0.3">
      <c r="A25" t="s">
        <v>189</v>
      </c>
      <c r="B25">
        <v>19</v>
      </c>
      <c r="C25">
        <v>2.6635686954277973</v>
      </c>
      <c r="D25">
        <v>63</v>
      </c>
    </row>
    <row r="26" spans="1:14" x14ac:dyDescent="0.3">
      <c r="A26" t="s">
        <v>190</v>
      </c>
      <c r="B26">
        <v>14</v>
      </c>
      <c r="C26">
        <v>2.3546100072406393</v>
      </c>
      <c r="D26">
        <v>64.099999999999994</v>
      </c>
    </row>
    <row r="27" spans="1:14" x14ac:dyDescent="0.3">
      <c r="A27" t="s">
        <v>191</v>
      </c>
      <c r="B27">
        <v>15</v>
      </c>
      <c r="C27">
        <v>2.2023074371862257</v>
      </c>
      <c r="D27">
        <v>78.5</v>
      </c>
    </row>
    <row r="28" spans="1:14" x14ac:dyDescent="0.3">
      <c r="A28" t="s">
        <v>192</v>
      </c>
      <c r="B28">
        <v>15</v>
      </c>
      <c r="C28">
        <v>2.4688156171237479</v>
      </c>
      <c r="D28">
        <v>69.5</v>
      </c>
    </row>
    <row r="29" spans="1:14" x14ac:dyDescent="0.3">
      <c r="A29" t="s">
        <v>193</v>
      </c>
      <c r="B29">
        <v>18</v>
      </c>
      <c r="C29">
        <v>2.5283931566509805</v>
      </c>
      <c r="D29">
        <v>83.9</v>
      </c>
    </row>
    <row r="30" spans="1:14" x14ac:dyDescent="0.3">
      <c r="A30" t="s">
        <v>194</v>
      </c>
      <c r="B30">
        <v>16</v>
      </c>
      <c r="C30">
        <v>2.6144547302526542</v>
      </c>
      <c r="D30">
        <v>69.5</v>
      </c>
    </row>
    <row r="31" spans="1:14" x14ac:dyDescent="0.3">
      <c r="A31" t="s">
        <v>195</v>
      </c>
      <c r="B31">
        <v>16</v>
      </c>
      <c r="C31">
        <v>2.6846565419165596</v>
      </c>
      <c r="D31">
        <v>83.9</v>
      </c>
    </row>
    <row r="32" spans="1:14" x14ac:dyDescent="0.3">
      <c r="A32" t="s">
        <v>185</v>
      </c>
      <c r="B32">
        <v>13</v>
      </c>
      <c r="C32">
        <v>2.0294050732037219</v>
      </c>
      <c r="D32">
        <v>73.099999999999994</v>
      </c>
    </row>
    <row r="33" spans="1:4" x14ac:dyDescent="0.3">
      <c r="A33" t="s">
        <v>196</v>
      </c>
      <c r="B33">
        <v>14</v>
      </c>
      <c r="C33">
        <v>2.3710261788078228</v>
      </c>
      <c r="D33">
        <v>85.7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509D-E425-4C55-954A-97D60F810750}">
  <dimension ref="A1:V350"/>
  <sheetViews>
    <sheetView workbookViewId="0">
      <pane ySplit="2" topLeftCell="A3" activePane="bottomLeft" state="frozen"/>
      <selection pane="bottomLeft" activeCell="E19" sqref="E19:E30"/>
    </sheetView>
  </sheetViews>
  <sheetFormatPr defaultRowHeight="14.4" x14ac:dyDescent="0.3"/>
  <cols>
    <col min="1" max="1" width="9.5546875" bestFit="1" customWidth="1"/>
    <col min="2" max="2" width="10.77734375" bestFit="1" customWidth="1"/>
    <col min="5" max="5" width="24.33203125" bestFit="1" customWidth="1"/>
    <col min="6" max="6" width="14.6640625" bestFit="1" customWidth="1"/>
    <col min="7" max="7" width="15.109375" bestFit="1" customWidth="1"/>
    <col min="8" max="8" width="14.6640625" bestFit="1" customWidth="1"/>
    <col min="9" max="9" width="13.33203125" bestFit="1" customWidth="1"/>
    <col min="10" max="10" width="12.109375" bestFit="1" customWidth="1"/>
    <col min="11" max="11" width="13.5546875" bestFit="1" customWidth="1"/>
    <col min="12" max="12" width="12.33203125" bestFit="1" customWidth="1"/>
    <col min="13" max="13" width="11.33203125" bestFit="1" customWidth="1"/>
    <col min="14" max="14" width="11.6640625" bestFit="1" customWidth="1"/>
    <col min="15" max="15" width="11.21875" bestFit="1" customWidth="1"/>
    <col min="16" max="16" width="12.5546875" bestFit="1" customWidth="1"/>
    <col min="17" max="17" width="11.5546875" bestFit="1" customWidth="1"/>
    <col min="18" max="18" width="12.5546875" bestFit="1" customWidth="1"/>
    <col min="21" max="21" width="13.33203125" bestFit="1" customWidth="1"/>
  </cols>
  <sheetData>
    <row r="1" spans="1:22" ht="18" thickBot="1" x14ac:dyDescent="0.4">
      <c r="A1" s="5" t="s">
        <v>32</v>
      </c>
      <c r="B1" s="5" t="s">
        <v>31</v>
      </c>
      <c r="C1" s="5" t="s">
        <v>38</v>
      </c>
      <c r="D1" s="5" t="s">
        <v>39</v>
      </c>
      <c r="E1" s="5" t="s">
        <v>33</v>
      </c>
      <c r="F1" s="5" t="s">
        <v>34</v>
      </c>
      <c r="G1" s="45" t="s">
        <v>35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 t="s">
        <v>61</v>
      </c>
      <c r="T1" s="46"/>
      <c r="U1" s="46" t="s">
        <v>62</v>
      </c>
      <c r="V1" s="46"/>
    </row>
    <row r="2" spans="1:22" ht="15.6" thickTop="1" thickBot="1" x14ac:dyDescent="0.35">
      <c r="G2" s="6" t="s">
        <v>36</v>
      </c>
      <c r="H2" s="6" t="s">
        <v>37</v>
      </c>
      <c r="I2" s="6" t="s">
        <v>55</v>
      </c>
      <c r="J2" s="6" t="s">
        <v>56</v>
      </c>
      <c r="K2" s="6" t="s">
        <v>40</v>
      </c>
      <c r="L2" s="6" t="s">
        <v>41</v>
      </c>
      <c r="M2" s="6" t="s">
        <v>42</v>
      </c>
      <c r="N2" s="6" t="s">
        <v>43</v>
      </c>
      <c r="O2" s="6" t="s">
        <v>44</v>
      </c>
      <c r="P2" s="6" t="s">
        <v>45</v>
      </c>
      <c r="Q2" s="6" t="s">
        <v>46</v>
      </c>
      <c r="R2" s="6" t="s">
        <v>47</v>
      </c>
      <c r="S2" s="10" t="s">
        <v>33</v>
      </c>
      <c r="T2" s="10" t="s">
        <v>34</v>
      </c>
      <c r="U2" s="10" t="s">
        <v>33</v>
      </c>
      <c r="V2" s="10" t="s">
        <v>63</v>
      </c>
    </row>
    <row r="3" spans="1:22" x14ac:dyDescent="0.3">
      <c r="A3" s="4">
        <v>44305</v>
      </c>
      <c r="B3" t="s">
        <v>64</v>
      </c>
      <c r="C3">
        <v>48.7</v>
      </c>
      <c r="D3">
        <v>4.2</v>
      </c>
      <c r="E3" t="s">
        <v>65</v>
      </c>
      <c r="F3">
        <v>6</v>
      </c>
      <c r="G3">
        <v>11</v>
      </c>
      <c r="H3">
        <v>11</v>
      </c>
      <c r="I3">
        <v>4</v>
      </c>
      <c r="J3">
        <v>2</v>
      </c>
      <c r="O3">
        <v>4</v>
      </c>
      <c r="S3" t="s">
        <v>81</v>
      </c>
      <c r="T3">
        <v>1</v>
      </c>
    </row>
    <row r="4" spans="1:22" x14ac:dyDescent="0.3">
      <c r="E4" t="s">
        <v>66</v>
      </c>
      <c r="F4">
        <v>4</v>
      </c>
      <c r="G4">
        <v>2</v>
      </c>
      <c r="J4">
        <v>2</v>
      </c>
      <c r="N4">
        <v>5</v>
      </c>
      <c r="O4">
        <v>4</v>
      </c>
      <c r="R4">
        <v>1</v>
      </c>
    </row>
    <row r="5" spans="1:22" x14ac:dyDescent="0.3">
      <c r="E5" t="s">
        <v>67</v>
      </c>
      <c r="F5">
        <v>2</v>
      </c>
      <c r="G5">
        <v>9</v>
      </c>
      <c r="I5">
        <v>1</v>
      </c>
    </row>
    <row r="6" spans="1:22" x14ac:dyDescent="0.3">
      <c r="E6" t="s">
        <v>68</v>
      </c>
      <c r="F6">
        <v>3</v>
      </c>
      <c r="G6">
        <v>4</v>
      </c>
      <c r="H6">
        <v>3</v>
      </c>
      <c r="I6">
        <v>1</v>
      </c>
    </row>
    <row r="7" spans="1:22" x14ac:dyDescent="0.3">
      <c r="E7" t="s">
        <v>69</v>
      </c>
      <c r="F7">
        <v>3</v>
      </c>
      <c r="G7">
        <v>5</v>
      </c>
      <c r="H7">
        <v>4</v>
      </c>
      <c r="I7">
        <v>1</v>
      </c>
      <c r="J7">
        <v>3</v>
      </c>
      <c r="K7">
        <v>3</v>
      </c>
    </row>
    <row r="8" spans="1:22" x14ac:dyDescent="0.3">
      <c r="E8" t="s">
        <v>70</v>
      </c>
      <c r="F8">
        <v>1</v>
      </c>
      <c r="I8">
        <v>1</v>
      </c>
    </row>
    <row r="9" spans="1:22" x14ac:dyDescent="0.3">
      <c r="E9" t="s">
        <v>71</v>
      </c>
      <c r="F9">
        <v>3</v>
      </c>
      <c r="G9">
        <v>2</v>
      </c>
      <c r="I9">
        <v>2</v>
      </c>
      <c r="J9">
        <v>4</v>
      </c>
      <c r="K9">
        <v>2</v>
      </c>
      <c r="L9">
        <v>2</v>
      </c>
      <c r="M9">
        <v>1</v>
      </c>
    </row>
    <row r="10" spans="1:22" x14ac:dyDescent="0.3">
      <c r="E10" t="s">
        <v>72</v>
      </c>
      <c r="F10">
        <v>1</v>
      </c>
      <c r="G10">
        <v>2</v>
      </c>
      <c r="H10">
        <v>1</v>
      </c>
    </row>
    <row r="11" spans="1:22" x14ac:dyDescent="0.3">
      <c r="E11" t="s">
        <v>73</v>
      </c>
      <c r="F11">
        <v>1</v>
      </c>
      <c r="G11">
        <v>3</v>
      </c>
      <c r="J11">
        <v>1</v>
      </c>
      <c r="K11">
        <v>3</v>
      </c>
    </row>
    <row r="12" spans="1:22" x14ac:dyDescent="0.3">
      <c r="E12" t="s">
        <v>74</v>
      </c>
      <c r="F12">
        <v>2</v>
      </c>
      <c r="G12">
        <v>6</v>
      </c>
    </row>
    <row r="13" spans="1:22" x14ac:dyDescent="0.3">
      <c r="E13" t="s">
        <v>75</v>
      </c>
      <c r="F13">
        <v>1</v>
      </c>
    </row>
    <row r="14" spans="1:22" x14ac:dyDescent="0.3">
      <c r="E14" t="s">
        <v>76</v>
      </c>
      <c r="F14">
        <v>2</v>
      </c>
      <c r="I14">
        <v>1</v>
      </c>
      <c r="J14">
        <v>2</v>
      </c>
      <c r="N14">
        <v>1</v>
      </c>
    </row>
    <row r="15" spans="1:22" x14ac:dyDescent="0.3">
      <c r="E15" t="s">
        <v>77</v>
      </c>
      <c r="F15">
        <v>2</v>
      </c>
      <c r="I15">
        <v>2</v>
      </c>
    </row>
    <row r="16" spans="1:22" x14ac:dyDescent="0.3">
      <c r="E16" t="s">
        <v>78</v>
      </c>
      <c r="F16">
        <v>1</v>
      </c>
      <c r="I16">
        <v>1</v>
      </c>
    </row>
    <row r="17" spans="1:22" x14ac:dyDescent="0.3">
      <c r="E17" t="s">
        <v>79</v>
      </c>
      <c r="F17">
        <v>1</v>
      </c>
      <c r="O17">
        <v>2</v>
      </c>
    </row>
    <row r="18" spans="1:22" x14ac:dyDescent="0.3">
      <c r="E18" t="s">
        <v>80</v>
      </c>
      <c r="F18">
        <v>1</v>
      </c>
      <c r="G18">
        <v>1</v>
      </c>
    </row>
    <row r="19" spans="1:22" x14ac:dyDescent="0.3">
      <c r="B19" s="7" t="s">
        <v>48</v>
      </c>
      <c r="C19">
        <v>66.2</v>
      </c>
      <c r="D19">
        <v>12.7</v>
      </c>
      <c r="E19" t="s">
        <v>65</v>
      </c>
      <c r="F19">
        <v>5</v>
      </c>
      <c r="G19">
        <v>3</v>
      </c>
      <c r="N19">
        <v>8</v>
      </c>
      <c r="O19">
        <v>10</v>
      </c>
      <c r="S19" t="s">
        <v>82</v>
      </c>
      <c r="T19">
        <v>1</v>
      </c>
      <c r="U19" t="s">
        <v>88</v>
      </c>
      <c r="V19" t="s">
        <v>86</v>
      </c>
    </row>
    <row r="20" spans="1:22" x14ac:dyDescent="0.3">
      <c r="E20" t="s">
        <v>66</v>
      </c>
      <c r="F20">
        <v>2</v>
      </c>
      <c r="J20">
        <v>1</v>
      </c>
      <c r="N20">
        <v>4</v>
      </c>
    </row>
    <row r="21" spans="1:22" x14ac:dyDescent="0.3">
      <c r="E21" t="s">
        <v>78</v>
      </c>
      <c r="F21">
        <v>1</v>
      </c>
      <c r="I21">
        <v>1</v>
      </c>
    </row>
    <row r="22" spans="1:22" x14ac:dyDescent="0.3">
      <c r="E22" t="s">
        <v>73</v>
      </c>
      <c r="F22">
        <v>1</v>
      </c>
      <c r="G22">
        <v>1</v>
      </c>
    </row>
    <row r="23" spans="1:22" x14ac:dyDescent="0.3">
      <c r="E23" t="s">
        <v>75</v>
      </c>
      <c r="F23">
        <v>2</v>
      </c>
      <c r="N23">
        <v>2</v>
      </c>
      <c r="O23">
        <v>1</v>
      </c>
    </row>
    <row r="24" spans="1:22" x14ac:dyDescent="0.3">
      <c r="E24" t="s">
        <v>74</v>
      </c>
      <c r="F24">
        <v>1</v>
      </c>
      <c r="N24">
        <v>2</v>
      </c>
      <c r="O24">
        <v>1</v>
      </c>
    </row>
    <row r="25" spans="1:22" x14ac:dyDescent="0.3">
      <c r="E25" t="s">
        <v>71</v>
      </c>
      <c r="F25">
        <v>1</v>
      </c>
      <c r="J25">
        <v>2</v>
      </c>
    </row>
    <row r="26" spans="1:22" x14ac:dyDescent="0.3">
      <c r="E26" t="s">
        <v>84</v>
      </c>
      <c r="F26">
        <v>1</v>
      </c>
      <c r="J26">
        <v>2</v>
      </c>
      <c r="K26">
        <v>1</v>
      </c>
    </row>
    <row r="27" spans="1:22" x14ac:dyDescent="0.3">
      <c r="E27" t="s">
        <v>67</v>
      </c>
      <c r="F27">
        <v>2</v>
      </c>
      <c r="G27">
        <v>1</v>
      </c>
      <c r="O27">
        <v>3</v>
      </c>
    </row>
    <row r="28" spans="1:22" x14ac:dyDescent="0.3">
      <c r="E28" t="s">
        <v>69</v>
      </c>
      <c r="F28">
        <v>2</v>
      </c>
      <c r="G28">
        <v>1</v>
      </c>
    </row>
    <row r="29" spans="1:22" x14ac:dyDescent="0.3">
      <c r="E29" t="s">
        <v>68</v>
      </c>
      <c r="F29">
        <v>2</v>
      </c>
      <c r="H29">
        <v>1</v>
      </c>
    </row>
    <row r="30" spans="1:22" x14ac:dyDescent="0.3">
      <c r="E30" t="s">
        <v>83</v>
      </c>
      <c r="F30">
        <v>1</v>
      </c>
    </row>
    <row r="31" spans="1:22" x14ac:dyDescent="0.3">
      <c r="A31" s="4">
        <v>44306</v>
      </c>
      <c r="B31" s="7" t="s">
        <v>64</v>
      </c>
      <c r="C31">
        <v>50.2</v>
      </c>
      <c r="D31">
        <v>6.9</v>
      </c>
      <c r="E31" t="s">
        <v>68</v>
      </c>
      <c r="F31">
        <v>4</v>
      </c>
      <c r="G31">
        <v>4</v>
      </c>
      <c r="H31">
        <v>5</v>
      </c>
      <c r="I31">
        <v>3</v>
      </c>
      <c r="N31">
        <v>2</v>
      </c>
      <c r="O31">
        <v>5</v>
      </c>
      <c r="S31" t="s">
        <v>81</v>
      </c>
      <c r="T31">
        <v>2</v>
      </c>
      <c r="U31" t="s">
        <v>88</v>
      </c>
      <c r="V31" t="s">
        <v>89</v>
      </c>
    </row>
    <row r="32" spans="1:22" x14ac:dyDescent="0.3">
      <c r="E32" t="s">
        <v>65</v>
      </c>
      <c r="F32">
        <v>4</v>
      </c>
      <c r="H32">
        <v>2</v>
      </c>
      <c r="I32">
        <v>1</v>
      </c>
      <c r="N32">
        <v>2</v>
      </c>
      <c r="O32">
        <v>4</v>
      </c>
      <c r="S32" t="s">
        <v>82</v>
      </c>
      <c r="T32">
        <v>1</v>
      </c>
    </row>
    <row r="33" spans="2:16" x14ac:dyDescent="0.3">
      <c r="E33" t="s">
        <v>79</v>
      </c>
      <c r="F33">
        <v>1</v>
      </c>
      <c r="O33">
        <v>1</v>
      </c>
    </row>
    <row r="34" spans="2:16" x14ac:dyDescent="0.3">
      <c r="E34" t="s">
        <v>76</v>
      </c>
      <c r="F34">
        <v>1</v>
      </c>
    </row>
    <row r="35" spans="2:16" x14ac:dyDescent="0.3">
      <c r="E35" t="s">
        <v>66</v>
      </c>
      <c r="F35">
        <v>2</v>
      </c>
      <c r="N35">
        <v>3</v>
      </c>
      <c r="O35">
        <v>4</v>
      </c>
    </row>
    <row r="36" spans="2:16" x14ac:dyDescent="0.3">
      <c r="E36" t="s">
        <v>69</v>
      </c>
      <c r="F36">
        <v>3</v>
      </c>
      <c r="H36">
        <v>2</v>
      </c>
      <c r="I36">
        <v>1</v>
      </c>
      <c r="K36">
        <v>5</v>
      </c>
    </row>
    <row r="37" spans="2:16" x14ac:dyDescent="0.3">
      <c r="E37" t="s">
        <v>74</v>
      </c>
      <c r="F37">
        <v>2</v>
      </c>
      <c r="N37">
        <v>6</v>
      </c>
      <c r="O37">
        <v>1</v>
      </c>
      <c r="P37">
        <v>2</v>
      </c>
    </row>
    <row r="38" spans="2:16" x14ac:dyDescent="0.3">
      <c r="E38" t="s">
        <v>70</v>
      </c>
      <c r="F38">
        <v>1</v>
      </c>
    </row>
    <row r="39" spans="2:16" x14ac:dyDescent="0.3">
      <c r="E39" t="s">
        <v>80</v>
      </c>
      <c r="F39">
        <v>2</v>
      </c>
      <c r="G39">
        <v>1</v>
      </c>
      <c r="K39">
        <v>2</v>
      </c>
      <c r="L39">
        <v>1</v>
      </c>
    </row>
    <row r="40" spans="2:16" x14ac:dyDescent="0.3">
      <c r="E40" t="s">
        <v>71</v>
      </c>
      <c r="F40">
        <v>3</v>
      </c>
      <c r="G40">
        <v>2</v>
      </c>
      <c r="H40">
        <v>2</v>
      </c>
      <c r="J40">
        <v>2</v>
      </c>
      <c r="K40">
        <v>2</v>
      </c>
      <c r="L40">
        <v>1</v>
      </c>
      <c r="M40">
        <v>3</v>
      </c>
    </row>
    <row r="41" spans="2:16" x14ac:dyDescent="0.3">
      <c r="E41" t="s">
        <v>67</v>
      </c>
      <c r="F41">
        <v>2</v>
      </c>
      <c r="N41">
        <v>1</v>
      </c>
      <c r="O41">
        <v>2</v>
      </c>
    </row>
    <row r="42" spans="2:16" x14ac:dyDescent="0.3">
      <c r="E42" t="s">
        <v>77</v>
      </c>
      <c r="F42">
        <v>1</v>
      </c>
      <c r="G42">
        <v>1</v>
      </c>
      <c r="I42">
        <v>1</v>
      </c>
    </row>
    <row r="43" spans="2:16" x14ac:dyDescent="0.3">
      <c r="E43" t="s">
        <v>87</v>
      </c>
      <c r="F43">
        <v>1</v>
      </c>
      <c r="O43">
        <v>1</v>
      </c>
    </row>
    <row r="44" spans="2:16" x14ac:dyDescent="0.3">
      <c r="E44" t="s">
        <v>72</v>
      </c>
      <c r="F44">
        <v>1</v>
      </c>
      <c r="G44">
        <v>2</v>
      </c>
      <c r="H44">
        <v>1</v>
      </c>
      <c r="N44">
        <v>1</v>
      </c>
    </row>
    <row r="45" spans="2:16" x14ac:dyDescent="0.3">
      <c r="E45" t="s">
        <v>73</v>
      </c>
      <c r="F45">
        <v>2</v>
      </c>
      <c r="G45">
        <v>3</v>
      </c>
      <c r="H45">
        <v>1</v>
      </c>
      <c r="K45">
        <v>3</v>
      </c>
      <c r="L45">
        <v>1</v>
      </c>
      <c r="M45">
        <v>2</v>
      </c>
    </row>
    <row r="46" spans="2:16" x14ac:dyDescent="0.3">
      <c r="B46" s="7" t="s">
        <v>90</v>
      </c>
      <c r="C46">
        <v>70.900000000000006</v>
      </c>
      <c r="D46">
        <v>13.8</v>
      </c>
      <c r="E46" t="s">
        <v>74</v>
      </c>
      <c r="F46">
        <v>1</v>
      </c>
      <c r="N46">
        <v>1</v>
      </c>
      <c r="O46">
        <v>2</v>
      </c>
    </row>
    <row r="47" spans="2:16" x14ac:dyDescent="0.3">
      <c r="E47" t="s">
        <v>69</v>
      </c>
      <c r="F47">
        <v>2</v>
      </c>
      <c r="O47">
        <v>1</v>
      </c>
    </row>
    <row r="48" spans="2:16" x14ac:dyDescent="0.3">
      <c r="E48" t="s">
        <v>65</v>
      </c>
      <c r="F48">
        <v>3</v>
      </c>
      <c r="O48">
        <v>9</v>
      </c>
    </row>
    <row r="49" spans="1:18" x14ac:dyDescent="0.3">
      <c r="E49" t="s">
        <v>70</v>
      </c>
      <c r="F49">
        <v>1</v>
      </c>
      <c r="H49">
        <v>1</v>
      </c>
      <c r="I49">
        <v>1</v>
      </c>
      <c r="N49">
        <v>1</v>
      </c>
    </row>
    <row r="50" spans="1:18" x14ac:dyDescent="0.3">
      <c r="E50" t="s">
        <v>66</v>
      </c>
      <c r="F50">
        <v>3</v>
      </c>
      <c r="N50">
        <v>6</v>
      </c>
      <c r="O50">
        <v>5</v>
      </c>
    </row>
    <row r="51" spans="1:18" x14ac:dyDescent="0.3">
      <c r="E51" t="s">
        <v>75</v>
      </c>
      <c r="F51">
        <v>2</v>
      </c>
      <c r="H51">
        <v>1</v>
      </c>
      <c r="O51">
        <v>1</v>
      </c>
    </row>
    <row r="52" spans="1:18" x14ac:dyDescent="0.3">
      <c r="E52" t="s">
        <v>68</v>
      </c>
      <c r="F52">
        <v>6</v>
      </c>
      <c r="H52">
        <v>2</v>
      </c>
      <c r="N52">
        <v>4</v>
      </c>
      <c r="O52">
        <v>5</v>
      </c>
    </row>
    <row r="53" spans="1:18" x14ac:dyDescent="0.3">
      <c r="E53" t="s">
        <v>79</v>
      </c>
      <c r="F53">
        <v>1</v>
      </c>
      <c r="O53">
        <v>1</v>
      </c>
    </row>
    <row r="54" spans="1:18" x14ac:dyDescent="0.3">
      <c r="E54" t="s">
        <v>84</v>
      </c>
      <c r="F54">
        <v>2</v>
      </c>
      <c r="I54">
        <v>2</v>
      </c>
      <c r="K54">
        <v>1</v>
      </c>
      <c r="N54">
        <v>1</v>
      </c>
    </row>
    <row r="55" spans="1:18" x14ac:dyDescent="0.3">
      <c r="E55" t="s">
        <v>71</v>
      </c>
      <c r="F55">
        <v>2</v>
      </c>
      <c r="H55">
        <v>2</v>
      </c>
    </row>
    <row r="56" spans="1:18" x14ac:dyDescent="0.3">
      <c r="E56" t="s">
        <v>73</v>
      </c>
      <c r="F56">
        <v>1</v>
      </c>
      <c r="I56">
        <v>1</v>
      </c>
      <c r="N56">
        <v>1</v>
      </c>
    </row>
    <row r="57" spans="1:18" x14ac:dyDescent="0.3">
      <c r="E57" t="s">
        <v>91</v>
      </c>
      <c r="F57">
        <v>1</v>
      </c>
      <c r="R57">
        <v>1</v>
      </c>
    </row>
    <row r="58" spans="1:18" x14ac:dyDescent="0.3">
      <c r="A58" s="4">
        <v>44307</v>
      </c>
      <c r="B58" t="s">
        <v>64</v>
      </c>
      <c r="C58">
        <v>35.6</v>
      </c>
      <c r="D58">
        <v>5.7</v>
      </c>
      <c r="E58" t="s">
        <v>71</v>
      </c>
      <c r="F58">
        <v>2</v>
      </c>
      <c r="G58">
        <v>1</v>
      </c>
      <c r="H58">
        <v>1</v>
      </c>
      <c r="I58">
        <v>2</v>
      </c>
      <c r="J58">
        <v>2</v>
      </c>
      <c r="K58">
        <v>1</v>
      </c>
      <c r="L58">
        <v>2</v>
      </c>
      <c r="M58">
        <v>2</v>
      </c>
    </row>
    <row r="59" spans="1:18" x14ac:dyDescent="0.3">
      <c r="E59" t="s">
        <v>74</v>
      </c>
      <c r="F59">
        <v>3</v>
      </c>
      <c r="G59">
        <v>1</v>
      </c>
      <c r="N59">
        <v>1</v>
      </c>
      <c r="O59">
        <v>4</v>
      </c>
      <c r="Q59">
        <v>1</v>
      </c>
    </row>
    <row r="60" spans="1:18" x14ac:dyDescent="0.3">
      <c r="E60" t="s">
        <v>69</v>
      </c>
      <c r="F60">
        <v>5</v>
      </c>
      <c r="G60">
        <v>6</v>
      </c>
      <c r="H60">
        <v>6</v>
      </c>
      <c r="I60">
        <v>5</v>
      </c>
      <c r="J60">
        <v>1</v>
      </c>
      <c r="K60">
        <v>4</v>
      </c>
      <c r="L60">
        <v>3</v>
      </c>
      <c r="O60">
        <v>2</v>
      </c>
    </row>
    <row r="61" spans="1:18" x14ac:dyDescent="0.3">
      <c r="E61" t="s">
        <v>70</v>
      </c>
      <c r="F61">
        <v>1</v>
      </c>
      <c r="I61">
        <v>2</v>
      </c>
    </row>
    <row r="62" spans="1:18" x14ac:dyDescent="0.3">
      <c r="E62" t="s">
        <v>67</v>
      </c>
      <c r="F62">
        <v>1</v>
      </c>
      <c r="G62">
        <v>5</v>
      </c>
      <c r="I62">
        <v>2</v>
      </c>
      <c r="O62">
        <v>1</v>
      </c>
    </row>
    <row r="63" spans="1:18" x14ac:dyDescent="0.3">
      <c r="E63" t="s">
        <v>66</v>
      </c>
      <c r="F63">
        <v>3</v>
      </c>
      <c r="G63">
        <v>3</v>
      </c>
      <c r="H63">
        <v>1</v>
      </c>
      <c r="J63">
        <v>2</v>
      </c>
      <c r="N63">
        <v>6</v>
      </c>
      <c r="O63">
        <v>5</v>
      </c>
    </row>
    <row r="64" spans="1:18" x14ac:dyDescent="0.3">
      <c r="E64" t="s">
        <v>77</v>
      </c>
      <c r="F64">
        <v>2</v>
      </c>
      <c r="I64">
        <v>4</v>
      </c>
    </row>
    <row r="65" spans="2:17" x14ac:dyDescent="0.3">
      <c r="E65" t="s">
        <v>83</v>
      </c>
      <c r="F65">
        <v>1</v>
      </c>
      <c r="H65">
        <v>1</v>
      </c>
    </row>
    <row r="66" spans="2:17" x14ac:dyDescent="0.3">
      <c r="E66" t="s">
        <v>73</v>
      </c>
      <c r="F66">
        <v>1</v>
      </c>
      <c r="G66">
        <v>1</v>
      </c>
    </row>
    <row r="67" spans="2:17" x14ac:dyDescent="0.3">
      <c r="E67" t="s">
        <v>68</v>
      </c>
      <c r="F67">
        <v>1</v>
      </c>
      <c r="G67">
        <v>1</v>
      </c>
    </row>
    <row r="68" spans="2:17" x14ac:dyDescent="0.3">
      <c r="E68" t="s">
        <v>78</v>
      </c>
      <c r="F68">
        <v>1</v>
      </c>
      <c r="I68">
        <v>2</v>
      </c>
      <c r="N68">
        <v>1</v>
      </c>
    </row>
    <row r="69" spans="2:17" x14ac:dyDescent="0.3">
      <c r="E69" t="s">
        <v>87</v>
      </c>
      <c r="F69">
        <v>1</v>
      </c>
      <c r="N69">
        <v>2</v>
      </c>
    </row>
    <row r="70" spans="2:17" x14ac:dyDescent="0.3">
      <c r="E70" t="s">
        <v>65</v>
      </c>
      <c r="F70">
        <v>1</v>
      </c>
      <c r="G70">
        <v>1</v>
      </c>
      <c r="H70">
        <v>2</v>
      </c>
      <c r="O70">
        <v>1</v>
      </c>
    </row>
    <row r="71" spans="2:17" x14ac:dyDescent="0.3">
      <c r="E71" t="s">
        <v>72</v>
      </c>
      <c r="F71">
        <v>1</v>
      </c>
      <c r="H71">
        <v>2</v>
      </c>
    </row>
    <row r="72" spans="2:17" x14ac:dyDescent="0.3">
      <c r="E72" t="s">
        <v>84</v>
      </c>
      <c r="F72">
        <v>1</v>
      </c>
      <c r="H72">
        <v>1</v>
      </c>
    </row>
    <row r="73" spans="2:17" x14ac:dyDescent="0.3">
      <c r="E73" t="s">
        <v>75</v>
      </c>
      <c r="F73">
        <v>1</v>
      </c>
      <c r="O73">
        <v>1</v>
      </c>
    </row>
    <row r="74" spans="2:17" x14ac:dyDescent="0.3">
      <c r="B74" t="s">
        <v>48</v>
      </c>
      <c r="C74">
        <v>42.3</v>
      </c>
      <c r="D74">
        <v>16.100000000000001</v>
      </c>
      <c r="E74" t="s">
        <v>71</v>
      </c>
      <c r="F74">
        <v>2</v>
      </c>
      <c r="G74">
        <v>1</v>
      </c>
      <c r="I74">
        <v>1</v>
      </c>
      <c r="J74">
        <v>2</v>
      </c>
      <c r="K74">
        <v>4</v>
      </c>
      <c r="L74">
        <v>2</v>
      </c>
      <c r="M74">
        <v>2</v>
      </c>
    </row>
    <row r="75" spans="2:17" x14ac:dyDescent="0.3">
      <c r="E75" t="s">
        <v>69</v>
      </c>
      <c r="F75">
        <v>3</v>
      </c>
      <c r="G75">
        <v>5</v>
      </c>
      <c r="H75">
        <v>1</v>
      </c>
      <c r="I75">
        <v>1</v>
      </c>
      <c r="J75">
        <v>3</v>
      </c>
      <c r="K75">
        <v>5</v>
      </c>
      <c r="L75">
        <v>2</v>
      </c>
    </row>
    <row r="76" spans="2:17" x14ac:dyDescent="0.3">
      <c r="E76" t="s">
        <v>73</v>
      </c>
      <c r="F76">
        <v>2</v>
      </c>
      <c r="G76">
        <v>5</v>
      </c>
      <c r="H76">
        <v>4</v>
      </c>
      <c r="J76">
        <v>7</v>
      </c>
      <c r="K76">
        <v>6</v>
      </c>
      <c r="M76">
        <v>1</v>
      </c>
    </row>
    <row r="77" spans="2:17" x14ac:dyDescent="0.3">
      <c r="E77" t="s">
        <v>84</v>
      </c>
      <c r="F77">
        <v>1</v>
      </c>
      <c r="J77">
        <v>1</v>
      </c>
      <c r="K77">
        <v>1</v>
      </c>
    </row>
    <row r="78" spans="2:17" x14ac:dyDescent="0.3">
      <c r="E78" t="s">
        <v>65</v>
      </c>
      <c r="F78">
        <v>3</v>
      </c>
      <c r="G78">
        <v>6</v>
      </c>
      <c r="H78">
        <v>6</v>
      </c>
      <c r="I78">
        <v>1</v>
      </c>
      <c r="J78">
        <v>1</v>
      </c>
      <c r="N78">
        <v>4</v>
      </c>
      <c r="O78">
        <v>5</v>
      </c>
    </row>
    <row r="79" spans="2:17" x14ac:dyDescent="0.3">
      <c r="E79" t="s">
        <v>74</v>
      </c>
      <c r="F79">
        <v>3</v>
      </c>
      <c r="G79">
        <v>2</v>
      </c>
      <c r="J79">
        <v>1</v>
      </c>
      <c r="N79">
        <v>5</v>
      </c>
      <c r="O79">
        <v>2</v>
      </c>
      <c r="P79">
        <v>1</v>
      </c>
      <c r="Q79">
        <v>2</v>
      </c>
    </row>
    <row r="80" spans="2:17" x14ac:dyDescent="0.3">
      <c r="E80" t="s">
        <v>83</v>
      </c>
      <c r="F80">
        <v>1</v>
      </c>
      <c r="G80">
        <v>1</v>
      </c>
      <c r="K80">
        <v>2</v>
      </c>
      <c r="M80">
        <v>1</v>
      </c>
    </row>
    <row r="81" spans="1:20" x14ac:dyDescent="0.3">
      <c r="E81" t="s">
        <v>68</v>
      </c>
      <c r="F81">
        <v>2</v>
      </c>
      <c r="G81">
        <v>1</v>
      </c>
      <c r="H81">
        <v>1</v>
      </c>
      <c r="O81">
        <v>1</v>
      </c>
    </row>
    <row r="82" spans="1:20" x14ac:dyDescent="0.3">
      <c r="E82" t="s">
        <v>67</v>
      </c>
      <c r="F82">
        <v>1</v>
      </c>
      <c r="G82">
        <v>2</v>
      </c>
    </row>
    <row r="83" spans="1:20" x14ac:dyDescent="0.3">
      <c r="E83" t="s">
        <v>66</v>
      </c>
      <c r="F83">
        <v>2</v>
      </c>
      <c r="G83">
        <v>1</v>
      </c>
      <c r="J83">
        <v>1</v>
      </c>
      <c r="N83">
        <v>1</v>
      </c>
      <c r="O83">
        <v>3</v>
      </c>
    </row>
    <row r="84" spans="1:20" x14ac:dyDescent="0.3">
      <c r="E84" t="s">
        <v>70</v>
      </c>
      <c r="F84">
        <v>1</v>
      </c>
    </row>
    <row r="85" spans="1:20" x14ac:dyDescent="0.3">
      <c r="E85" t="s">
        <v>75</v>
      </c>
      <c r="F85">
        <v>1</v>
      </c>
      <c r="O85">
        <v>1</v>
      </c>
    </row>
    <row r="86" spans="1:20" x14ac:dyDescent="0.3">
      <c r="E86" t="s">
        <v>72</v>
      </c>
      <c r="F86">
        <v>1</v>
      </c>
      <c r="G86">
        <v>1</v>
      </c>
      <c r="J86">
        <v>1</v>
      </c>
    </row>
    <row r="87" spans="1:20" x14ac:dyDescent="0.3">
      <c r="E87" t="s">
        <v>83</v>
      </c>
      <c r="F87">
        <v>1</v>
      </c>
      <c r="K87">
        <v>1</v>
      </c>
      <c r="M87">
        <v>1</v>
      </c>
    </row>
    <row r="88" spans="1:20" x14ac:dyDescent="0.3">
      <c r="E88" t="s">
        <v>87</v>
      </c>
      <c r="F88">
        <v>1</v>
      </c>
      <c r="N88">
        <v>1</v>
      </c>
    </row>
    <row r="89" spans="1:20" x14ac:dyDescent="0.3">
      <c r="A89" s="4">
        <v>44308</v>
      </c>
      <c r="B89" t="s">
        <v>64</v>
      </c>
      <c r="C89">
        <v>37.799999999999997</v>
      </c>
      <c r="D89">
        <v>7</v>
      </c>
      <c r="E89" t="s">
        <v>71</v>
      </c>
      <c r="F89">
        <v>3</v>
      </c>
      <c r="G89">
        <v>2</v>
      </c>
      <c r="I89">
        <v>3</v>
      </c>
      <c r="J89">
        <v>3</v>
      </c>
      <c r="K89">
        <v>3</v>
      </c>
      <c r="L89">
        <v>2</v>
      </c>
      <c r="M89">
        <v>1</v>
      </c>
      <c r="S89" t="s">
        <v>81</v>
      </c>
      <c r="T89">
        <v>2</v>
      </c>
    </row>
    <row r="90" spans="1:20" x14ac:dyDescent="0.3">
      <c r="E90" t="s">
        <v>76</v>
      </c>
      <c r="F90">
        <v>2</v>
      </c>
      <c r="S90" t="s">
        <v>82</v>
      </c>
      <c r="T90">
        <v>1</v>
      </c>
    </row>
    <row r="91" spans="1:20" x14ac:dyDescent="0.3">
      <c r="E91" t="s">
        <v>74</v>
      </c>
      <c r="F91">
        <v>2</v>
      </c>
      <c r="G91">
        <v>2</v>
      </c>
      <c r="N91">
        <v>2</v>
      </c>
      <c r="P91">
        <v>2</v>
      </c>
    </row>
    <row r="92" spans="1:20" x14ac:dyDescent="0.3">
      <c r="E92" t="s">
        <v>65</v>
      </c>
      <c r="F92">
        <v>3</v>
      </c>
      <c r="G92">
        <v>10</v>
      </c>
      <c r="H92">
        <v>3</v>
      </c>
      <c r="J92">
        <v>4</v>
      </c>
      <c r="O92">
        <v>2</v>
      </c>
    </row>
    <row r="93" spans="1:20" x14ac:dyDescent="0.3">
      <c r="E93" t="s">
        <v>68</v>
      </c>
      <c r="F93">
        <v>2</v>
      </c>
      <c r="G93">
        <v>5</v>
      </c>
      <c r="I93">
        <v>4</v>
      </c>
    </row>
    <row r="94" spans="1:20" x14ac:dyDescent="0.3">
      <c r="E94" t="s">
        <v>66</v>
      </c>
      <c r="F94">
        <v>2</v>
      </c>
      <c r="J94">
        <v>2</v>
      </c>
      <c r="N94">
        <v>5</v>
      </c>
      <c r="O94">
        <v>5</v>
      </c>
    </row>
    <row r="95" spans="1:20" x14ac:dyDescent="0.3">
      <c r="E95" t="s">
        <v>67</v>
      </c>
      <c r="F95">
        <v>1</v>
      </c>
      <c r="G95">
        <v>2</v>
      </c>
      <c r="I95">
        <v>1</v>
      </c>
      <c r="J95">
        <v>1</v>
      </c>
    </row>
    <row r="96" spans="1:20" x14ac:dyDescent="0.3">
      <c r="E96" t="s">
        <v>69</v>
      </c>
      <c r="F96">
        <v>3</v>
      </c>
      <c r="G96">
        <v>6</v>
      </c>
      <c r="H96">
        <v>1</v>
      </c>
      <c r="I96">
        <v>3</v>
      </c>
      <c r="J96">
        <v>1</v>
      </c>
    </row>
    <row r="97" spans="2:18" x14ac:dyDescent="0.3">
      <c r="E97" t="s">
        <v>73</v>
      </c>
      <c r="F97">
        <v>2</v>
      </c>
      <c r="G97">
        <v>6</v>
      </c>
      <c r="H97">
        <v>1</v>
      </c>
      <c r="J97">
        <v>4</v>
      </c>
      <c r="K97">
        <v>4</v>
      </c>
      <c r="L97">
        <v>3</v>
      </c>
    </row>
    <row r="98" spans="2:18" x14ac:dyDescent="0.3">
      <c r="E98" t="s">
        <v>72</v>
      </c>
      <c r="F98">
        <v>2</v>
      </c>
      <c r="N98">
        <v>1</v>
      </c>
    </row>
    <row r="99" spans="2:18" x14ac:dyDescent="0.3">
      <c r="E99" t="s">
        <v>92</v>
      </c>
      <c r="F99">
        <v>1</v>
      </c>
    </row>
    <row r="100" spans="2:18" x14ac:dyDescent="0.3">
      <c r="E100" t="s">
        <v>70</v>
      </c>
      <c r="F100">
        <v>1</v>
      </c>
      <c r="I100">
        <v>2</v>
      </c>
    </row>
    <row r="101" spans="2:18" x14ac:dyDescent="0.3">
      <c r="E101" t="s">
        <v>83</v>
      </c>
      <c r="F101">
        <v>1</v>
      </c>
      <c r="G101">
        <v>2</v>
      </c>
    </row>
    <row r="102" spans="2:18" x14ac:dyDescent="0.3">
      <c r="E102" t="s">
        <v>77</v>
      </c>
      <c r="F102">
        <v>1</v>
      </c>
      <c r="I102">
        <v>2</v>
      </c>
    </row>
    <row r="103" spans="2:18" x14ac:dyDescent="0.3">
      <c r="E103" t="s">
        <v>78</v>
      </c>
      <c r="F103">
        <v>1</v>
      </c>
      <c r="I103">
        <v>1</v>
      </c>
    </row>
    <row r="104" spans="2:18" x14ac:dyDescent="0.3">
      <c r="B104" t="s">
        <v>48</v>
      </c>
      <c r="C104">
        <v>47.1</v>
      </c>
      <c r="D104">
        <v>6.9</v>
      </c>
      <c r="E104" t="s">
        <v>69</v>
      </c>
      <c r="F104">
        <v>2</v>
      </c>
      <c r="G104">
        <v>7</v>
      </c>
      <c r="I104">
        <v>1</v>
      </c>
      <c r="K104">
        <v>1</v>
      </c>
      <c r="L104">
        <v>2</v>
      </c>
    </row>
    <row r="105" spans="2:18" x14ac:dyDescent="0.3">
      <c r="E105" t="s">
        <v>66</v>
      </c>
      <c r="F105">
        <v>3</v>
      </c>
      <c r="G105">
        <v>1</v>
      </c>
      <c r="N105">
        <v>3</v>
      </c>
      <c r="O105">
        <v>3</v>
      </c>
      <c r="R105">
        <v>2</v>
      </c>
    </row>
    <row r="106" spans="2:18" x14ac:dyDescent="0.3">
      <c r="E106" t="s">
        <v>84</v>
      </c>
      <c r="F106">
        <v>1</v>
      </c>
      <c r="J106">
        <v>1</v>
      </c>
      <c r="K106">
        <v>1</v>
      </c>
    </row>
    <row r="107" spans="2:18" x14ac:dyDescent="0.3">
      <c r="E107" t="s">
        <v>71</v>
      </c>
      <c r="F107">
        <v>4</v>
      </c>
      <c r="G107">
        <v>6</v>
      </c>
      <c r="H107">
        <v>1</v>
      </c>
      <c r="I107">
        <v>2</v>
      </c>
      <c r="J107">
        <v>9</v>
      </c>
      <c r="K107">
        <v>4</v>
      </c>
      <c r="L107">
        <v>1</v>
      </c>
      <c r="M107">
        <v>1</v>
      </c>
    </row>
    <row r="108" spans="2:18" x14ac:dyDescent="0.3">
      <c r="E108" t="s">
        <v>74</v>
      </c>
      <c r="F108">
        <v>2</v>
      </c>
      <c r="G108">
        <v>1</v>
      </c>
      <c r="N108">
        <v>3</v>
      </c>
      <c r="O108">
        <v>3</v>
      </c>
    </row>
    <row r="109" spans="2:18" x14ac:dyDescent="0.3">
      <c r="E109" t="s">
        <v>65</v>
      </c>
      <c r="F109">
        <v>4</v>
      </c>
      <c r="G109">
        <v>12</v>
      </c>
      <c r="H109">
        <v>8</v>
      </c>
      <c r="J109">
        <v>3</v>
      </c>
      <c r="N109">
        <v>2</v>
      </c>
      <c r="O109">
        <v>2</v>
      </c>
    </row>
    <row r="110" spans="2:18" x14ac:dyDescent="0.3">
      <c r="E110" t="s">
        <v>75</v>
      </c>
      <c r="F110">
        <v>1</v>
      </c>
      <c r="N110">
        <v>1</v>
      </c>
    </row>
    <row r="111" spans="2:18" x14ac:dyDescent="0.3">
      <c r="E111" t="s">
        <v>76</v>
      </c>
      <c r="F111">
        <v>1</v>
      </c>
      <c r="G111">
        <v>1</v>
      </c>
    </row>
    <row r="112" spans="2:18" x14ac:dyDescent="0.3">
      <c r="E112" t="s">
        <v>70</v>
      </c>
      <c r="F112">
        <v>1</v>
      </c>
      <c r="I112">
        <v>1</v>
      </c>
    </row>
    <row r="113" spans="1:20" x14ac:dyDescent="0.3">
      <c r="E113" t="s">
        <v>83</v>
      </c>
      <c r="F113">
        <v>2</v>
      </c>
      <c r="G113">
        <v>3</v>
      </c>
      <c r="I113">
        <v>1</v>
      </c>
    </row>
    <row r="114" spans="1:20" x14ac:dyDescent="0.3">
      <c r="E114" t="s">
        <v>93</v>
      </c>
      <c r="F114">
        <v>2</v>
      </c>
      <c r="G114">
        <v>5</v>
      </c>
      <c r="J114">
        <v>3</v>
      </c>
    </row>
    <row r="115" spans="1:20" x14ac:dyDescent="0.3">
      <c r="E115" t="s">
        <v>68</v>
      </c>
      <c r="F115">
        <v>4</v>
      </c>
      <c r="G115">
        <v>6</v>
      </c>
      <c r="H115">
        <v>3</v>
      </c>
      <c r="I115">
        <v>1</v>
      </c>
      <c r="J115">
        <v>1</v>
      </c>
      <c r="K115">
        <v>1</v>
      </c>
    </row>
    <row r="116" spans="1:20" x14ac:dyDescent="0.3">
      <c r="E116" t="s">
        <v>72</v>
      </c>
      <c r="F116">
        <v>1</v>
      </c>
      <c r="J116">
        <v>1</v>
      </c>
    </row>
    <row r="117" spans="1:20" x14ac:dyDescent="0.3">
      <c r="E117" t="s">
        <v>67</v>
      </c>
      <c r="F117">
        <v>1</v>
      </c>
      <c r="G117">
        <v>3</v>
      </c>
      <c r="I117">
        <v>1</v>
      </c>
    </row>
    <row r="118" spans="1:20" x14ac:dyDescent="0.3">
      <c r="E118" t="s">
        <v>77</v>
      </c>
      <c r="F118">
        <v>1</v>
      </c>
      <c r="I118">
        <v>1</v>
      </c>
    </row>
    <row r="119" spans="1:20" x14ac:dyDescent="0.3">
      <c r="E119" t="s">
        <v>78</v>
      </c>
      <c r="F119">
        <v>1</v>
      </c>
    </row>
    <row r="120" spans="1:20" x14ac:dyDescent="0.3">
      <c r="E120" t="s">
        <v>73</v>
      </c>
      <c r="F120">
        <v>1</v>
      </c>
      <c r="G120">
        <v>1</v>
      </c>
      <c r="I120">
        <v>1</v>
      </c>
    </row>
    <row r="121" spans="1:20" x14ac:dyDescent="0.3">
      <c r="A121" s="4">
        <v>44309</v>
      </c>
      <c r="B121" t="s">
        <v>64</v>
      </c>
      <c r="C121">
        <v>45.3</v>
      </c>
      <c r="D121">
        <v>3.4</v>
      </c>
      <c r="E121" t="s">
        <v>83</v>
      </c>
      <c r="F121">
        <v>2</v>
      </c>
      <c r="G121">
        <v>1</v>
      </c>
      <c r="H121">
        <v>1</v>
      </c>
      <c r="J121">
        <v>1</v>
      </c>
      <c r="S121" t="s">
        <v>81</v>
      </c>
      <c r="T121">
        <v>2</v>
      </c>
    </row>
    <row r="122" spans="1:20" x14ac:dyDescent="0.3">
      <c r="E122" t="s">
        <v>65</v>
      </c>
      <c r="F122">
        <v>5</v>
      </c>
      <c r="G122">
        <v>12</v>
      </c>
      <c r="H122">
        <v>9</v>
      </c>
      <c r="I122">
        <v>1</v>
      </c>
      <c r="J122">
        <v>1</v>
      </c>
      <c r="N122">
        <v>1</v>
      </c>
      <c r="O122">
        <v>1</v>
      </c>
      <c r="S122" t="s">
        <v>82</v>
      </c>
      <c r="T122">
        <v>1</v>
      </c>
    </row>
    <row r="123" spans="1:20" x14ac:dyDescent="0.3">
      <c r="E123" t="s">
        <v>72</v>
      </c>
      <c r="F123">
        <v>1</v>
      </c>
      <c r="G123">
        <v>2</v>
      </c>
      <c r="J123">
        <v>1</v>
      </c>
    </row>
    <row r="124" spans="1:20" x14ac:dyDescent="0.3">
      <c r="E124" t="s">
        <v>70</v>
      </c>
      <c r="F124">
        <v>1</v>
      </c>
      <c r="I124">
        <v>1</v>
      </c>
    </row>
    <row r="125" spans="1:20" x14ac:dyDescent="0.3">
      <c r="E125" t="s">
        <v>66</v>
      </c>
      <c r="F125">
        <v>3</v>
      </c>
      <c r="G125">
        <v>8</v>
      </c>
      <c r="H125">
        <v>3</v>
      </c>
      <c r="J125">
        <v>3</v>
      </c>
      <c r="N125">
        <v>6</v>
      </c>
      <c r="O125">
        <v>5</v>
      </c>
      <c r="R125">
        <v>3</v>
      </c>
    </row>
    <row r="126" spans="1:20" x14ac:dyDescent="0.3">
      <c r="E126" t="s">
        <v>68</v>
      </c>
      <c r="F126">
        <v>3</v>
      </c>
      <c r="G126">
        <v>4</v>
      </c>
      <c r="H126">
        <v>1</v>
      </c>
      <c r="I126">
        <v>1</v>
      </c>
    </row>
    <row r="127" spans="1:20" x14ac:dyDescent="0.3">
      <c r="E127" t="s">
        <v>69</v>
      </c>
      <c r="F127">
        <v>3</v>
      </c>
      <c r="G127">
        <v>8</v>
      </c>
      <c r="H127">
        <v>5</v>
      </c>
      <c r="I127">
        <v>1</v>
      </c>
      <c r="J127">
        <v>2</v>
      </c>
      <c r="K127">
        <v>1</v>
      </c>
      <c r="L127">
        <v>1</v>
      </c>
    </row>
    <row r="128" spans="1:20" x14ac:dyDescent="0.3">
      <c r="E128" t="s">
        <v>71</v>
      </c>
      <c r="F128">
        <v>3</v>
      </c>
      <c r="G128">
        <v>2</v>
      </c>
      <c r="H128">
        <v>1</v>
      </c>
      <c r="J128">
        <v>8</v>
      </c>
      <c r="K128">
        <v>2</v>
      </c>
      <c r="M128">
        <v>2</v>
      </c>
    </row>
    <row r="129" spans="1:20" x14ac:dyDescent="0.3">
      <c r="E129" t="s">
        <v>74</v>
      </c>
      <c r="F129">
        <v>1</v>
      </c>
      <c r="O129">
        <v>2</v>
      </c>
    </row>
    <row r="130" spans="1:20" x14ac:dyDescent="0.3">
      <c r="E130" t="s">
        <v>73</v>
      </c>
      <c r="F130">
        <v>2</v>
      </c>
      <c r="G130">
        <v>12</v>
      </c>
      <c r="H130">
        <v>2</v>
      </c>
      <c r="I130">
        <v>1</v>
      </c>
      <c r="J130">
        <v>3</v>
      </c>
      <c r="K130">
        <v>3</v>
      </c>
      <c r="L130">
        <v>1</v>
      </c>
    </row>
    <row r="131" spans="1:20" x14ac:dyDescent="0.3">
      <c r="E131" t="s">
        <v>75</v>
      </c>
      <c r="F131">
        <v>1</v>
      </c>
      <c r="O131">
        <v>1</v>
      </c>
    </row>
    <row r="132" spans="1:20" x14ac:dyDescent="0.3">
      <c r="E132" t="s">
        <v>76</v>
      </c>
      <c r="F132">
        <v>2</v>
      </c>
      <c r="J132">
        <v>3</v>
      </c>
    </row>
    <row r="133" spans="1:20" x14ac:dyDescent="0.3">
      <c r="E133" t="s">
        <v>80</v>
      </c>
      <c r="F133">
        <v>2</v>
      </c>
      <c r="K133">
        <v>1</v>
      </c>
      <c r="L133">
        <v>1</v>
      </c>
    </row>
    <row r="134" spans="1:20" x14ac:dyDescent="0.3">
      <c r="E134" t="s">
        <v>77</v>
      </c>
      <c r="F134">
        <v>2</v>
      </c>
      <c r="I134">
        <v>2</v>
      </c>
    </row>
    <row r="135" spans="1:20" x14ac:dyDescent="0.3">
      <c r="E135" t="s">
        <v>67</v>
      </c>
      <c r="F135">
        <v>1</v>
      </c>
      <c r="G135">
        <v>4</v>
      </c>
      <c r="N135">
        <v>1</v>
      </c>
    </row>
    <row r="136" spans="1:20" x14ac:dyDescent="0.3">
      <c r="A136" s="4">
        <v>44312</v>
      </c>
      <c r="B136" t="s">
        <v>64</v>
      </c>
      <c r="C136">
        <v>50.3</v>
      </c>
      <c r="D136">
        <v>3.4</v>
      </c>
      <c r="E136" t="s">
        <v>94</v>
      </c>
      <c r="F136">
        <v>1</v>
      </c>
      <c r="H136">
        <v>1</v>
      </c>
      <c r="S136" t="s">
        <v>81</v>
      </c>
      <c r="T136">
        <v>3</v>
      </c>
    </row>
    <row r="137" spans="1:20" x14ac:dyDescent="0.3">
      <c r="E137" t="s">
        <v>65</v>
      </c>
      <c r="F137">
        <v>3</v>
      </c>
      <c r="G137">
        <v>10</v>
      </c>
      <c r="H137">
        <v>12</v>
      </c>
      <c r="I137">
        <v>2</v>
      </c>
      <c r="J137">
        <v>1</v>
      </c>
      <c r="N137">
        <v>3</v>
      </c>
      <c r="O137">
        <v>3</v>
      </c>
      <c r="S137" t="s">
        <v>82</v>
      </c>
      <c r="T137">
        <v>1</v>
      </c>
    </row>
    <row r="138" spans="1:20" x14ac:dyDescent="0.3">
      <c r="E138" t="s">
        <v>74</v>
      </c>
      <c r="F138">
        <v>2</v>
      </c>
      <c r="G138">
        <v>4</v>
      </c>
      <c r="H138">
        <v>1</v>
      </c>
      <c r="N138">
        <v>2</v>
      </c>
      <c r="O138">
        <v>1</v>
      </c>
      <c r="P138">
        <v>2</v>
      </c>
      <c r="Q138">
        <v>2</v>
      </c>
    </row>
    <row r="139" spans="1:20" x14ac:dyDescent="0.3">
      <c r="E139" t="s">
        <v>67</v>
      </c>
      <c r="F139">
        <v>1</v>
      </c>
      <c r="G139">
        <v>3</v>
      </c>
      <c r="H139">
        <v>2</v>
      </c>
      <c r="I139">
        <v>2</v>
      </c>
    </row>
    <row r="140" spans="1:20" x14ac:dyDescent="0.3">
      <c r="E140" t="s">
        <v>87</v>
      </c>
      <c r="F140">
        <v>1</v>
      </c>
      <c r="O140">
        <v>2</v>
      </c>
    </row>
    <row r="141" spans="1:20" x14ac:dyDescent="0.3">
      <c r="E141" t="s">
        <v>73</v>
      </c>
      <c r="F141">
        <v>1</v>
      </c>
      <c r="G141">
        <v>5</v>
      </c>
      <c r="J141">
        <v>4</v>
      </c>
      <c r="K141">
        <v>1</v>
      </c>
    </row>
    <row r="142" spans="1:20" x14ac:dyDescent="0.3">
      <c r="E142" t="s">
        <v>83</v>
      </c>
      <c r="F142">
        <v>1</v>
      </c>
      <c r="G142">
        <v>1</v>
      </c>
    </row>
    <row r="143" spans="1:20" x14ac:dyDescent="0.3">
      <c r="E143" t="s">
        <v>66</v>
      </c>
      <c r="F143">
        <v>2</v>
      </c>
      <c r="G143">
        <v>1</v>
      </c>
      <c r="J143">
        <v>3</v>
      </c>
      <c r="K143">
        <v>1</v>
      </c>
      <c r="N143">
        <v>5</v>
      </c>
      <c r="O143">
        <v>5</v>
      </c>
      <c r="R143">
        <v>1</v>
      </c>
    </row>
    <row r="144" spans="1:20" x14ac:dyDescent="0.3">
      <c r="E144" t="s">
        <v>68</v>
      </c>
      <c r="F144">
        <v>2</v>
      </c>
      <c r="G144">
        <v>5</v>
      </c>
    </row>
    <row r="145" spans="2:20" x14ac:dyDescent="0.3">
      <c r="E145" t="s">
        <v>69</v>
      </c>
      <c r="F145">
        <v>3</v>
      </c>
      <c r="G145">
        <v>3</v>
      </c>
      <c r="H145">
        <v>4</v>
      </c>
      <c r="I145">
        <v>2</v>
      </c>
      <c r="J145">
        <v>1</v>
      </c>
      <c r="K145">
        <v>4</v>
      </c>
      <c r="L145">
        <v>1</v>
      </c>
      <c r="N145">
        <v>1</v>
      </c>
    </row>
    <row r="146" spans="2:20" x14ac:dyDescent="0.3">
      <c r="E146" t="s">
        <v>78</v>
      </c>
      <c r="F146">
        <v>2</v>
      </c>
      <c r="I146">
        <v>1</v>
      </c>
    </row>
    <row r="147" spans="2:20" x14ac:dyDescent="0.3">
      <c r="E147" t="s">
        <v>84</v>
      </c>
      <c r="F147">
        <v>1</v>
      </c>
    </row>
    <row r="148" spans="2:20" x14ac:dyDescent="0.3">
      <c r="E148" t="s">
        <v>71</v>
      </c>
      <c r="F148">
        <v>2</v>
      </c>
      <c r="G148">
        <v>2</v>
      </c>
      <c r="H148">
        <v>2</v>
      </c>
      <c r="I148">
        <v>3</v>
      </c>
      <c r="J148">
        <v>4</v>
      </c>
      <c r="K148">
        <v>3</v>
      </c>
      <c r="L148">
        <v>3</v>
      </c>
      <c r="M148">
        <v>5</v>
      </c>
    </row>
    <row r="149" spans="2:20" x14ac:dyDescent="0.3">
      <c r="E149" t="s">
        <v>70</v>
      </c>
      <c r="F149">
        <v>1</v>
      </c>
      <c r="I149">
        <v>1</v>
      </c>
    </row>
    <row r="150" spans="2:20" x14ac:dyDescent="0.3">
      <c r="E150" t="s">
        <v>77</v>
      </c>
      <c r="F150">
        <v>2</v>
      </c>
      <c r="I150">
        <v>3</v>
      </c>
      <c r="O150">
        <v>1</v>
      </c>
    </row>
    <row r="151" spans="2:20" x14ac:dyDescent="0.3">
      <c r="E151" t="s">
        <v>72</v>
      </c>
      <c r="F151">
        <v>1</v>
      </c>
      <c r="G151">
        <v>1</v>
      </c>
      <c r="J151">
        <v>1</v>
      </c>
      <c r="O151">
        <v>1</v>
      </c>
    </row>
    <row r="152" spans="2:20" x14ac:dyDescent="0.3">
      <c r="E152" t="s">
        <v>95</v>
      </c>
      <c r="F152">
        <v>1</v>
      </c>
      <c r="O152">
        <v>1</v>
      </c>
    </row>
    <row r="153" spans="2:20" x14ac:dyDescent="0.3">
      <c r="B153" t="s">
        <v>48</v>
      </c>
      <c r="C153">
        <v>71</v>
      </c>
      <c r="D153">
        <v>4.5999999999999996</v>
      </c>
      <c r="E153" t="s">
        <v>66</v>
      </c>
      <c r="F153">
        <v>2</v>
      </c>
      <c r="G153">
        <v>3</v>
      </c>
      <c r="N153">
        <v>9</v>
      </c>
      <c r="O153">
        <v>6</v>
      </c>
      <c r="S153" t="s">
        <v>82</v>
      </c>
      <c r="T153">
        <v>1</v>
      </c>
    </row>
    <row r="154" spans="2:20" x14ac:dyDescent="0.3">
      <c r="E154" t="s">
        <v>71</v>
      </c>
      <c r="F154">
        <v>3</v>
      </c>
      <c r="H154">
        <v>2</v>
      </c>
      <c r="I154">
        <v>1</v>
      </c>
      <c r="J154">
        <v>7</v>
      </c>
      <c r="L154">
        <v>1</v>
      </c>
      <c r="M154">
        <v>9</v>
      </c>
      <c r="N154">
        <v>1</v>
      </c>
    </row>
    <row r="155" spans="2:20" x14ac:dyDescent="0.3">
      <c r="E155" t="s">
        <v>83</v>
      </c>
      <c r="F155">
        <v>2</v>
      </c>
      <c r="G155">
        <v>4</v>
      </c>
      <c r="I155">
        <v>1</v>
      </c>
      <c r="J155">
        <v>5</v>
      </c>
      <c r="L155">
        <v>1</v>
      </c>
      <c r="M155">
        <v>1</v>
      </c>
      <c r="N155">
        <v>2</v>
      </c>
    </row>
    <row r="156" spans="2:20" x14ac:dyDescent="0.3">
      <c r="E156" t="s">
        <v>73</v>
      </c>
      <c r="F156">
        <v>1</v>
      </c>
      <c r="G156">
        <v>4</v>
      </c>
      <c r="H156">
        <v>3</v>
      </c>
      <c r="I156">
        <v>2</v>
      </c>
      <c r="J156">
        <v>2</v>
      </c>
      <c r="K156">
        <v>2</v>
      </c>
      <c r="L156">
        <v>4</v>
      </c>
      <c r="M156">
        <v>5</v>
      </c>
      <c r="O156">
        <v>1</v>
      </c>
    </row>
    <row r="157" spans="2:20" x14ac:dyDescent="0.3">
      <c r="E157" t="s">
        <v>74</v>
      </c>
      <c r="F157">
        <v>1</v>
      </c>
      <c r="N157">
        <v>1</v>
      </c>
      <c r="O157">
        <v>3</v>
      </c>
      <c r="Q157">
        <v>2</v>
      </c>
    </row>
    <row r="158" spans="2:20" x14ac:dyDescent="0.3">
      <c r="E158" t="s">
        <v>84</v>
      </c>
      <c r="F158">
        <v>2</v>
      </c>
      <c r="H158">
        <v>1</v>
      </c>
      <c r="K158">
        <v>3</v>
      </c>
      <c r="M158">
        <v>1</v>
      </c>
      <c r="N158">
        <v>1</v>
      </c>
      <c r="O158">
        <v>1</v>
      </c>
    </row>
    <row r="159" spans="2:20" x14ac:dyDescent="0.3">
      <c r="E159" t="s">
        <v>77</v>
      </c>
      <c r="F159">
        <v>3</v>
      </c>
      <c r="I159">
        <v>1</v>
      </c>
      <c r="N159">
        <v>3</v>
      </c>
      <c r="O159">
        <v>1</v>
      </c>
    </row>
    <row r="160" spans="2:20" x14ac:dyDescent="0.3">
      <c r="E160" t="s">
        <v>68</v>
      </c>
      <c r="F160">
        <v>6</v>
      </c>
    </row>
    <row r="161" spans="1:20" x14ac:dyDescent="0.3">
      <c r="E161" t="s">
        <v>72</v>
      </c>
      <c r="F161">
        <v>1</v>
      </c>
      <c r="H161">
        <v>1</v>
      </c>
      <c r="J161">
        <v>3</v>
      </c>
      <c r="N161">
        <v>1</v>
      </c>
      <c r="O161">
        <v>1</v>
      </c>
    </row>
    <row r="162" spans="1:20" x14ac:dyDescent="0.3">
      <c r="E162" t="s">
        <v>67</v>
      </c>
      <c r="F162">
        <v>1</v>
      </c>
      <c r="O162">
        <v>1</v>
      </c>
    </row>
    <row r="163" spans="1:20" x14ac:dyDescent="0.3">
      <c r="E163" t="s">
        <v>78</v>
      </c>
      <c r="F163">
        <v>1</v>
      </c>
    </row>
    <row r="164" spans="1:20" x14ac:dyDescent="0.3">
      <c r="E164" t="s">
        <v>65</v>
      </c>
      <c r="F164">
        <v>4</v>
      </c>
      <c r="N164">
        <v>2</v>
      </c>
      <c r="O164">
        <v>5</v>
      </c>
    </row>
    <row r="165" spans="1:20" x14ac:dyDescent="0.3">
      <c r="E165" t="s">
        <v>70</v>
      </c>
      <c r="F165">
        <v>1</v>
      </c>
      <c r="N165">
        <v>1</v>
      </c>
    </row>
    <row r="166" spans="1:20" x14ac:dyDescent="0.3">
      <c r="E166" t="s">
        <v>87</v>
      </c>
      <c r="F166">
        <v>1</v>
      </c>
      <c r="O166">
        <v>2</v>
      </c>
    </row>
    <row r="167" spans="1:20" x14ac:dyDescent="0.3">
      <c r="E167" t="s">
        <v>85</v>
      </c>
      <c r="F167">
        <v>1</v>
      </c>
      <c r="N167">
        <v>1</v>
      </c>
      <c r="O167">
        <v>2</v>
      </c>
    </row>
    <row r="168" spans="1:20" x14ac:dyDescent="0.3">
      <c r="E168" t="s">
        <v>69</v>
      </c>
      <c r="F168">
        <v>3</v>
      </c>
      <c r="L168">
        <v>2</v>
      </c>
      <c r="O168">
        <v>2</v>
      </c>
    </row>
    <row r="169" spans="1:20" x14ac:dyDescent="0.3">
      <c r="E169" t="s">
        <v>76</v>
      </c>
      <c r="F169">
        <v>1</v>
      </c>
      <c r="J169">
        <v>1</v>
      </c>
    </row>
    <row r="170" spans="1:20" x14ac:dyDescent="0.3">
      <c r="E170" t="s">
        <v>80</v>
      </c>
      <c r="F170">
        <v>1</v>
      </c>
      <c r="G170">
        <v>1</v>
      </c>
    </row>
    <row r="171" spans="1:20" x14ac:dyDescent="0.3">
      <c r="A171" s="4">
        <v>44313</v>
      </c>
      <c r="B171" t="s">
        <v>64</v>
      </c>
      <c r="C171">
        <v>68.5</v>
      </c>
      <c r="D171">
        <v>4.5999999999999996</v>
      </c>
      <c r="E171" t="s">
        <v>65</v>
      </c>
      <c r="F171">
        <v>4</v>
      </c>
      <c r="G171">
        <v>14</v>
      </c>
      <c r="H171">
        <v>5</v>
      </c>
      <c r="J171">
        <v>1</v>
      </c>
      <c r="N171">
        <v>1</v>
      </c>
      <c r="O171">
        <v>3</v>
      </c>
      <c r="S171" t="s">
        <v>81</v>
      </c>
      <c r="T171">
        <v>1</v>
      </c>
    </row>
    <row r="172" spans="1:20" x14ac:dyDescent="0.3">
      <c r="E172" t="s">
        <v>66</v>
      </c>
      <c r="F172">
        <v>2</v>
      </c>
      <c r="N172">
        <v>4</v>
      </c>
      <c r="O172">
        <v>4</v>
      </c>
      <c r="R172">
        <v>2</v>
      </c>
    </row>
    <row r="173" spans="1:20" x14ac:dyDescent="0.3">
      <c r="E173" t="s">
        <v>83</v>
      </c>
      <c r="F173">
        <v>1</v>
      </c>
      <c r="G173">
        <v>1</v>
      </c>
    </row>
    <row r="174" spans="1:20" x14ac:dyDescent="0.3">
      <c r="E174" t="s">
        <v>79</v>
      </c>
      <c r="F174">
        <v>1</v>
      </c>
      <c r="N174">
        <v>1</v>
      </c>
      <c r="O174">
        <v>1</v>
      </c>
    </row>
    <row r="175" spans="1:20" x14ac:dyDescent="0.3">
      <c r="E175" t="s">
        <v>74</v>
      </c>
      <c r="F175">
        <v>2</v>
      </c>
      <c r="G175">
        <v>4</v>
      </c>
      <c r="N175">
        <v>2</v>
      </c>
      <c r="O175">
        <v>1</v>
      </c>
      <c r="P175">
        <v>1</v>
      </c>
      <c r="Q175">
        <v>3</v>
      </c>
    </row>
    <row r="176" spans="1:20" x14ac:dyDescent="0.3">
      <c r="E176" t="s">
        <v>68</v>
      </c>
      <c r="F176">
        <v>4</v>
      </c>
      <c r="G176">
        <v>5</v>
      </c>
      <c r="H176">
        <v>1</v>
      </c>
      <c r="I176">
        <v>5</v>
      </c>
    </row>
    <row r="177" spans="2:17" x14ac:dyDescent="0.3">
      <c r="E177" t="s">
        <v>73</v>
      </c>
      <c r="F177">
        <v>2</v>
      </c>
      <c r="G177">
        <v>3</v>
      </c>
      <c r="H177">
        <v>2</v>
      </c>
      <c r="I177">
        <v>1</v>
      </c>
      <c r="J177">
        <v>1</v>
      </c>
      <c r="K177">
        <v>1</v>
      </c>
      <c r="M177">
        <v>1</v>
      </c>
    </row>
    <row r="178" spans="2:17" x14ac:dyDescent="0.3">
      <c r="E178" t="s">
        <v>80</v>
      </c>
      <c r="F178">
        <v>1</v>
      </c>
    </row>
    <row r="179" spans="2:17" x14ac:dyDescent="0.3">
      <c r="E179" t="s">
        <v>71</v>
      </c>
      <c r="F179">
        <v>4</v>
      </c>
      <c r="G179">
        <v>3</v>
      </c>
      <c r="H179">
        <v>2</v>
      </c>
      <c r="I179">
        <v>1</v>
      </c>
      <c r="J179">
        <v>5</v>
      </c>
      <c r="K179">
        <v>2</v>
      </c>
      <c r="L179">
        <v>1</v>
      </c>
      <c r="M179">
        <v>7</v>
      </c>
    </row>
    <row r="180" spans="2:17" x14ac:dyDescent="0.3">
      <c r="E180" t="s">
        <v>67</v>
      </c>
      <c r="F180">
        <v>1</v>
      </c>
      <c r="G180">
        <v>2</v>
      </c>
      <c r="I180">
        <v>2</v>
      </c>
      <c r="N180">
        <v>1</v>
      </c>
    </row>
    <row r="181" spans="2:17" x14ac:dyDescent="0.3">
      <c r="E181" t="s">
        <v>69</v>
      </c>
      <c r="F181">
        <v>3</v>
      </c>
      <c r="G181">
        <v>4</v>
      </c>
      <c r="I181">
        <v>3</v>
      </c>
      <c r="K181">
        <v>1</v>
      </c>
    </row>
    <row r="182" spans="2:17" x14ac:dyDescent="0.3">
      <c r="E182" t="s">
        <v>70</v>
      </c>
      <c r="F182">
        <v>2</v>
      </c>
    </row>
    <row r="183" spans="2:17" x14ac:dyDescent="0.3">
      <c r="E183" t="s">
        <v>77</v>
      </c>
      <c r="F183">
        <v>1</v>
      </c>
    </row>
    <row r="184" spans="2:17" x14ac:dyDescent="0.3">
      <c r="E184" t="s">
        <v>72</v>
      </c>
      <c r="F184">
        <v>1</v>
      </c>
      <c r="G184">
        <v>1</v>
      </c>
    </row>
    <row r="185" spans="2:17" x14ac:dyDescent="0.3">
      <c r="B185" t="s">
        <v>48</v>
      </c>
      <c r="C185">
        <v>84.2</v>
      </c>
      <c r="D185">
        <v>13.8</v>
      </c>
      <c r="E185" t="s">
        <v>65</v>
      </c>
      <c r="F185">
        <v>4</v>
      </c>
      <c r="G185">
        <v>5</v>
      </c>
      <c r="H185">
        <v>6</v>
      </c>
      <c r="I185">
        <v>1</v>
      </c>
      <c r="N185">
        <v>2</v>
      </c>
      <c r="O185">
        <v>3</v>
      </c>
    </row>
    <row r="186" spans="2:17" x14ac:dyDescent="0.3">
      <c r="E186" t="s">
        <v>68</v>
      </c>
      <c r="F186">
        <v>3</v>
      </c>
      <c r="G186">
        <v>1</v>
      </c>
      <c r="H186">
        <v>4</v>
      </c>
      <c r="N186">
        <v>1</v>
      </c>
      <c r="O186">
        <v>1</v>
      </c>
    </row>
    <row r="187" spans="2:17" x14ac:dyDescent="0.3">
      <c r="E187" t="s">
        <v>67</v>
      </c>
      <c r="F187">
        <v>1</v>
      </c>
      <c r="G187">
        <v>3</v>
      </c>
      <c r="H187">
        <v>4</v>
      </c>
      <c r="O187">
        <v>2</v>
      </c>
    </row>
    <row r="188" spans="2:17" x14ac:dyDescent="0.3">
      <c r="E188" t="s">
        <v>66</v>
      </c>
      <c r="F188">
        <v>2</v>
      </c>
      <c r="H188">
        <v>3</v>
      </c>
      <c r="J188">
        <v>1</v>
      </c>
      <c r="N188">
        <v>8</v>
      </c>
      <c r="O188">
        <v>3</v>
      </c>
    </row>
    <row r="189" spans="2:17" x14ac:dyDescent="0.3">
      <c r="E189" t="s">
        <v>71</v>
      </c>
      <c r="F189">
        <v>4</v>
      </c>
      <c r="H189">
        <v>4</v>
      </c>
      <c r="I189">
        <v>1</v>
      </c>
      <c r="J189">
        <v>2</v>
      </c>
      <c r="K189">
        <v>1</v>
      </c>
      <c r="L189">
        <v>2</v>
      </c>
    </row>
    <row r="190" spans="2:17" x14ac:dyDescent="0.3">
      <c r="E190" t="s">
        <v>84</v>
      </c>
      <c r="F190">
        <v>1</v>
      </c>
      <c r="J190">
        <v>1</v>
      </c>
    </row>
    <row r="191" spans="2:17" x14ac:dyDescent="0.3">
      <c r="E191" t="s">
        <v>69</v>
      </c>
      <c r="F191">
        <v>3</v>
      </c>
      <c r="G191">
        <v>3</v>
      </c>
      <c r="H191">
        <v>2</v>
      </c>
      <c r="I191">
        <v>2</v>
      </c>
      <c r="J191">
        <v>1</v>
      </c>
      <c r="K191">
        <v>2</v>
      </c>
    </row>
    <row r="192" spans="2:17" x14ac:dyDescent="0.3">
      <c r="E192" t="s">
        <v>74</v>
      </c>
      <c r="F192">
        <v>2</v>
      </c>
      <c r="G192">
        <v>1</v>
      </c>
      <c r="N192">
        <v>5</v>
      </c>
      <c r="O192">
        <v>2</v>
      </c>
      <c r="Q192">
        <v>3</v>
      </c>
    </row>
    <row r="193" spans="1:20" x14ac:dyDescent="0.3">
      <c r="E193" t="s">
        <v>75</v>
      </c>
      <c r="F193">
        <v>1</v>
      </c>
      <c r="N193">
        <v>1</v>
      </c>
      <c r="O193">
        <v>1</v>
      </c>
    </row>
    <row r="194" spans="1:20" x14ac:dyDescent="0.3">
      <c r="E194" t="s">
        <v>72</v>
      </c>
      <c r="F194">
        <v>1</v>
      </c>
      <c r="H194">
        <v>1</v>
      </c>
      <c r="N194">
        <v>1</v>
      </c>
      <c r="O194">
        <v>1</v>
      </c>
    </row>
    <row r="195" spans="1:20" x14ac:dyDescent="0.3">
      <c r="E195" t="s">
        <v>73</v>
      </c>
      <c r="F195">
        <v>2</v>
      </c>
      <c r="H195">
        <v>6</v>
      </c>
      <c r="I195">
        <v>1</v>
      </c>
      <c r="K195">
        <v>1</v>
      </c>
    </row>
    <row r="196" spans="1:20" x14ac:dyDescent="0.3">
      <c r="E196" t="s">
        <v>83</v>
      </c>
      <c r="F196">
        <v>1</v>
      </c>
      <c r="I196">
        <v>1</v>
      </c>
    </row>
    <row r="197" spans="1:20" x14ac:dyDescent="0.3">
      <c r="E197" t="s">
        <v>77</v>
      </c>
      <c r="F197">
        <v>1</v>
      </c>
      <c r="I197">
        <v>1</v>
      </c>
      <c r="N197">
        <v>1</v>
      </c>
    </row>
    <row r="198" spans="1:20" x14ac:dyDescent="0.3">
      <c r="E198" t="s">
        <v>70</v>
      </c>
      <c r="F198">
        <v>1</v>
      </c>
    </row>
    <row r="199" spans="1:20" x14ac:dyDescent="0.3">
      <c r="E199" t="s">
        <v>85</v>
      </c>
      <c r="F199">
        <v>1</v>
      </c>
      <c r="O199">
        <v>1</v>
      </c>
    </row>
    <row r="200" spans="1:20" x14ac:dyDescent="0.3">
      <c r="E200" t="s">
        <v>87</v>
      </c>
      <c r="F200">
        <v>1</v>
      </c>
      <c r="O200">
        <v>1</v>
      </c>
    </row>
    <row r="201" spans="1:20" x14ac:dyDescent="0.3">
      <c r="E201" t="s">
        <v>96</v>
      </c>
      <c r="F201">
        <v>1</v>
      </c>
    </row>
    <row r="202" spans="1:20" x14ac:dyDescent="0.3">
      <c r="E202" t="s">
        <v>76</v>
      </c>
      <c r="F202">
        <v>1</v>
      </c>
      <c r="M202">
        <v>1</v>
      </c>
    </row>
    <row r="203" spans="1:20" x14ac:dyDescent="0.3">
      <c r="A203" s="4">
        <v>44314</v>
      </c>
      <c r="B203" t="s">
        <v>64</v>
      </c>
      <c r="C203">
        <v>72</v>
      </c>
      <c r="D203">
        <v>8.1</v>
      </c>
      <c r="E203" t="s">
        <v>68</v>
      </c>
      <c r="F203">
        <v>3</v>
      </c>
      <c r="G203">
        <v>7</v>
      </c>
      <c r="H203">
        <v>1</v>
      </c>
      <c r="I203">
        <v>4</v>
      </c>
      <c r="S203" t="s">
        <v>82</v>
      </c>
      <c r="T203">
        <v>1</v>
      </c>
    </row>
    <row r="204" spans="1:20" x14ac:dyDescent="0.3">
      <c r="E204" t="s">
        <v>69</v>
      </c>
      <c r="F204">
        <v>3</v>
      </c>
      <c r="G204">
        <v>5</v>
      </c>
      <c r="H204">
        <v>7</v>
      </c>
      <c r="I204">
        <v>2</v>
      </c>
      <c r="J204">
        <v>5</v>
      </c>
      <c r="K204">
        <v>1</v>
      </c>
      <c r="S204" t="s">
        <v>81</v>
      </c>
      <c r="T204">
        <v>1</v>
      </c>
    </row>
    <row r="205" spans="1:20" x14ac:dyDescent="0.3">
      <c r="E205" t="s">
        <v>77</v>
      </c>
      <c r="F205">
        <v>1</v>
      </c>
      <c r="I205">
        <v>1</v>
      </c>
    </row>
    <row r="206" spans="1:20" x14ac:dyDescent="0.3">
      <c r="E206" t="s">
        <v>66</v>
      </c>
      <c r="F206">
        <v>2</v>
      </c>
      <c r="G206">
        <v>1</v>
      </c>
      <c r="H206">
        <v>1</v>
      </c>
      <c r="J206">
        <v>3</v>
      </c>
      <c r="N206">
        <v>5</v>
      </c>
      <c r="O206">
        <v>4</v>
      </c>
    </row>
    <row r="207" spans="1:20" x14ac:dyDescent="0.3">
      <c r="E207" t="s">
        <v>71</v>
      </c>
      <c r="F207">
        <v>5</v>
      </c>
      <c r="G207">
        <v>7</v>
      </c>
      <c r="H207">
        <v>7</v>
      </c>
      <c r="I207">
        <v>5</v>
      </c>
      <c r="J207">
        <v>5</v>
      </c>
      <c r="K207">
        <v>2</v>
      </c>
      <c r="L207">
        <v>1</v>
      </c>
      <c r="M207">
        <v>1</v>
      </c>
    </row>
    <row r="208" spans="1:20" x14ac:dyDescent="0.3">
      <c r="E208" t="s">
        <v>74</v>
      </c>
      <c r="F208">
        <v>2</v>
      </c>
      <c r="G208">
        <v>1</v>
      </c>
      <c r="N208">
        <v>2</v>
      </c>
      <c r="O208">
        <v>3</v>
      </c>
      <c r="P208">
        <v>1</v>
      </c>
      <c r="Q208">
        <v>1</v>
      </c>
    </row>
    <row r="209" spans="2:15" x14ac:dyDescent="0.3">
      <c r="E209" t="s">
        <v>65</v>
      </c>
      <c r="F209">
        <v>3</v>
      </c>
      <c r="G209">
        <v>6</v>
      </c>
      <c r="H209">
        <v>4</v>
      </c>
      <c r="I209">
        <v>4</v>
      </c>
      <c r="J209">
        <v>1</v>
      </c>
      <c r="N209">
        <v>4</v>
      </c>
      <c r="O209">
        <v>3</v>
      </c>
    </row>
    <row r="210" spans="2:15" x14ac:dyDescent="0.3">
      <c r="E210" t="s">
        <v>84</v>
      </c>
      <c r="F210">
        <v>1</v>
      </c>
      <c r="I210">
        <v>1</v>
      </c>
    </row>
    <row r="211" spans="2:15" x14ac:dyDescent="0.3">
      <c r="E211" t="s">
        <v>83</v>
      </c>
      <c r="F211">
        <v>1</v>
      </c>
      <c r="G211">
        <v>2</v>
      </c>
      <c r="H211">
        <v>1</v>
      </c>
      <c r="K211">
        <v>3</v>
      </c>
      <c r="M211">
        <v>1</v>
      </c>
    </row>
    <row r="212" spans="2:15" x14ac:dyDescent="0.3">
      <c r="E212" t="s">
        <v>72</v>
      </c>
      <c r="F212">
        <v>2</v>
      </c>
      <c r="G212">
        <v>1</v>
      </c>
      <c r="H212">
        <v>2</v>
      </c>
      <c r="J212">
        <v>3</v>
      </c>
      <c r="K212">
        <v>1</v>
      </c>
      <c r="N212">
        <v>5</v>
      </c>
    </row>
    <row r="213" spans="2:15" x14ac:dyDescent="0.3">
      <c r="E213" t="s">
        <v>73</v>
      </c>
      <c r="F213">
        <v>2</v>
      </c>
      <c r="G213">
        <v>4</v>
      </c>
      <c r="H213">
        <v>2</v>
      </c>
      <c r="J213">
        <v>4</v>
      </c>
      <c r="K213">
        <v>3</v>
      </c>
      <c r="L213">
        <v>1</v>
      </c>
      <c r="N213">
        <v>1</v>
      </c>
      <c r="O213">
        <v>1</v>
      </c>
    </row>
    <row r="214" spans="2:15" x14ac:dyDescent="0.3">
      <c r="E214" t="s">
        <v>75</v>
      </c>
      <c r="F214">
        <v>1</v>
      </c>
      <c r="O214">
        <v>1</v>
      </c>
    </row>
    <row r="215" spans="2:15" x14ac:dyDescent="0.3">
      <c r="E215" t="s">
        <v>67</v>
      </c>
      <c r="F215">
        <v>1</v>
      </c>
      <c r="H215">
        <v>2</v>
      </c>
      <c r="O215">
        <v>3</v>
      </c>
    </row>
    <row r="216" spans="2:15" x14ac:dyDescent="0.3">
      <c r="E216" t="s">
        <v>78</v>
      </c>
      <c r="F216">
        <v>1</v>
      </c>
    </row>
    <row r="217" spans="2:15" x14ac:dyDescent="0.3">
      <c r="E217" t="s">
        <v>70</v>
      </c>
      <c r="F217">
        <v>1</v>
      </c>
      <c r="G217">
        <v>1</v>
      </c>
    </row>
    <row r="218" spans="2:15" x14ac:dyDescent="0.3">
      <c r="E218" t="s">
        <v>87</v>
      </c>
      <c r="F218">
        <v>1</v>
      </c>
      <c r="O218">
        <v>1</v>
      </c>
    </row>
    <row r="219" spans="2:15" x14ac:dyDescent="0.3">
      <c r="E219" t="s">
        <v>79</v>
      </c>
      <c r="F219">
        <v>1</v>
      </c>
      <c r="O219">
        <v>1</v>
      </c>
    </row>
    <row r="220" spans="2:15" x14ac:dyDescent="0.3">
      <c r="B220" t="s">
        <v>48</v>
      </c>
      <c r="C220">
        <v>79.400000000000006</v>
      </c>
      <c r="D220">
        <v>13.8</v>
      </c>
      <c r="E220" t="s">
        <v>71</v>
      </c>
      <c r="F220">
        <v>4</v>
      </c>
      <c r="G220">
        <v>8</v>
      </c>
      <c r="H220">
        <v>8</v>
      </c>
      <c r="I220">
        <v>5</v>
      </c>
      <c r="J220">
        <v>1</v>
      </c>
      <c r="K220">
        <v>2</v>
      </c>
      <c r="L220">
        <v>4</v>
      </c>
      <c r="M220">
        <v>10</v>
      </c>
    </row>
    <row r="221" spans="2:15" x14ac:dyDescent="0.3">
      <c r="E221" t="s">
        <v>68</v>
      </c>
      <c r="F221">
        <v>3</v>
      </c>
      <c r="G221">
        <v>3</v>
      </c>
      <c r="H221">
        <v>7</v>
      </c>
      <c r="I221">
        <v>1</v>
      </c>
      <c r="O221">
        <v>1</v>
      </c>
    </row>
    <row r="222" spans="2:15" x14ac:dyDescent="0.3">
      <c r="E222" t="s">
        <v>70</v>
      </c>
      <c r="F222">
        <v>1</v>
      </c>
    </row>
    <row r="223" spans="2:15" x14ac:dyDescent="0.3">
      <c r="E223" t="s">
        <v>73</v>
      </c>
      <c r="F223">
        <v>2</v>
      </c>
      <c r="G223">
        <v>7</v>
      </c>
      <c r="H223">
        <v>2</v>
      </c>
      <c r="J223">
        <v>1</v>
      </c>
      <c r="K223">
        <v>11</v>
      </c>
      <c r="L223">
        <v>4</v>
      </c>
      <c r="M223">
        <v>2</v>
      </c>
    </row>
    <row r="224" spans="2:15" x14ac:dyDescent="0.3">
      <c r="E224" t="s">
        <v>65</v>
      </c>
      <c r="F224">
        <v>1</v>
      </c>
      <c r="I224">
        <v>1</v>
      </c>
      <c r="N224">
        <v>1</v>
      </c>
    </row>
    <row r="225" spans="1:20" x14ac:dyDescent="0.3">
      <c r="E225" t="s">
        <v>91</v>
      </c>
      <c r="F225">
        <v>1</v>
      </c>
      <c r="R225">
        <v>1</v>
      </c>
    </row>
    <row r="226" spans="1:20" x14ac:dyDescent="0.3">
      <c r="E226" t="s">
        <v>85</v>
      </c>
      <c r="F226">
        <v>1</v>
      </c>
      <c r="N226">
        <v>1</v>
      </c>
    </row>
    <row r="227" spans="1:20" x14ac:dyDescent="0.3">
      <c r="E227" t="s">
        <v>66</v>
      </c>
      <c r="F227">
        <v>2</v>
      </c>
      <c r="G227">
        <v>2</v>
      </c>
      <c r="N227">
        <v>5</v>
      </c>
      <c r="O227">
        <v>1</v>
      </c>
    </row>
    <row r="228" spans="1:20" x14ac:dyDescent="0.3">
      <c r="E228" t="s">
        <v>94</v>
      </c>
      <c r="F228">
        <v>1</v>
      </c>
      <c r="K228">
        <v>1</v>
      </c>
      <c r="N228">
        <v>1</v>
      </c>
    </row>
    <row r="229" spans="1:20" x14ac:dyDescent="0.3">
      <c r="E229" t="s">
        <v>74</v>
      </c>
      <c r="F229">
        <v>2</v>
      </c>
      <c r="N229">
        <v>4</v>
      </c>
      <c r="P229">
        <v>2</v>
      </c>
      <c r="Q229">
        <v>4</v>
      </c>
    </row>
    <row r="230" spans="1:20" x14ac:dyDescent="0.3">
      <c r="E230" t="s">
        <v>69</v>
      </c>
      <c r="F230">
        <v>3</v>
      </c>
      <c r="G230">
        <v>4</v>
      </c>
      <c r="H230">
        <v>3</v>
      </c>
      <c r="I230">
        <v>4</v>
      </c>
      <c r="K230">
        <v>1</v>
      </c>
    </row>
    <row r="231" spans="1:20" x14ac:dyDescent="0.3">
      <c r="E231" t="s">
        <v>72</v>
      </c>
      <c r="F231">
        <v>1</v>
      </c>
      <c r="G231">
        <v>1</v>
      </c>
      <c r="H231">
        <v>1</v>
      </c>
      <c r="N231">
        <v>1</v>
      </c>
      <c r="O231">
        <v>1</v>
      </c>
    </row>
    <row r="232" spans="1:20" x14ac:dyDescent="0.3">
      <c r="E232" t="s">
        <v>67</v>
      </c>
      <c r="F232">
        <v>2</v>
      </c>
    </row>
    <row r="233" spans="1:20" x14ac:dyDescent="0.3">
      <c r="E233" t="s">
        <v>75</v>
      </c>
      <c r="F233">
        <v>1</v>
      </c>
    </row>
    <row r="234" spans="1:20" x14ac:dyDescent="0.3">
      <c r="E234" t="s">
        <v>78</v>
      </c>
      <c r="F234">
        <v>1</v>
      </c>
      <c r="I234">
        <v>1</v>
      </c>
    </row>
    <row r="235" spans="1:20" x14ac:dyDescent="0.3">
      <c r="E235" t="s">
        <v>87</v>
      </c>
      <c r="F235">
        <v>1</v>
      </c>
      <c r="O235">
        <v>1</v>
      </c>
    </row>
    <row r="236" spans="1:20" x14ac:dyDescent="0.3">
      <c r="E236" t="s">
        <v>84</v>
      </c>
      <c r="F236">
        <v>1</v>
      </c>
      <c r="G236">
        <v>1</v>
      </c>
      <c r="I236">
        <v>1</v>
      </c>
      <c r="K236">
        <v>1</v>
      </c>
    </row>
    <row r="237" spans="1:20" x14ac:dyDescent="0.3">
      <c r="E237" t="s">
        <v>83</v>
      </c>
      <c r="F237">
        <v>1</v>
      </c>
      <c r="L237">
        <v>1</v>
      </c>
    </row>
    <row r="238" spans="1:20" x14ac:dyDescent="0.3">
      <c r="A238" s="4">
        <v>44318</v>
      </c>
      <c r="B238" t="s">
        <v>64</v>
      </c>
      <c r="C238">
        <v>66.5</v>
      </c>
      <c r="D238">
        <v>5.7</v>
      </c>
      <c r="E238" t="s">
        <v>65</v>
      </c>
      <c r="F238">
        <v>3</v>
      </c>
      <c r="G238">
        <v>13</v>
      </c>
      <c r="H238">
        <v>7</v>
      </c>
      <c r="I238">
        <v>1</v>
      </c>
      <c r="J238">
        <v>1</v>
      </c>
      <c r="N238">
        <v>1</v>
      </c>
      <c r="O238">
        <v>3</v>
      </c>
      <c r="S238" t="s">
        <v>81</v>
      </c>
      <c r="T238">
        <v>3</v>
      </c>
    </row>
    <row r="239" spans="1:20" x14ac:dyDescent="0.3">
      <c r="E239" t="s">
        <v>67</v>
      </c>
      <c r="F239">
        <v>2</v>
      </c>
      <c r="G239">
        <v>10</v>
      </c>
      <c r="H239">
        <v>1</v>
      </c>
      <c r="O239">
        <v>1</v>
      </c>
      <c r="S239" t="s">
        <v>82</v>
      </c>
      <c r="T239">
        <v>1</v>
      </c>
    </row>
    <row r="240" spans="1:20" x14ac:dyDescent="0.3">
      <c r="E240" t="s">
        <v>71</v>
      </c>
      <c r="F240">
        <v>4</v>
      </c>
      <c r="G240">
        <v>1</v>
      </c>
      <c r="H240">
        <v>6</v>
      </c>
      <c r="I240">
        <v>2</v>
      </c>
      <c r="J240">
        <v>5</v>
      </c>
      <c r="K240">
        <v>5</v>
      </c>
      <c r="L240">
        <v>5</v>
      </c>
      <c r="M240">
        <v>11</v>
      </c>
    </row>
    <row r="241" spans="2:20" x14ac:dyDescent="0.3">
      <c r="E241" t="s">
        <v>69</v>
      </c>
      <c r="F241">
        <v>2</v>
      </c>
      <c r="G241">
        <v>3</v>
      </c>
      <c r="H241">
        <v>3</v>
      </c>
      <c r="J241">
        <v>1</v>
      </c>
      <c r="K241">
        <v>2</v>
      </c>
    </row>
    <row r="242" spans="2:20" x14ac:dyDescent="0.3">
      <c r="E242" t="s">
        <v>84</v>
      </c>
      <c r="F242">
        <v>1</v>
      </c>
      <c r="G242">
        <v>1</v>
      </c>
      <c r="H242">
        <v>1</v>
      </c>
      <c r="J242">
        <v>1</v>
      </c>
      <c r="K242">
        <v>2</v>
      </c>
    </row>
    <row r="243" spans="2:20" x14ac:dyDescent="0.3">
      <c r="E243" t="s">
        <v>70</v>
      </c>
      <c r="F243">
        <v>1</v>
      </c>
      <c r="I243">
        <v>1</v>
      </c>
    </row>
    <row r="244" spans="2:20" x14ac:dyDescent="0.3">
      <c r="E244" t="s">
        <v>68</v>
      </c>
      <c r="F244">
        <v>3</v>
      </c>
      <c r="G244">
        <v>3</v>
      </c>
      <c r="H244">
        <v>2</v>
      </c>
    </row>
    <row r="245" spans="2:20" x14ac:dyDescent="0.3">
      <c r="E245" t="s">
        <v>73</v>
      </c>
      <c r="F245">
        <v>1</v>
      </c>
      <c r="G245">
        <v>1</v>
      </c>
      <c r="J245">
        <v>6</v>
      </c>
      <c r="K245">
        <v>1</v>
      </c>
      <c r="L245">
        <v>1</v>
      </c>
      <c r="M245">
        <v>1</v>
      </c>
    </row>
    <row r="246" spans="2:20" x14ac:dyDescent="0.3">
      <c r="E246" t="s">
        <v>76</v>
      </c>
      <c r="F246">
        <v>3</v>
      </c>
      <c r="I246">
        <v>3</v>
      </c>
    </row>
    <row r="247" spans="2:20" x14ac:dyDescent="0.3">
      <c r="E247" t="s">
        <v>74</v>
      </c>
      <c r="F247">
        <v>2</v>
      </c>
      <c r="G247">
        <v>2</v>
      </c>
      <c r="N247">
        <v>2</v>
      </c>
      <c r="O247">
        <v>1</v>
      </c>
      <c r="P247">
        <v>1</v>
      </c>
      <c r="Q247">
        <v>1</v>
      </c>
    </row>
    <row r="248" spans="2:20" x14ac:dyDescent="0.3">
      <c r="E248" t="s">
        <v>66</v>
      </c>
      <c r="F248">
        <v>1</v>
      </c>
      <c r="N248">
        <v>2</v>
      </c>
      <c r="O248">
        <v>1</v>
      </c>
    </row>
    <row r="249" spans="2:20" x14ac:dyDescent="0.3">
      <c r="E249" t="s">
        <v>75</v>
      </c>
      <c r="F249">
        <v>1</v>
      </c>
      <c r="N249">
        <v>1</v>
      </c>
    </row>
    <row r="250" spans="2:20" x14ac:dyDescent="0.3">
      <c r="E250" t="s">
        <v>91</v>
      </c>
      <c r="F250">
        <v>2</v>
      </c>
      <c r="R250">
        <v>2</v>
      </c>
    </row>
    <row r="251" spans="2:20" x14ac:dyDescent="0.3">
      <c r="E251" t="s">
        <v>72</v>
      </c>
      <c r="F251">
        <v>1</v>
      </c>
      <c r="G251">
        <v>1</v>
      </c>
      <c r="N251">
        <v>2</v>
      </c>
      <c r="O251">
        <v>1</v>
      </c>
    </row>
    <row r="252" spans="2:20" x14ac:dyDescent="0.3">
      <c r="E252" t="s">
        <v>78</v>
      </c>
      <c r="F252">
        <v>1</v>
      </c>
    </row>
    <row r="253" spans="2:20" x14ac:dyDescent="0.3">
      <c r="B253" t="s">
        <v>48</v>
      </c>
      <c r="C253">
        <v>80.599999999999994</v>
      </c>
      <c r="D253">
        <v>11.5</v>
      </c>
      <c r="E253" t="s">
        <v>74</v>
      </c>
      <c r="F253">
        <v>2</v>
      </c>
      <c r="N253">
        <v>2</v>
      </c>
      <c r="O253">
        <v>3</v>
      </c>
      <c r="S253" t="s">
        <v>81</v>
      </c>
      <c r="T253">
        <v>3</v>
      </c>
    </row>
    <row r="254" spans="2:20" x14ac:dyDescent="0.3">
      <c r="E254" t="s">
        <v>84</v>
      </c>
      <c r="F254">
        <v>2</v>
      </c>
      <c r="H254">
        <v>3</v>
      </c>
      <c r="I254">
        <v>2</v>
      </c>
    </row>
    <row r="255" spans="2:20" x14ac:dyDescent="0.3">
      <c r="E255" t="s">
        <v>71</v>
      </c>
      <c r="F255">
        <v>3</v>
      </c>
      <c r="H255">
        <v>1</v>
      </c>
      <c r="M255">
        <v>3</v>
      </c>
    </row>
    <row r="256" spans="2:20" x14ac:dyDescent="0.3">
      <c r="E256" t="s">
        <v>68</v>
      </c>
      <c r="F256">
        <v>3</v>
      </c>
      <c r="H256">
        <v>4</v>
      </c>
      <c r="O256">
        <v>1</v>
      </c>
    </row>
    <row r="257" spans="1:20" x14ac:dyDescent="0.3">
      <c r="E257" t="s">
        <v>73</v>
      </c>
      <c r="F257">
        <v>1</v>
      </c>
      <c r="H257">
        <v>3</v>
      </c>
    </row>
    <row r="258" spans="1:20" x14ac:dyDescent="0.3">
      <c r="E258" t="s">
        <v>70</v>
      </c>
      <c r="F258">
        <v>1</v>
      </c>
      <c r="H258">
        <v>1</v>
      </c>
    </row>
    <row r="259" spans="1:20" x14ac:dyDescent="0.3">
      <c r="E259" t="s">
        <v>91</v>
      </c>
      <c r="F259">
        <v>1</v>
      </c>
      <c r="R259">
        <v>1</v>
      </c>
    </row>
    <row r="260" spans="1:20" x14ac:dyDescent="0.3">
      <c r="E260" t="s">
        <v>69</v>
      </c>
      <c r="F260">
        <v>2</v>
      </c>
      <c r="H260">
        <v>2</v>
      </c>
      <c r="I260">
        <v>1</v>
      </c>
    </row>
    <row r="261" spans="1:20" x14ac:dyDescent="0.3">
      <c r="E261" t="s">
        <v>65</v>
      </c>
      <c r="F261">
        <v>2</v>
      </c>
      <c r="H261">
        <v>5</v>
      </c>
      <c r="N261">
        <v>1</v>
      </c>
      <c r="O261">
        <v>4</v>
      </c>
    </row>
    <row r="262" spans="1:20" x14ac:dyDescent="0.3">
      <c r="E262" t="s">
        <v>76</v>
      </c>
      <c r="F262">
        <v>5</v>
      </c>
      <c r="H262">
        <v>3</v>
      </c>
    </row>
    <row r="263" spans="1:20" x14ac:dyDescent="0.3">
      <c r="E263" t="s">
        <v>66</v>
      </c>
      <c r="F263">
        <v>1</v>
      </c>
      <c r="N263">
        <v>2</v>
      </c>
      <c r="O263">
        <v>2</v>
      </c>
    </row>
    <row r="264" spans="1:20" x14ac:dyDescent="0.3">
      <c r="E264" t="s">
        <v>67</v>
      </c>
      <c r="F264">
        <v>3</v>
      </c>
      <c r="H264">
        <v>2</v>
      </c>
      <c r="O264">
        <v>1</v>
      </c>
    </row>
    <row r="265" spans="1:20" x14ac:dyDescent="0.3">
      <c r="E265" t="s">
        <v>75</v>
      </c>
      <c r="F265">
        <v>1</v>
      </c>
      <c r="N265">
        <v>1</v>
      </c>
    </row>
    <row r="266" spans="1:20" x14ac:dyDescent="0.3">
      <c r="E266" t="s">
        <v>87</v>
      </c>
      <c r="F266">
        <v>1</v>
      </c>
      <c r="O266">
        <v>1</v>
      </c>
    </row>
    <row r="267" spans="1:20" x14ac:dyDescent="0.3">
      <c r="E267" t="s">
        <v>85</v>
      </c>
      <c r="F267">
        <v>1</v>
      </c>
      <c r="O267">
        <v>1</v>
      </c>
    </row>
    <row r="268" spans="1:20" x14ac:dyDescent="0.3">
      <c r="A268" s="4">
        <v>44319</v>
      </c>
      <c r="B268" t="s">
        <v>64</v>
      </c>
      <c r="C268">
        <v>59.4</v>
      </c>
      <c r="D268">
        <v>4.5999999999999996</v>
      </c>
      <c r="E268" t="s">
        <v>68</v>
      </c>
      <c r="F268">
        <v>2</v>
      </c>
      <c r="G268">
        <v>6</v>
      </c>
      <c r="H268">
        <v>2</v>
      </c>
      <c r="S268" t="s">
        <v>81</v>
      </c>
      <c r="T268">
        <v>2</v>
      </c>
    </row>
    <row r="269" spans="1:20" x14ac:dyDescent="0.3">
      <c r="E269" t="s">
        <v>69</v>
      </c>
      <c r="F269">
        <v>5</v>
      </c>
      <c r="G269">
        <v>7</v>
      </c>
      <c r="H269">
        <v>6</v>
      </c>
      <c r="I269">
        <v>1</v>
      </c>
      <c r="J269">
        <v>1</v>
      </c>
      <c r="K269">
        <v>6</v>
      </c>
      <c r="L269">
        <v>2</v>
      </c>
      <c r="S269" t="s">
        <v>82</v>
      </c>
      <c r="T269">
        <v>1</v>
      </c>
    </row>
    <row r="270" spans="1:20" x14ac:dyDescent="0.3">
      <c r="E270" t="s">
        <v>65</v>
      </c>
      <c r="F270">
        <v>3</v>
      </c>
      <c r="G270">
        <v>10</v>
      </c>
      <c r="H270">
        <v>6</v>
      </c>
      <c r="J270">
        <v>3</v>
      </c>
      <c r="N270">
        <v>3</v>
      </c>
      <c r="O270">
        <v>1</v>
      </c>
    </row>
    <row r="271" spans="1:20" x14ac:dyDescent="0.3">
      <c r="E271" t="s">
        <v>67</v>
      </c>
      <c r="F271">
        <v>2</v>
      </c>
      <c r="G271">
        <v>7</v>
      </c>
      <c r="O271">
        <v>1</v>
      </c>
    </row>
    <row r="272" spans="1:20" x14ac:dyDescent="0.3">
      <c r="E272" t="s">
        <v>66</v>
      </c>
      <c r="F272">
        <v>2</v>
      </c>
      <c r="N272">
        <v>4</v>
      </c>
      <c r="O272">
        <v>1</v>
      </c>
    </row>
    <row r="273" spans="2:22" x14ac:dyDescent="0.3">
      <c r="E273" t="s">
        <v>73</v>
      </c>
      <c r="F273">
        <v>1</v>
      </c>
      <c r="G273">
        <v>3</v>
      </c>
      <c r="J273">
        <v>1</v>
      </c>
      <c r="K273">
        <v>2</v>
      </c>
      <c r="L273">
        <v>1</v>
      </c>
      <c r="M273">
        <v>1</v>
      </c>
    </row>
    <row r="274" spans="2:22" x14ac:dyDescent="0.3">
      <c r="E274" t="s">
        <v>70</v>
      </c>
      <c r="F274">
        <v>1</v>
      </c>
    </row>
    <row r="275" spans="2:22" x14ac:dyDescent="0.3">
      <c r="E275" t="s">
        <v>71</v>
      </c>
      <c r="F275">
        <v>4</v>
      </c>
      <c r="H275">
        <v>6</v>
      </c>
      <c r="J275">
        <v>2</v>
      </c>
      <c r="K275">
        <v>3</v>
      </c>
      <c r="L275">
        <v>2</v>
      </c>
      <c r="M275">
        <v>18</v>
      </c>
    </row>
    <row r="276" spans="2:22" x14ac:dyDescent="0.3">
      <c r="E276" t="s">
        <v>72</v>
      </c>
      <c r="F276">
        <v>1</v>
      </c>
      <c r="G276">
        <v>3</v>
      </c>
      <c r="J276">
        <v>2</v>
      </c>
    </row>
    <row r="277" spans="2:22" x14ac:dyDescent="0.3">
      <c r="E277" t="s">
        <v>91</v>
      </c>
      <c r="F277">
        <v>2</v>
      </c>
      <c r="R277">
        <v>3</v>
      </c>
    </row>
    <row r="278" spans="2:22" x14ac:dyDescent="0.3">
      <c r="E278" t="s">
        <v>83</v>
      </c>
      <c r="F278">
        <v>1</v>
      </c>
      <c r="G278">
        <v>1</v>
      </c>
      <c r="J278">
        <v>2</v>
      </c>
    </row>
    <row r="279" spans="2:22" x14ac:dyDescent="0.3">
      <c r="E279" t="s">
        <v>84</v>
      </c>
      <c r="F279">
        <v>1</v>
      </c>
      <c r="G279">
        <v>1</v>
      </c>
    </row>
    <row r="280" spans="2:22" x14ac:dyDescent="0.3">
      <c r="E280" t="s">
        <v>75</v>
      </c>
      <c r="F280">
        <v>2</v>
      </c>
      <c r="N280">
        <v>1</v>
      </c>
      <c r="O280">
        <v>1</v>
      </c>
    </row>
    <row r="281" spans="2:22" x14ac:dyDescent="0.3">
      <c r="E281" t="s">
        <v>74</v>
      </c>
      <c r="F281">
        <v>1</v>
      </c>
      <c r="N281">
        <v>2</v>
      </c>
      <c r="P281">
        <v>1</v>
      </c>
    </row>
    <row r="282" spans="2:22" x14ac:dyDescent="0.3">
      <c r="E282" t="s">
        <v>78</v>
      </c>
      <c r="F282">
        <v>1</v>
      </c>
    </row>
    <row r="283" spans="2:22" x14ac:dyDescent="0.3">
      <c r="E283" t="s">
        <v>97</v>
      </c>
      <c r="F283">
        <v>1</v>
      </c>
    </row>
    <row r="284" spans="2:22" x14ac:dyDescent="0.3">
      <c r="E284" t="s">
        <v>98</v>
      </c>
      <c r="F284">
        <v>1</v>
      </c>
    </row>
    <row r="285" spans="2:22" x14ac:dyDescent="0.3">
      <c r="E285" t="s">
        <v>87</v>
      </c>
      <c r="F285">
        <v>1</v>
      </c>
      <c r="O285">
        <v>1</v>
      </c>
    </row>
    <row r="286" spans="2:22" x14ac:dyDescent="0.3">
      <c r="B286" t="s">
        <v>48</v>
      </c>
      <c r="C286">
        <v>74.099999999999994</v>
      </c>
      <c r="D286">
        <v>8.1</v>
      </c>
      <c r="E286" t="s">
        <v>68</v>
      </c>
      <c r="F286">
        <v>3</v>
      </c>
      <c r="G286">
        <v>2</v>
      </c>
      <c r="I286">
        <v>1</v>
      </c>
      <c r="S286" t="s">
        <v>81</v>
      </c>
      <c r="T286">
        <v>1</v>
      </c>
      <c r="U286" t="s">
        <v>88</v>
      </c>
      <c r="V286" t="s">
        <v>86</v>
      </c>
    </row>
    <row r="287" spans="2:22" x14ac:dyDescent="0.3">
      <c r="E287" t="s">
        <v>69</v>
      </c>
      <c r="F287">
        <v>4</v>
      </c>
      <c r="G287">
        <v>7</v>
      </c>
      <c r="H287">
        <v>10</v>
      </c>
      <c r="I287">
        <v>4</v>
      </c>
      <c r="K287">
        <v>3</v>
      </c>
      <c r="L287">
        <v>3</v>
      </c>
    </row>
    <row r="288" spans="2:22" x14ac:dyDescent="0.3">
      <c r="E288" t="s">
        <v>72</v>
      </c>
      <c r="F288">
        <v>1</v>
      </c>
      <c r="G288">
        <v>1</v>
      </c>
      <c r="H288">
        <v>1</v>
      </c>
      <c r="J288">
        <v>2</v>
      </c>
      <c r="M288">
        <v>2</v>
      </c>
      <c r="N288">
        <v>1</v>
      </c>
      <c r="O288">
        <v>1</v>
      </c>
    </row>
    <row r="289" spans="1:20" x14ac:dyDescent="0.3">
      <c r="E289" t="s">
        <v>65</v>
      </c>
      <c r="F289">
        <v>6</v>
      </c>
      <c r="G289">
        <v>10</v>
      </c>
      <c r="H289">
        <v>14</v>
      </c>
      <c r="I289">
        <v>2</v>
      </c>
      <c r="N289">
        <v>2</v>
      </c>
      <c r="O289">
        <v>1</v>
      </c>
    </row>
    <row r="290" spans="1:20" x14ac:dyDescent="0.3">
      <c r="E290" t="s">
        <v>84</v>
      </c>
      <c r="F290">
        <v>1</v>
      </c>
      <c r="G290">
        <v>1</v>
      </c>
      <c r="H290">
        <v>1</v>
      </c>
      <c r="I290">
        <v>1</v>
      </c>
      <c r="J290">
        <v>2</v>
      </c>
    </row>
    <row r="291" spans="1:20" x14ac:dyDescent="0.3">
      <c r="E291" t="s">
        <v>74</v>
      </c>
      <c r="F291">
        <v>2</v>
      </c>
      <c r="G291">
        <v>2</v>
      </c>
      <c r="N291">
        <v>5</v>
      </c>
      <c r="O291">
        <v>1</v>
      </c>
      <c r="P291">
        <v>2</v>
      </c>
    </row>
    <row r="292" spans="1:20" x14ac:dyDescent="0.3">
      <c r="E292" t="s">
        <v>73</v>
      </c>
      <c r="F292">
        <v>1</v>
      </c>
      <c r="G292">
        <v>2</v>
      </c>
      <c r="I292">
        <v>2</v>
      </c>
      <c r="J292">
        <v>3</v>
      </c>
      <c r="K292">
        <v>1</v>
      </c>
    </row>
    <row r="293" spans="1:20" x14ac:dyDescent="0.3">
      <c r="E293" t="s">
        <v>71</v>
      </c>
      <c r="F293">
        <v>6</v>
      </c>
      <c r="G293">
        <v>1</v>
      </c>
      <c r="H293">
        <v>5</v>
      </c>
      <c r="J293">
        <v>1</v>
      </c>
      <c r="K293">
        <v>3</v>
      </c>
      <c r="L293">
        <v>8</v>
      </c>
      <c r="M293">
        <v>11</v>
      </c>
    </row>
    <row r="294" spans="1:20" x14ac:dyDescent="0.3">
      <c r="E294" t="s">
        <v>70</v>
      </c>
      <c r="F294">
        <v>2</v>
      </c>
    </row>
    <row r="295" spans="1:20" x14ac:dyDescent="0.3">
      <c r="E295" t="s">
        <v>66</v>
      </c>
      <c r="F295">
        <v>2</v>
      </c>
      <c r="G295">
        <v>1</v>
      </c>
      <c r="J295">
        <v>3</v>
      </c>
      <c r="N295">
        <v>3</v>
      </c>
      <c r="O295">
        <v>2</v>
      </c>
    </row>
    <row r="296" spans="1:20" x14ac:dyDescent="0.3">
      <c r="E296" t="s">
        <v>75</v>
      </c>
      <c r="F296">
        <v>2</v>
      </c>
      <c r="N296">
        <v>1</v>
      </c>
      <c r="O296">
        <v>1</v>
      </c>
    </row>
    <row r="297" spans="1:20" x14ac:dyDescent="0.3">
      <c r="E297" t="s">
        <v>67</v>
      </c>
      <c r="F297">
        <v>2</v>
      </c>
      <c r="G297">
        <v>2</v>
      </c>
      <c r="H297">
        <v>2</v>
      </c>
      <c r="N297">
        <v>1</v>
      </c>
    </row>
    <row r="298" spans="1:20" x14ac:dyDescent="0.3">
      <c r="E298" t="s">
        <v>91</v>
      </c>
      <c r="F298">
        <v>1</v>
      </c>
    </row>
    <row r="299" spans="1:20" x14ac:dyDescent="0.3">
      <c r="E299" t="s">
        <v>83</v>
      </c>
      <c r="F299">
        <v>1</v>
      </c>
      <c r="H299">
        <v>1</v>
      </c>
      <c r="J299">
        <v>2</v>
      </c>
      <c r="L299">
        <v>1</v>
      </c>
    </row>
    <row r="300" spans="1:20" x14ac:dyDescent="0.3">
      <c r="E300" t="s">
        <v>85</v>
      </c>
      <c r="F300">
        <v>1</v>
      </c>
    </row>
    <row r="301" spans="1:20" x14ac:dyDescent="0.3">
      <c r="E301" t="s">
        <v>76</v>
      </c>
      <c r="F301">
        <v>2</v>
      </c>
      <c r="H301">
        <v>2</v>
      </c>
      <c r="I301">
        <v>1</v>
      </c>
    </row>
    <row r="302" spans="1:20" x14ac:dyDescent="0.3">
      <c r="E302" t="s">
        <v>77</v>
      </c>
      <c r="F302">
        <v>1</v>
      </c>
    </row>
    <row r="303" spans="1:20" x14ac:dyDescent="0.3">
      <c r="A303" s="4">
        <v>44320</v>
      </c>
      <c r="B303" t="s">
        <v>48</v>
      </c>
      <c r="C303">
        <v>75.599999999999994</v>
      </c>
      <c r="D303">
        <v>11.5</v>
      </c>
      <c r="E303" t="s">
        <v>65</v>
      </c>
      <c r="F303">
        <v>5</v>
      </c>
      <c r="G303">
        <v>8</v>
      </c>
      <c r="H303">
        <v>13</v>
      </c>
      <c r="I303">
        <v>2</v>
      </c>
      <c r="J303">
        <v>1</v>
      </c>
      <c r="N303">
        <v>4</v>
      </c>
      <c r="O303">
        <v>1</v>
      </c>
      <c r="S303" t="s">
        <v>82</v>
      </c>
      <c r="T303">
        <v>1</v>
      </c>
    </row>
    <row r="304" spans="1:20" x14ac:dyDescent="0.3">
      <c r="E304" t="s">
        <v>69</v>
      </c>
      <c r="F304">
        <v>3</v>
      </c>
      <c r="G304">
        <v>3</v>
      </c>
      <c r="H304">
        <v>5</v>
      </c>
      <c r="I304">
        <v>5</v>
      </c>
    </row>
    <row r="305" spans="1:18" x14ac:dyDescent="0.3">
      <c r="E305" t="s">
        <v>71</v>
      </c>
      <c r="F305">
        <v>3</v>
      </c>
      <c r="G305">
        <v>1</v>
      </c>
      <c r="H305">
        <v>4</v>
      </c>
      <c r="I305">
        <v>2</v>
      </c>
      <c r="J305">
        <v>2</v>
      </c>
      <c r="K305">
        <v>1</v>
      </c>
      <c r="L305">
        <v>3</v>
      </c>
      <c r="M305">
        <v>9</v>
      </c>
    </row>
    <row r="306" spans="1:18" x14ac:dyDescent="0.3">
      <c r="E306" t="s">
        <v>68</v>
      </c>
      <c r="F306">
        <v>3</v>
      </c>
      <c r="G306">
        <v>7</v>
      </c>
      <c r="H306">
        <v>7</v>
      </c>
      <c r="O306">
        <v>1</v>
      </c>
    </row>
    <row r="307" spans="1:18" x14ac:dyDescent="0.3">
      <c r="E307" t="s">
        <v>100</v>
      </c>
      <c r="F307">
        <v>2</v>
      </c>
      <c r="G307">
        <v>2</v>
      </c>
      <c r="K307">
        <v>1</v>
      </c>
    </row>
    <row r="308" spans="1:18" x14ac:dyDescent="0.3">
      <c r="E308" t="s">
        <v>66</v>
      </c>
      <c r="F308">
        <v>2</v>
      </c>
      <c r="H308">
        <v>1</v>
      </c>
      <c r="N308">
        <v>2</v>
      </c>
      <c r="O308">
        <v>1</v>
      </c>
      <c r="R308">
        <v>1</v>
      </c>
    </row>
    <row r="309" spans="1:18" x14ac:dyDescent="0.3">
      <c r="E309" t="s">
        <v>74</v>
      </c>
      <c r="F309">
        <v>2</v>
      </c>
      <c r="N309">
        <v>5</v>
      </c>
    </row>
    <row r="310" spans="1:18" x14ac:dyDescent="0.3">
      <c r="E310" t="s">
        <v>75</v>
      </c>
      <c r="F310">
        <v>1</v>
      </c>
      <c r="N310">
        <v>1</v>
      </c>
    </row>
    <row r="311" spans="1:18" x14ac:dyDescent="0.3">
      <c r="E311" t="s">
        <v>85</v>
      </c>
      <c r="F311">
        <v>1</v>
      </c>
      <c r="I311">
        <v>2</v>
      </c>
      <c r="N311">
        <v>1</v>
      </c>
    </row>
    <row r="312" spans="1:18" x14ac:dyDescent="0.3">
      <c r="E312" t="s">
        <v>73</v>
      </c>
      <c r="F312">
        <v>1</v>
      </c>
      <c r="I312">
        <v>1</v>
      </c>
    </row>
    <row r="313" spans="1:18" x14ac:dyDescent="0.3">
      <c r="E313" t="s">
        <v>84</v>
      </c>
      <c r="F313">
        <v>1</v>
      </c>
      <c r="G313">
        <v>1</v>
      </c>
      <c r="I313">
        <v>1</v>
      </c>
    </row>
    <row r="314" spans="1:18" x14ac:dyDescent="0.3">
      <c r="E314" t="s">
        <v>70</v>
      </c>
      <c r="F314">
        <v>1</v>
      </c>
    </row>
    <row r="315" spans="1:18" x14ac:dyDescent="0.3">
      <c r="E315" t="s">
        <v>72</v>
      </c>
      <c r="F315">
        <v>1</v>
      </c>
      <c r="G315">
        <v>1</v>
      </c>
    </row>
    <row r="316" spans="1:18" x14ac:dyDescent="0.3">
      <c r="E316" t="s">
        <v>93</v>
      </c>
      <c r="F316">
        <v>1</v>
      </c>
    </row>
    <row r="317" spans="1:18" x14ac:dyDescent="0.3">
      <c r="E317" t="s">
        <v>76</v>
      </c>
      <c r="F317">
        <v>3</v>
      </c>
      <c r="G317">
        <v>2</v>
      </c>
      <c r="H317">
        <v>1</v>
      </c>
      <c r="I317">
        <v>1</v>
      </c>
    </row>
    <row r="318" spans="1:18" x14ac:dyDescent="0.3">
      <c r="A318" s="4">
        <v>44321</v>
      </c>
      <c r="B318" t="s">
        <v>64</v>
      </c>
      <c r="C318">
        <v>54.7</v>
      </c>
      <c r="D318">
        <v>3.4</v>
      </c>
      <c r="E318" t="s">
        <v>68</v>
      </c>
      <c r="F318">
        <v>2</v>
      </c>
      <c r="G318">
        <v>3</v>
      </c>
      <c r="I318">
        <v>1</v>
      </c>
      <c r="K318">
        <v>1</v>
      </c>
    </row>
    <row r="319" spans="1:18" x14ac:dyDescent="0.3">
      <c r="E319" t="s">
        <v>69</v>
      </c>
      <c r="F319">
        <v>4</v>
      </c>
      <c r="G319">
        <v>5</v>
      </c>
      <c r="H319">
        <v>1</v>
      </c>
      <c r="I319">
        <v>1</v>
      </c>
      <c r="J319">
        <v>3</v>
      </c>
      <c r="K319">
        <v>10</v>
      </c>
      <c r="L319">
        <v>6</v>
      </c>
      <c r="M319">
        <v>1</v>
      </c>
      <c r="N319">
        <v>1</v>
      </c>
      <c r="O319">
        <v>1</v>
      </c>
    </row>
    <row r="320" spans="1:18" x14ac:dyDescent="0.3">
      <c r="E320" t="s">
        <v>67</v>
      </c>
      <c r="F320">
        <v>3</v>
      </c>
      <c r="G320">
        <v>8</v>
      </c>
      <c r="J320">
        <v>3</v>
      </c>
      <c r="N320">
        <v>6</v>
      </c>
      <c r="O320">
        <v>1</v>
      </c>
    </row>
    <row r="321" spans="2:18" x14ac:dyDescent="0.3">
      <c r="E321" t="s">
        <v>100</v>
      </c>
      <c r="F321">
        <v>4</v>
      </c>
      <c r="G321">
        <v>2</v>
      </c>
      <c r="J321">
        <v>3</v>
      </c>
      <c r="K321">
        <v>2</v>
      </c>
    </row>
    <row r="322" spans="2:18" x14ac:dyDescent="0.3">
      <c r="E322" t="s">
        <v>71</v>
      </c>
      <c r="F322">
        <v>8</v>
      </c>
      <c r="H322">
        <v>2</v>
      </c>
      <c r="J322">
        <v>3</v>
      </c>
      <c r="K322">
        <v>6</v>
      </c>
      <c r="L322">
        <v>7</v>
      </c>
      <c r="M322">
        <v>17</v>
      </c>
    </row>
    <row r="323" spans="2:18" x14ac:dyDescent="0.3">
      <c r="E323" t="s">
        <v>74</v>
      </c>
      <c r="F323">
        <v>2</v>
      </c>
      <c r="G323">
        <v>1</v>
      </c>
      <c r="N323">
        <v>5</v>
      </c>
    </row>
    <row r="324" spans="2:18" x14ac:dyDescent="0.3">
      <c r="E324" t="s">
        <v>73</v>
      </c>
      <c r="F324">
        <v>2</v>
      </c>
      <c r="G324">
        <v>2</v>
      </c>
      <c r="H324">
        <v>1</v>
      </c>
      <c r="J324">
        <v>4</v>
      </c>
      <c r="K324">
        <v>5</v>
      </c>
      <c r="L324">
        <v>1</v>
      </c>
    </row>
    <row r="325" spans="2:18" x14ac:dyDescent="0.3">
      <c r="E325" t="s">
        <v>65</v>
      </c>
      <c r="F325">
        <v>3</v>
      </c>
      <c r="G325">
        <v>8</v>
      </c>
      <c r="H325">
        <v>4</v>
      </c>
      <c r="J325">
        <v>3</v>
      </c>
      <c r="N325">
        <v>5</v>
      </c>
      <c r="O325">
        <v>5</v>
      </c>
    </row>
    <row r="326" spans="2:18" x14ac:dyDescent="0.3">
      <c r="E326" t="s">
        <v>66</v>
      </c>
      <c r="F326">
        <v>2</v>
      </c>
      <c r="N326">
        <v>5</v>
      </c>
      <c r="O326">
        <v>3</v>
      </c>
    </row>
    <row r="327" spans="2:18" x14ac:dyDescent="0.3">
      <c r="E327" t="s">
        <v>70</v>
      </c>
      <c r="F327">
        <v>1</v>
      </c>
    </row>
    <row r="328" spans="2:18" x14ac:dyDescent="0.3">
      <c r="E328" t="s">
        <v>78</v>
      </c>
      <c r="F328">
        <v>1</v>
      </c>
    </row>
    <row r="329" spans="2:18" x14ac:dyDescent="0.3">
      <c r="E329" t="s">
        <v>75</v>
      </c>
      <c r="F329">
        <v>1</v>
      </c>
      <c r="O329">
        <v>1</v>
      </c>
    </row>
    <row r="330" spans="2:18" x14ac:dyDescent="0.3">
      <c r="E330" t="s">
        <v>83</v>
      </c>
      <c r="F330">
        <v>1</v>
      </c>
      <c r="J330">
        <v>1</v>
      </c>
      <c r="K330">
        <v>1</v>
      </c>
    </row>
    <row r="331" spans="2:18" x14ac:dyDescent="0.3">
      <c r="E331" t="s">
        <v>91</v>
      </c>
      <c r="F331">
        <v>1</v>
      </c>
      <c r="R331">
        <v>1</v>
      </c>
    </row>
    <row r="332" spans="2:18" x14ac:dyDescent="0.3">
      <c r="E332" t="s">
        <v>95</v>
      </c>
      <c r="F332">
        <v>1</v>
      </c>
      <c r="O332">
        <v>1</v>
      </c>
    </row>
    <row r="333" spans="2:18" x14ac:dyDescent="0.3">
      <c r="E333" t="s">
        <v>84</v>
      </c>
      <c r="F333">
        <v>1</v>
      </c>
      <c r="J333">
        <v>1</v>
      </c>
    </row>
    <row r="334" spans="2:18" x14ac:dyDescent="0.3">
      <c r="B334" t="s">
        <v>48</v>
      </c>
      <c r="C334">
        <v>59.1</v>
      </c>
      <c r="D334">
        <v>9.1999999999999993</v>
      </c>
      <c r="E334" t="s">
        <v>69</v>
      </c>
      <c r="F334">
        <v>4</v>
      </c>
      <c r="G334">
        <v>2</v>
      </c>
      <c r="H334">
        <v>1</v>
      </c>
      <c r="K334">
        <v>7</v>
      </c>
      <c r="L334">
        <v>3</v>
      </c>
      <c r="N334">
        <v>2</v>
      </c>
      <c r="O334">
        <v>2</v>
      </c>
    </row>
    <row r="335" spans="2:18" x14ac:dyDescent="0.3">
      <c r="E335" t="s">
        <v>84</v>
      </c>
      <c r="F335">
        <v>1</v>
      </c>
      <c r="G335">
        <v>1</v>
      </c>
      <c r="H335">
        <v>1</v>
      </c>
      <c r="J335">
        <v>4</v>
      </c>
      <c r="K335">
        <v>3</v>
      </c>
    </row>
    <row r="336" spans="2:18" x14ac:dyDescent="0.3">
      <c r="E336" t="s">
        <v>78</v>
      </c>
      <c r="F336">
        <v>1</v>
      </c>
      <c r="G336">
        <v>1</v>
      </c>
    </row>
    <row r="337" spans="5:18" x14ac:dyDescent="0.3">
      <c r="E337" t="s">
        <v>71</v>
      </c>
      <c r="F337">
        <v>5</v>
      </c>
      <c r="H337">
        <v>1</v>
      </c>
      <c r="K337">
        <v>12</v>
      </c>
      <c r="L337">
        <v>10</v>
      </c>
      <c r="M337">
        <v>18</v>
      </c>
    </row>
    <row r="338" spans="5:18" x14ac:dyDescent="0.3">
      <c r="E338" t="s">
        <v>66</v>
      </c>
      <c r="F338">
        <v>3</v>
      </c>
      <c r="G338">
        <v>1</v>
      </c>
      <c r="M338">
        <v>1</v>
      </c>
      <c r="N338">
        <v>6</v>
      </c>
      <c r="O338">
        <v>5</v>
      </c>
      <c r="R338">
        <v>1</v>
      </c>
    </row>
    <row r="339" spans="5:18" x14ac:dyDescent="0.3">
      <c r="E339" t="s">
        <v>68</v>
      </c>
      <c r="F339">
        <v>2</v>
      </c>
      <c r="G339">
        <v>4</v>
      </c>
      <c r="H339">
        <v>2</v>
      </c>
      <c r="I339">
        <v>1</v>
      </c>
      <c r="K339">
        <v>1</v>
      </c>
      <c r="L339">
        <v>1</v>
      </c>
      <c r="N339">
        <v>1</v>
      </c>
    </row>
    <row r="340" spans="5:18" x14ac:dyDescent="0.3">
      <c r="E340" t="s">
        <v>74</v>
      </c>
      <c r="F340">
        <v>1</v>
      </c>
      <c r="N340">
        <v>2</v>
      </c>
      <c r="P340">
        <v>1</v>
      </c>
    </row>
    <row r="341" spans="5:18" x14ac:dyDescent="0.3">
      <c r="E341" t="s">
        <v>85</v>
      </c>
      <c r="F341">
        <v>2</v>
      </c>
      <c r="L341">
        <v>2</v>
      </c>
      <c r="N341">
        <v>6</v>
      </c>
    </row>
    <row r="342" spans="5:18" x14ac:dyDescent="0.3">
      <c r="E342" t="s">
        <v>67</v>
      </c>
      <c r="F342">
        <v>3</v>
      </c>
      <c r="N342">
        <v>3</v>
      </c>
      <c r="O342">
        <v>2</v>
      </c>
    </row>
    <row r="343" spans="5:18" x14ac:dyDescent="0.3">
      <c r="E343" t="s">
        <v>65</v>
      </c>
      <c r="F343">
        <v>2</v>
      </c>
      <c r="I343">
        <v>1</v>
      </c>
      <c r="N343">
        <v>2</v>
      </c>
      <c r="O343">
        <v>2</v>
      </c>
    </row>
    <row r="344" spans="5:18" x14ac:dyDescent="0.3">
      <c r="E344" t="s">
        <v>70</v>
      </c>
      <c r="F344">
        <v>1</v>
      </c>
    </row>
    <row r="345" spans="5:18" x14ac:dyDescent="0.3">
      <c r="E345" t="s">
        <v>79</v>
      </c>
      <c r="F345">
        <v>1</v>
      </c>
      <c r="R345">
        <v>1</v>
      </c>
    </row>
    <row r="346" spans="5:18" x14ac:dyDescent="0.3">
      <c r="E346" t="s">
        <v>75</v>
      </c>
      <c r="F346">
        <v>2</v>
      </c>
      <c r="N346">
        <v>2</v>
      </c>
    </row>
    <row r="347" spans="5:18" x14ac:dyDescent="0.3">
      <c r="E347" t="s">
        <v>72</v>
      </c>
      <c r="F347">
        <v>1</v>
      </c>
      <c r="K347">
        <v>3</v>
      </c>
      <c r="M347">
        <v>2</v>
      </c>
      <c r="O347">
        <v>1</v>
      </c>
    </row>
    <row r="348" spans="5:18" x14ac:dyDescent="0.3">
      <c r="E348" t="s">
        <v>87</v>
      </c>
      <c r="F348">
        <v>1</v>
      </c>
      <c r="N348">
        <v>2</v>
      </c>
    </row>
    <row r="349" spans="5:18" x14ac:dyDescent="0.3">
      <c r="E349" t="s">
        <v>73</v>
      </c>
      <c r="F349">
        <v>2</v>
      </c>
      <c r="G349">
        <v>2</v>
      </c>
      <c r="J349">
        <v>3</v>
      </c>
      <c r="K349">
        <v>4</v>
      </c>
      <c r="L349">
        <v>1</v>
      </c>
    </row>
    <row r="350" spans="5:18" x14ac:dyDescent="0.3">
      <c r="E350" t="s">
        <v>100</v>
      </c>
      <c r="F350">
        <v>2</v>
      </c>
      <c r="K350">
        <v>2</v>
      </c>
    </row>
  </sheetData>
  <mergeCells count="3">
    <mergeCell ref="G1:R1"/>
    <mergeCell ref="S1:T1"/>
    <mergeCell ref="U1: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70ED-4B78-452C-AF03-0811B09A0906}">
  <dimension ref="A1:V183"/>
  <sheetViews>
    <sheetView workbookViewId="0">
      <pane ySplit="2" topLeftCell="A153" activePane="bottomLeft" state="frozen"/>
      <selection activeCell="C1" sqref="C1"/>
      <selection pane="bottomLeft" activeCell="E170" sqref="E170:E183"/>
    </sheetView>
  </sheetViews>
  <sheetFormatPr defaultRowHeight="14.4" x14ac:dyDescent="0.3"/>
  <cols>
    <col min="1" max="1" width="9.5546875" bestFit="1" customWidth="1"/>
    <col min="2" max="2" width="10.77734375" bestFit="1" customWidth="1"/>
    <col min="5" max="5" width="24.33203125" bestFit="1" customWidth="1"/>
    <col min="6" max="6" width="9.33203125" bestFit="1" customWidth="1"/>
    <col min="7" max="7" width="15.77734375" bestFit="1" customWidth="1"/>
    <col min="8" max="8" width="15.21875" bestFit="1" customWidth="1"/>
    <col min="9" max="9" width="13.88671875" bestFit="1" customWidth="1"/>
    <col min="11" max="11" width="13.5546875" bestFit="1" customWidth="1"/>
    <col min="12" max="12" width="12.33203125" bestFit="1" customWidth="1"/>
    <col min="13" max="13" width="11.33203125" bestFit="1" customWidth="1"/>
    <col min="14" max="14" width="9.6640625" bestFit="1" customWidth="1"/>
    <col min="15" max="15" width="9.21875" bestFit="1" customWidth="1"/>
    <col min="16" max="16" width="12" bestFit="1" customWidth="1"/>
    <col min="17" max="18" width="12.5546875" bestFit="1" customWidth="1"/>
  </cols>
  <sheetData>
    <row r="1" spans="1:22" ht="18" thickBot="1" x14ac:dyDescent="0.4">
      <c r="A1" s="5" t="s">
        <v>32</v>
      </c>
      <c r="B1" s="5" t="s">
        <v>31</v>
      </c>
      <c r="C1" s="5" t="s">
        <v>38</v>
      </c>
      <c r="D1" s="5" t="s">
        <v>39</v>
      </c>
      <c r="E1" s="5" t="s">
        <v>33</v>
      </c>
      <c r="F1" s="5" t="s">
        <v>34</v>
      </c>
      <c r="G1" s="45" t="s">
        <v>35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 t="s">
        <v>61</v>
      </c>
      <c r="T1" s="46"/>
      <c r="U1" s="46" t="s">
        <v>62</v>
      </c>
      <c r="V1" s="46"/>
    </row>
    <row r="2" spans="1:22" ht="15.6" thickTop="1" thickBot="1" x14ac:dyDescent="0.35">
      <c r="G2" s="6" t="s">
        <v>36</v>
      </c>
      <c r="H2" s="6" t="s">
        <v>37</v>
      </c>
      <c r="I2" s="6" t="s">
        <v>55</v>
      </c>
      <c r="J2" s="6" t="s">
        <v>56</v>
      </c>
      <c r="K2" s="6" t="s">
        <v>40</v>
      </c>
      <c r="L2" s="6" t="s">
        <v>41</v>
      </c>
      <c r="M2" s="6" t="s">
        <v>42</v>
      </c>
      <c r="N2" s="6" t="s">
        <v>43</v>
      </c>
      <c r="O2" s="6" t="s">
        <v>44</v>
      </c>
      <c r="P2" s="6" t="s">
        <v>173</v>
      </c>
      <c r="Q2" s="6" t="s">
        <v>47</v>
      </c>
      <c r="R2" s="6" t="s">
        <v>176</v>
      </c>
      <c r="S2" s="10" t="s">
        <v>33</v>
      </c>
      <c r="T2" s="10" t="s">
        <v>34</v>
      </c>
      <c r="U2" s="10" t="s">
        <v>33</v>
      </c>
      <c r="V2" s="10" t="s">
        <v>63</v>
      </c>
    </row>
    <row r="3" spans="1:22" x14ac:dyDescent="0.3">
      <c r="A3" s="4">
        <v>44328</v>
      </c>
      <c r="B3" t="s">
        <v>64</v>
      </c>
      <c r="C3">
        <v>52.1</v>
      </c>
      <c r="D3">
        <v>4.5999999999999996</v>
      </c>
      <c r="E3" t="s">
        <v>76</v>
      </c>
      <c r="F3">
        <v>3</v>
      </c>
      <c r="J3">
        <v>1</v>
      </c>
      <c r="M3">
        <v>2</v>
      </c>
      <c r="S3" t="s">
        <v>81</v>
      </c>
      <c r="T3">
        <v>3</v>
      </c>
    </row>
    <row r="4" spans="1:22" x14ac:dyDescent="0.3">
      <c r="E4" t="s">
        <v>65</v>
      </c>
      <c r="F4">
        <v>3</v>
      </c>
      <c r="G4">
        <v>6</v>
      </c>
      <c r="H4">
        <v>15</v>
      </c>
      <c r="I4">
        <v>6</v>
      </c>
      <c r="J4">
        <v>3</v>
      </c>
      <c r="N4">
        <v>3</v>
      </c>
      <c r="O4">
        <v>1</v>
      </c>
      <c r="S4" t="s">
        <v>82</v>
      </c>
      <c r="T4">
        <v>2</v>
      </c>
    </row>
    <row r="5" spans="1:22" x14ac:dyDescent="0.3">
      <c r="E5" t="s">
        <v>66</v>
      </c>
      <c r="F5">
        <v>2</v>
      </c>
      <c r="G5">
        <v>1</v>
      </c>
      <c r="H5">
        <v>1</v>
      </c>
      <c r="N5">
        <v>6</v>
      </c>
      <c r="O5">
        <v>4</v>
      </c>
    </row>
    <row r="6" spans="1:22" x14ac:dyDescent="0.3">
      <c r="E6" t="s">
        <v>73</v>
      </c>
      <c r="F6">
        <v>2</v>
      </c>
      <c r="G6">
        <v>3</v>
      </c>
      <c r="H6">
        <v>1</v>
      </c>
      <c r="I6">
        <v>2</v>
      </c>
      <c r="K6">
        <v>2</v>
      </c>
      <c r="M6">
        <v>1</v>
      </c>
    </row>
    <row r="7" spans="1:22" x14ac:dyDescent="0.3">
      <c r="E7" t="s">
        <v>68</v>
      </c>
      <c r="F7">
        <v>2</v>
      </c>
      <c r="G7">
        <v>2</v>
      </c>
      <c r="H7">
        <v>1</v>
      </c>
      <c r="I7">
        <v>2</v>
      </c>
    </row>
    <row r="8" spans="1:22" x14ac:dyDescent="0.3">
      <c r="E8" t="s">
        <v>72</v>
      </c>
      <c r="F8">
        <v>1</v>
      </c>
      <c r="G8">
        <v>1</v>
      </c>
      <c r="H8">
        <v>1</v>
      </c>
      <c r="K8">
        <v>1</v>
      </c>
      <c r="L8">
        <v>1</v>
      </c>
      <c r="M8">
        <v>3</v>
      </c>
      <c r="N8">
        <v>2</v>
      </c>
    </row>
    <row r="9" spans="1:22" x14ac:dyDescent="0.3">
      <c r="E9" t="s">
        <v>69</v>
      </c>
      <c r="F9">
        <v>5</v>
      </c>
      <c r="G9">
        <v>5</v>
      </c>
      <c r="H9">
        <v>1</v>
      </c>
      <c r="I9">
        <v>6</v>
      </c>
      <c r="J9">
        <v>7</v>
      </c>
      <c r="K9">
        <v>4</v>
      </c>
      <c r="L9">
        <v>1</v>
      </c>
    </row>
    <row r="10" spans="1:22" x14ac:dyDescent="0.3">
      <c r="E10" t="s">
        <v>74</v>
      </c>
      <c r="F10">
        <v>2</v>
      </c>
      <c r="G10">
        <v>3</v>
      </c>
      <c r="N10">
        <v>7</v>
      </c>
      <c r="O10">
        <v>1</v>
      </c>
      <c r="P10">
        <v>2</v>
      </c>
    </row>
    <row r="11" spans="1:22" x14ac:dyDescent="0.3">
      <c r="E11" t="s">
        <v>71</v>
      </c>
      <c r="F11">
        <v>5</v>
      </c>
      <c r="G11">
        <v>1</v>
      </c>
      <c r="H11">
        <v>1</v>
      </c>
      <c r="I11">
        <v>1</v>
      </c>
      <c r="J11">
        <v>4</v>
      </c>
      <c r="K11">
        <v>7</v>
      </c>
      <c r="L11">
        <v>3</v>
      </c>
      <c r="M11">
        <v>7</v>
      </c>
    </row>
    <row r="12" spans="1:22" x14ac:dyDescent="0.3">
      <c r="E12" t="s">
        <v>67</v>
      </c>
      <c r="F12">
        <v>1</v>
      </c>
      <c r="G12">
        <v>5</v>
      </c>
      <c r="H12">
        <v>2</v>
      </c>
      <c r="I12">
        <v>1</v>
      </c>
      <c r="O12">
        <v>2</v>
      </c>
    </row>
    <row r="13" spans="1:22" x14ac:dyDescent="0.3">
      <c r="E13" t="s">
        <v>94</v>
      </c>
      <c r="F13">
        <v>1</v>
      </c>
    </row>
    <row r="14" spans="1:22" x14ac:dyDescent="0.3">
      <c r="E14" t="s">
        <v>70</v>
      </c>
      <c r="F14">
        <v>1</v>
      </c>
      <c r="H14">
        <v>1</v>
      </c>
    </row>
    <row r="15" spans="1:22" x14ac:dyDescent="0.3">
      <c r="E15" t="s">
        <v>83</v>
      </c>
      <c r="F15">
        <v>1</v>
      </c>
      <c r="G15">
        <v>1</v>
      </c>
      <c r="H15">
        <v>1</v>
      </c>
    </row>
    <row r="16" spans="1:22" x14ac:dyDescent="0.3">
      <c r="E16" t="s">
        <v>84</v>
      </c>
      <c r="F16">
        <v>1</v>
      </c>
      <c r="J16">
        <v>1</v>
      </c>
    </row>
    <row r="17" spans="1:20" x14ac:dyDescent="0.3">
      <c r="B17" t="s">
        <v>48</v>
      </c>
      <c r="C17">
        <v>59.6</v>
      </c>
      <c r="D17">
        <v>2</v>
      </c>
      <c r="E17" t="s">
        <v>69</v>
      </c>
      <c r="F17">
        <v>4</v>
      </c>
      <c r="G17">
        <v>4</v>
      </c>
      <c r="H17">
        <v>2</v>
      </c>
      <c r="I17">
        <v>6</v>
      </c>
      <c r="J17">
        <v>2</v>
      </c>
      <c r="K17">
        <v>5</v>
      </c>
      <c r="L17">
        <v>1</v>
      </c>
    </row>
    <row r="18" spans="1:20" x14ac:dyDescent="0.3">
      <c r="E18" t="s">
        <v>65</v>
      </c>
      <c r="F18">
        <v>4</v>
      </c>
      <c r="G18">
        <v>19</v>
      </c>
      <c r="H18">
        <v>3</v>
      </c>
      <c r="I18">
        <v>7</v>
      </c>
      <c r="J18">
        <v>5</v>
      </c>
      <c r="N18">
        <v>7</v>
      </c>
      <c r="O18">
        <v>3</v>
      </c>
    </row>
    <row r="19" spans="1:20" x14ac:dyDescent="0.3">
      <c r="E19" t="s">
        <v>66</v>
      </c>
      <c r="F19">
        <v>2</v>
      </c>
      <c r="G19">
        <v>4</v>
      </c>
      <c r="J19">
        <v>2</v>
      </c>
      <c r="L19">
        <v>1</v>
      </c>
      <c r="N19">
        <v>4</v>
      </c>
      <c r="O19">
        <v>4</v>
      </c>
    </row>
    <row r="20" spans="1:20" x14ac:dyDescent="0.3">
      <c r="E20" t="s">
        <v>71</v>
      </c>
      <c r="F20">
        <v>6</v>
      </c>
      <c r="G20">
        <v>3</v>
      </c>
      <c r="J20">
        <v>13</v>
      </c>
      <c r="K20">
        <v>8</v>
      </c>
      <c r="L20">
        <v>2</v>
      </c>
      <c r="M20">
        <v>23</v>
      </c>
    </row>
    <row r="21" spans="1:20" x14ac:dyDescent="0.3">
      <c r="E21" t="s">
        <v>76</v>
      </c>
      <c r="F21">
        <v>3</v>
      </c>
      <c r="G21">
        <v>4</v>
      </c>
      <c r="M21">
        <v>8</v>
      </c>
    </row>
    <row r="22" spans="1:20" x14ac:dyDescent="0.3">
      <c r="E22" t="s">
        <v>74</v>
      </c>
      <c r="F22">
        <v>2</v>
      </c>
      <c r="G22">
        <v>2</v>
      </c>
      <c r="N22">
        <v>12</v>
      </c>
    </row>
    <row r="23" spans="1:20" x14ac:dyDescent="0.3">
      <c r="E23" t="s">
        <v>73</v>
      </c>
      <c r="F23">
        <v>2</v>
      </c>
      <c r="G23">
        <v>12</v>
      </c>
      <c r="I23">
        <v>1</v>
      </c>
      <c r="K23">
        <v>4</v>
      </c>
      <c r="M23">
        <v>1</v>
      </c>
    </row>
    <row r="24" spans="1:20" x14ac:dyDescent="0.3">
      <c r="E24" t="s">
        <v>70</v>
      </c>
      <c r="F24">
        <v>2</v>
      </c>
      <c r="H24">
        <v>1</v>
      </c>
    </row>
    <row r="25" spans="1:20" x14ac:dyDescent="0.3">
      <c r="E25" t="s">
        <v>84</v>
      </c>
      <c r="F25">
        <v>1</v>
      </c>
      <c r="K25">
        <v>1</v>
      </c>
    </row>
    <row r="26" spans="1:20" x14ac:dyDescent="0.3">
      <c r="E26" t="s">
        <v>67</v>
      </c>
      <c r="F26">
        <v>2</v>
      </c>
      <c r="I26">
        <v>1</v>
      </c>
      <c r="N26">
        <v>4</v>
      </c>
      <c r="O26">
        <v>1</v>
      </c>
    </row>
    <row r="27" spans="1:20" x14ac:dyDescent="0.3">
      <c r="E27" t="s">
        <v>68</v>
      </c>
      <c r="F27">
        <v>4</v>
      </c>
      <c r="G27">
        <v>3</v>
      </c>
      <c r="H27">
        <v>2</v>
      </c>
    </row>
    <row r="28" spans="1:20" x14ac:dyDescent="0.3">
      <c r="E28" t="s">
        <v>83</v>
      </c>
      <c r="F28">
        <v>2</v>
      </c>
      <c r="G28">
        <v>1</v>
      </c>
      <c r="I28">
        <v>1</v>
      </c>
    </row>
    <row r="29" spans="1:20" x14ac:dyDescent="0.3">
      <c r="E29" t="s">
        <v>85</v>
      </c>
      <c r="F29">
        <v>1</v>
      </c>
      <c r="N29">
        <v>1</v>
      </c>
    </row>
    <row r="30" spans="1:20" x14ac:dyDescent="0.3">
      <c r="E30" t="s">
        <v>72</v>
      </c>
      <c r="F30">
        <v>1</v>
      </c>
      <c r="K30">
        <v>1</v>
      </c>
      <c r="L30">
        <v>2</v>
      </c>
    </row>
    <row r="31" spans="1:20" x14ac:dyDescent="0.3">
      <c r="A31" s="4">
        <v>44333</v>
      </c>
      <c r="B31" t="s">
        <v>64</v>
      </c>
      <c r="C31">
        <v>57</v>
      </c>
      <c r="D31">
        <v>1</v>
      </c>
      <c r="E31" t="s">
        <v>71</v>
      </c>
      <c r="F31">
        <v>3</v>
      </c>
      <c r="G31">
        <v>2</v>
      </c>
      <c r="H31">
        <v>1</v>
      </c>
      <c r="J31">
        <v>3</v>
      </c>
      <c r="K31">
        <v>11</v>
      </c>
      <c r="L31">
        <v>2</v>
      </c>
      <c r="M31">
        <v>9</v>
      </c>
      <c r="S31" t="s">
        <v>81</v>
      </c>
      <c r="T31">
        <v>1</v>
      </c>
    </row>
    <row r="32" spans="1:20" x14ac:dyDescent="0.3">
      <c r="E32" t="s">
        <v>67</v>
      </c>
      <c r="F32">
        <v>1</v>
      </c>
      <c r="G32">
        <v>4</v>
      </c>
      <c r="H32">
        <v>3</v>
      </c>
      <c r="I32">
        <v>2</v>
      </c>
      <c r="N32">
        <v>3</v>
      </c>
      <c r="O32">
        <v>1</v>
      </c>
      <c r="S32" t="s">
        <v>82</v>
      </c>
      <c r="T32">
        <v>1</v>
      </c>
    </row>
    <row r="33" spans="2:20" x14ac:dyDescent="0.3">
      <c r="E33" t="s">
        <v>73</v>
      </c>
      <c r="F33">
        <v>1</v>
      </c>
      <c r="G33">
        <v>1</v>
      </c>
      <c r="H33">
        <v>4</v>
      </c>
      <c r="I33">
        <v>2</v>
      </c>
      <c r="J33">
        <v>1</v>
      </c>
      <c r="K33">
        <v>1</v>
      </c>
      <c r="O33">
        <v>1</v>
      </c>
    </row>
    <row r="34" spans="2:20" x14ac:dyDescent="0.3">
      <c r="E34" t="s">
        <v>65</v>
      </c>
      <c r="F34">
        <v>4</v>
      </c>
      <c r="G34">
        <v>6</v>
      </c>
      <c r="H34">
        <v>32</v>
      </c>
      <c r="I34">
        <v>2</v>
      </c>
      <c r="N34">
        <v>2</v>
      </c>
    </row>
    <row r="35" spans="2:20" x14ac:dyDescent="0.3">
      <c r="E35" t="s">
        <v>69</v>
      </c>
      <c r="F35">
        <v>3</v>
      </c>
      <c r="G35">
        <v>2</v>
      </c>
      <c r="H35">
        <v>5</v>
      </c>
      <c r="I35">
        <v>2</v>
      </c>
      <c r="J35">
        <v>1</v>
      </c>
      <c r="K35">
        <v>2</v>
      </c>
    </row>
    <row r="36" spans="2:20" x14ac:dyDescent="0.3">
      <c r="E36" t="s">
        <v>68</v>
      </c>
      <c r="F36">
        <v>3</v>
      </c>
      <c r="G36">
        <v>8</v>
      </c>
      <c r="H36">
        <v>2</v>
      </c>
      <c r="K36">
        <v>1</v>
      </c>
    </row>
    <row r="37" spans="2:20" x14ac:dyDescent="0.3">
      <c r="E37" t="s">
        <v>76</v>
      </c>
      <c r="F37">
        <v>2</v>
      </c>
      <c r="G37">
        <v>2</v>
      </c>
      <c r="M37">
        <v>3</v>
      </c>
    </row>
    <row r="38" spans="2:20" x14ac:dyDescent="0.3">
      <c r="E38" t="s">
        <v>74</v>
      </c>
      <c r="F38">
        <v>1</v>
      </c>
      <c r="N38">
        <v>1</v>
      </c>
      <c r="P38">
        <v>4</v>
      </c>
    </row>
    <row r="39" spans="2:20" x14ac:dyDescent="0.3">
      <c r="E39" t="s">
        <v>94</v>
      </c>
      <c r="F39">
        <v>1</v>
      </c>
      <c r="H39">
        <v>3</v>
      </c>
      <c r="K39">
        <v>1</v>
      </c>
      <c r="L39">
        <v>2</v>
      </c>
    </row>
    <row r="40" spans="2:20" x14ac:dyDescent="0.3">
      <c r="E40" t="s">
        <v>66</v>
      </c>
      <c r="F40">
        <v>1</v>
      </c>
      <c r="G40">
        <v>1</v>
      </c>
      <c r="O40">
        <v>1</v>
      </c>
    </row>
    <row r="41" spans="2:20" x14ac:dyDescent="0.3">
      <c r="E41" t="s">
        <v>75</v>
      </c>
      <c r="F41">
        <v>1</v>
      </c>
      <c r="O41">
        <v>1</v>
      </c>
    </row>
    <row r="42" spans="2:20" x14ac:dyDescent="0.3">
      <c r="E42" t="s">
        <v>70</v>
      </c>
      <c r="F42">
        <v>1</v>
      </c>
    </row>
    <row r="43" spans="2:20" x14ac:dyDescent="0.3">
      <c r="E43" t="s">
        <v>84</v>
      </c>
      <c r="F43">
        <v>1</v>
      </c>
      <c r="G43">
        <v>1</v>
      </c>
      <c r="H43">
        <v>1</v>
      </c>
      <c r="I43">
        <v>1</v>
      </c>
    </row>
    <row r="44" spans="2:20" x14ac:dyDescent="0.3">
      <c r="B44" t="s">
        <v>48</v>
      </c>
      <c r="C44">
        <v>63</v>
      </c>
      <c r="D44">
        <v>3</v>
      </c>
      <c r="E44" t="s">
        <v>71</v>
      </c>
      <c r="F44">
        <v>6</v>
      </c>
      <c r="J44">
        <v>1</v>
      </c>
      <c r="K44">
        <v>13</v>
      </c>
      <c r="L44">
        <v>7</v>
      </c>
      <c r="M44">
        <v>21</v>
      </c>
      <c r="S44" t="s">
        <v>82</v>
      </c>
      <c r="T44">
        <v>1</v>
      </c>
    </row>
    <row r="45" spans="2:20" x14ac:dyDescent="0.3">
      <c r="E45" t="s">
        <v>69</v>
      </c>
      <c r="F45">
        <v>5</v>
      </c>
      <c r="G45">
        <v>4</v>
      </c>
      <c r="I45">
        <v>1</v>
      </c>
      <c r="J45">
        <v>3</v>
      </c>
      <c r="K45">
        <v>14</v>
      </c>
      <c r="L45">
        <v>6</v>
      </c>
      <c r="N45">
        <v>1</v>
      </c>
    </row>
    <row r="46" spans="2:20" x14ac:dyDescent="0.3">
      <c r="E46" t="s">
        <v>67</v>
      </c>
      <c r="F46">
        <v>1</v>
      </c>
      <c r="N46">
        <v>3</v>
      </c>
    </row>
    <row r="47" spans="2:20" x14ac:dyDescent="0.3">
      <c r="E47" t="s">
        <v>79</v>
      </c>
      <c r="F47">
        <v>1</v>
      </c>
      <c r="N47">
        <v>1</v>
      </c>
      <c r="O47">
        <v>1</v>
      </c>
    </row>
    <row r="48" spans="2:20" x14ac:dyDescent="0.3">
      <c r="E48" t="s">
        <v>65</v>
      </c>
      <c r="F48">
        <v>7</v>
      </c>
      <c r="G48">
        <v>8</v>
      </c>
      <c r="H48">
        <v>2</v>
      </c>
      <c r="I48">
        <v>1</v>
      </c>
      <c r="J48">
        <v>6</v>
      </c>
      <c r="N48">
        <v>21</v>
      </c>
      <c r="O48">
        <v>3</v>
      </c>
    </row>
    <row r="49" spans="1:20" x14ac:dyDescent="0.3">
      <c r="E49" t="s">
        <v>68</v>
      </c>
      <c r="F49">
        <v>2</v>
      </c>
      <c r="H49">
        <v>1</v>
      </c>
      <c r="J49">
        <v>1</v>
      </c>
      <c r="N49">
        <v>1</v>
      </c>
    </row>
    <row r="50" spans="1:20" x14ac:dyDescent="0.3">
      <c r="E50" t="s">
        <v>93</v>
      </c>
      <c r="F50">
        <v>5</v>
      </c>
      <c r="G50">
        <v>7</v>
      </c>
      <c r="K50">
        <v>1</v>
      </c>
    </row>
    <row r="51" spans="1:20" x14ac:dyDescent="0.3">
      <c r="E51" t="s">
        <v>83</v>
      </c>
      <c r="F51">
        <v>1</v>
      </c>
      <c r="G51">
        <v>1</v>
      </c>
      <c r="J51">
        <v>1</v>
      </c>
      <c r="M51">
        <v>6</v>
      </c>
    </row>
    <row r="52" spans="1:20" x14ac:dyDescent="0.3">
      <c r="E52" t="s">
        <v>74</v>
      </c>
      <c r="F52">
        <v>2</v>
      </c>
      <c r="G52">
        <v>1</v>
      </c>
      <c r="N52">
        <v>2</v>
      </c>
      <c r="O52">
        <v>3</v>
      </c>
      <c r="P52">
        <v>5</v>
      </c>
    </row>
    <row r="53" spans="1:20" x14ac:dyDescent="0.3">
      <c r="E53" t="s">
        <v>70</v>
      </c>
      <c r="F53">
        <v>1</v>
      </c>
    </row>
    <row r="54" spans="1:20" x14ac:dyDescent="0.3">
      <c r="E54" t="s">
        <v>66</v>
      </c>
      <c r="F54">
        <v>1</v>
      </c>
      <c r="N54">
        <v>2</v>
      </c>
      <c r="O54">
        <v>1</v>
      </c>
    </row>
    <row r="55" spans="1:20" x14ac:dyDescent="0.3">
      <c r="E55" t="s">
        <v>78</v>
      </c>
      <c r="F55">
        <v>1</v>
      </c>
    </row>
    <row r="56" spans="1:20" x14ac:dyDescent="0.3">
      <c r="E56" t="s">
        <v>75</v>
      </c>
      <c r="F56">
        <v>1</v>
      </c>
      <c r="N56">
        <v>2</v>
      </c>
    </row>
    <row r="57" spans="1:20" x14ac:dyDescent="0.3">
      <c r="E57" t="s">
        <v>84</v>
      </c>
      <c r="F57">
        <v>1</v>
      </c>
      <c r="J57">
        <v>1</v>
      </c>
    </row>
    <row r="58" spans="1:20" x14ac:dyDescent="0.3">
      <c r="E58" t="s">
        <v>94</v>
      </c>
      <c r="F58">
        <v>1</v>
      </c>
      <c r="J58">
        <v>1</v>
      </c>
      <c r="L58">
        <v>2</v>
      </c>
      <c r="M58">
        <v>1</v>
      </c>
    </row>
    <row r="59" spans="1:20" x14ac:dyDescent="0.3">
      <c r="E59" t="s">
        <v>73</v>
      </c>
      <c r="F59">
        <v>3</v>
      </c>
      <c r="G59">
        <v>3</v>
      </c>
      <c r="H59">
        <v>1</v>
      </c>
      <c r="J59">
        <v>2</v>
      </c>
      <c r="K59">
        <v>4</v>
      </c>
      <c r="L59">
        <v>1</v>
      </c>
      <c r="M59">
        <v>4</v>
      </c>
      <c r="N59">
        <v>1</v>
      </c>
    </row>
    <row r="60" spans="1:20" x14ac:dyDescent="0.3">
      <c r="E60" t="s">
        <v>177</v>
      </c>
      <c r="F60">
        <v>2</v>
      </c>
      <c r="O60">
        <v>1</v>
      </c>
    </row>
    <row r="61" spans="1:20" x14ac:dyDescent="0.3">
      <c r="E61" t="s">
        <v>72</v>
      </c>
      <c r="F61">
        <v>1</v>
      </c>
      <c r="N61">
        <v>1</v>
      </c>
    </row>
    <row r="62" spans="1:20" x14ac:dyDescent="0.3">
      <c r="E62" t="s">
        <v>92</v>
      </c>
      <c r="F62">
        <v>2</v>
      </c>
      <c r="M62">
        <v>1</v>
      </c>
    </row>
    <row r="63" spans="1:20" x14ac:dyDescent="0.3">
      <c r="A63" s="4">
        <v>44334</v>
      </c>
      <c r="B63" t="s">
        <v>64</v>
      </c>
      <c r="C63">
        <v>64.099999999999994</v>
      </c>
      <c r="D63">
        <v>1.6</v>
      </c>
      <c r="E63" t="s">
        <v>93</v>
      </c>
      <c r="F63">
        <v>8</v>
      </c>
      <c r="G63">
        <v>9</v>
      </c>
      <c r="I63">
        <v>2</v>
      </c>
      <c r="J63">
        <v>9</v>
      </c>
      <c r="M63">
        <v>32</v>
      </c>
      <c r="S63" t="s">
        <v>81</v>
      </c>
      <c r="T63">
        <v>3</v>
      </c>
    </row>
    <row r="64" spans="1:20" x14ac:dyDescent="0.3">
      <c r="E64" t="s">
        <v>71</v>
      </c>
      <c r="F64">
        <v>2</v>
      </c>
      <c r="G64">
        <v>2</v>
      </c>
      <c r="I64">
        <v>2</v>
      </c>
      <c r="J64">
        <v>10</v>
      </c>
      <c r="K64">
        <v>4</v>
      </c>
      <c r="M64">
        <v>23</v>
      </c>
      <c r="S64" t="s">
        <v>82</v>
      </c>
      <c r="T64">
        <v>3</v>
      </c>
    </row>
    <row r="65" spans="2:20" x14ac:dyDescent="0.3">
      <c r="E65" t="s">
        <v>65</v>
      </c>
      <c r="F65">
        <v>5</v>
      </c>
      <c r="G65">
        <v>22</v>
      </c>
      <c r="H65">
        <v>13</v>
      </c>
      <c r="I65">
        <v>4</v>
      </c>
      <c r="J65">
        <v>4</v>
      </c>
      <c r="N65">
        <v>5</v>
      </c>
      <c r="O65">
        <v>3</v>
      </c>
    </row>
    <row r="66" spans="2:20" x14ac:dyDescent="0.3">
      <c r="E66" t="s">
        <v>67</v>
      </c>
      <c r="F66">
        <v>1</v>
      </c>
      <c r="G66">
        <v>3</v>
      </c>
      <c r="H66">
        <v>2</v>
      </c>
      <c r="N66">
        <v>1</v>
      </c>
      <c r="O66">
        <v>1</v>
      </c>
    </row>
    <row r="67" spans="2:20" x14ac:dyDescent="0.3">
      <c r="E67" t="s">
        <v>83</v>
      </c>
      <c r="F67">
        <v>1</v>
      </c>
      <c r="G67">
        <v>2</v>
      </c>
      <c r="H67">
        <v>1</v>
      </c>
      <c r="I67">
        <v>1</v>
      </c>
      <c r="J67">
        <v>1</v>
      </c>
      <c r="K67">
        <v>2</v>
      </c>
    </row>
    <row r="68" spans="2:20" x14ac:dyDescent="0.3">
      <c r="E68" t="s">
        <v>68</v>
      </c>
      <c r="F68">
        <v>3</v>
      </c>
      <c r="G68">
        <v>9</v>
      </c>
      <c r="H68">
        <v>1</v>
      </c>
      <c r="K68">
        <v>1</v>
      </c>
    </row>
    <row r="69" spans="2:20" x14ac:dyDescent="0.3">
      <c r="E69" t="s">
        <v>66</v>
      </c>
      <c r="F69">
        <v>1</v>
      </c>
      <c r="N69">
        <v>1</v>
      </c>
      <c r="O69">
        <v>1</v>
      </c>
    </row>
    <row r="70" spans="2:20" x14ac:dyDescent="0.3">
      <c r="E70" t="s">
        <v>84</v>
      </c>
      <c r="F70">
        <v>1</v>
      </c>
      <c r="H70">
        <v>1</v>
      </c>
      <c r="J70">
        <v>1</v>
      </c>
    </row>
    <row r="71" spans="2:20" x14ac:dyDescent="0.3">
      <c r="E71" t="s">
        <v>177</v>
      </c>
      <c r="F71">
        <v>2</v>
      </c>
      <c r="N71">
        <v>5</v>
      </c>
    </row>
    <row r="72" spans="2:20" x14ac:dyDescent="0.3">
      <c r="E72" t="s">
        <v>73</v>
      </c>
      <c r="F72">
        <v>2</v>
      </c>
      <c r="G72">
        <v>10</v>
      </c>
      <c r="H72">
        <v>1</v>
      </c>
      <c r="I72">
        <v>1</v>
      </c>
      <c r="J72">
        <v>3</v>
      </c>
      <c r="K72">
        <v>2</v>
      </c>
      <c r="M72">
        <v>3</v>
      </c>
      <c r="N72">
        <v>2</v>
      </c>
    </row>
    <row r="73" spans="2:20" x14ac:dyDescent="0.3">
      <c r="E73" t="s">
        <v>69</v>
      </c>
      <c r="F73">
        <v>4</v>
      </c>
      <c r="G73">
        <v>3</v>
      </c>
      <c r="I73">
        <v>1</v>
      </c>
      <c r="J73">
        <v>3</v>
      </c>
      <c r="K73">
        <v>1</v>
      </c>
      <c r="L73">
        <v>1</v>
      </c>
      <c r="N73">
        <v>2</v>
      </c>
      <c r="O73">
        <v>1</v>
      </c>
    </row>
    <row r="74" spans="2:20" x14ac:dyDescent="0.3">
      <c r="E74" t="s">
        <v>70</v>
      </c>
      <c r="F74">
        <v>1</v>
      </c>
      <c r="H74">
        <v>1</v>
      </c>
    </row>
    <row r="75" spans="2:20" x14ac:dyDescent="0.3">
      <c r="E75" t="s">
        <v>72</v>
      </c>
      <c r="F75">
        <v>1</v>
      </c>
      <c r="G75">
        <v>1</v>
      </c>
    </row>
    <row r="76" spans="2:20" x14ac:dyDescent="0.3">
      <c r="E76" t="s">
        <v>74</v>
      </c>
      <c r="F76">
        <v>1</v>
      </c>
      <c r="G76">
        <v>2</v>
      </c>
    </row>
    <row r="77" spans="2:20" x14ac:dyDescent="0.3">
      <c r="B77" t="s">
        <v>48</v>
      </c>
      <c r="C77">
        <v>78.5</v>
      </c>
      <c r="D77">
        <v>1.1000000000000001</v>
      </c>
      <c r="E77" t="s">
        <v>66</v>
      </c>
      <c r="F77">
        <v>1</v>
      </c>
      <c r="N77">
        <v>1</v>
      </c>
      <c r="O77">
        <v>5</v>
      </c>
      <c r="S77" t="s">
        <v>81</v>
      </c>
      <c r="T77">
        <v>1</v>
      </c>
    </row>
    <row r="78" spans="2:20" x14ac:dyDescent="0.3">
      <c r="E78" t="s">
        <v>83</v>
      </c>
      <c r="F78">
        <v>1</v>
      </c>
      <c r="G78">
        <v>1</v>
      </c>
      <c r="J78">
        <v>1</v>
      </c>
      <c r="S78" t="s">
        <v>82</v>
      </c>
      <c r="T78">
        <v>1</v>
      </c>
    </row>
    <row r="79" spans="2:20" x14ac:dyDescent="0.3">
      <c r="E79" t="s">
        <v>73</v>
      </c>
      <c r="F79">
        <v>1</v>
      </c>
      <c r="I79">
        <v>2</v>
      </c>
      <c r="J79">
        <v>2</v>
      </c>
      <c r="M79">
        <v>1</v>
      </c>
      <c r="O79">
        <v>1</v>
      </c>
    </row>
    <row r="80" spans="2:20" x14ac:dyDescent="0.3">
      <c r="E80" t="s">
        <v>93</v>
      </c>
      <c r="F80">
        <v>13</v>
      </c>
      <c r="J80">
        <v>15</v>
      </c>
      <c r="M80">
        <v>16</v>
      </c>
    </row>
    <row r="81" spans="1:20" x14ac:dyDescent="0.3">
      <c r="E81" t="s">
        <v>68</v>
      </c>
      <c r="F81">
        <v>3</v>
      </c>
      <c r="O81">
        <v>2</v>
      </c>
    </row>
    <row r="82" spans="1:20" x14ac:dyDescent="0.3">
      <c r="E82" t="s">
        <v>94</v>
      </c>
      <c r="F82">
        <v>1</v>
      </c>
      <c r="J82">
        <v>1</v>
      </c>
      <c r="L82">
        <v>1</v>
      </c>
      <c r="M82">
        <v>1</v>
      </c>
    </row>
    <row r="83" spans="1:20" x14ac:dyDescent="0.3">
      <c r="E83" t="s">
        <v>65</v>
      </c>
      <c r="F83">
        <v>3</v>
      </c>
      <c r="I83">
        <v>1</v>
      </c>
      <c r="J83">
        <v>1</v>
      </c>
      <c r="N83">
        <v>4</v>
      </c>
      <c r="O83">
        <v>2</v>
      </c>
    </row>
    <row r="84" spans="1:20" x14ac:dyDescent="0.3">
      <c r="E84" t="s">
        <v>69</v>
      </c>
      <c r="F84">
        <v>2</v>
      </c>
      <c r="J84">
        <v>2</v>
      </c>
      <c r="L84">
        <v>1</v>
      </c>
    </row>
    <row r="85" spans="1:20" x14ac:dyDescent="0.3">
      <c r="E85" t="s">
        <v>71</v>
      </c>
      <c r="F85">
        <v>2</v>
      </c>
      <c r="L85">
        <v>1</v>
      </c>
      <c r="M85">
        <v>18</v>
      </c>
    </row>
    <row r="86" spans="1:20" x14ac:dyDescent="0.3">
      <c r="E86" t="s">
        <v>85</v>
      </c>
      <c r="F86">
        <v>1</v>
      </c>
      <c r="O86">
        <v>1</v>
      </c>
    </row>
    <row r="87" spans="1:20" x14ac:dyDescent="0.3">
      <c r="E87" t="s">
        <v>67</v>
      </c>
      <c r="F87">
        <v>1</v>
      </c>
      <c r="O87">
        <v>1</v>
      </c>
    </row>
    <row r="88" spans="1:20" x14ac:dyDescent="0.3">
      <c r="E88" t="s">
        <v>74</v>
      </c>
      <c r="F88">
        <v>1</v>
      </c>
      <c r="N88">
        <v>2</v>
      </c>
    </row>
    <row r="89" spans="1:20" x14ac:dyDescent="0.3">
      <c r="E89" t="s">
        <v>72</v>
      </c>
      <c r="F89">
        <v>1</v>
      </c>
      <c r="G89">
        <v>2</v>
      </c>
    </row>
    <row r="90" spans="1:20" x14ac:dyDescent="0.3">
      <c r="E90" t="s">
        <v>84</v>
      </c>
      <c r="F90">
        <v>1</v>
      </c>
    </row>
    <row r="91" spans="1:20" x14ac:dyDescent="0.3">
      <c r="E91" t="s">
        <v>70</v>
      </c>
      <c r="F91">
        <v>1</v>
      </c>
    </row>
    <row r="92" spans="1:20" x14ac:dyDescent="0.3">
      <c r="A92" s="4">
        <v>44335</v>
      </c>
      <c r="B92" t="s">
        <v>64</v>
      </c>
      <c r="C92">
        <v>69.5</v>
      </c>
      <c r="D92">
        <v>2</v>
      </c>
      <c r="E92" t="s">
        <v>93</v>
      </c>
      <c r="F92">
        <v>6</v>
      </c>
      <c r="G92">
        <v>6</v>
      </c>
      <c r="J92">
        <v>2</v>
      </c>
      <c r="M92">
        <v>13</v>
      </c>
      <c r="S92" t="s">
        <v>81</v>
      </c>
      <c r="T92">
        <v>1</v>
      </c>
    </row>
    <row r="93" spans="1:20" x14ac:dyDescent="0.3">
      <c r="E93" t="s">
        <v>65</v>
      </c>
      <c r="F93">
        <v>4</v>
      </c>
      <c r="G93">
        <v>12</v>
      </c>
      <c r="H93">
        <v>16</v>
      </c>
      <c r="J93">
        <v>1</v>
      </c>
      <c r="N93">
        <v>1</v>
      </c>
      <c r="S93" t="s">
        <v>82</v>
      </c>
      <c r="T93">
        <v>3</v>
      </c>
    </row>
    <row r="94" spans="1:20" x14ac:dyDescent="0.3">
      <c r="E94" t="s">
        <v>71</v>
      </c>
      <c r="F94">
        <v>4</v>
      </c>
      <c r="G94">
        <v>1</v>
      </c>
      <c r="H94">
        <v>1</v>
      </c>
      <c r="J94">
        <v>5</v>
      </c>
      <c r="K94">
        <v>4</v>
      </c>
      <c r="M94">
        <v>13</v>
      </c>
    </row>
    <row r="95" spans="1:20" x14ac:dyDescent="0.3">
      <c r="E95" t="s">
        <v>94</v>
      </c>
      <c r="F95">
        <v>1</v>
      </c>
      <c r="G95">
        <v>2</v>
      </c>
      <c r="L95">
        <v>2</v>
      </c>
      <c r="M95">
        <v>2</v>
      </c>
    </row>
    <row r="96" spans="1:20" x14ac:dyDescent="0.3">
      <c r="E96" t="s">
        <v>69</v>
      </c>
      <c r="F96">
        <v>2</v>
      </c>
      <c r="G96">
        <v>3</v>
      </c>
      <c r="H96">
        <v>3</v>
      </c>
      <c r="I96">
        <v>1</v>
      </c>
      <c r="J96">
        <v>1</v>
      </c>
      <c r="K96">
        <v>1</v>
      </c>
      <c r="L96">
        <v>1</v>
      </c>
      <c r="O96">
        <v>1</v>
      </c>
    </row>
    <row r="97" spans="2:20" x14ac:dyDescent="0.3">
      <c r="E97" t="s">
        <v>70</v>
      </c>
      <c r="F97">
        <v>1</v>
      </c>
    </row>
    <row r="98" spans="2:20" x14ac:dyDescent="0.3">
      <c r="E98" t="s">
        <v>73</v>
      </c>
      <c r="F98">
        <v>1</v>
      </c>
      <c r="G98">
        <v>10</v>
      </c>
      <c r="I98">
        <v>1</v>
      </c>
      <c r="J98">
        <v>1</v>
      </c>
      <c r="M98">
        <v>2</v>
      </c>
    </row>
    <row r="99" spans="2:20" x14ac:dyDescent="0.3">
      <c r="E99" t="s">
        <v>68</v>
      </c>
      <c r="F99">
        <v>5</v>
      </c>
      <c r="G99">
        <v>3</v>
      </c>
      <c r="H99">
        <v>2</v>
      </c>
      <c r="I99">
        <v>1</v>
      </c>
      <c r="K99">
        <v>2</v>
      </c>
    </row>
    <row r="100" spans="2:20" x14ac:dyDescent="0.3">
      <c r="E100" t="s">
        <v>80</v>
      </c>
      <c r="F100">
        <v>2</v>
      </c>
      <c r="G100">
        <v>1</v>
      </c>
    </row>
    <row r="101" spans="2:20" x14ac:dyDescent="0.3">
      <c r="E101" t="s">
        <v>66</v>
      </c>
      <c r="F101">
        <v>1</v>
      </c>
      <c r="G101">
        <v>1</v>
      </c>
      <c r="N101">
        <v>1</v>
      </c>
      <c r="O101">
        <v>1</v>
      </c>
    </row>
    <row r="102" spans="2:20" x14ac:dyDescent="0.3">
      <c r="E102" t="s">
        <v>67</v>
      </c>
      <c r="F102">
        <v>1</v>
      </c>
      <c r="G102">
        <v>1</v>
      </c>
      <c r="O102">
        <v>1</v>
      </c>
    </row>
    <row r="103" spans="2:20" x14ac:dyDescent="0.3">
      <c r="E103" t="s">
        <v>74</v>
      </c>
      <c r="F103">
        <v>1</v>
      </c>
      <c r="N103">
        <v>1</v>
      </c>
      <c r="O103">
        <v>1</v>
      </c>
    </row>
    <row r="104" spans="2:20" x14ac:dyDescent="0.3">
      <c r="E104" t="s">
        <v>76</v>
      </c>
      <c r="F104">
        <v>1</v>
      </c>
      <c r="H104">
        <v>1</v>
      </c>
      <c r="M104">
        <v>1</v>
      </c>
    </row>
    <row r="105" spans="2:20" x14ac:dyDescent="0.3">
      <c r="E105" t="s">
        <v>72</v>
      </c>
      <c r="F105">
        <v>1</v>
      </c>
      <c r="G105">
        <v>2</v>
      </c>
      <c r="L105">
        <v>1</v>
      </c>
      <c r="O105">
        <v>1</v>
      </c>
    </row>
    <row r="106" spans="2:20" x14ac:dyDescent="0.3">
      <c r="E106" t="s">
        <v>177</v>
      </c>
      <c r="F106">
        <v>3</v>
      </c>
      <c r="G106">
        <v>1</v>
      </c>
      <c r="M106">
        <v>1</v>
      </c>
      <c r="N106">
        <v>1</v>
      </c>
      <c r="O106">
        <v>1</v>
      </c>
    </row>
    <row r="107" spans="2:20" x14ac:dyDescent="0.3">
      <c r="B107" t="s">
        <v>48</v>
      </c>
      <c r="C107">
        <v>83.9</v>
      </c>
      <c r="D107">
        <v>1.6</v>
      </c>
      <c r="E107" t="s">
        <v>74</v>
      </c>
      <c r="F107">
        <v>2</v>
      </c>
      <c r="N107">
        <v>4</v>
      </c>
      <c r="O107">
        <v>1</v>
      </c>
      <c r="S107" t="s">
        <v>81</v>
      </c>
      <c r="T107">
        <v>1</v>
      </c>
    </row>
    <row r="108" spans="2:20" x14ac:dyDescent="0.3">
      <c r="E108" t="s">
        <v>71</v>
      </c>
      <c r="F108">
        <v>4</v>
      </c>
      <c r="J108">
        <v>10</v>
      </c>
      <c r="K108">
        <v>1</v>
      </c>
      <c r="L108">
        <v>2</v>
      </c>
      <c r="M108">
        <v>14</v>
      </c>
      <c r="S108" t="s">
        <v>82</v>
      </c>
      <c r="T108">
        <v>1</v>
      </c>
    </row>
    <row r="109" spans="2:20" x14ac:dyDescent="0.3">
      <c r="E109" t="s">
        <v>76</v>
      </c>
      <c r="F109">
        <v>2</v>
      </c>
    </row>
    <row r="110" spans="2:20" x14ac:dyDescent="0.3">
      <c r="E110" t="s">
        <v>65</v>
      </c>
      <c r="F110">
        <v>3</v>
      </c>
      <c r="J110">
        <v>1</v>
      </c>
      <c r="N110">
        <v>6</v>
      </c>
      <c r="O110">
        <v>3</v>
      </c>
    </row>
    <row r="111" spans="2:20" x14ac:dyDescent="0.3">
      <c r="E111" t="s">
        <v>93</v>
      </c>
      <c r="F111">
        <v>11</v>
      </c>
      <c r="G111">
        <v>1</v>
      </c>
      <c r="I111">
        <v>1</v>
      </c>
      <c r="J111">
        <v>11</v>
      </c>
      <c r="M111">
        <v>24</v>
      </c>
    </row>
    <row r="112" spans="2:20" x14ac:dyDescent="0.3">
      <c r="E112" t="s">
        <v>66</v>
      </c>
      <c r="F112">
        <v>2</v>
      </c>
      <c r="N112">
        <v>3</v>
      </c>
      <c r="O112">
        <v>3</v>
      </c>
    </row>
    <row r="113" spans="1:20" x14ac:dyDescent="0.3">
      <c r="E113" t="s">
        <v>69</v>
      </c>
      <c r="F113">
        <v>2</v>
      </c>
      <c r="I113">
        <v>1</v>
      </c>
      <c r="J113">
        <v>1</v>
      </c>
      <c r="O113">
        <v>1</v>
      </c>
    </row>
    <row r="114" spans="1:20" x14ac:dyDescent="0.3">
      <c r="E114" t="s">
        <v>91</v>
      </c>
      <c r="F114">
        <v>2</v>
      </c>
      <c r="Q114">
        <v>2</v>
      </c>
    </row>
    <row r="115" spans="1:20" x14ac:dyDescent="0.3">
      <c r="E115" t="s">
        <v>177</v>
      </c>
      <c r="F115">
        <v>1</v>
      </c>
      <c r="N115">
        <v>1</v>
      </c>
      <c r="O115">
        <v>2</v>
      </c>
    </row>
    <row r="116" spans="1:20" x14ac:dyDescent="0.3">
      <c r="E116" t="s">
        <v>73</v>
      </c>
      <c r="F116">
        <v>1</v>
      </c>
      <c r="G116">
        <v>1</v>
      </c>
      <c r="H116">
        <v>1</v>
      </c>
      <c r="I116">
        <v>3</v>
      </c>
      <c r="J116">
        <v>3</v>
      </c>
      <c r="M116">
        <v>3</v>
      </c>
      <c r="O116">
        <v>1</v>
      </c>
    </row>
    <row r="117" spans="1:20" x14ac:dyDescent="0.3">
      <c r="E117" t="s">
        <v>70</v>
      </c>
      <c r="F117">
        <v>1</v>
      </c>
    </row>
    <row r="118" spans="1:20" x14ac:dyDescent="0.3">
      <c r="E118" t="s">
        <v>67</v>
      </c>
      <c r="F118">
        <v>1</v>
      </c>
      <c r="I118">
        <v>1</v>
      </c>
      <c r="O118">
        <v>1</v>
      </c>
    </row>
    <row r="119" spans="1:20" x14ac:dyDescent="0.3">
      <c r="E119" t="s">
        <v>94</v>
      </c>
      <c r="F119">
        <v>1</v>
      </c>
    </row>
    <row r="120" spans="1:20" x14ac:dyDescent="0.3">
      <c r="E120" t="s">
        <v>83</v>
      </c>
      <c r="F120">
        <v>1</v>
      </c>
      <c r="I120">
        <v>1</v>
      </c>
      <c r="J120">
        <v>1</v>
      </c>
      <c r="M120">
        <v>2</v>
      </c>
    </row>
    <row r="121" spans="1:20" x14ac:dyDescent="0.3">
      <c r="E121" t="s">
        <v>75</v>
      </c>
      <c r="F121">
        <v>1</v>
      </c>
      <c r="O121">
        <v>2</v>
      </c>
    </row>
    <row r="122" spans="1:20" x14ac:dyDescent="0.3">
      <c r="E122" t="s">
        <v>68</v>
      </c>
      <c r="F122">
        <v>1</v>
      </c>
    </row>
    <row r="123" spans="1:20" x14ac:dyDescent="0.3">
      <c r="E123" t="s">
        <v>84</v>
      </c>
      <c r="F123">
        <v>1</v>
      </c>
    </row>
    <row r="124" spans="1:20" x14ac:dyDescent="0.3">
      <c r="E124" t="s">
        <v>72</v>
      </c>
      <c r="F124">
        <v>1</v>
      </c>
      <c r="K124">
        <v>2</v>
      </c>
      <c r="N124">
        <v>1</v>
      </c>
    </row>
    <row r="125" spans="1:20" x14ac:dyDescent="0.3">
      <c r="A125" s="4">
        <v>44336</v>
      </c>
      <c r="B125" t="s">
        <v>64</v>
      </c>
      <c r="C125">
        <v>69.5</v>
      </c>
      <c r="D125">
        <v>0.4</v>
      </c>
      <c r="E125" t="s">
        <v>73</v>
      </c>
      <c r="F125">
        <v>2</v>
      </c>
      <c r="G125">
        <v>11</v>
      </c>
      <c r="H125">
        <v>1</v>
      </c>
      <c r="I125">
        <v>2</v>
      </c>
      <c r="K125">
        <v>1</v>
      </c>
      <c r="M125">
        <v>1</v>
      </c>
      <c r="S125" t="s">
        <v>82</v>
      </c>
      <c r="T125">
        <v>2</v>
      </c>
    </row>
    <row r="126" spans="1:20" x14ac:dyDescent="0.3">
      <c r="E126" t="s">
        <v>71</v>
      </c>
      <c r="F126">
        <v>3</v>
      </c>
      <c r="G126">
        <v>3</v>
      </c>
      <c r="H126">
        <v>1</v>
      </c>
      <c r="J126">
        <v>6</v>
      </c>
      <c r="K126">
        <v>12</v>
      </c>
      <c r="L126">
        <v>2</v>
      </c>
      <c r="M126">
        <v>17</v>
      </c>
      <c r="S126" t="s">
        <v>81</v>
      </c>
      <c r="T126">
        <v>2</v>
      </c>
    </row>
    <row r="127" spans="1:20" x14ac:dyDescent="0.3">
      <c r="E127" t="s">
        <v>74</v>
      </c>
      <c r="F127">
        <v>2</v>
      </c>
      <c r="N127">
        <v>1</v>
      </c>
      <c r="O127">
        <v>2</v>
      </c>
    </row>
    <row r="128" spans="1:20" x14ac:dyDescent="0.3">
      <c r="E128" t="s">
        <v>69</v>
      </c>
      <c r="F128">
        <v>4</v>
      </c>
      <c r="G128">
        <v>5</v>
      </c>
      <c r="H128">
        <v>2</v>
      </c>
      <c r="I128">
        <v>1</v>
      </c>
      <c r="J128">
        <v>2</v>
      </c>
      <c r="K128">
        <v>2</v>
      </c>
      <c r="L128">
        <v>1</v>
      </c>
    </row>
    <row r="129" spans="2:15" x14ac:dyDescent="0.3">
      <c r="E129" t="s">
        <v>65</v>
      </c>
      <c r="F129">
        <v>4</v>
      </c>
      <c r="G129">
        <v>22</v>
      </c>
      <c r="H129">
        <v>14</v>
      </c>
      <c r="I129">
        <v>2</v>
      </c>
      <c r="J129">
        <v>3</v>
      </c>
      <c r="N129">
        <v>3</v>
      </c>
    </row>
    <row r="130" spans="2:15" x14ac:dyDescent="0.3">
      <c r="E130" t="s">
        <v>68</v>
      </c>
      <c r="F130">
        <v>4</v>
      </c>
      <c r="G130">
        <v>14</v>
      </c>
      <c r="K130">
        <v>1</v>
      </c>
    </row>
    <row r="131" spans="2:15" x14ac:dyDescent="0.3">
      <c r="E131" t="s">
        <v>67</v>
      </c>
      <c r="F131">
        <v>1</v>
      </c>
      <c r="G131">
        <v>1</v>
      </c>
      <c r="I131">
        <v>1</v>
      </c>
    </row>
    <row r="132" spans="2:15" x14ac:dyDescent="0.3">
      <c r="E132" t="s">
        <v>76</v>
      </c>
      <c r="F132">
        <v>1</v>
      </c>
    </row>
    <row r="133" spans="2:15" x14ac:dyDescent="0.3">
      <c r="E133" t="s">
        <v>177</v>
      </c>
      <c r="F133">
        <v>3</v>
      </c>
      <c r="N133">
        <v>2</v>
      </c>
      <c r="O133">
        <v>1</v>
      </c>
    </row>
    <row r="134" spans="2:15" x14ac:dyDescent="0.3">
      <c r="E134" t="s">
        <v>94</v>
      </c>
      <c r="F134">
        <v>1</v>
      </c>
      <c r="J134">
        <v>1</v>
      </c>
      <c r="L134">
        <v>1</v>
      </c>
      <c r="M134">
        <v>1</v>
      </c>
    </row>
    <row r="135" spans="2:15" x14ac:dyDescent="0.3">
      <c r="E135" t="s">
        <v>80</v>
      </c>
      <c r="F135">
        <v>2</v>
      </c>
    </row>
    <row r="136" spans="2:15" x14ac:dyDescent="0.3">
      <c r="E136" t="s">
        <v>93</v>
      </c>
      <c r="F136">
        <v>4</v>
      </c>
      <c r="G136">
        <v>3</v>
      </c>
      <c r="I136">
        <v>2</v>
      </c>
      <c r="J136">
        <v>1</v>
      </c>
      <c r="M136">
        <v>4</v>
      </c>
    </row>
    <row r="137" spans="2:15" x14ac:dyDescent="0.3">
      <c r="E137" t="s">
        <v>84</v>
      </c>
      <c r="F137">
        <v>1</v>
      </c>
    </row>
    <row r="138" spans="2:15" x14ac:dyDescent="0.3">
      <c r="E138" t="s">
        <v>66</v>
      </c>
      <c r="F138">
        <v>1</v>
      </c>
      <c r="N138">
        <v>1</v>
      </c>
    </row>
    <row r="139" spans="2:15" x14ac:dyDescent="0.3">
      <c r="E139" t="s">
        <v>72</v>
      </c>
      <c r="F139">
        <v>1</v>
      </c>
      <c r="H139">
        <v>1</v>
      </c>
    </row>
    <row r="140" spans="2:15" x14ac:dyDescent="0.3">
      <c r="E140" t="s">
        <v>83</v>
      </c>
      <c r="F140">
        <v>1</v>
      </c>
      <c r="G140">
        <v>1</v>
      </c>
      <c r="M140">
        <v>1</v>
      </c>
    </row>
    <row r="141" spans="2:15" x14ac:dyDescent="0.3">
      <c r="B141" t="s">
        <v>48</v>
      </c>
      <c r="C141">
        <v>83.9</v>
      </c>
      <c r="D141">
        <v>0.4</v>
      </c>
      <c r="E141" t="s">
        <v>84</v>
      </c>
      <c r="F141">
        <v>1</v>
      </c>
      <c r="G141">
        <v>1</v>
      </c>
      <c r="I141">
        <v>1</v>
      </c>
    </row>
    <row r="142" spans="2:15" x14ac:dyDescent="0.3">
      <c r="E142" t="s">
        <v>73</v>
      </c>
      <c r="F142">
        <v>2</v>
      </c>
      <c r="G142">
        <v>1</v>
      </c>
      <c r="H142">
        <v>1</v>
      </c>
      <c r="I142">
        <v>3</v>
      </c>
      <c r="J142">
        <v>5</v>
      </c>
      <c r="M142">
        <v>5</v>
      </c>
      <c r="O142">
        <v>1</v>
      </c>
    </row>
    <row r="143" spans="2:15" x14ac:dyDescent="0.3">
      <c r="E143" t="s">
        <v>67</v>
      </c>
      <c r="F143">
        <v>2</v>
      </c>
      <c r="I143">
        <v>1</v>
      </c>
    </row>
    <row r="144" spans="2:15" x14ac:dyDescent="0.3">
      <c r="E144" t="s">
        <v>65</v>
      </c>
      <c r="F144">
        <v>3</v>
      </c>
      <c r="H144">
        <v>1</v>
      </c>
      <c r="J144">
        <v>1</v>
      </c>
      <c r="N144">
        <v>9</v>
      </c>
      <c r="O144">
        <v>2</v>
      </c>
    </row>
    <row r="145" spans="1:20" x14ac:dyDescent="0.3">
      <c r="E145" t="s">
        <v>66</v>
      </c>
      <c r="F145">
        <v>1</v>
      </c>
      <c r="O145">
        <v>3</v>
      </c>
    </row>
    <row r="146" spans="1:20" x14ac:dyDescent="0.3">
      <c r="E146" t="s">
        <v>74</v>
      </c>
      <c r="F146">
        <v>2</v>
      </c>
      <c r="N146">
        <v>5</v>
      </c>
      <c r="O146">
        <v>2</v>
      </c>
    </row>
    <row r="147" spans="1:20" x14ac:dyDescent="0.3">
      <c r="E147" t="s">
        <v>69</v>
      </c>
      <c r="F147">
        <v>3</v>
      </c>
      <c r="H147">
        <v>1</v>
      </c>
      <c r="I147">
        <v>2</v>
      </c>
    </row>
    <row r="148" spans="1:20" x14ac:dyDescent="0.3">
      <c r="E148" t="s">
        <v>71</v>
      </c>
      <c r="F148">
        <v>2</v>
      </c>
      <c r="J148">
        <v>8</v>
      </c>
      <c r="M148">
        <v>8</v>
      </c>
    </row>
    <row r="149" spans="1:20" x14ac:dyDescent="0.3">
      <c r="E149" t="s">
        <v>72</v>
      </c>
      <c r="F149">
        <v>1</v>
      </c>
      <c r="J149">
        <v>1</v>
      </c>
    </row>
    <row r="150" spans="1:20" x14ac:dyDescent="0.3">
      <c r="E150" t="s">
        <v>70</v>
      </c>
      <c r="F150">
        <v>1</v>
      </c>
    </row>
    <row r="151" spans="1:20" x14ac:dyDescent="0.3">
      <c r="E151" t="s">
        <v>93</v>
      </c>
      <c r="F151">
        <v>2</v>
      </c>
      <c r="J151">
        <v>1</v>
      </c>
      <c r="M151">
        <v>4</v>
      </c>
    </row>
    <row r="152" spans="1:20" x14ac:dyDescent="0.3">
      <c r="E152" t="s">
        <v>76</v>
      </c>
      <c r="F152">
        <v>1</v>
      </c>
      <c r="M152">
        <v>1</v>
      </c>
    </row>
    <row r="153" spans="1:20" x14ac:dyDescent="0.3">
      <c r="E153" t="s">
        <v>94</v>
      </c>
      <c r="F153">
        <v>1</v>
      </c>
      <c r="J153">
        <v>1</v>
      </c>
    </row>
    <row r="154" spans="1:20" x14ac:dyDescent="0.3">
      <c r="E154" t="s">
        <v>177</v>
      </c>
      <c r="F154">
        <v>1</v>
      </c>
      <c r="N154">
        <v>3</v>
      </c>
    </row>
    <row r="155" spans="1:20" x14ac:dyDescent="0.3">
      <c r="E155" t="s">
        <v>75</v>
      </c>
      <c r="F155">
        <v>2</v>
      </c>
      <c r="O155">
        <v>2</v>
      </c>
    </row>
    <row r="156" spans="1:20" x14ac:dyDescent="0.3">
      <c r="E156" t="s">
        <v>83</v>
      </c>
      <c r="F156">
        <v>1</v>
      </c>
      <c r="M156">
        <v>1</v>
      </c>
    </row>
    <row r="157" spans="1:20" x14ac:dyDescent="0.3">
      <c r="A157" s="4">
        <v>44339</v>
      </c>
      <c r="B157" t="s">
        <v>64</v>
      </c>
      <c r="C157">
        <v>73.099999999999994</v>
      </c>
      <c r="D157">
        <v>3.3</v>
      </c>
      <c r="E157" t="s">
        <v>71</v>
      </c>
      <c r="F157">
        <v>7</v>
      </c>
      <c r="H157">
        <v>3</v>
      </c>
      <c r="I157">
        <v>3</v>
      </c>
      <c r="J157">
        <v>14</v>
      </c>
      <c r="K157">
        <v>10</v>
      </c>
      <c r="L157">
        <v>2</v>
      </c>
      <c r="M157">
        <v>19</v>
      </c>
      <c r="S157" t="s">
        <v>82</v>
      </c>
      <c r="T157">
        <v>1</v>
      </c>
    </row>
    <row r="158" spans="1:20" x14ac:dyDescent="0.3">
      <c r="E158" t="s">
        <v>93</v>
      </c>
      <c r="F158">
        <v>1</v>
      </c>
      <c r="J158">
        <v>1</v>
      </c>
      <c r="S158" t="s">
        <v>81</v>
      </c>
      <c r="T158">
        <v>1</v>
      </c>
    </row>
    <row r="159" spans="1:20" x14ac:dyDescent="0.3">
      <c r="E159" t="s">
        <v>65</v>
      </c>
      <c r="F159">
        <v>4</v>
      </c>
      <c r="G159">
        <v>17</v>
      </c>
      <c r="H159">
        <v>11</v>
      </c>
      <c r="I159">
        <v>3</v>
      </c>
      <c r="J159">
        <v>2</v>
      </c>
      <c r="N159">
        <v>2</v>
      </c>
      <c r="O159">
        <v>1</v>
      </c>
    </row>
    <row r="160" spans="1:20" x14ac:dyDescent="0.3">
      <c r="E160" t="s">
        <v>72</v>
      </c>
      <c r="F160">
        <v>1</v>
      </c>
      <c r="G160">
        <v>1</v>
      </c>
    </row>
    <row r="161" spans="2:20" x14ac:dyDescent="0.3">
      <c r="E161" t="s">
        <v>177</v>
      </c>
      <c r="F161">
        <v>15</v>
      </c>
      <c r="N161">
        <v>29</v>
      </c>
      <c r="O161">
        <v>9</v>
      </c>
    </row>
    <row r="162" spans="2:20" x14ac:dyDescent="0.3">
      <c r="E162" t="s">
        <v>70</v>
      </c>
      <c r="F162">
        <v>1</v>
      </c>
      <c r="H162">
        <v>1</v>
      </c>
    </row>
    <row r="163" spans="2:20" x14ac:dyDescent="0.3">
      <c r="E163" t="s">
        <v>69</v>
      </c>
      <c r="F163">
        <v>3</v>
      </c>
      <c r="G163">
        <v>5</v>
      </c>
      <c r="H163">
        <v>3</v>
      </c>
      <c r="I163">
        <v>1</v>
      </c>
      <c r="J163">
        <v>6</v>
      </c>
      <c r="K163">
        <v>4</v>
      </c>
      <c r="L163">
        <v>2</v>
      </c>
    </row>
    <row r="164" spans="2:20" x14ac:dyDescent="0.3">
      <c r="E164" t="s">
        <v>68</v>
      </c>
      <c r="F164">
        <v>3</v>
      </c>
      <c r="G164">
        <v>5</v>
      </c>
      <c r="H164">
        <v>2</v>
      </c>
      <c r="I164">
        <v>2</v>
      </c>
      <c r="K164">
        <v>1</v>
      </c>
    </row>
    <row r="165" spans="2:20" x14ac:dyDescent="0.3">
      <c r="E165" t="s">
        <v>74</v>
      </c>
      <c r="F165">
        <v>1</v>
      </c>
      <c r="G165">
        <v>1</v>
      </c>
      <c r="N165">
        <v>2</v>
      </c>
    </row>
    <row r="166" spans="2:20" x14ac:dyDescent="0.3">
      <c r="E166" t="s">
        <v>67</v>
      </c>
      <c r="F166">
        <v>1</v>
      </c>
      <c r="I166">
        <v>1</v>
      </c>
      <c r="N166">
        <v>1</v>
      </c>
    </row>
    <row r="167" spans="2:20" x14ac:dyDescent="0.3">
      <c r="E167" t="s">
        <v>73</v>
      </c>
      <c r="F167">
        <v>1</v>
      </c>
      <c r="G167">
        <v>3</v>
      </c>
      <c r="H167">
        <v>1</v>
      </c>
      <c r="J167">
        <v>1</v>
      </c>
    </row>
    <row r="168" spans="2:20" x14ac:dyDescent="0.3">
      <c r="E168" t="s">
        <v>84</v>
      </c>
      <c r="F168">
        <v>1</v>
      </c>
    </row>
    <row r="169" spans="2:20" x14ac:dyDescent="0.3">
      <c r="E169" t="s">
        <v>91</v>
      </c>
      <c r="F169">
        <v>1</v>
      </c>
      <c r="Q169">
        <v>1</v>
      </c>
    </row>
    <row r="170" spans="2:20" x14ac:dyDescent="0.3">
      <c r="B170" t="s">
        <v>48</v>
      </c>
      <c r="C170">
        <v>85.7</v>
      </c>
      <c r="D170">
        <v>2.9</v>
      </c>
      <c r="E170" t="s">
        <v>71</v>
      </c>
      <c r="F170">
        <v>6</v>
      </c>
      <c r="J170">
        <v>8</v>
      </c>
      <c r="L170">
        <v>2</v>
      </c>
      <c r="M170">
        <v>14</v>
      </c>
      <c r="S170" t="s">
        <v>81</v>
      </c>
      <c r="T170">
        <v>1</v>
      </c>
    </row>
    <row r="171" spans="2:20" x14ac:dyDescent="0.3">
      <c r="E171" t="s">
        <v>73</v>
      </c>
      <c r="F171">
        <v>1</v>
      </c>
      <c r="G171">
        <v>3</v>
      </c>
      <c r="H171">
        <v>1</v>
      </c>
      <c r="I171">
        <v>4</v>
      </c>
      <c r="J171">
        <v>2</v>
      </c>
      <c r="N171">
        <v>3</v>
      </c>
      <c r="S171" t="s">
        <v>82</v>
      </c>
      <c r="T171">
        <v>1</v>
      </c>
    </row>
    <row r="172" spans="2:20" x14ac:dyDescent="0.3">
      <c r="E172" t="s">
        <v>65</v>
      </c>
      <c r="F172">
        <v>3</v>
      </c>
      <c r="H172">
        <v>6</v>
      </c>
      <c r="I172">
        <v>6</v>
      </c>
      <c r="J172">
        <v>3</v>
      </c>
      <c r="N172">
        <v>19</v>
      </c>
    </row>
    <row r="173" spans="2:20" x14ac:dyDescent="0.3">
      <c r="E173" t="s">
        <v>68</v>
      </c>
      <c r="F173">
        <v>7</v>
      </c>
      <c r="H173">
        <v>12</v>
      </c>
      <c r="K173">
        <v>1</v>
      </c>
    </row>
    <row r="174" spans="2:20" x14ac:dyDescent="0.3">
      <c r="E174" t="s">
        <v>177</v>
      </c>
      <c r="F174">
        <v>4</v>
      </c>
      <c r="N174">
        <v>14</v>
      </c>
      <c r="O174">
        <v>2</v>
      </c>
    </row>
    <row r="175" spans="2:20" x14ac:dyDescent="0.3">
      <c r="E175" t="s">
        <v>74</v>
      </c>
      <c r="F175">
        <v>2</v>
      </c>
      <c r="N175">
        <v>8</v>
      </c>
      <c r="O175">
        <v>1</v>
      </c>
    </row>
    <row r="176" spans="2:20" x14ac:dyDescent="0.3">
      <c r="E176" t="s">
        <v>66</v>
      </c>
      <c r="F176">
        <v>1</v>
      </c>
      <c r="N176">
        <v>2</v>
      </c>
      <c r="O176">
        <v>1</v>
      </c>
    </row>
    <row r="177" spans="5:18" x14ac:dyDescent="0.3">
      <c r="E177" t="s">
        <v>75</v>
      </c>
      <c r="F177">
        <v>2</v>
      </c>
      <c r="N177">
        <v>1</v>
      </c>
      <c r="R177">
        <v>1</v>
      </c>
    </row>
    <row r="178" spans="5:18" x14ac:dyDescent="0.3">
      <c r="E178" t="s">
        <v>69</v>
      </c>
      <c r="F178">
        <v>3</v>
      </c>
      <c r="H178">
        <v>3</v>
      </c>
      <c r="I178">
        <v>1</v>
      </c>
      <c r="O178">
        <v>2</v>
      </c>
    </row>
    <row r="179" spans="5:18" x14ac:dyDescent="0.3">
      <c r="E179" t="s">
        <v>70</v>
      </c>
      <c r="F179">
        <v>1</v>
      </c>
    </row>
    <row r="180" spans="5:18" x14ac:dyDescent="0.3">
      <c r="E180" t="s">
        <v>72</v>
      </c>
      <c r="F180">
        <v>1</v>
      </c>
      <c r="H180">
        <v>1</v>
      </c>
      <c r="J180">
        <v>1</v>
      </c>
    </row>
    <row r="181" spans="5:18" x14ac:dyDescent="0.3">
      <c r="E181" t="s">
        <v>79</v>
      </c>
      <c r="F181">
        <v>1</v>
      </c>
      <c r="N181">
        <v>2</v>
      </c>
    </row>
    <row r="182" spans="5:18" x14ac:dyDescent="0.3">
      <c r="E182" t="s">
        <v>84</v>
      </c>
      <c r="F182">
        <v>1</v>
      </c>
    </row>
    <row r="183" spans="5:18" x14ac:dyDescent="0.3">
      <c r="E183" t="s">
        <v>97</v>
      </c>
      <c r="F183">
        <v>1</v>
      </c>
      <c r="N183">
        <v>1</v>
      </c>
    </row>
  </sheetData>
  <mergeCells count="3">
    <mergeCell ref="G1:R1"/>
    <mergeCell ref="S1:T1"/>
    <mergeCell ref="U1:V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424E-951B-4207-A5CE-6A3F0966FD52}">
  <dimension ref="A1:F19"/>
  <sheetViews>
    <sheetView workbookViewId="0">
      <selection activeCell="E6" sqref="E6"/>
    </sheetView>
  </sheetViews>
  <sheetFormatPr defaultRowHeight="14.4" x14ac:dyDescent="0.3"/>
  <cols>
    <col min="1" max="1" width="80.44140625" bestFit="1" customWidth="1"/>
    <col min="2" max="2" width="27.109375" bestFit="1" customWidth="1"/>
  </cols>
  <sheetData>
    <row r="1" spans="1:6" ht="15" thickBot="1" x14ac:dyDescent="0.35">
      <c r="A1" t="s">
        <v>251</v>
      </c>
      <c r="D1" s="44" t="s">
        <v>262</v>
      </c>
      <c r="E1" s="44"/>
    </row>
    <row r="2" spans="1:6" x14ac:dyDescent="0.3">
      <c r="A2" t="s">
        <v>252</v>
      </c>
      <c r="D2" t="s">
        <v>263</v>
      </c>
      <c r="E2">
        <v>1.96</v>
      </c>
      <c r="F2" t="s">
        <v>265</v>
      </c>
    </row>
    <row r="3" spans="1:6" ht="15" thickBot="1" x14ac:dyDescent="0.35">
      <c r="A3" s="44" t="s">
        <v>259</v>
      </c>
      <c r="B3" s="44"/>
      <c r="D3" t="s">
        <v>226</v>
      </c>
      <c r="E3">
        <v>0.10497485023838882</v>
      </c>
    </row>
    <row r="4" spans="1:6" x14ac:dyDescent="0.3">
      <c r="A4" t="s">
        <v>253</v>
      </c>
      <c r="B4">
        <v>1</v>
      </c>
      <c r="D4" t="s">
        <v>264</v>
      </c>
      <c r="E4">
        <v>0.05</v>
      </c>
    </row>
    <row r="5" spans="1:6" x14ac:dyDescent="0.3">
      <c r="A5" t="s">
        <v>254</v>
      </c>
      <c r="B5">
        <v>2</v>
      </c>
    </row>
    <row r="6" spans="1:6" x14ac:dyDescent="0.3">
      <c r="A6" t="s">
        <v>255</v>
      </c>
      <c r="B6">
        <v>2</v>
      </c>
      <c r="D6" t="s">
        <v>220</v>
      </c>
      <c r="E6">
        <f>((E2*E3)/E4)^2</f>
        <v>16.93334128470768</v>
      </c>
    </row>
    <row r="7" spans="1:6" x14ac:dyDescent="0.3">
      <c r="A7" t="s">
        <v>261</v>
      </c>
      <c r="B7">
        <f>1/9</f>
        <v>0.1111111111111111</v>
      </c>
    </row>
    <row r="8" spans="1:6" x14ac:dyDescent="0.3">
      <c r="A8" t="s">
        <v>256</v>
      </c>
      <c r="B8">
        <f>(B7/B6)</f>
        <v>5.5555555555555552E-2</v>
      </c>
    </row>
    <row r="9" spans="1:6" x14ac:dyDescent="0.3">
      <c r="A9" t="s">
        <v>257</v>
      </c>
      <c r="B9">
        <f>B8*1000000</f>
        <v>55555.555555555555</v>
      </c>
    </row>
    <row r="10" spans="1:6" x14ac:dyDescent="0.3">
      <c r="A10" t="s">
        <v>258</v>
      </c>
      <c r="B10">
        <v>3.1</v>
      </c>
    </row>
    <row r="12" spans="1:6" ht="15" thickBot="1" x14ac:dyDescent="0.35">
      <c r="A12" s="44" t="s">
        <v>260</v>
      </c>
      <c r="B12" s="44"/>
    </row>
    <row r="13" spans="1:6" x14ac:dyDescent="0.3">
      <c r="A13" t="s">
        <v>253</v>
      </c>
      <c r="B13">
        <v>1</v>
      </c>
    </row>
    <row r="14" spans="1:6" x14ac:dyDescent="0.3">
      <c r="A14" t="s">
        <v>254</v>
      </c>
      <c r="B14">
        <v>2</v>
      </c>
    </row>
    <row r="15" spans="1:6" x14ac:dyDescent="0.3">
      <c r="A15" t="s">
        <v>255</v>
      </c>
      <c r="B15">
        <v>2</v>
      </c>
    </row>
    <row r="16" spans="1:6" x14ac:dyDescent="0.3">
      <c r="A16" t="s">
        <v>261</v>
      </c>
      <c r="B16">
        <v>0</v>
      </c>
    </row>
    <row r="17" spans="1:5" x14ac:dyDescent="0.3">
      <c r="A17" t="s">
        <v>256</v>
      </c>
      <c r="B17">
        <v>0</v>
      </c>
    </row>
    <row r="18" spans="1:5" x14ac:dyDescent="0.3">
      <c r="A18" t="s">
        <v>257</v>
      </c>
      <c r="B18">
        <v>0</v>
      </c>
      <c r="E18" s="26"/>
    </row>
    <row r="19" spans="1:5" x14ac:dyDescent="0.3">
      <c r="A19" t="s">
        <v>258</v>
      </c>
      <c r="B19">
        <v>0</v>
      </c>
    </row>
  </sheetData>
  <mergeCells count="3">
    <mergeCell ref="A3:B3"/>
    <mergeCell ref="A12:B1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313F-A910-4C5C-B53A-601C4BC51308}">
  <dimension ref="A1:S117"/>
  <sheetViews>
    <sheetView topLeftCell="C1" workbookViewId="0">
      <selection activeCell="K14" sqref="K14"/>
    </sheetView>
  </sheetViews>
  <sheetFormatPr defaultRowHeight="14.4" x14ac:dyDescent="0.3"/>
  <cols>
    <col min="1" max="1" width="9.5546875" bestFit="1" customWidth="1"/>
    <col min="2" max="2" width="15.109375" bestFit="1" customWidth="1"/>
    <col min="3" max="3" width="24.77734375" bestFit="1" customWidth="1"/>
    <col min="4" max="4" width="17.6640625" bestFit="1" customWidth="1"/>
    <col min="5" max="5" width="11.109375" bestFit="1" customWidth="1"/>
    <col min="7" max="7" width="19.21875" bestFit="1" customWidth="1"/>
    <col min="11" max="11" width="9.5546875" bestFit="1" customWidth="1"/>
    <col min="12" max="12" width="12.33203125" bestFit="1" customWidth="1"/>
    <col min="15" max="15" width="4.88671875" style="27" customWidth="1"/>
  </cols>
  <sheetData>
    <row r="1" spans="1:12" ht="15" thickBot="1" x14ac:dyDescent="0.35">
      <c r="A1" s="6" t="s">
        <v>32</v>
      </c>
      <c r="B1" s="6" t="s">
        <v>49</v>
      </c>
      <c r="C1" s="6" t="s">
        <v>51</v>
      </c>
      <c r="D1" s="6" t="s">
        <v>167</v>
      </c>
      <c r="E1" s="6" t="s">
        <v>50</v>
      </c>
      <c r="K1" s="6" t="s">
        <v>32</v>
      </c>
      <c r="L1" s="6" t="s">
        <v>247</v>
      </c>
    </row>
    <row r="2" spans="1:12" x14ac:dyDescent="0.3">
      <c r="A2" s="4">
        <v>44306</v>
      </c>
      <c r="B2" t="s">
        <v>161</v>
      </c>
      <c r="C2" t="s">
        <v>164</v>
      </c>
      <c r="D2">
        <v>1250</v>
      </c>
      <c r="E2" s="30">
        <f>(D2/1000)*I$4</f>
        <v>2.8529728319363361</v>
      </c>
      <c r="G2" t="s">
        <v>236</v>
      </c>
      <c r="H2" t="s">
        <v>237</v>
      </c>
      <c r="I2" t="s">
        <v>238</v>
      </c>
      <c r="K2" s="4">
        <v>44306</v>
      </c>
      <c r="L2" s="30">
        <f>SUM(E2:E4)</f>
        <v>6.6026548383940504</v>
      </c>
    </row>
    <row r="3" spans="1:12" x14ac:dyDescent="0.3">
      <c r="B3" t="s">
        <v>162</v>
      </c>
      <c r="C3" t="s">
        <v>164</v>
      </c>
      <c r="D3">
        <v>1300</v>
      </c>
      <c r="E3" s="30">
        <f>(D3/1000)*I$4</f>
        <v>2.9670917452137897</v>
      </c>
      <c r="F3" t="s">
        <v>166</v>
      </c>
      <c r="G3">
        <v>30.661000000000001</v>
      </c>
      <c r="H3" s="30">
        <v>47.99</v>
      </c>
      <c r="I3" s="30">
        <f>H3/G3</f>
        <v>1.565180522487851</v>
      </c>
      <c r="K3" s="4">
        <v>44307</v>
      </c>
      <c r="L3" s="30">
        <f>SUM(E5:E12)</f>
        <v>5.5073249404781315</v>
      </c>
    </row>
    <row r="4" spans="1:12" x14ac:dyDescent="0.3">
      <c r="B4" t="s">
        <v>55</v>
      </c>
      <c r="C4" t="s">
        <v>165</v>
      </c>
      <c r="D4">
        <v>500</v>
      </c>
      <c r="E4" s="30">
        <f>(D4/1000)*I$3</f>
        <v>0.7825902612439255</v>
      </c>
      <c r="F4" t="s">
        <v>164</v>
      </c>
      <c r="G4">
        <f>G3/2</f>
        <v>15.330500000000001</v>
      </c>
      <c r="H4" s="30">
        <v>34.99</v>
      </c>
      <c r="I4" s="30">
        <f>H4/G4</f>
        <v>2.282378265549069</v>
      </c>
      <c r="K4" s="4">
        <v>44308</v>
      </c>
      <c r="L4" s="30">
        <f>SUM(E13:E16)</f>
        <v>2.817324940478132</v>
      </c>
    </row>
    <row r="5" spans="1:12" x14ac:dyDescent="0.3">
      <c r="A5" s="4">
        <v>44307</v>
      </c>
      <c r="B5" t="s">
        <v>55</v>
      </c>
      <c r="C5" t="s">
        <v>166</v>
      </c>
      <c r="D5">
        <v>500</v>
      </c>
      <c r="E5" s="30">
        <f>(D5/1000)*I$3</f>
        <v>0.7825902612439255</v>
      </c>
      <c r="F5" t="s">
        <v>169</v>
      </c>
      <c r="G5" t="s">
        <v>240</v>
      </c>
      <c r="H5" s="30">
        <v>9.99</v>
      </c>
      <c r="I5" s="30">
        <f>H5/10</f>
        <v>0.999</v>
      </c>
      <c r="K5" s="4">
        <v>44309</v>
      </c>
      <c r="L5" s="30">
        <f>SUM(E17:E23)</f>
        <v>4.1920384201428522</v>
      </c>
    </row>
    <row r="6" spans="1:12" x14ac:dyDescent="0.3">
      <c r="B6" t="s">
        <v>36</v>
      </c>
      <c r="C6" t="s">
        <v>166</v>
      </c>
      <c r="D6">
        <v>500</v>
      </c>
      <c r="E6" s="30">
        <f t="shared" ref="E6:E8" si="0">(D6/1000)*I$3</f>
        <v>0.7825902612439255</v>
      </c>
      <c r="F6" t="s">
        <v>173</v>
      </c>
      <c r="G6" t="s">
        <v>241</v>
      </c>
      <c r="H6" s="30">
        <v>0.69</v>
      </c>
      <c r="K6" s="4">
        <v>44312</v>
      </c>
      <c r="L6" s="30">
        <f>SUM(E24:E31)</f>
        <v>6.9308923388017343</v>
      </c>
    </row>
    <row r="7" spans="1:12" x14ac:dyDescent="0.3">
      <c r="B7" t="s">
        <v>37</v>
      </c>
      <c r="C7" t="s">
        <v>166</v>
      </c>
      <c r="D7">
        <v>500</v>
      </c>
      <c r="E7" s="30">
        <f t="shared" si="0"/>
        <v>0.7825902612439255</v>
      </c>
      <c r="K7" s="4">
        <v>44313</v>
      </c>
      <c r="L7" s="30">
        <v>0</v>
      </c>
    </row>
    <row r="8" spans="1:12" x14ac:dyDescent="0.3">
      <c r="B8" t="s">
        <v>56</v>
      </c>
      <c r="C8" t="s">
        <v>166</v>
      </c>
      <c r="D8">
        <v>300</v>
      </c>
      <c r="E8" s="30">
        <f t="shared" si="0"/>
        <v>0.46955415674635526</v>
      </c>
      <c r="K8" s="4">
        <v>44314</v>
      </c>
      <c r="L8" s="30">
        <f>SUM(E32:E37)</f>
        <v>3.5073249404781315</v>
      </c>
    </row>
    <row r="9" spans="1:12" x14ac:dyDescent="0.3">
      <c r="B9" t="s">
        <v>168</v>
      </c>
      <c r="C9" t="s">
        <v>169</v>
      </c>
      <c r="D9" t="s">
        <v>170</v>
      </c>
      <c r="E9" s="30">
        <v>1</v>
      </c>
      <c r="K9" s="4">
        <v>44318</v>
      </c>
      <c r="L9" s="30">
        <f>SUM(E38:E44)</f>
        <v>4.6485140732526657</v>
      </c>
    </row>
    <row r="10" spans="1:12" x14ac:dyDescent="0.3">
      <c r="B10" t="s">
        <v>171</v>
      </c>
      <c r="C10" t="s">
        <v>169</v>
      </c>
      <c r="D10" t="s">
        <v>170</v>
      </c>
      <c r="E10" s="30">
        <v>1</v>
      </c>
      <c r="K10" s="4">
        <v>44319</v>
      </c>
      <c r="L10" s="30">
        <f>SUM(E45:E48)</f>
        <v>3.3477707837317765</v>
      </c>
    </row>
    <row r="11" spans="1:12" x14ac:dyDescent="0.3">
      <c r="B11" t="s">
        <v>172</v>
      </c>
      <c r="C11" t="s">
        <v>173</v>
      </c>
      <c r="D11" t="s">
        <v>174</v>
      </c>
      <c r="E11" s="30">
        <f>H$6/2</f>
        <v>0.34499999999999997</v>
      </c>
      <c r="F11" t="s">
        <v>228</v>
      </c>
      <c r="G11">
        <v>1.96</v>
      </c>
      <c r="K11" s="37">
        <v>44320</v>
      </c>
      <c r="L11" s="38">
        <f>SUM(E49:E55)</f>
        <v>4.5073249404781315</v>
      </c>
    </row>
    <row r="12" spans="1:12" x14ac:dyDescent="0.3">
      <c r="B12" t="s">
        <v>175</v>
      </c>
      <c r="C12" t="s">
        <v>173</v>
      </c>
      <c r="D12" t="s">
        <v>174</v>
      </c>
      <c r="E12" s="30">
        <f>H$6/2</f>
        <v>0.34499999999999997</v>
      </c>
      <c r="F12" t="s">
        <v>226</v>
      </c>
      <c r="G12">
        <f>_xlfn.STDEV.S(L2:L12)</f>
        <v>3.3829450712718048</v>
      </c>
      <c r="K12" s="35">
        <v>44321</v>
      </c>
      <c r="L12" s="36">
        <f>SUM(E56:E66)</f>
        <v>13.495648869899872</v>
      </c>
    </row>
    <row r="13" spans="1:12" x14ac:dyDescent="0.3">
      <c r="A13" s="4">
        <v>44308</v>
      </c>
      <c r="B13" t="s">
        <v>55</v>
      </c>
      <c r="C13" t="s">
        <v>166</v>
      </c>
      <c r="D13">
        <v>500</v>
      </c>
      <c r="E13" s="30">
        <f t="shared" ref="E13:E20" si="1">(D13/1000)*I$3</f>
        <v>0.7825902612439255</v>
      </c>
      <c r="F13" t="s">
        <v>264</v>
      </c>
      <c r="G13">
        <v>0.1</v>
      </c>
      <c r="K13" s="4">
        <v>44328</v>
      </c>
      <c r="L13" s="30">
        <f>SUM(E67:E75)</f>
        <v>13.001402433058281</v>
      </c>
    </row>
    <row r="14" spans="1:12" x14ac:dyDescent="0.3">
      <c r="B14" t="s">
        <v>36</v>
      </c>
      <c r="C14" t="s">
        <v>166</v>
      </c>
      <c r="D14">
        <v>500</v>
      </c>
      <c r="E14" s="30">
        <f t="shared" si="1"/>
        <v>0.7825902612439255</v>
      </c>
      <c r="K14" s="4">
        <v>44333</v>
      </c>
      <c r="L14" s="30">
        <f>SUM(E76:E81)</f>
        <v>6.9308923388017334</v>
      </c>
    </row>
    <row r="15" spans="1:12" x14ac:dyDescent="0.3">
      <c r="B15" t="s">
        <v>37</v>
      </c>
      <c r="C15" t="s">
        <v>166</v>
      </c>
      <c r="D15">
        <v>500</v>
      </c>
      <c r="E15" s="30">
        <f t="shared" si="1"/>
        <v>0.7825902612439255</v>
      </c>
      <c r="F15" t="s">
        <v>220</v>
      </c>
      <c r="G15">
        <f>((G11*G12)/G13)^2</f>
        <v>4396.4489551898405</v>
      </c>
      <c r="K15" s="4">
        <v>44334</v>
      </c>
      <c r="L15" s="30">
        <f>SUM(E82:E88)</f>
        <v>8.1646717328201941</v>
      </c>
    </row>
    <row r="16" spans="1:12" x14ac:dyDescent="0.3">
      <c r="B16" t="s">
        <v>56</v>
      </c>
      <c r="C16" t="s">
        <v>166</v>
      </c>
      <c r="D16">
        <v>300</v>
      </c>
      <c r="E16" s="30">
        <f t="shared" si="1"/>
        <v>0.46955415674635526</v>
      </c>
      <c r="K16" s="4">
        <v>44335</v>
      </c>
      <c r="L16" s="30">
        <f>SUM(E89:E95)</f>
        <v>7.5537161214572244</v>
      </c>
    </row>
    <row r="17" spans="1:19" x14ac:dyDescent="0.3">
      <c r="A17" s="4">
        <v>44309</v>
      </c>
      <c r="B17" t="s">
        <v>55</v>
      </c>
      <c r="C17" t="s">
        <v>166</v>
      </c>
      <c r="D17">
        <v>500</v>
      </c>
      <c r="E17" s="30">
        <f t="shared" si="1"/>
        <v>0.7825902612439255</v>
      </c>
      <c r="K17" s="4">
        <v>44336</v>
      </c>
      <c r="L17" s="30">
        <f>SUM(E96:E102)</f>
        <v>8.1646717328201941</v>
      </c>
    </row>
    <row r="18" spans="1:19" x14ac:dyDescent="0.3">
      <c r="B18" t="s">
        <v>36</v>
      </c>
      <c r="C18" t="s">
        <v>166</v>
      </c>
      <c r="D18">
        <v>500</v>
      </c>
      <c r="E18" s="30">
        <f t="shared" si="1"/>
        <v>0.7825902612439255</v>
      </c>
      <c r="K18" s="4">
        <v>44339</v>
      </c>
      <c r="L18" s="30">
        <f>SUM(E112:E117)</f>
        <v>7.0234826000456589</v>
      </c>
    </row>
    <row r="19" spans="1:19" x14ac:dyDescent="0.3">
      <c r="B19" t="s">
        <v>37</v>
      </c>
      <c r="C19" t="s">
        <v>166</v>
      </c>
      <c r="D19">
        <v>500</v>
      </c>
      <c r="E19" s="30">
        <f t="shared" si="1"/>
        <v>0.7825902612439255</v>
      </c>
    </row>
    <row r="20" spans="1:19" x14ac:dyDescent="0.3">
      <c r="B20" t="s">
        <v>56</v>
      </c>
      <c r="C20" t="s">
        <v>166</v>
      </c>
      <c r="D20">
        <v>300</v>
      </c>
      <c r="E20" s="30">
        <f t="shared" si="1"/>
        <v>0.46955415674635526</v>
      </c>
      <c r="K20" s="42" t="s">
        <v>268</v>
      </c>
      <c r="L20" s="42"/>
      <c r="M20" s="42"/>
      <c r="N20" s="42"/>
      <c r="P20" s="42" t="s">
        <v>269</v>
      </c>
      <c r="Q20" s="42"/>
      <c r="R20" s="42"/>
      <c r="S20" s="42"/>
    </row>
    <row r="21" spans="1:19" x14ac:dyDescent="0.3">
      <c r="B21" t="s">
        <v>161</v>
      </c>
      <c r="C21" t="s">
        <v>164</v>
      </c>
      <c r="D21">
        <v>300</v>
      </c>
      <c r="E21" s="30">
        <f>(D21/1000)*I$4</f>
        <v>0.68471347966472063</v>
      </c>
      <c r="K21" t="s">
        <v>225</v>
      </c>
      <c r="L21" t="s">
        <v>226</v>
      </c>
      <c r="M21" t="s">
        <v>220</v>
      </c>
      <c r="N21" t="s">
        <v>227</v>
      </c>
      <c r="P21" t="s">
        <v>225</v>
      </c>
      <c r="Q21" t="s">
        <v>226</v>
      </c>
      <c r="R21" t="s">
        <v>220</v>
      </c>
      <c r="S21" t="s">
        <v>227</v>
      </c>
    </row>
    <row r="22" spans="1:19" x14ac:dyDescent="0.3">
      <c r="B22" t="s">
        <v>172</v>
      </c>
      <c r="C22" t="s">
        <v>173</v>
      </c>
      <c r="D22" t="s">
        <v>174</v>
      </c>
      <c r="E22" s="30">
        <f t="shared" ref="E22:E23" si="2">H$6/2</f>
        <v>0.34499999999999997</v>
      </c>
      <c r="K22" s="39">
        <f>AVERAGE(L2:L12)</f>
        <v>5.0506199169214074</v>
      </c>
      <c r="L22">
        <f>_xlfn.STDEV.S(L2:L12)</f>
        <v>3.3829450712718048</v>
      </c>
      <c r="M22">
        <v>11</v>
      </c>
      <c r="N22">
        <f>L22^2/M22</f>
        <v>1.0403924868401997</v>
      </c>
      <c r="P22" s="39">
        <f>AVERAGE(L13:L18)</f>
        <v>8.4731394931672153</v>
      </c>
      <c r="Q22">
        <f>_xlfn.STDEV.S(L13:L18)</f>
        <v>2.2812645923043484</v>
      </c>
      <c r="R22">
        <v>6</v>
      </c>
      <c r="S22">
        <f>Q22^2/R22</f>
        <v>0.86736135668358749</v>
      </c>
    </row>
    <row r="23" spans="1:19" x14ac:dyDescent="0.3">
      <c r="B23" t="s">
        <v>175</v>
      </c>
      <c r="C23" t="s">
        <v>173</v>
      </c>
      <c r="D23" t="s">
        <v>174</v>
      </c>
      <c r="E23" s="30">
        <f t="shared" si="2"/>
        <v>0.34499999999999997</v>
      </c>
    </row>
    <row r="24" spans="1:19" x14ac:dyDescent="0.3">
      <c r="A24" s="4">
        <v>44312</v>
      </c>
      <c r="B24" t="s">
        <v>55</v>
      </c>
      <c r="C24" t="s">
        <v>166</v>
      </c>
      <c r="D24">
        <v>500</v>
      </c>
      <c r="E24" s="30">
        <f t="shared" ref="E24:E27" si="3">(D24/1000)*I$3</f>
        <v>0.7825902612439255</v>
      </c>
      <c r="K24" t="s">
        <v>250</v>
      </c>
      <c r="L24" s="39">
        <f>(K22-P22)/SQRT(N22+S22)</f>
        <v>-2.4779056863566895</v>
      </c>
    </row>
    <row r="25" spans="1:19" x14ac:dyDescent="0.3">
      <c r="B25" t="s">
        <v>36</v>
      </c>
      <c r="C25" t="s">
        <v>166</v>
      </c>
      <c r="D25">
        <v>500</v>
      </c>
      <c r="E25" s="30">
        <f t="shared" si="3"/>
        <v>0.7825902612439255</v>
      </c>
      <c r="K25" t="s">
        <v>231</v>
      </c>
      <c r="L25">
        <f>_xlfn.T.DIST.RT(L24, 15)</f>
        <v>0.98720150707571097</v>
      </c>
    </row>
    <row r="26" spans="1:19" x14ac:dyDescent="0.3">
      <c r="B26" t="s">
        <v>37</v>
      </c>
      <c r="C26" t="s">
        <v>166</v>
      </c>
      <c r="D26">
        <v>500</v>
      </c>
      <c r="E26" s="30">
        <f t="shared" si="3"/>
        <v>0.7825902612439255</v>
      </c>
    </row>
    <row r="27" spans="1:19" x14ac:dyDescent="0.3">
      <c r="B27" t="s">
        <v>56</v>
      </c>
      <c r="C27" t="s">
        <v>166</v>
      </c>
      <c r="D27">
        <v>300</v>
      </c>
      <c r="E27" s="30">
        <f t="shared" si="3"/>
        <v>0.46955415674635526</v>
      </c>
    </row>
    <row r="28" spans="1:19" x14ac:dyDescent="0.3">
      <c r="B28" t="s">
        <v>161</v>
      </c>
      <c r="C28" t="s">
        <v>164</v>
      </c>
      <c r="D28">
        <v>1000</v>
      </c>
      <c r="E28" s="30">
        <f t="shared" ref="E28:E29" si="4">(D28/1000)*I$4</f>
        <v>2.282378265549069</v>
      </c>
      <c r="J28" t="s">
        <v>266</v>
      </c>
    </row>
    <row r="29" spans="1:19" x14ac:dyDescent="0.3">
      <c r="B29" t="s">
        <v>163</v>
      </c>
      <c r="C29" t="s">
        <v>164</v>
      </c>
      <c r="D29">
        <v>500</v>
      </c>
      <c r="E29" s="30">
        <f t="shared" si="4"/>
        <v>1.1411891327745345</v>
      </c>
      <c r="J29" t="s">
        <v>267</v>
      </c>
    </row>
    <row r="30" spans="1:19" x14ac:dyDescent="0.3">
      <c r="B30" t="s">
        <v>172</v>
      </c>
      <c r="C30" t="s">
        <v>173</v>
      </c>
      <c r="D30" t="s">
        <v>174</v>
      </c>
      <c r="E30" s="30">
        <f t="shared" ref="E30:E31" si="5">H$6/2</f>
        <v>0.34499999999999997</v>
      </c>
    </row>
    <row r="31" spans="1:19" x14ac:dyDescent="0.3">
      <c r="B31" t="s">
        <v>175</v>
      </c>
      <c r="C31" t="s">
        <v>173</v>
      </c>
      <c r="D31" t="s">
        <v>174</v>
      </c>
      <c r="E31" s="30">
        <f t="shared" si="5"/>
        <v>0.34499999999999997</v>
      </c>
    </row>
    <row r="32" spans="1:19" x14ac:dyDescent="0.3">
      <c r="A32" s="4">
        <v>44314</v>
      </c>
      <c r="B32" t="s">
        <v>55</v>
      </c>
      <c r="C32" t="s">
        <v>166</v>
      </c>
      <c r="D32">
        <v>500</v>
      </c>
      <c r="E32" s="30">
        <f t="shared" ref="E32:E35" si="6">(D32/1000)*I$3</f>
        <v>0.7825902612439255</v>
      </c>
    </row>
    <row r="33" spans="1:5" x14ac:dyDescent="0.3">
      <c r="B33" t="s">
        <v>36</v>
      </c>
      <c r="C33" t="s">
        <v>166</v>
      </c>
      <c r="D33">
        <v>500</v>
      </c>
      <c r="E33" s="30">
        <f t="shared" si="6"/>
        <v>0.7825902612439255</v>
      </c>
    </row>
    <row r="34" spans="1:5" x14ac:dyDescent="0.3">
      <c r="B34" t="s">
        <v>37</v>
      </c>
      <c r="C34" t="s">
        <v>166</v>
      </c>
      <c r="D34">
        <v>500</v>
      </c>
      <c r="E34" s="30">
        <f t="shared" si="6"/>
        <v>0.7825902612439255</v>
      </c>
    </row>
    <row r="35" spans="1:5" x14ac:dyDescent="0.3">
      <c r="B35" t="s">
        <v>56</v>
      </c>
      <c r="C35" t="s">
        <v>166</v>
      </c>
      <c r="D35">
        <v>300</v>
      </c>
      <c r="E35" s="30">
        <f t="shared" si="6"/>
        <v>0.46955415674635526</v>
      </c>
    </row>
    <row r="36" spans="1:5" x14ac:dyDescent="0.3">
      <c r="B36" t="s">
        <v>172</v>
      </c>
      <c r="C36" t="s">
        <v>173</v>
      </c>
      <c r="D36" t="s">
        <v>174</v>
      </c>
      <c r="E36" s="30">
        <f t="shared" ref="E36:E37" si="7">H$6/2</f>
        <v>0.34499999999999997</v>
      </c>
    </row>
    <row r="37" spans="1:5" x14ac:dyDescent="0.3">
      <c r="B37" t="s">
        <v>175</v>
      </c>
      <c r="C37" t="s">
        <v>173</v>
      </c>
      <c r="D37" t="s">
        <v>174</v>
      </c>
      <c r="E37" s="30">
        <f t="shared" si="7"/>
        <v>0.34499999999999997</v>
      </c>
    </row>
    <row r="38" spans="1:5" x14ac:dyDescent="0.3">
      <c r="A38" s="4">
        <v>44318</v>
      </c>
      <c r="B38" t="s">
        <v>55</v>
      </c>
      <c r="C38" t="s">
        <v>166</v>
      </c>
      <c r="D38">
        <v>500</v>
      </c>
      <c r="E38" s="30">
        <f t="shared" ref="E38:E41" si="8">(D38/1000)*I$3</f>
        <v>0.7825902612439255</v>
      </c>
    </row>
    <row r="39" spans="1:5" x14ac:dyDescent="0.3">
      <c r="B39" t="s">
        <v>36</v>
      </c>
      <c r="C39" t="s">
        <v>166</v>
      </c>
      <c r="D39">
        <v>500</v>
      </c>
      <c r="E39" s="30">
        <f t="shared" si="8"/>
        <v>0.7825902612439255</v>
      </c>
    </row>
    <row r="40" spans="1:5" x14ac:dyDescent="0.3">
      <c r="B40" t="s">
        <v>37</v>
      </c>
      <c r="C40" t="s">
        <v>166</v>
      </c>
      <c r="D40">
        <v>500</v>
      </c>
      <c r="E40" s="30">
        <f t="shared" si="8"/>
        <v>0.7825902612439255</v>
      </c>
    </row>
    <row r="41" spans="1:5" x14ac:dyDescent="0.3">
      <c r="B41" t="s">
        <v>56</v>
      </c>
      <c r="C41" t="s">
        <v>166</v>
      </c>
      <c r="D41">
        <v>300</v>
      </c>
      <c r="E41" s="30">
        <f t="shared" si="8"/>
        <v>0.46955415674635526</v>
      </c>
    </row>
    <row r="42" spans="1:5" x14ac:dyDescent="0.3">
      <c r="B42" t="s">
        <v>172</v>
      </c>
      <c r="C42" t="s">
        <v>173</v>
      </c>
      <c r="D42" t="s">
        <v>174</v>
      </c>
      <c r="E42" s="30">
        <f t="shared" ref="E42:E43" si="9">H$6/2</f>
        <v>0.34499999999999997</v>
      </c>
    </row>
    <row r="43" spans="1:5" x14ac:dyDescent="0.3">
      <c r="B43" t="s">
        <v>175</v>
      </c>
      <c r="C43" t="s">
        <v>173</v>
      </c>
      <c r="D43" t="s">
        <v>174</v>
      </c>
      <c r="E43" s="30">
        <f t="shared" si="9"/>
        <v>0.34499999999999997</v>
      </c>
    </row>
    <row r="44" spans="1:5" x14ac:dyDescent="0.3">
      <c r="B44" t="s">
        <v>163</v>
      </c>
      <c r="C44" t="s">
        <v>164</v>
      </c>
      <c r="D44">
        <v>500</v>
      </c>
      <c r="E44" s="30">
        <f>(D44/1000)*I$4</f>
        <v>1.1411891327745345</v>
      </c>
    </row>
    <row r="45" spans="1:5" x14ac:dyDescent="0.3">
      <c r="A45" s="4">
        <v>44319</v>
      </c>
      <c r="B45" t="s">
        <v>55</v>
      </c>
      <c r="C45" t="s">
        <v>166</v>
      </c>
      <c r="D45">
        <v>500</v>
      </c>
      <c r="E45" s="30">
        <f t="shared" ref="E45:E47" si="10">(D45/1000)*I$3</f>
        <v>0.7825902612439255</v>
      </c>
    </row>
    <row r="46" spans="1:5" x14ac:dyDescent="0.3">
      <c r="B46" t="s">
        <v>36</v>
      </c>
      <c r="C46" t="s">
        <v>166</v>
      </c>
      <c r="D46">
        <v>500</v>
      </c>
      <c r="E46" s="30">
        <f t="shared" si="10"/>
        <v>0.7825902612439255</v>
      </c>
    </row>
    <row r="47" spans="1:5" x14ac:dyDescent="0.3">
      <c r="B47" t="s">
        <v>37</v>
      </c>
      <c r="C47" t="s">
        <v>166</v>
      </c>
      <c r="D47">
        <v>500</v>
      </c>
      <c r="E47" s="30">
        <f t="shared" si="10"/>
        <v>0.7825902612439255</v>
      </c>
    </row>
    <row r="48" spans="1:5" x14ac:dyDescent="0.3">
      <c r="B48" t="s">
        <v>168</v>
      </c>
      <c r="C48" t="s">
        <v>169</v>
      </c>
      <c r="D48" t="s">
        <v>170</v>
      </c>
      <c r="E48" s="30">
        <v>1</v>
      </c>
    </row>
    <row r="49" spans="1:5" x14ac:dyDescent="0.3">
      <c r="A49" s="4">
        <v>44320</v>
      </c>
      <c r="B49" t="s">
        <v>55</v>
      </c>
      <c r="C49" t="s">
        <v>166</v>
      </c>
      <c r="D49">
        <v>500</v>
      </c>
      <c r="E49" s="30">
        <f t="shared" ref="E49:E52" si="11">(D49/1000)*I$3</f>
        <v>0.7825902612439255</v>
      </c>
    </row>
    <row r="50" spans="1:5" x14ac:dyDescent="0.3">
      <c r="B50" t="s">
        <v>36</v>
      </c>
      <c r="C50" t="s">
        <v>166</v>
      </c>
      <c r="D50">
        <v>500</v>
      </c>
      <c r="E50" s="30">
        <f t="shared" si="11"/>
        <v>0.7825902612439255</v>
      </c>
    </row>
    <row r="51" spans="1:5" x14ac:dyDescent="0.3">
      <c r="B51" t="s">
        <v>37</v>
      </c>
      <c r="C51" t="s">
        <v>166</v>
      </c>
      <c r="D51">
        <v>500</v>
      </c>
      <c r="E51" s="30">
        <f t="shared" si="11"/>
        <v>0.7825902612439255</v>
      </c>
    </row>
    <row r="52" spans="1:5" x14ac:dyDescent="0.3">
      <c r="B52" t="s">
        <v>56</v>
      </c>
      <c r="C52" t="s">
        <v>166</v>
      </c>
      <c r="D52">
        <v>300</v>
      </c>
      <c r="E52" s="30">
        <f t="shared" si="11"/>
        <v>0.46955415674635526</v>
      </c>
    </row>
    <row r="53" spans="1:5" x14ac:dyDescent="0.3">
      <c r="B53" t="s">
        <v>172</v>
      </c>
      <c r="C53" t="s">
        <v>173</v>
      </c>
      <c r="D53" t="s">
        <v>174</v>
      </c>
      <c r="E53" s="30">
        <f t="shared" ref="E53:E54" si="12">H$6/2</f>
        <v>0.34499999999999997</v>
      </c>
    </row>
    <row r="54" spans="1:5" x14ac:dyDescent="0.3">
      <c r="B54" t="s">
        <v>175</v>
      </c>
      <c r="C54" t="s">
        <v>173</v>
      </c>
      <c r="D54" t="s">
        <v>174</v>
      </c>
      <c r="E54" s="30">
        <f t="shared" si="12"/>
        <v>0.34499999999999997</v>
      </c>
    </row>
    <row r="55" spans="1:5" x14ac:dyDescent="0.3">
      <c r="B55" t="s">
        <v>168</v>
      </c>
      <c r="C55" t="s">
        <v>169</v>
      </c>
      <c r="D55" t="s">
        <v>170</v>
      </c>
      <c r="E55" s="30">
        <v>1</v>
      </c>
    </row>
    <row r="56" spans="1:5" x14ac:dyDescent="0.3">
      <c r="A56" s="4">
        <v>44322</v>
      </c>
      <c r="B56" t="s">
        <v>161</v>
      </c>
      <c r="C56" t="s">
        <v>164</v>
      </c>
      <c r="D56">
        <v>1500</v>
      </c>
      <c r="E56" s="30">
        <f t="shared" ref="E56:E58" si="13">(D56/1000)*I$4</f>
        <v>3.4235673983236037</v>
      </c>
    </row>
    <row r="57" spans="1:5" x14ac:dyDescent="0.3">
      <c r="B57" t="s">
        <v>163</v>
      </c>
      <c r="C57" t="s">
        <v>164</v>
      </c>
      <c r="D57">
        <v>1000</v>
      </c>
      <c r="E57" s="30">
        <f t="shared" si="13"/>
        <v>2.282378265549069</v>
      </c>
    </row>
    <row r="58" spans="1:5" x14ac:dyDescent="0.3">
      <c r="B58" t="s">
        <v>162</v>
      </c>
      <c r="C58" t="s">
        <v>164</v>
      </c>
      <c r="D58">
        <v>1000</v>
      </c>
      <c r="E58" s="30">
        <f t="shared" si="13"/>
        <v>2.282378265549069</v>
      </c>
    </row>
    <row r="59" spans="1:5" x14ac:dyDescent="0.3">
      <c r="B59" t="s">
        <v>55</v>
      </c>
      <c r="C59" t="s">
        <v>166</v>
      </c>
      <c r="D59">
        <v>500</v>
      </c>
      <c r="E59" s="30">
        <f t="shared" ref="E59:E62" si="14">(D59/1000)*I$3</f>
        <v>0.7825902612439255</v>
      </c>
    </row>
    <row r="60" spans="1:5" x14ac:dyDescent="0.3">
      <c r="B60" t="s">
        <v>36</v>
      </c>
      <c r="C60" t="s">
        <v>166</v>
      </c>
      <c r="D60">
        <v>500</v>
      </c>
      <c r="E60" s="30">
        <f t="shared" si="14"/>
        <v>0.7825902612439255</v>
      </c>
    </row>
    <row r="61" spans="1:5" x14ac:dyDescent="0.3">
      <c r="B61" t="s">
        <v>37</v>
      </c>
      <c r="C61" t="s">
        <v>166</v>
      </c>
      <c r="D61">
        <v>500</v>
      </c>
      <c r="E61" s="30">
        <f t="shared" si="14"/>
        <v>0.7825902612439255</v>
      </c>
    </row>
    <row r="62" spans="1:5" x14ac:dyDescent="0.3">
      <c r="B62" t="s">
        <v>56</v>
      </c>
      <c r="C62" t="s">
        <v>166</v>
      </c>
      <c r="D62">
        <v>300</v>
      </c>
      <c r="E62" s="30">
        <f t="shared" si="14"/>
        <v>0.46955415674635526</v>
      </c>
    </row>
    <row r="63" spans="1:5" x14ac:dyDescent="0.3">
      <c r="B63" t="s">
        <v>168</v>
      </c>
      <c r="C63" t="s">
        <v>169</v>
      </c>
      <c r="D63" t="s">
        <v>170</v>
      </c>
      <c r="E63" s="30">
        <v>1</v>
      </c>
    </row>
    <row r="64" spans="1:5" x14ac:dyDescent="0.3">
      <c r="B64" t="s">
        <v>171</v>
      </c>
      <c r="C64" t="s">
        <v>169</v>
      </c>
      <c r="D64" t="s">
        <v>170</v>
      </c>
      <c r="E64" s="30">
        <v>1</v>
      </c>
    </row>
    <row r="65" spans="1:5" x14ac:dyDescent="0.3">
      <c r="B65" t="s">
        <v>172</v>
      </c>
      <c r="C65" t="s">
        <v>173</v>
      </c>
      <c r="D65" t="s">
        <v>174</v>
      </c>
      <c r="E65" s="30">
        <f t="shared" ref="E65:E66" si="15">H$6/2</f>
        <v>0.34499999999999997</v>
      </c>
    </row>
    <row r="66" spans="1:5" x14ac:dyDescent="0.3">
      <c r="B66" t="s">
        <v>175</v>
      </c>
      <c r="C66" t="s">
        <v>173</v>
      </c>
      <c r="D66" t="s">
        <v>174</v>
      </c>
      <c r="E66" s="30">
        <f t="shared" si="15"/>
        <v>0.34499999999999997</v>
      </c>
    </row>
    <row r="67" spans="1:5" x14ac:dyDescent="0.3">
      <c r="A67" s="4">
        <v>44328</v>
      </c>
      <c r="B67" t="s">
        <v>161</v>
      </c>
      <c r="C67" t="s">
        <v>164</v>
      </c>
      <c r="D67">
        <v>1400</v>
      </c>
      <c r="E67" s="30">
        <f t="shared" ref="E67:E68" si="16">(D67/1000)*I$4</f>
        <v>3.1953295717686965</v>
      </c>
    </row>
    <row r="68" spans="1:5" x14ac:dyDescent="0.3">
      <c r="B68" t="s">
        <v>162</v>
      </c>
      <c r="C68" t="s">
        <v>164</v>
      </c>
      <c r="D68">
        <v>1500</v>
      </c>
      <c r="E68" s="30">
        <f t="shared" si="16"/>
        <v>3.4235673983236037</v>
      </c>
    </row>
    <row r="69" spans="1:5" x14ac:dyDescent="0.3">
      <c r="B69" t="s">
        <v>163</v>
      </c>
      <c r="C69" t="s">
        <v>166</v>
      </c>
      <c r="D69">
        <v>1000</v>
      </c>
      <c r="E69" s="30">
        <f t="shared" ref="E69:E73" si="17">(D69/1000)*I$3</f>
        <v>1.565180522487851</v>
      </c>
    </row>
    <row r="70" spans="1:5" x14ac:dyDescent="0.3">
      <c r="B70" t="s">
        <v>55</v>
      </c>
      <c r="C70" t="s">
        <v>166</v>
      </c>
      <c r="D70">
        <v>500</v>
      </c>
      <c r="E70" s="30">
        <f t="shared" si="17"/>
        <v>0.7825902612439255</v>
      </c>
    </row>
    <row r="71" spans="1:5" x14ac:dyDescent="0.3">
      <c r="B71" t="s">
        <v>36</v>
      </c>
      <c r="C71" t="s">
        <v>166</v>
      </c>
      <c r="D71">
        <v>500</v>
      </c>
      <c r="E71" s="30">
        <f t="shared" si="17"/>
        <v>0.7825902612439255</v>
      </c>
    </row>
    <row r="72" spans="1:5" x14ac:dyDescent="0.3">
      <c r="B72" t="s">
        <v>37</v>
      </c>
      <c r="C72" t="s">
        <v>166</v>
      </c>
      <c r="D72">
        <v>500</v>
      </c>
      <c r="E72" s="30">
        <f t="shared" si="17"/>
        <v>0.7825902612439255</v>
      </c>
    </row>
    <row r="73" spans="1:5" x14ac:dyDescent="0.3">
      <c r="B73" t="s">
        <v>56</v>
      </c>
      <c r="C73" t="s">
        <v>166</v>
      </c>
      <c r="D73">
        <v>300</v>
      </c>
      <c r="E73" s="30">
        <f t="shared" si="17"/>
        <v>0.46955415674635526</v>
      </c>
    </row>
    <row r="74" spans="1:5" x14ac:dyDescent="0.3">
      <c r="B74" t="s">
        <v>168</v>
      </c>
      <c r="C74" t="s">
        <v>169</v>
      </c>
      <c r="D74" t="s">
        <v>170</v>
      </c>
      <c r="E74" s="30">
        <v>1</v>
      </c>
    </row>
    <row r="75" spans="1:5" x14ac:dyDescent="0.3">
      <c r="B75" t="s">
        <v>171</v>
      </c>
      <c r="C75" t="s">
        <v>169</v>
      </c>
      <c r="D75" t="s">
        <v>170</v>
      </c>
      <c r="E75" s="30">
        <v>1</v>
      </c>
    </row>
    <row r="76" spans="1:5" x14ac:dyDescent="0.3">
      <c r="A76" s="4">
        <v>44333</v>
      </c>
      <c r="B76" t="s">
        <v>161</v>
      </c>
      <c r="C76" t="s">
        <v>164</v>
      </c>
      <c r="D76">
        <v>1500</v>
      </c>
      <c r="E76" s="30">
        <f t="shared" ref="E76" si="18">(D76/1000)*I$4</f>
        <v>3.4235673983236037</v>
      </c>
    </row>
    <row r="77" spans="1:5" x14ac:dyDescent="0.3">
      <c r="B77" t="s">
        <v>55</v>
      </c>
      <c r="C77" t="s">
        <v>166</v>
      </c>
      <c r="D77">
        <v>500</v>
      </c>
      <c r="E77" s="30">
        <f t="shared" ref="E77:E80" si="19">(D77/1000)*I$3</f>
        <v>0.7825902612439255</v>
      </c>
    </row>
    <row r="78" spans="1:5" x14ac:dyDescent="0.3">
      <c r="B78" t="s">
        <v>36</v>
      </c>
      <c r="C78" t="s">
        <v>166</v>
      </c>
      <c r="D78">
        <v>500</v>
      </c>
      <c r="E78" s="30">
        <f t="shared" si="19"/>
        <v>0.7825902612439255</v>
      </c>
    </row>
    <row r="79" spans="1:5" x14ac:dyDescent="0.3">
      <c r="B79" t="s">
        <v>37</v>
      </c>
      <c r="C79" t="s">
        <v>166</v>
      </c>
      <c r="D79">
        <v>500</v>
      </c>
      <c r="E79" s="30">
        <f t="shared" si="19"/>
        <v>0.7825902612439255</v>
      </c>
    </row>
    <row r="80" spans="1:5" x14ac:dyDescent="0.3">
      <c r="B80" t="s">
        <v>56</v>
      </c>
      <c r="C80" t="s">
        <v>166</v>
      </c>
      <c r="D80">
        <v>300</v>
      </c>
      <c r="E80" s="30">
        <f t="shared" si="19"/>
        <v>0.46955415674635526</v>
      </c>
    </row>
    <row r="81" spans="1:5" x14ac:dyDescent="0.3">
      <c r="B81" t="s">
        <v>173</v>
      </c>
      <c r="C81" t="s">
        <v>173</v>
      </c>
      <c r="D81" t="s">
        <v>239</v>
      </c>
      <c r="E81" s="30">
        <v>0.69</v>
      </c>
    </row>
    <row r="82" spans="1:5" x14ac:dyDescent="0.3">
      <c r="A82" s="4">
        <v>44334</v>
      </c>
      <c r="B82" t="s">
        <v>161</v>
      </c>
      <c r="C82" t="s">
        <v>164</v>
      </c>
      <c r="D82">
        <v>1000</v>
      </c>
      <c r="E82" s="30">
        <f t="shared" ref="E82:E83" si="20">(D82/1000)*I$4</f>
        <v>2.282378265549069</v>
      </c>
    </row>
    <row r="83" spans="1:5" x14ac:dyDescent="0.3">
      <c r="B83" t="s">
        <v>162</v>
      </c>
      <c r="C83" t="s">
        <v>164</v>
      </c>
      <c r="D83">
        <v>1000</v>
      </c>
      <c r="E83" s="30">
        <f t="shared" si="20"/>
        <v>2.282378265549069</v>
      </c>
    </row>
    <row r="84" spans="1:5" x14ac:dyDescent="0.3">
      <c r="B84" t="s">
        <v>163</v>
      </c>
      <c r="C84" t="s">
        <v>166</v>
      </c>
      <c r="D84">
        <v>500</v>
      </c>
      <c r="E84" s="30">
        <f t="shared" ref="E84:E94" si="21">(D84/1000)*I$3</f>
        <v>0.7825902612439255</v>
      </c>
    </row>
    <row r="85" spans="1:5" x14ac:dyDescent="0.3">
      <c r="B85" t="s">
        <v>55</v>
      </c>
      <c r="C85" t="s">
        <v>166</v>
      </c>
      <c r="D85">
        <v>500</v>
      </c>
      <c r="E85" s="30">
        <f t="shared" si="21"/>
        <v>0.7825902612439255</v>
      </c>
    </row>
    <row r="86" spans="1:5" x14ac:dyDescent="0.3">
      <c r="B86" t="s">
        <v>36</v>
      </c>
      <c r="C86" t="s">
        <v>166</v>
      </c>
      <c r="D86">
        <v>500</v>
      </c>
      <c r="E86" s="30">
        <f t="shared" si="21"/>
        <v>0.7825902612439255</v>
      </c>
    </row>
    <row r="87" spans="1:5" x14ac:dyDescent="0.3">
      <c r="B87" t="s">
        <v>37</v>
      </c>
      <c r="C87" t="s">
        <v>166</v>
      </c>
      <c r="D87">
        <v>500</v>
      </c>
      <c r="E87" s="30">
        <f t="shared" si="21"/>
        <v>0.7825902612439255</v>
      </c>
    </row>
    <row r="88" spans="1:5" x14ac:dyDescent="0.3">
      <c r="B88" t="s">
        <v>56</v>
      </c>
      <c r="C88" t="s">
        <v>166</v>
      </c>
      <c r="D88">
        <v>300</v>
      </c>
      <c r="E88" s="30">
        <f t="shared" si="21"/>
        <v>0.46955415674635526</v>
      </c>
    </row>
    <row r="89" spans="1:5" x14ac:dyDescent="0.3">
      <c r="A89" s="4">
        <v>44335</v>
      </c>
      <c r="B89" t="s">
        <v>161</v>
      </c>
      <c r="C89" t="s">
        <v>164</v>
      </c>
      <c r="D89">
        <v>1430</v>
      </c>
      <c r="E89" s="30">
        <f t="shared" ref="E89" si="22">(D89/1000)*I$4</f>
        <v>3.2638009197351683</v>
      </c>
    </row>
    <row r="90" spans="1:5" x14ac:dyDescent="0.3">
      <c r="B90" t="s">
        <v>163</v>
      </c>
      <c r="C90" t="s">
        <v>166</v>
      </c>
      <c r="D90">
        <v>500</v>
      </c>
      <c r="E90" s="30">
        <f t="shared" si="21"/>
        <v>0.7825902612439255</v>
      </c>
    </row>
    <row r="91" spans="1:5" x14ac:dyDescent="0.3">
      <c r="B91" t="s">
        <v>55</v>
      </c>
      <c r="C91" t="s">
        <v>166</v>
      </c>
      <c r="D91">
        <v>500</v>
      </c>
      <c r="E91" s="30">
        <f t="shared" si="21"/>
        <v>0.7825902612439255</v>
      </c>
    </row>
    <row r="92" spans="1:5" x14ac:dyDescent="0.3">
      <c r="B92" t="s">
        <v>36</v>
      </c>
      <c r="C92" t="s">
        <v>166</v>
      </c>
      <c r="D92">
        <v>500</v>
      </c>
      <c r="E92" s="30">
        <f t="shared" si="21"/>
        <v>0.7825902612439255</v>
      </c>
    </row>
    <row r="93" spans="1:5" x14ac:dyDescent="0.3">
      <c r="B93" t="s">
        <v>37</v>
      </c>
      <c r="C93" t="s">
        <v>166</v>
      </c>
      <c r="D93">
        <v>500</v>
      </c>
      <c r="E93" s="30">
        <f t="shared" si="21"/>
        <v>0.7825902612439255</v>
      </c>
    </row>
    <row r="94" spans="1:5" x14ac:dyDescent="0.3">
      <c r="B94" t="s">
        <v>56</v>
      </c>
      <c r="C94" t="s">
        <v>166</v>
      </c>
      <c r="D94">
        <v>300</v>
      </c>
      <c r="E94" s="30">
        <f t="shared" si="21"/>
        <v>0.46955415674635526</v>
      </c>
    </row>
    <row r="95" spans="1:5" x14ac:dyDescent="0.3">
      <c r="B95" t="s">
        <v>173</v>
      </c>
      <c r="C95" t="s">
        <v>173</v>
      </c>
      <c r="D95" t="s">
        <v>239</v>
      </c>
      <c r="E95" s="30">
        <v>0.69</v>
      </c>
    </row>
    <row r="96" spans="1:5" x14ac:dyDescent="0.3">
      <c r="A96" s="4">
        <v>44336</v>
      </c>
      <c r="B96" t="s">
        <v>161</v>
      </c>
      <c r="C96" t="s">
        <v>164</v>
      </c>
      <c r="D96">
        <v>1000</v>
      </c>
      <c r="E96" s="30">
        <f t="shared" ref="E96:E97" si="23">(D96/1000)*I$4</f>
        <v>2.282378265549069</v>
      </c>
    </row>
    <row r="97" spans="1:5" x14ac:dyDescent="0.3">
      <c r="B97" t="s">
        <v>162</v>
      </c>
      <c r="C97" t="s">
        <v>164</v>
      </c>
      <c r="D97">
        <v>1000</v>
      </c>
      <c r="E97" s="30">
        <f t="shared" si="23"/>
        <v>2.282378265549069</v>
      </c>
    </row>
    <row r="98" spans="1:5" x14ac:dyDescent="0.3">
      <c r="B98" t="s">
        <v>163</v>
      </c>
      <c r="C98" t="s">
        <v>166</v>
      </c>
      <c r="D98">
        <v>500</v>
      </c>
      <c r="E98" s="30">
        <f t="shared" ref="E98:E102" si="24">(D98/1000)*I$3</f>
        <v>0.7825902612439255</v>
      </c>
    </row>
    <row r="99" spans="1:5" x14ac:dyDescent="0.3">
      <c r="B99" t="s">
        <v>55</v>
      </c>
      <c r="C99" t="s">
        <v>166</v>
      </c>
      <c r="D99">
        <v>500</v>
      </c>
      <c r="E99" s="30">
        <f t="shared" si="24"/>
        <v>0.7825902612439255</v>
      </c>
    </row>
    <row r="100" spans="1:5" x14ac:dyDescent="0.3">
      <c r="B100" t="s">
        <v>36</v>
      </c>
      <c r="C100" t="s">
        <v>166</v>
      </c>
      <c r="D100">
        <v>500</v>
      </c>
      <c r="E100" s="30">
        <f t="shared" si="24"/>
        <v>0.7825902612439255</v>
      </c>
    </row>
    <row r="101" spans="1:5" x14ac:dyDescent="0.3">
      <c r="B101" t="s">
        <v>37</v>
      </c>
      <c r="C101" t="s">
        <v>166</v>
      </c>
      <c r="D101">
        <v>500</v>
      </c>
      <c r="E101" s="30">
        <f t="shared" si="24"/>
        <v>0.7825902612439255</v>
      </c>
    </row>
    <row r="102" spans="1:5" x14ac:dyDescent="0.3">
      <c r="B102" t="s">
        <v>56</v>
      </c>
      <c r="C102" t="s">
        <v>166</v>
      </c>
      <c r="D102">
        <v>300</v>
      </c>
      <c r="E102" s="30">
        <f t="shared" si="24"/>
        <v>0.46955415674635526</v>
      </c>
    </row>
    <row r="103" spans="1:5" x14ac:dyDescent="0.3">
      <c r="A103" s="4">
        <v>44337</v>
      </c>
      <c r="B103" t="s">
        <v>161</v>
      </c>
      <c r="C103" t="s">
        <v>164</v>
      </c>
      <c r="D103">
        <v>1400</v>
      </c>
      <c r="E103" s="30">
        <f>(D103/1000)*I$4</f>
        <v>3.1953295717686965</v>
      </c>
    </row>
    <row r="104" spans="1:5" x14ac:dyDescent="0.3">
      <c r="B104" t="s">
        <v>162</v>
      </c>
      <c r="C104" t="s">
        <v>164</v>
      </c>
      <c r="D104">
        <v>1500</v>
      </c>
      <c r="E104" s="30">
        <f>(D104/1000)*I$4</f>
        <v>3.4235673983236037</v>
      </c>
    </row>
    <row r="105" spans="1:5" x14ac:dyDescent="0.3">
      <c r="B105" t="s">
        <v>163</v>
      </c>
      <c r="C105" t="s">
        <v>166</v>
      </c>
      <c r="D105">
        <v>1000</v>
      </c>
      <c r="E105" s="30">
        <f>(D105/1000)*I$3</f>
        <v>1.565180522487851</v>
      </c>
    </row>
    <row r="106" spans="1:5" x14ac:dyDescent="0.3">
      <c r="B106" t="s">
        <v>55</v>
      </c>
      <c r="C106" t="s">
        <v>166</v>
      </c>
      <c r="D106">
        <v>500</v>
      </c>
      <c r="E106" s="30">
        <f>(D106/1000)*I$3</f>
        <v>0.7825902612439255</v>
      </c>
    </row>
    <row r="107" spans="1:5" x14ac:dyDescent="0.3">
      <c r="B107" t="s">
        <v>36</v>
      </c>
      <c r="C107" t="s">
        <v>166</v>
      </c>
      <c r="D107">
        <v>500</v>
      </c>
      <c r="E107" s="30">
        <f>(D107/1000)*I$3</f>
        <v>0.7825902612439255</v>
      </c>
    </row>
    <row r="108" spans="1:5" x14ac:dyDescent="0.3">
      <c r="B108" t="s">
        <v>37</v>
      </c>
      <c r="C108" t="s">
        <v>166</v>
      </c>
      <c r="D108">
        <v>500</v>
      </c>
      <c r="E108" s="30">
        <f>(D108/1000)*I$3</f>
        <v>0.7825902612439255</v>
      </c>
    </row>
    <row r="109" spans="1:5" x14ac:dyDescent="0.3">
      <c r="B109" t="s">
        <v>56</v>
      </c>
      <c r="C109" t="s">
        <v>166</v>
      </c>
      <c r="D109">
        <v>300</v>
      </c>
      <c r="E109" s="30">
        <f>(D109/1000)*I$3</f>
        <v>0.46955415674635526</v>
      </c>
    </row>
    <row r="110" spans="1:5" x14ac:dyDescent="0.3">
      <c r="B110" t="s">
        <v>168</v>
      </c>
      <c r="C110" t="s">
        <v>169</v>
      </c>
      <c r="D110" t="s">
        <v>170</v>
      </c>
      <c r="E110" s="30">
        <v>1</v>
      </c>
    </row>
    <row r="111" spans="1:5" x14ac:dyDescent="0.3">
      <c r="B111" t="s">
        <v>171</v>
      </c>
      <c r="C111" t="s">
        <v>169</v>
      </c>
      <c r="D111" t="s">
        <v>170</v>
      </c>
      <c r="E111" s="30">
        <v>1</v>
      </c>
    </row>
    <row r="112" spans="1:5" x14ac:dyDescent="0.3">
      <c r="A112" s="4">
        <v>44339</v>
      </c>
      <c r="B112" t="s">
        <v>161</v>
      </c>
      <c r="C112" t="s">
        <v>164</v>
      </c>
      <c r="D112">
        <v>1500</v>
      </c>
      <c r="E112" s="30">
        <f>(D112/1000)*I$4</f>
        <v>3.4235673983236037</v>
      </c>
    </row>
    <row r="113" spans="2:5" x14ac:dyDescent="0.3">
      <c r="B113" t="s">
        <v>163</v>
      </c>
      <c r="C113" t="s">
        <v>166</v>
      </c>
      <c r="D113">
        <v>500</v>
      </c>
      <c r="E113" s="30">
        <f t="shared" ref="E113:E117" si="25">(D113/1000)*I$3</f>
        <v>0.7825902612439255</v>
      </c>
    </row>
    <row r="114" spans="2:5" x14ac:dyDescent="0.3">
      <c r="B114" t="s">
        <v>55</v>
      </c>
      <c r="C114" t="s">
        <v>166</v>
      </c>
      <c r="D114">
        <v>500</v>
      </c>
      <c r="E114" s="30">
        <f t="shared" si="25"/>
        <v>0.7825902612439255</v>
      </c>
    </row>
    <row r="115" spans="2:5" x14ac:dyDescent="0.3">
      <c r="B115" t="s">
        <v>36</v>
      </c>
      <c r="C115" t="s">
        <v>166</v>
      </c>
      <c r="D115">
        <v>500</v>
      </c>
      <c r="E115" s="30">
        <f t="shared" si="25"/>
        <v>0.7825902612439255</v>
      </c>
    </row>
    <row r="116" spans="2:5" x14ac:dyDescent="0.3">
      <c r="B116" t="s">
        <v>37</v>
      </c>
      <c r="C116" t="s">
        <v>166</v>
      </c>
      <c r="D116">
        <v>500</v>
      </c>
      <c r="E116" s="30">
        <f t="shared" si="25"/>
        <v>0.7825902612439255</v>
      </c>
    </row>
    <row r="117" spans="2:5" x14ac:dyDescent="0.3">
      <c r="B117" t="s">
        <v>56</v>
      </c>
      <c r="C117" t="s">
        <v>166</v>
      </c>
      <c r="D117">
        <v>300</v>
      </c>
      <c r="E117" s="30">
        <f t="shared" si="25"/>
        <v>0.46955415674635526</v>
      </c>
    </row>
  </sheetData>
  <mergeCells count="2">
    <mergeCell ref="K20:N20"/>
    <mergeCell ref="P20:S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571D-1BA9-4232-AF6A-C367AD86800B}">
  <dimension ref="A1:AC10"/>
  <sheetViews>
    <sheetView workbookViewId="0"/>
  </sheetViews>
  <sheetFormatPr defaultRowHeight="14.4" x14ac:dyDescent="0.3"/>
  <cols>
    <col min="1" max="1" width="9.5546875" bestFit="1" customWidth="1"/>
    <col min="2" max="2" width="10.77734375" bestFit="1" customWidth="1"/>
    <col min="4" max="4" width="10.77734375" bestFit="1" customWidth="1"/>
    <col min="6" max="6" width="10.77734375" bestFit="1" customWidth="1"/>
    <col min="7" max="7" width="8.77734375" bestFit="1" customWidth="1"/>
    <col min="8" max="8" width="10.77734375" bestFit="1" customWidth="1"/>
    <col min="10" max="10" width="10.77734375" bestFit="1" customWidth="1"/>
    <col min="12" max="12" width="10.77734375" bestFit="1" customWidth="1"/>
    <col min="14" max="14" width="10.77734375" bestFit="1" customWidth="1"/>
    <col min="16" max="16" width="10.77734375" bestFit="1" customWidth="1"/>
    <col min="18" max="18" width="10.77734375" bestFit="1" customWidth="1"/>
    <col min="20" max="20" width="10.77734375" bestFit="1" customWidth="1"/>
    <col min="21" max="21" width="9.88671875" customWidth="1"/>
    <col min="22" max="22" width="10.77734375" bestFit="1" customWidth="1"/>
    <col min="24" max="24" width="10.77734375" bestFit="1" customWidth="1"/>
    <col min="25" max="25" width="8.77734375" bestFit="1" customWidth="1"/>
    <col min="26" max="26" width="10.77734375" bestFit="1" customWidth="1"/>
    <col min="27" max="27" width="9.33203125" customWidth="1"/>
    <col min="28" max="28" width="10.77734375" bestFit="1" customWidth="1"/>
    <col min="30" max="30" width="10.77734375" bestFit="1" customWidth="1"/>
  </cols>
  <sheetData>
    <row r="1" spans="1:29" x14ac:dyDescent="0.3">
      <c r="B1" s="42" t="s">
        <v>71</v>
      </c>
      <c r="C1" s="42"/>
      <c r="D1" s="42" t="s">
        <v>74</v>
      </c>
      <c r="E1" s="42"/>
      <c r="F1" s="42" t="s">
        <v>65</v>
      </c>
      <c r="G1" s="42"/>
      <c r="H1" s="42" t="s">
        <v>68</v>
      </c>
      <c r="I1" s="42"/>
      <c r="J1" s="42" t="s">
        <v>66</v>
      </c>
      <c r="K1" s="42"/>
      <c r="L1" s="42" t="s">
        <v>67</v>
      </c>
      <c r="M1" s="42"/>
      <c r="N1" s="42" t="s">
        <v>69</v>
      </c>
      <c r="O1" s="42"/>
      <c r="P1" s="42" t="s">
        <v>73</v>
      </c>
      <c r="Q1" s="42"/>
      <c r="R1" s="42" t="s">
        <v>72</v>
      </c>
      <c r="S1" s="42"/>
      <c r="T1" s="42" t="s">
        <v>70</v>
      </c>
      <c r="U1" s="42"/>
      <c r="V1" s="42" t="s">
        <v>83</v>
      </c>
      <c r="W1" s="42"/>
      <c r="X1" s="42" t="s">
        <v>77</v>
      </c>
      <c r="Y1" s="42"/>
      <c r="Z1" s="42" t="s">
        <v>78</v>
      </c>
      <c r="AA1" s="42"/>
      <c r="AB1" s="42" t="s">
        <v>84</v>
      </c>
      <c r="AC1" s="42"/>
    </row>
    <row r="2" spans="1:29" x14ac:dyDescent="0.3">
      <c r="B2" t="s">
        <v>64</v>
      </c>
      <c r="C2" t="s">
        <v>48</v>
      </c>
      <c r="D2" t="s">
        <v>64</v>
      </c>
      <c r="E2" t="s">
        <v>48</v>
      </c>
      <c r="F2" t="s">
        <v>64</v>
      </c>
      <c r="G2" t="s">
        <v>48</v>
      </c>
      <c r="H2" t="s">
        <v>64</v>
      </c>
      <c r="I2" t="s">
        <v>48</v>
      </c>
      <c r="J2" t="s">
        <v>64</v>
      </c>
      <c r="K2" t="s">
        <v>48</v>
      </c>
      <c r="L2" t="s">
        <v>64</v>
      </c>
      <c r="M2" t="s">
        <v>48</v>
      </c>
      <c r="N2" t="s">
        <v>64</v>
      </c>
      <c r="O2" t="s">
        <v>48</v>
      </c>
      <c r="P2" t="s">
        <v>64</v>
      </c>
      <c r="Q2" t="s">
        <v>48</v>
      </c>
      <c r="R2" t="s">
        <v>64</v>
      </c>
      <c r="S2" t="s">
        <v>48</v>
      </c>
      <c r="T2" t="s">
        <v>64</v>
      </c>
      <c r="U2" t="s">
        <v>48</v>
      </c>
      <c r="V2" t="s">
        <v>64</v>
      </c>
      <c r="W2" t="s">
        <v>48</v>
      </c>
      <c r="X2" t="s">
        <v>64</v>
      </c>
      <c r="Y2" t="s">
        <v>48</v>
      </c>
      <c r="Z2" t="s">
        <v>64</v>
      </c>
      <c r="AA2" t="s">
        <v>48</v>
      </c>
      <c r="AB2" t="s">
        <v>64</v>
      </c>
      <c r="AC2" t="s">
        <v>48</v>
      </c>
    </row>
    <row r="3" spans="1:29" x14ac:dyDescent="0.3">
      <c r="A3" s="4">
        <v>44308</v>
      </c>
      <c r="B3">
        <v>3</v>
      </c>
      <c r="C3">
        <v>4</v>
      </c>
      <c r="D3">
        <v>2</v>
      </c>
      <c r="E3">
        <v>2</v>
      </c>
      <c r="F3">
        <v>3</v>
      </c>
      <c r="G3">
        <v>4</v>
      </c>
      <c r="H3">
        <v>2</v>
      </c>
      <c r="I3">
        <v>4</v>
      </c>
      <c r="J3">
        <v>2</v>
      </c>
      <c r="K3">
        <v>3</v>
      </c>
      <c r="L3">
        <v>1</v>
      </c>
      <c r="M3">
        <v>1</v>
      </c>
      <c r="N3">
        <v>3</v>
      </c>
      <c r="O3">
        <v>2</v>
      </c>
      <c r="P3">
        <v>2</v>
      </c>
      <c r="Q3">
        <v>1</v>
      </c>
      <c r="R3">
        <v>2</v>
      </c>
      <c r="S3">
        <v>1</v>
      </c>
      <c r="T3">
        <v>1</v>
      </c>
      <c r="U3">
        <v>1</v>
      </c>
      <c r="V3">
        <v>1</v>
      </c>
      <c r="W3">
        <v>2</v>
      </c>
      <c r="X3">
        <v>1</v>
      </c>
      <c r="Y3">
        <v>1</v>
      </c>
      <c r="Z3">
        <v>1</v>
      </c>
      <c r="AA3">
        <v>1</v>
      </c>
      <c r="AB3">
        <v>0</v>
      </c>
      <c r="AC3">
        <v>1</v>
      </c>
    </row>
    <row r="4" spans="1:29" x14ac:dyDescent="0.3">
      <c r="A4" s="4">
        <v>44309</v>
      </c>
      <c r="B4">
        <v>3</v>
      </c>
      <c r="C4" t="s">
        <v>57</v>
      </c>
      <c r="D4">
        <v>1</v>
      </c>
      <c r="E4">
        <v>2</v>
      </c>
      <c r="F4">
        <v>5</v>
      </c>
      <c r="G4" t="s">
        <v>57</v>
      </c>
      <c r="H4">
        <v>3</v>
      </c>
      <c r="I4" t="s">
        <v>57</v>
      </c>
      <c r="J4">
        <v>3</v>
      </c>
      <c r="K4" t="s">
        <v>57</v>
      </c>
      <c r="L4">
        <v>1</v>
      </c>
      <c r="M4" t="s">
        <v>57</v>
      </c>
      <c r="N4">
        <v>3</v>
      </c>
      <c r="O4" t="s">
        <v>57</v>
      </c>
      <c r="P4">
        <v>2</v>
      </c>
      <c r="Q4" t="s">
        <v>57</v>
      </c>
      <c r="R4">
        <v>1</v>
      </c>
      <c r="S4" t="s">
        <v>57</v>
      </c>
      <c r="T4">
        <v>1</v>
      </c>
      <c r="U4" t="s">
        <v>57</v>
      </c>
      <c r="V4">
        <v>2</v>
      </c>
      <c r="W4" t="s">
        <v>57</v>
      </c>
      <c r="X4">
        <v>2</v>
      </c>
      <c r="Y4" t="s">
        <v>57</v>
      </c>
      <c r="Z4">
        <v>0</v>
      </c>
      <c r="AA4" t="s">
        <v>57</v>
      </c>
      <c r="AB4">
        <v>0</v>
      </c>
      <c r="AC4" t="s">
        <v>57</v>
      </c>
    </row>
    <row r="5" spans="1:29" x14ac:dyDescent="0.3">
      <c r="A5" s="4">
        <v>44312</v>
      </c>
      <c r="B5">
        <v>2</v>
      </c>
      <c r="C5">
        <v>3</v>
      </c>
      <c r="D5">
        <v>2</v>
      </c>
      <c r="E5">
        <v>1</v>
      </c>
      <c r="F5">
        <v>3</v>
      </c>
      <c r="G5">
        <v>4</v>
      </c>
      <c r="H5">
        <v>2</v>
      </c>
      <c r="I5">
        <v>6</v>
      </c>
      <c r="J5">
        <v>2</v>
      </c>
      <c r="K5">
        <v>2</v>
      </c>
      <c r="L5">
        <v>1</v>
      </c>
      <c r="M5">
        <v>1</v>
      </c>
      <c r="N5">
        <v>3</v>
      </c>
      <c r="O5">
        <v>3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2</v>
      </c>
      <c r="Y5">
        <v>3</v>
      </c>
      <c r="Z5">
        <v>2</v>
      </c>
      <c r="AA5">
        <v>1</v>
      </c>
      <c r="AB5">
        <v>1</v>
      </c>
      <c r="AC5">
        <v>2</v>
      </c>
    </row>
    <row r="6" spans="1:29" x14ac:dyDescent="0.3">
      <c r="A6" s="4">
        <v>44313</v>
      </c>
      <c r="B6">
        <v>4</v>
      </c>
      <c r="C6">
        <v>4</v>
      </c>
      <c r="D6">
        <v>2</v>
      </c>
      <c r="E6">
        <v>2</v>
      </c>
      <c r="F6">
        <v>4</v>
      </c>
      <c r="G6">
        <v>4</v>
      </c>
      <c r="H6">
        <v>4</v>
      </c>
      <c r="I6">
        <v>3</v>
      </c>
      <c r="J6">
        <v>2</v>
      </c>
      <c r="K6">
        <v>2</v>
      </c>
      <c r="L6">
        <v>1</v>
      </c>
      <c r="M6">
        <v>1</v>
      </c>
      <c r="N6">
        <v>3</v>
      </c>
      <c r="O6">
        <v>3</v>
      </c>
      <c r="P6">
        <v>2</v>
      </c>
      <c r="Q6">
        <v>2</v>
      </c>
      <c r="R6">
        <v>1</v>
      </c>
      <c r="S6">
        <v>1</v>
      </c>
      <c r="T6">
        <v>2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>
        <v>0</v>
      </c>
      <c r="AC6">
        <v>1</v>
      </c>
    </row>
    <row r="7" spans="1:29" x14ac:dyDescent="0.3">
      <c r="A7" s="4">
        <v>44314</v>
      </c>
      <c r="B7">
        <v>5</v>
      </c>
      <c r="C7">
        <v>1</v>
      </c>
      <c r="D7">
        <v>2</v>
      </c>
      <c r="E7">
        <v>2</v>
      </c>
      <c r="F7">
        <v>3</v>
      </c>
      <c r="G7">
        <v>1</v>
      </c>
      <c r="H7">
        <v>3</v>
      </c>
      <c r="I7">
        <v>3</v>
      </c>
      <c r="J7">
        <v>2</v>
      </c>
      <c r="K7">
        <v>2</v>
      </c>
      <c r="L7">
        <v>1</v>
      </c>
      <c r="M7">
        <v>2</v>
      </c>
      <c r="N7">
        <v>3</v>
      </c>
      <c r="O7">
        <v>3</v>
      </c>
      <c r="P7">
        <v>2</v>
      </c>
      <c r="Q7">
        <v>2</v>
      </c>
      <c r="R7">
        <v>2</v>
      </c>
      <c r="S7">
        <v>1</v>
      </c>
      <c r="T7">
        <v>1</v>
      </c>
      <c r="U7">
        <v>0</v>
      </c>
      <c r="V7">
        <v>1</v>
      </c>
      <c r="W7">
        <v>1</v>
      </c>
      <c r="X7">
        <v>1</v>
      </c>
      <c r="Y7">
        <v>0</v>
      </c>
      <c r="Z7">
        <v>1</v>
      </c>
      <c r="AA7">
        <v>1</v>
      </c>
      <c r="AB7">
        <v>1</v>
      </c>
      <c r="AC7">
        <v>1</v>
      </c>
    </row>
    <row r="8" spans="1:29" x14ac:dyDescent="0.3">
      <c r="A8" s="4">
        <v>44318</v>
      </c>
      <c r="B8">
        <v>4</v>
      </c>
      <c r="C8">
        <v>3</v>
      </c>
      <c r="D8">
        <v>2</v>
      </c>
      <c r="E8">
        <v>2</v>
      </c>
      <c r="F8">
        <v>3</v>
      </c>
      <c r="G8">
        <v>2</v>
      </c>
      <c r="H8">
        <v>3</v>
      </c>
      <c r="I8">
        <v>3</v>
      </c>
      <c r="J8">
        <v>1</v>
      </c>
      <c r="K8">
        <v>1</v>
      </c>
      <c r="L8">
        <v>2</v>
      </c>
      <c r="M8">
        <v>3</v>
      </c>
      <c r="N8">
        <v>2</v>
      </c>
      <c r="O8">
        <v>2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2</v>
      </c>
    </row>
    <row r="9" spans="1:29" x14ac:dyDescent="0.3">
      <c r="A9" s="4">
        <v>44319</v>
      </c>
      <c r="B9">
        <v>4</v>
      </c>
      <c r="C9">
        <v>6</v>
      </c>
      <c r="D9">
        <v>1</v>
      </c>
      <c r="E9">
        <v>2</v>
      </c>
      <c r="F9">
        <v>3</v>
      </c>
      <c r="G9">
        <v>6</v>
      </c>
      <c r="H9">
        <v>2</v>
      </c>
      <c r="I9">
        <v>3</v>
      </c>
      <c r="J9">
        <v>2</v>
      </c>
      <c r="K9">
        <v>2</v>
      </c>
      <c r="L9">
        <v>2</v>
      </c>
      <c r="M9">
        <v>2</v>
      </c>
      <c r="N9">
        <v>5</v>
      </c>
      <c r="O9">
        <v>4</v>
      </c>
      <c r="P9">
        <v>1</v>
      </c>
      <c r="Q9">
        <v>1</v>
      </c>
      <c r="R9">
        <v>1</v>
      </c>
      <c r="S9">
        <v>1</v>
      </c>
      <c r="T9">
        <v>1</v>
      </c>
      <c r="U9">
        <v>2</v>
      </c>
      <c r="V9">
        <v>1</v>
      </c>
      <c r="W9">
        <v>1</v>
      </c>
      <c r="X9">
        <v>0</v>
      </c>
      <c r="Y9">
        <v>1</v>
      </c>
      <c r="Z9">
        <v>1</v>
      </c>
      <c r="AA9">
        <v>0</v>
      </c>
      <c r="AB9">
        <v>1</v>
      </c>
      <c r="AC9">
        <v>1</v>
      </c>
    </row>
    <row r="10" spans="1:29" s="13" customFormat="1" x14ac:dyDescent="0.3">
      <c r="A10" s="12" t="s">
        <v>99</v>
      </c>
      <c r="B10" s="13">
        <f>_xlfn.MODE.SNGL(B3:B9)</f>
        <v>4</v>
      </c>
      <c r="C10" s="13">
        <f t="shared" ref="C10:AC10" si="0">_xlfn.MODE.SNGL(C3:C9)</f>
        <v>4</v>
      </c>
      <c r="D10" s="13">
        <f t="shared" si="0"/>
        <v>2</v>
      </c>
      <c r="E10" s="13">
        <f t="shared" si="0"/>
        <v>2</v>
      </c>
      <c r="F10" s="13">
        <f t="shared" si="0"/>
        <v>3</v>
      </c>
      <c r="G10" s="13">
        <f t="shared" si="0"/>
        <v>4</v>
      </c>
      <c r="H10" s="13">
        <v>3</v>
      </c>
      <c r="I10" s="13">
        <f t="shared" si="0"/>
        <v>3</v>
      </c>
      <c r="J10" s="13">
        <f t="shared" si="0"/>
        <v>2</v>
      </c>
      <c r="K10" s="13">
        <f t="shared" si="0"/>
        <v>2</v>
      </c>
      <c r="L10" s="13">
        <f t="shared" si="0"/>
        <v>1</v>
      </c>
      <c r="M10" s="13">
        <f t="shared" si="0"/>
        <v>1</v>
      </c>
      <c r="N10" s="13">
        <f t="shared" si="0"/>
        <v>3</v>
      </c>
      <c r="O10" s="13">
        <f t="shared" si="0"/>
        <v>3</v>
      </c>
      <c r="P10" s="13">
        <f t="shared" si="0"/>
        <v>2</v>
      </c>
      <c r="Q10" s="13">
        <f t="shared" si="0"/>
        <v>1</v>
      </c>
      <c r="R10" s="13">
        <f t="shared" si="0"/>
        <v>1</v>
      </c>
      <c r="S10" s="13">
        <f t="shared" si="0"/>
        <v>1</v>
      </c>
      <c r="T10" s="13">
        <f t="shared" si="0"/>
        <v>1</v>
      </c>
      <c r="U10" s="13">
        <f t="shared" si="0"/>
        <v>1</v>
      </c>
      <c r="V10" s="13">
        <f t="shared" si="0"/>
        <v>1</v>
      </c>
      <c r="W10" s="13">
        <f t="shared" si="0"/>
        <v>1</v>
      </c>
      <c r="X10" s="13">
        <f t="shared" si="0"/>
        <v>1</v>
      </c>
      <c r="Y10" s="13">
        <f t="shared" si="0"/>
        <v>1</v>
      </c>
      <c r="Z10" s="13">
        <f t="shared" si="0"/>
        <v>1</v>
      </c>
      <c r="AA10" s="13">
        <f t="shared" si="0"/>
        <v>1</v>
      </c>
      <c r="AB10" s="13">
        <f t="shared" si="0"/>
        <v>1</v>
      </c>
      <c r="AC10" s="13">
        <f t="shared" si="0"/>
        <v>1</v>
      </c>
    </row>
  </sheetData>
  <mergeCells count="14">
    <mergeCell ref="X1:Y1"/>
    <mergeCell ref="Z1:AA1"/>
    <mergeCell ref="AB1:AC1"/>
    <mergeCell ref="V1:W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5B5E-20C4-4187-A60C-61F3B93DD2C6}">
  <dimension ref="A1:AC41"/>
  <sheetViews>
    <sheetView topLeftCell="A10" workbookViewId="0">
      <selection activeCell="C40" sqref="C40:D41"/>
    </sheetView>
  </sheetViews>
  <sheetFormatPr defaultRowHeight="14.4" x14ac:dyDescent="0.3"/>
  <cols>
    <col min="1" max="1" width="10.77734375" bestFit="1" customWidth="1"/>
    <col min="2" max="2" width="12" bestFit="1" customWidth="1"/>
    <col min="3" max="3" width="22" bestFit="1" customWidth="1"/>
    <col min="4" max="4" width="15.5546875" bestFit="1" customWidth="1"/>
    <col min="5" max="5" width="14.21875" bestFit="1" customWidth="1"/>
    <col min="6" max="6" width="18.33203125" bestFit="1" customWidth="1"/>
    <col min="8" max="8" width="16.109375" bestFit="1" customWidth="1"/>
    <col min="9" max="9" width="14.88671875" bestFit="1" customWidth="1"/>
    <col min="10" max="10" width="22.6640625" bestFit="1" customWidth="1"/>
    <col min="11" max="11" width="12.6640625" bestFit="1" customWidth="1"/>
    <col min="12" max="12" width="17.21875" bestFit="1" customWidth="1"/>
    <col min="13" max="13" width="21.77734375" bestFit="1" customWidth="1"/>
    <col min="14" max="14" width="14.44140625" bestFit="1" customWidth="1"/>
    <col min="15" max="15" width="16" bestFit="1" customWidth="1"/>
  </cols>
  <sheetData>
    <row r="1" spans="1:29" ht="15" thickBot="1" x14ac:dyDescent="0.35">
      <c r="B1" s="15" t="s">
        <v>71</v>
      </c>
      <c r="C1" s="15" t="s">
        <v>74</v>
      </c>
      <c r="D1" s="15" t="s">
        <v>65</v>
      </c>
      <c r="E1" s="15" t="s">
        <v>68</v>
      </c>
      <c r="F1" s="15" t="s">
        <v>66</v>
      </c>
      <c r="G1" s="15" t="s">
        <v>67</v>
      </c>
      <c r="H1" s="15" t="s">
        <v>69</v>
      </c>
      <c r="I1" s="15" t="s">
        <v>73</v>
      </c>
      <c r="J1" s="15" t="s">
        <v>72</v>
      </c>
      <c r="K1" s="15" t="s">
        <v>70</v>
      </c>
      <c r="L1" s="15" t="s">
        <v>83</v>
      </c>
      <c r="M1" s="15" t="s">
        <v>77</v>
      </c>
      <c r="N1" s="15" t="s">
        <v>78</v>
      </c>
      <c r="O1" s="15" t="s">
        <v>84</v>
      </c>
      <c r="P1" s="12" t="s">
        <v>101</v>
      </c>
      <c r="AC1" s="14"/>
    </row>
    <row r="2" spans="1:29" x14ac:dyDescent="0.3">
      <c r="A2" s="11" t="s">
        <v>64</v>
      </c>
      <c r="B2">
        <v>4</v>
      </c>
      <c r="C2">
        <v>2</v>
      </c>
      <c r="D2">
        <v>3</v>
      </c>
      <c r="E2">
        <v>3</v>
      </c>
      <c r="F2">
        <v>2</v>
      </c>
      <c r="G2">
        <v>1</v>
      </c>
      <c r="H2">
        <v>3</v>
      </c>
      <c r="I2">
        <v>2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s="13">
        <f>SUM(B2:O2)</f>
        <v>26</v>
      </c>
    </row>
    <row r="3" spans="1:29" ht="15" thickBot="1" x14ac:dyDescent="0.35">
      <c r="A3" s="11" t="s">
        <v>48</v>
      </c>
      <c r="B3">
        <v>4</v>
      </c>
      <c r="C3">
        <v>2</v>
      </c>
      <c r="D3">
        <v>4</v>
      </c>
      <c r="E3">
        <v>3</v>
      </c>
      <c r="F3">
        <v>2</v>
      </c>
      <c r="G3">
        <v>1</v>
      </c>
      <c r="H3">
        <v>3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 s="13">
        <f>SUM(B3:O3)</f>
        <v>26</v>
      </c>
    </row>
    <row r="4" spans="1:29" ht="15.6" thickTop="1" thickBot="1" x14ac:dyDescent="0.35">
      <c r="A4" s="12" t="s">
        <v>101</v>
      </c>
      <c r="B4" s="13">
        <f>SUM(B2:B3)</f>
        <v>8</v>
      </c>
      <c r="C4" s="13">
        <f t="shared" ref="C4:P4" si="0">SUM(C2:C3)</f>
        <v>4</v>
      </c>
      <c r="D4" s="13">
        <f t="shared" si="0"/>
        <v>7</v>
      </c>
      <c r="E4" s="13">
        <f t="shared" si="0"/>
        <v>6</v>
      </c>
      <c r="F4" s="13">
        <f t="shared" si="0"/>
        <v>4</v>
      </c>
      <c r="G4" s="13">
        <f t="shared" si="0"/>
        <v>2</v>
      </c>
      <c r="H4" s="13">
        <f t="shared" si="0"/>
        <v>6</v>
      </c>
      <c r="I4" s="13">
        <f t="shared" si="0"/>
        <v>3</v>
      </c>
      <c r="J4" s="13">
        <f t="shared" si="0"/>
        <v>2</v>
      </c>
      <c r="K4" s="13">
        <f t="shared" si="0"/>
        <v>2</v>
      </c>
      <c r="L4" s="13">
        <f t="shared" si="0"/>
        <v>2</v>
      </c>
      <c r="M4" s="13">
        <f t="shared" si="0"/>
        <v>2</v>
      </c>
      <c r="N4" s="13">
        <f t="shared" si="0"/>
        <v>2</v>
      </c>
      <c r="O4" s="13">
        <f t="shared" si="0"/>
        <v>2</v>
      </c>
      <c r="P4" s="16">
        <f t="shared" si="0"/>
        <v>52</v>
      </c>
    </row>
    <row r="5" spans="1:29" ht="15" thickTop="1" x14ac:dyDescent="0.3"/>
    <row r="9" spans="1:29" ht="15" thickBot="1" x14ac:dyDescent="0.35">
      <c r="C9" s="6" t="s">
        <v>273</v>
      </c>
      <c r="D9" s="6" t="s">
        <v>103</v>
      </c>
      <c r="E9" s="6" t="s">
        <v>104</v>
      </c>
      <c r="F9" s="6" t="s">
        <v>105</v>
      </c>
    </row>
    <row r="10" spans="1:29" x14ac:dyDescent="0.3">
      <c r="C10" s="11" t="s">
        <v>106</v>
      </c>
      <c r="D10">
        <v>4</v>
      </c>
      <c r="E10">
        <f>(P2*B4)/P4</f>
        <v>4</v>
      </c>
      <c r="F10">
        <f>(D10-E10)^2/E10</f>
        <v>0</v>
      </c>
    </row>
    <row r="11" spans="1:29" x14ac:dyDescent="0.3">
      <c r="C11" s="11" t="s">
        <v>107</v>
      </c>
      <c r="D11">
        <v>4</v>
      </c>
      <c r="E11">
        <f>(P3*B4)/P4</f>
        <v>4</v>
      </c>
      <c r="F11">
        <f t="shared" ref="F11:F37" si="1">(D11-E11)^2/E11</f>
        <v>0</v>
      </c>
    </row>
    <row r="12" spans="1:29" x14ac:dyDescent="0.3">
      <c r="C12" s="11" t="s">
        <v>108</v>
      </c>
      <c r="D12">
        <v>2</v>
      </c>
      <c r="E12">
        <f>(P2*C4)/P4</f>
        <v>2</v>
      </c>
      <c r="F12">
        <f t="shared" si="1"/>
        <v>0</v>
      </c>
    </row>
    <row r="13" spans="1:29" x14ac:dyDescent="0.3">
      <c r="C13" s="11" t="s">
        <v>109</v>
      </c>
      <c r="D13">
        <v>2</v>
      </c>
      <c r="E13">
        <f>(P3*C4)/P4</f>
        <v>2</v>
      </c>
      <c r="F13">
        <f t="shared" si="1"/>
        <v>0</v>
      </c>
    </row>
    <row r="14" spans="1:29" x14ac:dyDescent="0.3">
      <c r="C14" s="11" t="s">
        <v>110</v>
      </c>
      <c r="D14">
        <v>3</v>
      </c>
      <c r="E14">
        <f>(26*D4)/52</f>
        <v>3.5</v>
      </c>
      <c r="F14">
        <f t="shared" si="1"/>
        <v>7.1428571428571425E-2</v>
      </c>
    </row>
    <row r="15" spans="1:29" x14ac:dyDescent="0.3">
      <c r="C15" s="11" t="s">
        <v>111</v>
      </c>
      <c r="D15">
        <v>4</v>
      </c>
      <c r="E15">
        <f>(26*D4)/52</f>
        <v>3.5</v>
      </c>
      <c r="F15">
        <f t="shared" si="1"/>
        <v>7.1428571428571425E-2</v>
      </c>
    </row>
    <row r="16" spans="1:29" x14ac:dyDescent="0.3">
      <c r="C16" s="11" t="s">
        <v>112</v>
      </c>
      <c r="D16">
        <v>3</v>
      </c>
      <c r="E16">
        <f>(26*E4)/52</f>
        <v>3</v>
      </c>
      <c r="F16">
        <f t="shared" si="1"/>
        <v>0</v>
      </c>
    </row>
    <row r="17" spans="3:6" x14ac:dyDescent="0.3">
      <c r="C17" s="11" t="s">
        <v>113</v>
      </c>
      <c r="D17">
        <v>3</v>
      </c>
      <c r="E17">
        <f>(26*E4)/52</f>
        <v>3</v>
      </c>
      <c r="F17">
        <f t="shared" si="1"/>
        <v>0</v>
      </c>
    </row>
    <row r="18" spans="3:6" x14ac:dyDescent="0.3">
      <c r="C18" s="11" t="s">
        <v>114</v>
      </c>
      <c r="D18">
        <v>2</v>
      </c>
      <c r="E18">
        <f>(26*F4)/52</f>
        <v>2</v>
      </c>
      <c r="F18">
        <f t="shared" si="1"/>
        <v>0</v>
      </c>
    </row>
    <row r="19" spans="3:6" x14ac:dyDescent="0.3">
      <c r="C19" s="11" t="s">
        <v>115</v>
      </c>
      <c r="D19">
        <v>2</v>
      </c>
      <c r="E19">
        <f>(26*F4)/52</f>
        <v>2</v>
      </c>
      <c r="F19">
        <f t="shared" si="1"/>
        <v>0</v>
      </c>
    </row>
    <row r="20" spans="3:6" x14ac:dyDescent="0.3">
      <c r="C20" s="11" t="s">
        <v>116</v>
      </c>
      <c r="D20">
        <v>1</v>
      </c>
      <c r="E20">
        <f>(26*G4)/52</f>
        <v>1</v>
      </c>
      <c r="F20">
        <f t="shared" si="1"/>
        <v>0</v>
      </c>
    </row>
    <row r="21" spans="3:6" x14ac:dyDescent="0.3">
      <c r="C21" s="11" t="s">
        <v>117</v>
      </c>
      <c r="D21">
        <v>1</v>
      </c>
      <c r="E21">
        <f>(26*G4)/52</f>
        <v>1</v>
      </c>
      <c r="F21">
        <f t="shared" si="1"/>
        <v>0</v>
      </c>
    </row>
    <row r="22" spans="3:6" x14ac:dyDescent="0.3">
      <c r="C22" s="11" t="s">
        <v>118</v>
      </c>
      <c r="D22">
        <v>3</v>
      </c>
      <c r="E22">
        <f>(26*H4)/52</f>
        <v>3</v>
      </c>
      <c r="F22">
        <f t="shared" si="1"/>
        <v>0</v>
      </c>
    </row>
    <row r="23" spans="3:6" x14ac:dyDescent="0.3">
      <c r="C23" s="11" t="s">
        <v>119</v>
      </c>
      <c r="D23">
        <v>3</v>
      </c>
      <c r="E23">
        <f>(26*H4)/52</f>
        <v>3</v>
      </c>
      <c r="F23">
        <f t="shared" si="1"/>
        <v>0</v>
      </c>
    </row>
    <row r="24" spans="3:6" x14ac:dyDescent="0.3">
      <c r="C24" s="11" t="s">
        <v>120</v>
      </c>
      <c r="D24">
        <v>2</v>
      </c>
      <c r="E24">
        <f>(26*I4)/52</f>
        <v>1.5</v>
      </c>
      <c r="F24">
        <f t="shared" si="1"/>
        <v>0.16666666666666666</v>
      </c>
    </row>
    <row r="25" spans="3:6" x14ac:dyDescent="0.3">
      <c r="C25" s="11" t="s">
        <v>121</v>
      </c>
      <c r="D25">
        <v>1</v>
      </c>
      <c r="E25">
        <f>(26*I4)/52</f>
        <v>1.5</v>
      </c>
      <c r="F25">
        <f t="shared" si="1"/>
        <v>0.16666666666666666</v>
      </c>
    </row>
    <row r="26" spans="3:6" x14ac:dyDescent="0.3">
      <c r="C26" s="11" t="s">
        <v>122</v>
      </c>
      <c r="D26">
        <v>1</v>
      </c>
      <c r="E26">
        <f>(26*J4)/52</f>
        <v>1</v>
      </c>
      <c r="F26">
        <f t="shared" si="1"/>
        <v>0</v>
      </c>
    </row>
    <row r="27" spans="3:6" x14ac:dyDescent="0.3">
      <c r="C27" s="11" t="s">
        <v>123</v>
      </c>
      <c r="D27">
        <v>1</v>
      </c>
      <c r="E27">
        <f>(26*J4)/52</f>
        <v>1</v>
      </c>
      <c r="F27">
        <f t="shared" si="1"/>
        <v>0</v>
      </c>
    </row>
    <row r="28" spans="3:6" x14ac:dyDescent="0.3">
      <c r="C28" s="11" t="s">
        <v>124</v>
      </c>
      <c r="D28">
        <v>1</v>
      </c>
      <c r="E28">
        <f>(26*K4)/52</f>
        <v>1</v>
      </c>
      <c r="F28">
        <f t="shared" si="1"/>
        <v>0</v>
      </c>
    </row>
    <row r="29" spans="3:6" x14ac:dyDescent="0.3">
      <c r="C29" s="11" t="s">
        <v>125</v>
      </c>
      <c r="D29">
        <v>1</v>
      </c>
      <c r="E29">
        <f>(26*K4)/52</f>
        <v>1</v>
      </c>
      <c r="F29">
        <f t="shared" si="1"/>
        <v>0</v>
      </c>
    </row>
    <row r="30" spans="3:6" x14ac:dyDescent="0.3">
      <c r="C30" s="11" t="s">
        <v>126</v>
      </c>
      <c r="D30">
        <v>1</v>
      </c>
      <c r="E30">
        <f>(26*L4)/52</f>
        <v>1</v>
      </c>
      <c r="F30">
        <f t="shared" si="1"/>
        <v>0</v>
      </c>
    </row>
    <row r="31" spans="3:6" x14ac:dyDescent="0.3">
      <c r="C31" s="11" t="s">
        <v>127</v>
      </c>
      <c r="D31">
        <v>1</v>
      </c>
      <c r="E31">
        <f>(26*L4)/52</f>
        <v>1</v>
      </c>
      <c r="F31">
        <f t="shared" si="1"/>
        <v>0</v>
      </c>
    </row>
    <row r="32" spans="3:6" x14ac:dyDescent="0.3">
      <c r="C32" s="11" t="s">
        <v>128</v>
      </c>
      <c r="D32">
        <v>1</v>
      </c>
      <c r="E32">
        <f>(26*M4)/52</f>
        <v>1</v>
      </c>
      <c r="F32">
        <f t="shared" si="1"/>
        <v>0</v>
      </c>
    </row>
    <row r="33" spans="3:6" x14ac:dyDescent="0.3">
      <c r="C33" s="11" t="s">
        <v>129</v>
      </c>
      <c r="D33">
        <v>1</v>
      </c>
      <c r="E33">
        <f>(26*M4)/52</f>
        <v>1</v>
      </c>
      <c r="F33">
        <f t="shared" si="1"/>
        <v>0</v>
      </c>
    </row>
    <row r="34" spans="3:6" x14ac:dyDescent="0.3">
      <c r="C34" s="11" t="s">
        <v>130</v>
      </c>
      <c r="D34">
        <v>1</v>
      </c>
      <c r="E34">
        <f>(26*N4)/52</f>
        <v>1</v>
      </c>
      <c r="F34">
        <f t="shared" si="1"/>
        <v>0</v>
      </c>
    </row>
    <row r="35" spans="3:6" x14ac:dyDescent="0.3">
      <c r="C35" s="11" t="s">
        <v>131</v>
      </c>
      <c r="D35">
        <v>1</v>
      </c>
      <c r="E35">
        <f>(26*N4)/52</f>
        <v>1</v>
      </c>
      <c r="F35">
        <f t="shared" si="1"/>
        <v>0</v>
      </c>
    </row>
    <row r="36" spans="3:6" x14ac:dyDescent="0.3">
      <c r="C36" s="11" t="s">
        <v>132</v>
      </c>
      <c r="D36">
        <v>1</v>
      </c>
      <c r="E36">
        <f>(26*O4)/52</f>
        <v>1</v>
      </c>
      <c r="F36">
        <f t="shared" si="1"/>
        <v>0</v>
      </c>
    </row>
    <row r="37" spans="3:6" x14ac:dyDescent="0.3">
      <c r="C37" s="11" t="s">
        <v>133</v>
      </c>
      <c r="D37">
        <v>1</v>
      </c>
      <c r="E37">
        <f>(26*O4)/52</f>
        <v>1</v>
      </c>
      <c r="F37">
        <f t="shared" si="1"/>
        <v>0</v>
      </c>
    </row>
    <row r="38" spans="3:6" x14ac:dyDescent="0.3">
      <c r="C38" s="12" t="s">
        <v>134</v>
      </c>
      <c r="D38" s="13">
        <f>SUM(D10:D37)</f>
        <v>52</v>
      </c>
      <c r="E38" s="13">
        <f>SUM(E10:E37)</f>
        <v>52</v>
      </c>
      <c r="F38" s="13">
        <f>SUM(F10:F37)</f>
        <v>0.47619047619047616</v>
      </c>
    </row>
    <row r="40" spans="3:6" x14ac:dyDescent="0.3">
      <c r="C40" t="s">
        <v>102</v>
      </c>
      <c r="D40">
        <f>(2-1)*(14-1)</f>
        <v>13</v>
      </c>
    </row>
    <row r="41" spans="3:6" x14ac:dyDescent="0.3">
      <c r="C41" t="s">
        <v>135</v>
      </c>
      <c r="D41">
        <f>_xlfn.CHISQ.DIST.RT(F38,D40)</f>
        <v>0.99999996133661284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ECA7-7DFE-4FA3-9A04-63807BA61CA8}">
  <dimension ref="A1:D1"/>
  <sheetViews>
    <sheetView workbookViewId="0">
      <selection activeCell="A2" sqref="A2"/>
    </sheetView>
  </sheetViews>
  <sheetFormatPr defaultRowHeight="14.4" x14ac:dyDescent="0.3"/>
  <cols>
    <col min="4" max="4" width="13.5546875" bestFit="1" customWidth="1"/>
  </cols>
  <sheetData>
    <row r="1" spans="1:4" ht="15" thickBot="1" x14ac:dyDescent="0.35">
      <c r="A1" s="6" t="s">
        <v>51</v>
      </c>
      <c r="B1" s="6" t="s">
        <v>52</v>
      </c>
      <c r="C1" s="6" t="s">
        <v>53</v>
      </c>
      <c r="D1" s="6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767A-56AE-4042-B722-A8E2B1BEA8D8}">
  <dimension ref="A1:E534"/>
  <sheetViews>
    <sheetView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10.88671875" bestFit="1" customWidth="1"/>
    <col min="2" max="2" width="24.33203125" bestFit="1" customWidth="1"/>
  </cols>
  <sheetData>
    <row r="1" spans="1:5" ht="15" thickBot="1" x14ac:dyDescent="0.35">
      <c r="A1" s="6" t="s">
        <v>137</v>
      </c>
      <c r="B1" s="6" t="s">
        <v>33</v>
      </c>
      <c r="C1" s="6" t="s">
        <v>140</v>
      </c>
      <c r="D1" s="6" t="s">
        <v>138</v>
      </c>
      <c r="E1" s="10" t="s">
        <v>160</v>
      </c>
    </row>
    <row r="2" spans="1:5" x14ac:dyDescent="0.3">
      <c r="A2" t="s">
        <v>139</v>
      </c>
      <c r="B2" t="s">
        <v>68</v>
      </c>
      <c r="C2">
        <v>4</v>
      </c>
      <c r="D2">
        <f>C2/30</f>
        <v>0.13333333333333333</v>
      </c>
      <c r="E2">
        <f>D2*LN(D2)</f>
        <v>-0.26865373607230197</v>
      </c>
    </row>
    <row r="3" spans="1:5" x14ac:dyDescent="0.3">
      <c r="B3" t="s">
        <v>65</v>
      </c>
      <c r="C3">
        <v>4</v>
      </c>
      <c r="D3">
        <f t="shared" ref="D3:D16" si="0">C3/30</f>
        <v>0.13333333333333333</v>
      </c>
      <c r="E3">
        <f t="shared" ref="E3:E16" si="1">D3*LN(D3)</f>
        <v>-0.26865373607230197</v>
      </c>
    </row>
    <row r="4" spans="1:5" x14ac:dyDescent="0.3">
      <c r="B4" t="s">
        <v>79</v>
      </c>
      <c r="C4">
        <v>1</v>
      </c>
      <c r="D4">
        <f t="shared" si="0"/>
        <v>3.3333333333333333E-2</v>
      </c>
      <c r="E4">
        <f t="shared" si="1"/>
        <v>-0.11337324605540518</v>
      </c>
    </row>
    <row r="5" spans="1:5" x14ac:dyDescent="0.3">
      <c r="B5" t="s">
        <v>76</v>
      </c>
      <c r="C5">
        <v>1</v>
      </c>
      <c r="D5">
        <f t="shared" si="0"/>
        <v>3.3333333333333333E-2</v>
      </c>
      <c r="E5">
        <f t="shared" si="1"/>
        <v>-0.11337324605540518</v>
      </c>
    </row>
    <row r="6" spans="1:5" x14ac:dyDescent="0.3">
      <c r="B6" t="s">
        <v>66</v>
      </c>
      <c r="C6">
        <v>2</v>
      </c>
      <c r="D6">
        <f t="shared" si="0"/>
        <v>6.6666666666666666E-2</v>
      </c>
      <c r="E6">
        <f t="shared" si="1"/>
        <v>-0.18053668007348067</v>
      </c>
    </row>
    <row r="7" spans="1:5" x14ac:dyDescent="0.3">
      <c r="B7" t="s">
        <v>69</v>
      </c>
      <c r="C7">
        <v>3</v>
      </c>
      <c r="D7">
        <f t="shared" si="0"/>
        <v>0.1</v>
      </c>
      <c r="E7">
        <f t="shared" si="1"/>
        <v>-0.23025850929940456</v>
      </c>
    </row>
    <row r="8" spans="1:5" x14ac:dyDescent="0.3">
      <c r="B8" t="s">
        <v>74</v>
      </c>
      <c r="C8">
        <v>2</v>
      </c>
      <c r="D8">
        <f t="shared" si="0"/>
        <v>6.6666666666666666E-2</v>
      </c>
      <c r="E8">
        <f t="shared" si="1"/>
        <v>-0.18053668007348067</v>
      </c>
    </row>
    <row r="9" spans="1:5" x14ac:dyDescent="0.3">
      <c r="B9" t="s">
        <v>70</v>
      </c>
      <c r="C9">
        <v>1</v>
      </c>
      <c r="D9">
        <f t="shared" si="0"/>
        <v>3.3333333333333333E-2</v>
      </c>
      <c r="E9">
        <f t="shared" si="1"/>
        <v>-0.11337324605540518</v>
      </c>
    </row>
    <row r="10" spans="1:5" x14ac:dyDescent="0.3">
      <c r="B10" t="s">
        <v>80</v>
      </c>
      <c r="C10">
        <v>2</v>
      </c>
      <c r="D10">
        <f t="shared" si="0"/>
        <v>6.6666666666666666E-2</v>
      </c>
      <c r="E10">
        <f t="shared" si="1"/>
        <v>-0.18053668007348067</v>
      </c>
    </row>
    <row r="11" spans="1:5" x14ac:dyDescent="0.3">
      <c r="B11" t="s">
        <v>71</v>
      </c>
      <c r="C11">
        <v>3</v>
      </c>
      <c r="D11">
        <f t="shared" si="0"/>
        <v>0.1</v>
      </c>
      <c r="E11">
        <f t="shared" si="1"/>
        <v>-0.23025850929940456</v>
      </c>
    </row>
    <row r="12" spans="1:5" x14ac:dyDescent="0.3">
      <c r="B12" t="s">
        <v>67</v>
      </c>
      <c r="C12">
        <v>2</v>
      </c>
      <c r="D12">
        <f t="shared" si="0"/>
        <v>6.6666666666666666E-2</v>
      </c>
      <c r="E12">
        <f t="shared" si="1"/>
        <v>-0.18053668007348067</v>
      </c>
    </row>
    <row r="13" spans="1:5" x14ac:dyDescent="0.3">
      <c r="B13" t="s">
        <v>77</v>
      </c>
      <c r="C13">
        <v>1</v>
      </c>
      <c r="D13">
        <f t="shared" si="0"/>
        <v>3.3333333333333333E-2</v>
      </c>
      <c r="E13">
        <f t="shared" si="1"/>
        <v>-0.11337324605540518</v>
      </c>
    </row>
    <row r="14" spans="1:5" x14ac:dyDescent="0.3">
      <c r="B14" t="s">
        <v>87</v>
      </c>
      <c r="C14">
        <v>1</v>
      </c>
      <c r="D14">
        <f t="shared" si="0"/>
        <v>3.3333333333333333E-2</v>
      </c>
      <c r="E14">
        <f t="shared" si="1"/>
        <v>-0.11337324605540518</v>
      </c>
    </row>
    <row r="15" spans="1:5" x14ac:dyDescent="0.3">
      <c r="B15" t="s">
        <v>72</v>
      </c>
      <c r="C15">
        <v>1</v>
      </c>
      <c r="D15">
        <f t="shared" si="0"/>
        <v>3.3333333333333333E-2</v>
      </c>
      <c r="E15">
        <f t="shared" si="1"/>
        <v>-0.11337324605540518</v>
      </c>
    </row>
    <row r="16" spans="1:5" x14ac:dyDescent="0.3">
      <c r="B16" t="s">
        <v>73</v>
      </c>
      <c r="C16">
        <v>2</v>
      </c>
      <c r="D16">
        <f t="shared" si="0"/>
        <v>6.6666666666666666E-2</v>
      </c>
      <c r="E16">
        <f t="shared" si="1"/>
        <v>-0.18053668007348067</v>
      </c>
    </row>
    <row r="17" spans="1:5" x14ac:dyDescent="0.3">
      <c r="B17" t="s">
        <v>101</v>
      </c>
      <c r="C17">
        <f>SUM(C2:C16)</f>
        <v>30</v>
      </c>
      <c r="E17">
        <f>-SUM(E2:E16)</f>
        <v>2.5807473674432471</v>
      </c>
    </row>
    <row r="18" spans="1:5" x14ac:dyDescent="0.3">
      <c r="A18" t="s">
        <v>141</v>
      </c>
      <c r="B18" t="s">
        <v>74</v>
      </c>
      <c r="C18">
        <v>1</v>
      </c>
      <c r="D18">
        <f>C18/25</f>
        <v>0.04</v>
      </c>
      <c r="E18">
        <f t="shared" ref="E18:E29" si="2">D18*LN(D18)</f>
        <v>-0.12875503299472801</v>
      </c>
    </row>
    <row r="19" spans="1:5" x14ac:dyDescent="0.3">
      <c r="B19" t="s">
        <v>69</v>
      </c>
      <c r="C19">
        <v>2</v>
      </c>
      <c r="D19">
        <f t="shared" ref="D19:D29" si="3">C19/25</f>
        <v>0.08</v>
      </c>
      <c r="E19">
        <f t="shared" si="2"/>
        <v>-0.20205829154466046</v>
      </c>
    </row>
    <row r="20" spans="1:5" x14ac:dyDescent="0.3">
      <c r="B20" t="s">
        <v>65</v>
      </c>
      <c r="C20">
        <v>3</v>
      </c>
      <c r="D20">
        <f t="shared" si="3"/>
        <v>0.12</v>
      </c>
      <c r="E20">
        <f t="shared" si="2"/>
        <v>-0.2544316243440109</v>
      </c>
    </row>
    <row r="21" spans="1:5" x14ac:dyDescent="0.3">
      <c r="B21" t="s">
        <v>70</v>
      </c>
      <c r="C21">
        <v>1</v>
      </c>
      <c r="D21">
        <f t="shared" si="3"/>
        <v>0.04</v>
      </c>
      <c r="E21">
        <f t="shared" si="2"/>
        <v>-0.12875503299472801</v>
      </c>
    </row>
    <row r="22" spans="1:5" x14ac:dyDescent="0.3">
      <c r="B22" t="s">
        <v>66</v>
      </c>
      <c r="C22">
        <v>3</v>
      </c>
      <c r="D22">
        <f t="shared" si="3"/>
        <v>0.12</v>
      </c>
      <c r="E22">
        <f t="shared" si="2"/>
        <v>-0.2544316243440109</v>
      </c>
    </row>
    <row r="23" spans="1:5" x14ac:dyDescent="0.3">
      <c r="B23" t="s">
        <v>75</v>
      </c>
      <c r="C23">
        <v>2</v>
      </c>
      <c r="D23">
        <f t="shared" si="3"/>
        <v>0.08</v>
      </c>
      <c r="E23">
        <f t="shared" si="2"/>
        <v>-0.20205829154466046</v>
      </c>
    </row>
    <row r="24" spans="1:5" x14ac:dyDescent="0.3">
      <c r="B24" t="s">
        <v>68</v>
      </c>
      <c r="C24">
        <v>6</v>
      </c>
      <c r="D24">
        <f t="shared" si="3"/>
        <v>0.24</v>
      </c>
      <c r="E24">
        <f t="shared" si="2"/>
        <v>-0.342507925353635</v>
      </c>
    </row>
    <row r="25" spans="1:5" x14ac:dyDescent="0.3">
      <c r="B25" t="s">
        <v>79</v>
      </c>
      <c r="C25">
        <v>1</v>
      </c>
      <c r="D25">
        <f t="shared" si="3"/>
        <v>0.04</v>
      </c>
      <c r="E25">
        <f t="shared" si="2"/>
        <v>-0.12875503299472801</v>
      </c>
    </row>
    <row r="26" spans="1:5" x14ac:dyDescent="0.3">
      <c r="B26" t="s">
        <v>84</v>
      </c>
      <c r="C26">
        <v>2</v>
      </c>
      <c r="D26">
        <f t="shared" si="3"/>
        <v>0.08</v>
      </c>
      <c r="E26">
        <f t="shared" si="2"/>
        <v>-0.20205829154466046</v>
      </c>
    </row>
    <row r="27" spans="1:5" x14ac:dyDescent="0.3">
      <c r="B27" t="s">
        <v>71</v>
      </c>
      <c r="C27">
        <v>2</v>
      </c>
      <c r="D27">
        <f t="shared" si="3"/>
        <v>0.08</v>
      </c>
      <c r="E27">
        <f t="shared" si="2"/>
        <v>-0.20205829154466046</v>
      </c>
    </row>
    <row r="28" spans="1:5" x14ac:dyDescent="0.3">
      <c r="B28" t="s">
        <v>73</v>
      </c>
      <c r="C28">
        <v>1</v>
      </c>
      <c r="D28">
        <f t="shared" si="3"/>
        <v>0.04</v>
      </c>
      <c r="E28">
        <f t="shared" si="2"/>
        <v>-0.12875503299472801</v>
      </c>
    </row>
    <row r="29" spans="1:5" x14ac:dyDescent="0.3">
      <c r="B29" t="s">
        <v>91</v>
      </c>
      <c r="C29">
        <v>1</v>
      </c>
      <c r="D29">
        <f t="shared" si="3"/>
        <v>0.04</v>
      </c>
      <c r="E29">
        <f t="shared" si="2"/>
        <v>-0.12875503299472801</v>
      </c>
    </row>
    <row r="30" spans="1:5" x14ac:dyDescent="0.3">
      <c r="B30" t="s">
        <v>101</v>
      </c>
      <c r="C30">
        <f>SUM(C18:C29)</f>
        <v>25</v>
      </c>
      <c r="E30">
        <f>-SUM(E18:E29)</f>
        <v>2.3033795051939387</v>
      </c>
    </row>
    <row r="31" spans="1:5" x14ac:dyDescent="0.3">
      <c r="A31" t="s">
        <v>142</v>
      </c>
      <c r="B31" t="s">
        <v>71</v>
      </c>
      <c r="C31">
        <v>2</v>
      </c>
      <c r="D31">
        <f>C31/26</f>
        <v>7.6923076923076927E-2</v>
      </c>
      <c r="E31">
        <f t="shared" ref="E31:E46" si="4">D31*LN(D31)</f>
        <v>-0.19730379672781054</v>
      </c>
    </row>
    <row r="32" spans="1:5" x14ac:dyDescent="0.3">
      <c r="B32" t="s">
        <v>74</v>
      </c>
      <c r="C32">
        <v>3</v>
      </c>
      <c r="D32">
        <f t="shared" ref="D32:D46" si="5">C32/26</f>
        <v>0.11538461538461539</v>
      </c>
      <c r="E32">
        <f t="shared" si="4"/>
        <v>-0.24917125954077371</v>
      </c>
    </row>
    <row r="33" spans="1:5" x14ac:dyDescent="0.3">
      <c r="B33" t="s">
        <v>69</v>
      </c>
      <c r="C33">
        <v>5</v>
      </c>
      <c r="D33">
        <f t="shared" si="5"/>
        <v>0.19230769230769232</v>
      </c>
      <c r="E33">
        <f t="shared" si="4"/>
        <v>-0.3170497356898811</v>
      </c>
    </row>
    <row r="34" spans="1:5" x14ac:dyDescent="0.3">
      <c r="B34" t="s">
        <v>70</v>
      </c>
      <c r="C34">
        <v>1</v>
      </c>
      <c r="D34">
        <f t="shared" si="5"/>
        <v>3.8461538461538464E-2</v>
      </c>
      <c r="E34">
        <f t="shared" si="4"/>
        <v>-0.12531140530851856</v>
      </c>
    </row>
    <row r="35" spans="1:5" x14ac:dyDescent="0.3">
      <c r="B35" t="s">
        <v>67</v>
      </c>
      <c r="C35">
        <v>1</v>
      </c>
      <c r="D35">
        <f t="shared" si="5"/>
        <v>3.8461538461538464E-2</v>
      </c>
      <c r="E35">
        <f t="shared" si="4"/>
        <v>-0.12531140530851856</v>
      </c>
    </row>
    <row r="36" spans="1:5" x14ac:dyDescent="0.3">
      <c r="B36" t="s">
        <v>66</v>
      </c>
      <c r="C36">
        <v>3</v>
      </c>
      <c r="D36">
        <f t="shared" si="5"/>
        <v>0.11538461538461539</v>
      </c>
      <c r="E36">
        <f t="shared" si="4"/>
        <v>-0.24917125954077371</v>
      </c>
    </row>
    <row r="37" spans="1:5" x14ac:dyDescent="0.3">
      <c r="B37" t="s">
        <v>77</v>
      </c>
      <c r="C37">
        <v>2</v>
      </c>
      <c r="D37">
        <f t="shared" si="5"/>
        <v>7.6923076923076927E-2</v>
      </c>
      <c r="E37">
        <f t="shared" si="4"/>
        <v>-0.19730379672781054</v>
      </c>
    </row>
    <row r="38" spans="1:5" x14ac:dyDescent="0.3">
      <c r="B38" t="s">
        <v>83</v>
      </c>
      <c r="C38">
        <v>1</v>
      </c>
      <c r="D38">
        <f t="shared" si="5"/>
        <v>3.8461538461538464E-2</v>
      </c>
      <c r="E38">
        <f t="shared" si="4"/>
        <v>-0.12531140530851856</v>
      </c>
    </row>
    <row r="39" spans="1:5" x14ac:dyDescent="0.3">
      <c r="B39" t="s">
        <v>73</v>
      </c>
      <c r="C39">
        <v>1</v>
      </c>
      <c r="D39">
        <f t="shared" si="5"/>
        <v>3.8461538461538464E-2</v>
      </c>
      <c r="E39">
        <f t="shared" si="4"/>
        <v>-0.12531140530851856</v>
      </c>
    </row>
    <row r="40" spans="1:5" x14ac:dyDescent="0.3">
      <c r="B40" t="s">
        <v>68</v>
      </c>
      <c r="C40">
        <v>1</v>
      </c>
      <c r="D40">
        <f t="shared" si="5"/>
        <v>3.8461538461538464E-2</v>
      </c>
      <c r="E40">
        <f t="shared" si="4"/>
        <v>-0.12531140530851856</v>
      </c>
    </row>
    <row r="41" spans="1:5" x14ac:dyDescent="0.3">
      <c r="B41" t="s">
        <v>78</v>
      </c>
      <c r="C41">
        <v>1</v>
      </c>
      <c r="D41">
        <f t="shared" si="5"/>
        <v>3.8461538461538464E-2</v>
      </c>
      <c r="E41">
        <f t="shared" si="4"/>
        <v>-0.12531140530851856</v>
      </c>
    </row>
    <row r="42" spans="1:5" x14ac:dyDescent="0.3">
      <c r="B42" t="s">
        <v>87</v>
      </c>
      <c r="C42">
        <v>1</v>
      </c>
      <c r="D42">
        <f t="shared" si="5"/>
        <v>3.8461538461538464E-2</v>
      </c>
      <c r="E42">
        <f t="shared" si="4"/>
        <v>-0.12531140530851856</v>
      </c>
    </row>
    <row r="43" spans="1:5" x14ac:dyDescent="0.3">
      <c r="B43" t="s">
        <v>65</v>
      </c>
      <c r="C43">
        <v>1</v>
      </c>
      <c r="D43">
        <f t="shared" si="5"/>
        <v>3.8461538461538464E-2</v>
      </c>
      <c r="E43">
        <f t="shared" si="4"/>
        <v>-0.12531140530851856</v>
      </c>
    </row>
    <row r="44" spans="1:5" x14ac:dyDescent="0.3">
      <c r="B44" t="s">
        <v>72</v>
      </c>
      <c r="C44">
        <v>1</v>
      </c>
      <c r="D44">
        <f t="shared" si="5"/>
        <v>3.8461538461538464E-2</v>
      </c>
      <c r="E44">
        <f t="shared" si="4"/>
        <v>-0.12531140530851856</v>
      </c>
    </row>
    <row r="45" spans="1:5" x14ac:dyDescent="0.3">
      <c r="B45" t="s">
        <v>84</v>
      </c>
      <c r="C45">
        <v>1</v>
      </c>
      <c r="D45">
        <f t="shared" si="5"/>
        <v>3.8461538461538464E-2</v>
      </c>
      <c r="E45">
        <f t="shared" si="4"/>
        <v>-0.12531140530851856</v>
      </c>
    </row>
    <row r="46" spans="1:5" x14ac:dyDescent="0.3">
      <c r="B46" t="s">
        <v>75</v>
      </c>
      <c r="C46">
        <v>1</v>
      </c>
      <c r="D46">
        <f t="shared" si="5"/>
        <v>3.8461538461538464E-2</v>
      </c>
      <c r="E46">
        <f t="shared" si="4"/>
        <v>-0.12531140530851856</v>
      </c>
    </row>
    <row r="47" spans="1:5" x14ac:dyDescent="0.3">
      <c r="B47" t="s">
        <v>101</v>
      </c>
      <c r="C47">
        <f>SUM(C31:C46)</f>
        <v>26</v>
      </c>
      <c r="E47">
        <f>-SUM(E31:E46)</f>
        <v>2.5884253066207541</v>
      </c>
    </row>
    <row r="48" spans="1:5" x14ac:dyDescent="0.3">
      <c r="A48" t="s">
        <v>143</v>
      </c>
      <c r="B48" t="s">
        <v>71</v>
      </c>
      <c r="C48">
        <v>2</v>
      </c>
      <c r="D48">
        <f>C48/25</f>
        <v>0.08</v>
      </c>
      <c r="E48">
        <f t="shared" ref="E48:E62" si="6">D48*LN(D48)</f>
        <v>-0.20205829154466046</v>
      </c>
    </row>
    <row r="49" spans="1:5" x14ac:dyDescent="0.3">
      <c r="B49" t="s">
        <v>69</v>
      </c>
      <c r="C49">
        <v>3</v>
      </c>
      <c r="D49">
        <f t="shared" ref="D49:D62" si="7">C49/25</f>
        <v>0.12</v>
      </c>
      <c r="E49">
        <f t="shared" si="6"/>
        <v>-0.2544316243440109</v>
      </c>
    </row>
    <row r="50" spans="1:5" x14ac:dyDescent="0.3">
      <c r="B50" t="s">
        <v>73</v>
      </c>
      <c r="C50">
        <v>2</v>
      </c>
      <c r="D50">
        <f t="shared" si="7"/>
        <v>0.08</v>
      </c>
      <c r="E50">
        <f t="shared" si="6"/>
        <v>-0.20205829154466046</v>
      </c>
    </row>
    <row r="51" spans="1:5" x14ac:dyDescent="0.3">
      <c r="B51" t="s">
        <v>84</v>
      </c>
      <c r="C51">
        <v>1</v>
      </c>
      <c r="D51">
        <f t="shared" si="7"/>
        <v>0.04</v>
      </c>
      <c r="E51">
        <f t="shared" si="6"/>
        <v>-0.12875503299472801</v>
      </c>
    </row>
    <row r="52" spans="1:5" x14ac:dyDescent="0.3">
      <c r="B52" t="s">
        <v>65</v>
      </c>
      <c r="C52">
        <v>3</v>
      </c>
      <c r="D52">
        <f t="shared" si="7"/>
        <v>0.12</v>
      </c>
      <c r="E52">
        <f t="shared" si="6"/>
        <v>-0.2544316243440109</v>
      </c>
    </row>
    <row r="53" spans="1:5" x14ac:dyDescent="0.3">
      <c r="B53" t="s">
        <v>74</v>
      </c>
      <c r="C53">
        <v>3</v>
      </c>
      <c r="D53">
        <f t="shared" si="7"/>
        <v>0.12</v>
      </c>
      <c r="E53">
        <f t="shared" si="6"/>
        <v>-0.2544316243440109</v>
      </c>
    </row>
    <row r="54" spans="1:5" x14ac:dyDescent="0.3">
      <c r="B54" t="s">
        <v>83</v>
      </c>
      <c r="C54">
        <v>1</v>
      </c>
      <c r="D54">
        <f t="shared" si="7"/>
        <v>0.04</v>
      </c>
      <c r="E54">
        <f t="shared" si="6"/>
        <v>-0.12875503299472801</v>
      </c>
    </row>
    <row r="55" spans="1:5" x14ac:dyDescent="0.3">
      <c r="B55" t="s">
        <v>68</v>
      </c>
      <c r="C55">
        <v>2</v>
      </c>
      <c r="D55">
        <f t="shared" si="7"/>
        <v>0.08</v>
      </c>
      <c r="E55">
        <f t="shared" si="6"/>
        <v>-0.20205829154466046</v>
      </c>
    </row>
    <row r="56" spans="1:5" x14ac:dyDescent="0.3">
      <c r="B56" t="s">
        <v>67</v>
      </c>
      <c r="C56">
        <v>1</v>
      </c>
      <c r="D56">
        <f t="shared" si="7"/>
        <v>0.04</v>
      </c>
      <c r="E56">
        <f t="shared" si="6"/>
        <v>-0.12875503299472801</v>
      </c>
    </row>
    <row r="57" spans="1:5" x14ac:dyDescent="0.3">
      <c r="B57" t="s">
        <v>66</v>
      </c>
      <c r="C57">
        <v>2</v>
      </c>
      <c r="D57">
        <f t="shared" si="7"/>
        <v>0.08</v>
      </c>
      <c r="E57">
        <f t="shared" si="6"/>
        <v>-0.20205829154466046</v>
      </c>
    </row>
    <row r="58" spans="1:5" x14ac:dyDescent="0.3">
      <c r="B58" t="s">
        <v>70</v>
      </c>
      <c r="C58">
        <v>1</v>
      </c>
      <c r="D58">
        <f t="shared" si="7"/>
        <v>0.04</v>
      </c>
      <c r="E58">
        <f t="shared" si="6"/>
        <v>-0.12875503299472801</v>
      </c>
    </row>
    <row r="59" spans="1:5" x14ac:dyDescent="0.3">
      <c r="B59" t="s">
        <v>75</v>
      </c>
      <c r="C59">
        <v>1</v>
      </c>
      <c r="D59">
        <f t="shared" si="7"/>
        <v>0.04</v>
      </c>
      <c r="E59">
        <f t="shared" si="6"/>
        <v>-0.12875503299472801</v>
      </c>
    </row>
    <row r="60" spans="1:5" x14ac:dyDescent="0.3">
      <c r="B60" t="s">
        <v>72</v>
      </c>
      <c r="C60">
        <v>1</v>
      </c>
      <c r="D60">
        <f t="shared" si="7"/>
        <v>0.04</v>
      </c>
      <c r="E60">
        <f t="shared" si="6"/>
        <v>-0.12875503299472801</v>
      </c>
    </row>
    <row r="61" spans="1:5" x14ac:dyDescent="0.3">
      <c r="B61" t="s">
        <v>83</v>
      </c>
      <c r="C61">
        <v>1</v>
      </c>
      <c r="D61">
        <f t="shared" si="7"/>
        <v>0.04</v>
      </c>
      <c r="E61">
        <f t="shared" si="6"/>
        <v>-0.12875503299472801</v>
      </c>
    </row>
    <row r="62" spans="1:5" x14ac:dyDescent="0.3">
      <c r="B62" t="s">
        <v>87</v>
      </c>
      <c r="C62">
        <v>1</v>
      </c>
      <c r="D62">
        <f t="shared" si="7"/>
        <v>0.04</v>
      </c>
      <c r="E62">
        <f t="shared" si="6"/>
        <v>-0.12875503299472801</v>
      </c>
    </row>
    <row r="63" spans="1:5" x14ac:dyDescent="0.3">
      <c r="B63" t="s">
        <v>101</v>
      </c>
      <c r="C63">
        <f>SUM(C48:C62)</f>
        <v>25</v>
      </c>
      <c r="E63">
        <f>-SUM(E48:E62)</f>
        <v>2.6015683031684977</v>
      </c>
    </row>
    <row r="64" spans="1:5" x14ac:dyDescent="0.3">
      <c r="A64" t="s">
        <v>144</v>
      </c>
      <c r="B64" t="s">
        <v>71</v>
      </c>
      <c r="C64">
        <v>3</v>
      </c>
      <c r="D64">
        <f>C64/27</f>
        <v>0.1111111111111111</v>
      </c>
      <c r="E64">
        <f t="shared" ref="E64:E78" si="8">D64*LN(D64)</f>
        <v>-0.24413606414846883</v>
      </c>
    </row>
    <row r="65" spans="1:5" x14ac:dyDescent="0.3">
      <c r="B65" t="s">
        <v>76</v>
      </c>
      <c r="C65">
        <v>2</v>
      </c>
      <c r="D65">
        <f t="shared" ref="D65:D78" si="9">C65/27</f>
        <v>7.407407407407407E-2</v>
      </c>
      <c r="E65">
        <f t="shared" si="8"/>
        <v>-0.19279182855143581</v>
      </c>
    </row>
    <row r="66" spans="1:5" x14ac:dyDescent="0.3">
      <c r="B66" t="s">
        <v>74</v>
      </c>
      <c r="C66">
        <v>2</v>
      </c>
      <c r="D66">
        <f t="shared" si="9"/>
        <v>7.407407407407407E-2</v>
      </c>
      <c r="E66">
        <f t="shared" si="8"/>
        <v>-0.19279182855143581</v>
      </c>
    </row>
    <row r="67" spans="1:5" x14ac:dyDescent="0.3">
      <c r="B67" t="s">
        <v>65</v>
      </c>
      <c r="C67">
        <v>3</v>
      </c>
      <c r="D67">
        <f t="shared" si="9"/>
        <v>0.1111111111111111</v>
      </c>
      <c r="E67">
        <f t="shared" si="8"/>
        <v>-0.24413606414846883</v>
      </c>
    </row>
    <row r="68" spans="1:5" x14ac:dyDescent="0.3">
      <c r="B68" t="s">
        <v>68</v>
      </c>
      <c r="C68">
        <v>2</v>
      </c>
      <c r="D68">
        <f t="shared" si="9"/>
        <v>7.407407407407407E-2</v>
      </c>
      <c r="E68">
        <f t="shared" si="8"/>
        <v>-0.19279182855143581</v>
      </c>
    </row>
    <row r="69" spans="1:5" x14ac:dyDescent="0.3">
      <c r="B69" t="s">
        <v>66</v>
      </c>
      <c r="C69">
        <v>2</v>
      </c>
      <c r="D69">
        <f t="shared" si="9"/>
        <v>7.407407407407407E-2</v>
      </c>
      <c r="E69">
        <f t="shared" si="8"/>
        <v>-0.19279182855143581</v>
      </c>
    </row>
    <row r="70" spans="1:5" x14ac:dyDescent="0.3">
      <c r="B70" t="s">
        <v>67</v>
      </c>
      <c r="C70">
        <v>1</v>
      </c>
      <c r="D70">
        <f t="shared" si="9"/>
        <v>3.7037037037037035E-2</v>
      </c>
      <c r="E70">
        <f t="shared" si="8"/>
        <v>-0.1220680320742344</v>
      </c>
    </row>
    <row r="71" spans="1:5" x14ac:dyDescent="0.3">
      <c r="B71" t="s">
        <v>69</v>
      </c>
      <c r="C71">
        <v>3</v>
      </c>
      <c r="D71">
        <f t="shared" si="9"/>
        <v>0.1111111111111111</v>
      </c>
      <c r="E71">
        <f t="shared" si="8"/>
        <v>-0.24413606414846883</v>
      </c>
    </row>
    <row r="72" spans="1:5" x14ac:dyDescent="0.3">
      <c r="B72" t="s">
        <v>73</v>
      </c>
      <c r="C72">
        <v>2</v>
      </c>
      <c r="D72">
        <f t="shared" si="9"/>
        <v>7.407407407407407E-2</v>
      </c>
      <c r="E72">
        <f t="shared" si="8"/>
        <v>-0.19279182855143581</v>
      </c>
    </row>
    <row r="73" spans="1:5" x14ac:dyDescent="0.3">
      <c r="B73" t="s">
        <v>72</v>
      </c>
      <c r="C73">
        <v>2</v>
      </c>
      <c r="D73">
        <f t="shared" si="9"/>
        <v>7.407407407407407E-2</v>
      </c>
      <c r="E73">
        <f t="shared" si="8"/>
        <v>-0.19279182855143581</v>
      </c>
    </row>
    <row r="74" spans="1:5" x14ac:dyDescent="0.3">
      <c r="B74" t="s">
        <v>92</v>
      </c>
      <c r="C74">
        <v>1</v>
      </c>
      <c r="D74">
        <f t="shared" si="9"/>
        <v>3.7037037037037035E-2</v>
      </c>
      <c r="E74">
        <f t="shared" si="8"/>
        <v>-0.1220680320742344</v>
      </c>
    </row>
    <row r="75" spans="1:5" x14ac:dyDescent="0.3">
      <c r="B75" t="s">
        <v>70</v>
      </c>
      <c r="C75">
        <v>1</v>
      </c>
      <c r="D75">
        <f t="shared" si="9"/>
        <v>3.7037037037037035E-2</v>
      </c>
      <c r="E75">
        <f t="shared" si="8"/>
        <v>-0.1220680320742344</v>
      </c>
    </row>
    <row r="76" spans="1:5" x14ac:dyDescent="0.3">
      <c r="B76" t="s">
        <v>83</v>
      </c>
      <c r="C76">
        <v>1</v>
      </c>
      <c r="D76">
        <f t="shared" si="9"/>
        <v>3.7037037037037035E-2</v>
      </c>
      <c r="E76">
        <f t="shared" si="8"/>
        <v>-0.1220680320742344</v>
      </c>
    </row>
    <row r="77" spans="1:5" x14ac:dyDescent="0.3">
      <c r="B77" t="s">
        <v>77</v>
      </c>
      <c r="C77">
        <v>1</v>
      </c>
      <c r="D77">
        <f t="shared" si="9"/>
        <v>3.7037037037037035E-2</v>
      </c>
      <c r="E77">
        <f t="shared" si="8"/>
        <v>-0.1220680320742344</v>
      </c>
    </row>
    <row r="78" spans="1:5" x14ac:dyDescent="0.3">
      <c r="B78" t="s">
        <v>78</v>
      </c>
      <c r="C78">
        <v>1</v>
      </c>
      <c r="D78">
        <f t="shared" si="9"/>
        <v>3.7037037037037035E-2</v>
      </c>
      <c r="E78">
        <f t="shared" si="8"/>
        <v>-0.1220680320742344</v>
      </c>
    </row>
    <row r="79" spans="1:5" x14ac:dyDescent="0.3">
      <c r="B79" t="s">
        <v>101</v>
      </c>
      <c r="C79">
        <f>SUM(C64:C78)</f>
        <v>27</v>
      </c>
      <c r="E79">
        <f>-SUM(E64:E78)</f>
        <v>2.6215673561994279</v>
      </c>
    </row>
    <row r="80" spans="1:5" x14ac:dyDescent="0.3">
      <c r="A80" t="s">
        <v>145</v>
      </c>
      <c r="B80" t="s">
        <v>69</v>
      </c>
      <c r="C80">
        <v>2</v>
      </c>
      <c r="D80">
        <f>C80/32</f>
        <v>6.25E-2</v>
      </c>
      <c r="E80">
        <f t="shared" ref="E80:E96" si="10">D80*LN(D80)</f>
        <v>-0.17328679513998632</v>
      </c>
    </row>
    <row r="81" spans="2:5" x14ac:dyDescent="0.3">
      <c r="B81" t="s">
        <v>66</v>
      </c>
      <c r="C81">
        <v>3</v>
      </c>
      <c r="D81">
        <f t="shared" ref="D81:D96" si="11">C81/32</f>
        <v>9.375E-2</v>
      </c>
      <c r="E81">
        <f t="shared" si="10"/>
        <v>-0.22191783882483909</v>
      </c>
    </row>
    <row r="82" spans="2:5" x14ac:dyDescent="0.3">
      <c r="B82" t="s">
        <v>84</v>
      </c>
      <c r="C82">
        <v>1</v>
      </c>
      <c r="D82">
        <f t="shared" si="11"/>
        <v>3.125E-2</v>
      </c>
      <c r="E82">
        <f t="shared" si="10"/>
        <v>-0.10830424696249145</v>
      </c>
    </row>
    <row r="83" spans="2:5" x14ac:dyDescent="0.3">
      <c r="B83" t="s">
        <v>71</v>
      </c>
      <c r="C83">
        <v>4</v>
      </c>
      <c r="D83">
        <f t="shared" si="11"/>
        <v>0.125</v>
      </c>
      <c r="E83">
        <f t="shared" si="10"/>
        <v>-0.25993019270997947</v>
      </c>
    </row>
    <row r="84" spans="2:5" x14ac:dyDescent="0.3">
      <c r="B84" t="s">
        <v>74</v>
      </c>
      <c r="C84">
        <v>2</v>
      </c>
      <c r="D84">
        <f t="shared" si="11"/>
        <v>6.25E-2</v>
      </c>
      <c r="E84">
        <f t="shared" si="10"/>
        <v>-0.17328679513998632</v>
      </c>
    </row>
    <row r="85" spans="2:5" x14ac:dyDescent="0.3">
      <c r="B85" t="s">
        <v>65</v>
      </c>
      <c r="C85">
        <v>4</v>
      </c>
      <c r="D85">
        <f t="shared" si="11"/>
        <v>0.125</v>
      </c>
      <c r="E85">
        <f t="shared" si="10"/>
        <v>-0.25993019270997947</v>
      </c>
    </row>
    <row r="86" spans="2:5" x14ac:dyDescent="0.3">
      <c r="B86" t="s">
        <v>75</v>
      </c>
      <c r="C86">
        <v>1</v>
      </c>
      <c r="D86">
        <f t="shared" si="11"/>
        <v>3.125E-2</v>
      </c>
      <c r="E86">
        <f t="shared" si="10"/>
        <v>-0.10830424696249145</v>
      </c>
    </row>
    <row r="87" spans="2:5" x14ac:dyDescent="0.3">
      <c r="B87" t="s">
        <v>76</v>
      </c>
      <c r="C87">
        <v>1</v>
      </c>
      <c r="D87">
        <f t="shared" si="11"/>
        <v>3.125E-2</v>
      </c>
      <c r="E87">
        <f t="shared" si="10"/>
        <v>-0.10830424696249145</v>
      </c>
    </row>
    <row r="88" spans="2:5" x14ac:dyDescent="0.3">
      <c r="B88" t="s">
        <v>70</v>
      </c>
      <c r="C88">
        <v>1</v>
      </c>
      <c r="D88">
        <f t="shared" si="11"/>
        <v>3.125E-2</v>
      </c>
      <c r="E88">
        <f t="shared" si="10"/>
        <v>-0.10830424696249145</v>
      </c>
    </row>
    <row r="89" spans="2:5" x14ac:dyDescent="0.3">
      <c r="B89" t="s">
        <v>83</v>
      </c>
      <c r="C89">
        <v>2</v>
      </c>
      <c r="D89">
        <f t="shared" si="11"/>
        <v>6.25E-2</v>
      </c>
      <c r="E89">
        <f t="shared" si="10"/>
        <v>-0.17328679513998632</v>
      </c>
    </row>
    <row r="90" spans="2:5" x14ac:dyDescent="0.3">
      <c r="B90" t="s">
        <v>93</v>
      </c>
      <c r="C90">
        <v>2</v>
      </c>
      <c r="D90">
        <f t="shared" si="11"/>
        <v>6.25E-2</v>
      </c>
      <c r="E90">
        <f t="shared" si="10"/>
        <v>-0.17328679513998632</v>
      </c>
    </row>
    <row r="91" spans="2:5" x14ac:dyDescent="0.3">
      <c r="B91" t="s">
        <v>68</v>
      </c>
      <c r="C91">
        <v>4</v>
      </c>
      <c r="D91">
        <f t="shared" si="11"/>
        <v>0.125</v>
      </c>
      <c r="E91">
        <f t="shared" si="10"/>
        <v>-0.25993019270997947</v>
      </c>
    </row>
    <row r="92" spans="2:5" x14ac:dyDescent="0.3">
      <c r="B92" t="s">
        <v>72</v>
      </c>
      <c r="C92">
        <v>1</v>
      </c>
      <c r="D92">
        <f t="shared" si="11"/>
        <v>3.125E-2</v>
      </c>
      <c r="E92">
        <f t="shared" si="10"/>
        <v>-0.10830424696249145</v>
      </c>
    </row>
    <row r="93" spans="2:5" x14ac:dyDescent="0.3">
      <c r="B93" t="s">
        <v>67</v>
      </c>
      <c r="C93">
        <v>1</v>
      </c>
      <c r="D93">
        <f t="shared" si="11"/>
        <v>3.125E-2</v>
      </c>
      <c r="E93">
        <f t="shared" si="10"/>
        <v>-0.10830424696249145</v>
      </c>
    </row>
    <row r="94" spans="2:5" x14ac:dyDescent="0.3">
      <c r="B94" t="s">
        <v>77</v>
      </c>
      <c r="C94">
        <v>1</v>
      </c>
      <c r="D94">
        <f t="shared" si="11"/>
        <v>3.125E-2</v>
      </c>
      <c r="E94">
        <f t="shared" si="10"/>
        <v>-0.10830424696249145</v>
      </c>
    </row>
    <row r="95" spans="2:5" x14ac:dyDescent="0.3">
      <c r="B95" t="s">
        <v>78</v>
      </c>
      <c r="C95">
        <v>1</v>
      </c>
      <c r="D95">
        <f t="shared" si="11"/>
        <v>3.125E-2</v>
      </c>
      <c r="E95">
        <f t="shared" si="10"/>
        <v>-0.10830424696249145</v>
      </c>
    </row>
    <row r="96" spans="2:5" x14ac:dyDescent="0.3">
      <c r="B96" t="s">
        <v>73</v>
      </c>
      <c r="C96">
        <v>1</v>
      </c>
      <c r="D96">
        <f t="shared" si="11"/>
        <v>3.125E-2</v>
      </c>
      <c r="E96">
        <f t="shared" si="10"/>
        <v>-0.10830424696249145</v>
      </c>
    </row>
    <row r="97" spans="1:5" x14ac:dyDescent="0.3">
      <c r="B97" t="s">
        <v>101</v>
      </c>
      <c r="C97">
        <f>SUM(C80:C96)</f>
        <v>32</v>
      </c>
      <c r="E97">
        <f>-SUM(E80:E96)</f>
        <v>2.6695938201771452</v>
      </c>
    </row>
    <row r="98" spans="1:5" x14ac:dyDescent="0.3">
      <c r="A98" t="s">
        <v>146</v>
      </c>
      <c r="B98" t="s">
        <v>83</v>
      </c>
      <c r="C98">
        <v>2</v>
      </c>
      <c r="D98">
        <f>C98/32</f>
        <v>6.25E-2</v>
      </c>
      <c r="E98">
        <f t="shared" ref="E98:E112" si="12">D98*LN(D98)</f>
        <v>-0.17328679513998632</v>
      </c>
    </row>
    <row r="99" spans="1:5" x14ac:dyDescent="0.3">
      <c r="B99" t="s">
        <v>65</v>
      </c>
      <c r="C99">
        <v>5</v>
      </c>
      <c r="D99">
        <f t="shared" ref="D99:D112" si="13">C99/32</f>
        <v>0.15625</v>
      </c>
      <c r="E99">
        <f t="shared" si="12"/>
        <v>-0.29004656099462911</v>
      </c>
    </row>
    <row r="100" spans="1:5" x14ac:dyDescent="0.3">
      <c r="B100" t="s">
        <v>72</v>
      </c>
      <c r="C100">
        <v>1</v>
      </c>
      <c r="D100">
        <f t="shared" si="13"/>
        <v>3.125E-2</v>
      </c>
      <c r="E100">
        <f t="shared" si="12"/>
        <v>-0.10830424696249145</v>
      </c>
    </row>
    <row r="101" spans="1:5" x14ac:dyDescent="0.3">
      <c r="B101" t="s">
        <v>70</v>
      </c>
      <c r="C101">
        <v>1</v>
      </c>
      <c r="D101">
        <f t="shared" si="13"/>
        <v>3.125E-2</v>
      </c>
      <c r="E101">
        <f t="shared" si="12"/>
        <v>-0.10830424696249145</v>
      </c>
    </row>
    <row r="102" spans="1:5" x14ac:dyDescent="0.3">
      <c r="B102" t="s">
        <v>66</v>
      </c>
      <c r="C102">
        <v>3</v>
      </c>
      <c r="D102">
        <f t="shared" si="13"/>
        <v>9.375E-2</v>
      </c>
      <c r="E102">
        <f t="shared" si="12"/>
        <v>-0.22191783882483909</v>
      </c>
    </row>
    <row r="103" spans="1:5" x14ac:dyDescent="0.3">
      <c r="B103" t="s">
        <v>68</v>
      </c>
      <c r="C103">
        <v>3</v>
      </c>
      <c r="D103">
        <f t="shared" si="13"/>
        <v>9.375E-2</v>
      </c>
      <c r="E103">
        <f t="shared" si="12"/>
        <v>-0.22191783882483909</v>
      </c>
    </row>
    <row r="104" spans="1:5" x14ac:dyDescent="0.3">
      <c r="B104" t="s">
        <v>69</v>
      </c>
      <c r="C104">
        <v>3</v>
      </c>
      <c r="D104">
        <f t="shared" si="13"/>
        <v>9.375E-2</v>
      </c>
      <c r="E104">
        <f t="shared" si="12"/>
        <v>-0.22191783882483909</v>
      </c>
    </row>
    <row r="105" spans="1:5" x14ac:dyDescent="0.3">
      <c r="B105" t="s">
        <v>71</v>
      </c>
      <c r="C105">
        <v>3</v>
      </c>
      <c r="D105">
        <f t="shared" si="13"/>
        <v>9.375E-2</v>
      </c>
      <c r="E105">
        <f t="shared" si="12"/>
        <v>-0.22191783882483909</v>
      </c>
    </row>
    <row r="106" spans="1:5" x14ac:dyDescent="0.3">
      <c r="B106" t="s">
        <v>74</v>
      </c>
      <c r="C106">
        <v>1</v>
      </c>
      <c r="D106">
        <f t="shared" si="13"/>
        <v>3.125E-2</v>
      </c>
      <c r="E106">
        <f t="shared" si="12"/>
        <v>-0.10830424696249145</v>
      </c>
    </row>
    <row r="107" spans="1:5" x14ac:dyDescent="0.3">
      <c r="B107" t="s">
        <v>73</v>
      </c>
      <c r="C107">
        <v>2</v>
      </c>
      <c r="D107">
        <f t="shared" si="13"/>
        <v>6.25E-2</v>
      </c>
      <c r="E107">
        <f t="shared" si="12"/>
        <v>-0.17328679513998632</v>
      </c>
    </row>
    <row r="108" spans="1:5" x14ac:dyDescent="0.3">
      <c r="B108" t="s">
        <v>75</v>
      </c>
      <c r="C108">
        <v>1</v>
      </c>
      <c r="D108">
        <f t="shared" si="13"/>
        <v>3.125E-2</v>
      </c>
      <c r="E108">
        <f t="shared" si="12"/>
        <v>-0.10830424696249145</v>
      </c>
    </row>
    <row r="109" spans="1:5" x14ac:dyDescent="0.3">
      <c r="B109" t="s">
        <v>76</v>
      </c>
      <c r="C109">
        <v>2</v>
      </c>
      <c r="D109">
        <f t="shared" si="13"/>
        <v>6.25E-2</v>
      </c>
      <c r="E109">
        <f t="shared" si="12"/>
        <v>-0.17328679513998632</v>
      </c>
    </row>
    <row r="110" spans="1:5" x14ac:dyDescent="0.3">
      <c r="B110" t="s">
        <v>80</v>
      </c>
      <c r="C110">
        <v>2</v>
      </c>
      <c r="D110">
        <f t="shared" si="13"/>
        <v>6.25E-2</v>
      </c>
      <c r="E110">
        <f t="shared" si="12"/>
        <v>-0.17328679513998632</v>
      </c>
    </row>
    <row r="111" spans="1:5" x14ac:dyDescent="0.3">
      <c r="B111" t="s">
        <v>77</v>
      </c>
      <c r="C111">
        <v>2</v>
      </c>
      <c r="D111">
        <f t="shared" si="13"/>
        <v>6.25E-2</v>
      </c>
      <c r="E111">
        <f t="shared" si="12"/>
        <v>-0.17328679513998632</v>
      </c>
    </row>
    <row r="112" spans="1:5" x14ac:dyDescent="0.3">
      <c r="B112" t="s">
        <v>67</v>
      </c>
      <c r="C112">
        <v>1</v>
      </c>
      <c r="D112">
        <f t="shared" si="13"/>
        <v>3.125E-2</v>
      </c>
      <c r="E112">
        <f t="shared" si="12"/>
        <v>-0.10830424696249145</v>
      </c>
    </row>
    <row r="113" spans="1:5" x14ac:dyDescent="0.3">
      <c r="B113" t="s">
        <v>101</v>
      </c>
      <c r="C113">
        <f>SUM(C98:C112)</f>
        <v>32</v>
      </c>
      <c r="E113">
        <f>-SUM(E98:E112)</f>
        <v>2.5856731268063742</v>
      </c>
    </row>
    <row r="114" spans="1:5" x14ac:dyDescent="0.3">
      <c r="A114" t="s">
        <v>147</v>
      </c>
      <c r="B114" t="s">
        <v>94</v>
      </c>
      <c r="C114">
        <v>1</v>
      </c>
      <c r="D114">
        <f>C114/27</f>
        <v>3.7037037037037035E-2</v>
      </c>
      <c r="E114">
        <f t="shared" ref="E114:E130" si="14">D114*LN(D114)</f>
        <v>-0.1220680320742344</v>
      </c>
    </row>
    <row r="115" spans="1:5" x14ac:dyDescent="0.3">
      <c r="B115" t="s">
        <v>65</v>
      </c>
      <c r="C115">
        <v>3</v>
      </c>
      <c r="D115">
        <f t="shared" ref="D115:D130" si="15">C115/27</f>
        <v>0.1111111111111111</v>
      </c>
      <c r="E115">
        <f t="shared" si="14"/>
        <v>-0.24413606414846883</v>
      </c>
    </row>
    <row r="116" spans="1:5" x14ac:dyDescent="0.3">
      <c r="B116" t="s">
        <v>74</v>
      </c>
      <c r="C116">
        <v>2</v>
      </c>
      <c r="D116">
        <f t="shared" si="15"/>
        <v>7.407407407407407E-2</v>
      </c>
      <c r="E116">
        <f t="shared" si="14"/>
        <v>-0.19279182855143581</v>
      </c>
    </row>
    <row r="117" spans="1:5" x14ac:dyDescent="0.3">
      <c r="B117" t="s">
        <v>67</v>
      </c>
      <c r="C117">
        <v>1</v>
      </c>
      <c r="D117">
        <f t="shared" si="15"/>
        <v>3.7037037037037035E-2</v>
      </c>
      <c r="E117">
        <f t="shared" si="14"/>
        <v>-0.1220680320742344</v>
      </c>
    </row>
    <row r="118" spans="1:5" x14ac:dyDescent="0.3">
      <c r="B118" t="s">
        <v>87</v>
      </c>
      <c r="C118">
        <v>1</v>
      </c>
      <c r="D118">
        <f t="shared" si="15"/>
        <v>3.7037037037037035E-2</v>
      </c>
      <c r="E118">
        <f t="shared" si="14"/>
        <v>-0.1220680320742344</v>
      </c>
    </row>
    <row r="119" spans="1:5" x14ac:dyDescent="0.3">
      <c r="B119" t="s">
        <v>73</v>
      </c>
      <c r="C119">
        <v>1</v>
      </c>
      <c r="D119">
        <f t="shared" si="15"/>
        <v>3.7037037037037035E-2</v>
      </c>
      <c r="E119">
        <f t="shared" si="14"/>
        <v>-0.1220680320742344</v>
      </c>
    </row>
    <row r="120" spans="1:5" x14ac:dyDescent="0.3">
      <c r="B120" t="s">
        <v>83</v>
      </c>
      <c r="C120">
        <v>1</v>
      </c>
      <c r="D120">
        <f t="shared" si="15"/>
        <v>3.7037037037037035E-2</v>
      </c>
      <c r="E120">
        <f t="shared" si="14"/>
        <v>-0.1220680320742344</v>
      </c>
    </row>
    <row r="121" spans="1:5" x14ac:dyDescent="0.3">
      <c r="B121" t="s">
        <v>66</v>
      </c>
      <c r="C121">
        <v>2</v>
      </c>
      <c r="D121">
        <f t="shared" si="15"/>
        <v>7.407407407407407E-2</v>
      </c>
      <c r="E121">
        <f t="shared" si="14"/>
        <v>-0.19279182855143581</v>
      </c>
    </row>
    <row r="122" spans="1:5" x14ac:dyDescent="0.3">
      <c r="B122" t="s">
        <v>68</v>
      </c>
      <c r="C122">
        <v>2</v>
      </c>
      <c r="D122">
        <f t="shared" si="15"/>
        <v>7.407407407407407E-2</v>
      </c>
      <c r="E122">
        <f t="shared" si="14"/>
        <v>-0.19279182855143581</v>
      </c>
    </row>
    <row r="123" spans="1:5" x14ac:dyDescent="0.3">
      <c r="B123" t="s">
        <v>69</v>
      </c>
      <c r="C123">
        <v>3</v>
      </c>
      <c r="D123">
        <f t="shared" si="15"/>
        <v>0.1111111111111111</v>
      </c>
      <c r="E123">
        <f t="shared" si="14"/>
        <v>-0.24413606414846883</v>
      </c>
    </row>
    <row r="124" spans="1:5" x14ac:dyDescent="0.3">
      <c r="B124" t="s">
        <v>78</v>
      </c>
      <c r="C124">
        <v>2</v>
      </c>
      <c r="D124">
        <f t="shared" si="15"/>
        <v>7.407407407407407E-2</v>
      </c>
      <c r="E124">
        <f t="shared" si="14"/>
        <v>-0.19279182855143581</v>
      </c>
    </row>
    <row r="125" spans="1:5" x14ac:dyDescent="0.3">
      <c r="B125" t="s">
        <v>84</v>
      </c>
      <c r="C125">
        <v>1</v>
      </c>
      <c r="D125">
        <f t="shared" si="15"/>
        <v>3.7037037037037035E-2</v>
      </c>
      <c r="E125">
        <f t="shared" si="14"/>
        <v>-0.1220680320742344</v>
      </c>
    </row>
    <row r="126" spans="1:5" x14ac:dyDescent="0.3">
      <c r="B126" t="s">
        <v>71</v>
      </c>
      <c r="C126">
        <v>2</v>
      </c>
      <c r="D126">
        <f t="shared" si="15"/>
        <v>7.407407407407407E-2</v>
      </c>
      <c r="E126">
        <f t="shared" si="14"/>
        <v>-0.19279182855143581</v>
      </c>
    </row>
    <row r="127" spans="1:5" x14ac:dyDescent="0.3">
      <c r="B127" t="s">
        <v>70</v>
      </c>
      <c r="C127">
        <v>1</v>
      </c>
      <c r="D127">
        <f t="shared" si="15"/>
        <v>3.7037037037037035E-2</v>
      </c>
      <c r="E127">
        <f t="shared" si="14"/>
        <v>-0.1220680320742344</v>
      </c>
    </row>
    <row r="128" spans="1:5" x14ac:dyDescent="0.3">
      <c r="B128" t="s">
        <v>77</v>
      </c>
      <c r="C128">
        <v>2</v>
      </c>
      <c r="D128">
        <f t="shared" si="15"/>
        <v>7.407407407407407E-2</v>
      </c>
      <c r="E128">
        <f t="shared" si="14"/>
        <v>-0.19279182855143581</v>
      </c>
    </row>
    <row r="129" spans="1:5" x14ac:dyDescent="0.3">
      <c r="B129" t="s">
        <v>72</v>
      </c>
      <c r="C129">
        <v>1</v>
      </c>
      <c r="D129">
        <f t="shared" si="15"/>
        <v>3.7037037037037035E-2</v>
      </c>
      <c r="E129">
        <f t="shared" si="14"/>
        <v>-0.1220680320742344</v>
      </c>
    </row>
    <row r="130" spans="1:5" x14ac:dyDescent="0.3">
      <c r="B130" t="s">
        <v>95</v>
      </c>
      <c r="C130">
        <v>1</v>
      </c>
      <c r="D130">
        <f t="shared" si="15"/>
        <v>3.7037037037037035E-2</v>
      </c>
      <c r="E130">
        <f t="shared" si="14"/>
        <v>-0.1220680320742344</v>
      </c>
    </row>
    <row r="131" spans="1:5" x14ac:dyDescent="0.3">
      <c r="B131" t="s">
        <v>101</v>
      </c>
      <c r="C131">
        <f>SUM(C114:C130)</f>
        <v>27</v>
      </c>
      <c r="E131">
        <f>-SUM(E114:E130)</f>
        <v>2.7436353882736624</v>
      </c>
    </row>
    <row r="132" spans="1:5" x14ac:dyDescent="0.3">
      <c r="A132" t="s">
        <v>148</v>
      </c>
      <c r="B132" t="s">
        <v>66</v>
      </c>
      <c r="C132">
        <v>2</v>
      </c>
      <c r="D132">
        <f>C132/35</f>
        <v>5.7142857142857141E-2</v>
      </c>
      <c r="E132">
        <f t="shared" ref="E132:E149" si="16">D132*LN(D132)</f>
        <v>-0.16355433605311248</v>
      </c>
    </row>
    <row r="133" spans="1:5" x14ac:dyDescent="0.3">
      <c r="B133" t="s">
        <v>71</v>
      </c>
      <c r="C133">
        <v>3</v>
      </c>
      <c r="D133">
        <f t="shared" ref="D133:D149" si="17">C133/35</f>
        <v>8.5714285714285715E-2</v>
      </c>
      <c r="E133">
        <f t="shared" si="16"/>
        <v>-0.21057735195611177</v>
      </c>
    </row>
    <row r="134" spans="1:5" x14ac:dyDescent="0.3">
      <c r="B134" t="s">
        <v>83</v>
      </c>
      <c r="C134">
        <v>2</v>
      </c>
      <c r="D134">
        <f t="shared" si="17"/>
        <v>5.7142857142857141E-2</v>
      </c>
      <c r="E134">
        <f t="shared" si="16"/>
        <v>-0.16355433605311248</v>
      </c>
    </row>
    <row r="135" spans="1:5" x14ac:dyDescent="0.3">
      <c r="B135" t="s">
        <v>73</v>
      </c>
      <c r="C135">
        <v>1</v>
      </c>
      <c r="D135">
        <f t="shared" si="17"/>
        <v>2.8571428571428571E-2</v>
      </c>
      <c r="E135">
        <f t="shared" si="16"/>
        <v>-0.10158137318541181</v>
      </c>
    </row>
    <row r="136" spans="1:5" x14ac:dyDescent="0.3">
      <c r="B136" t="s">
        <v>74</v>
      </c>
      <c r="C136">
        <v>1</v>
      </c>
      <c r="D136">
        <f t="shared" si="17"/>
        <v>2.8571428571428571E-2</v>
      </c>
      <c r="E136">
        <f t="shared" si="16"/>
        <v>-0.10158137318541181</v>
      </c>
    </row>
    <row r="137" spans="1:5" x14ac:dyDescent="0.3">
      <c r="B137" t="s">
        <v>84</v>
      </c>
      <c r="C137">
        <v>2</v>
      </c>
      <c r="D137">
        <f t="shared" si="17"/>
        <v>5.7142857142857141E-2</v>
      </c>
      <c r="E137">
        <f t="shared" si="16"/>
        <v>-0.16355433605311248</v>
      </c>
    </row>
    <row r="138" spans="1:5" x14ac:dyDescent="0.3">
      <c r="B138" t="s">
        <v>77</v>
      </c>
      <c r="C138">
        <v>3</v>
      </c>
      <c r="D138">
        <f t="shared" si="17"/>
        <v>8.5714285714285715E-2</v>
      </c>
      <c r="E138">
        <f t="shared" si="16"/>
        <v>-0.21057735195611177</v>
      </c>
    </row>
    <row r="139" spans="1:5" x14ac:dyDescent="0.3">
      <c r="B139" t="s">
        <v>68</v>
      </c>
      <c r="C139">
        <v>6</v>
      </c>
      <c r="D139">
        <f t="shared" si="17"/>
        <v>0.17142857142857143</v>
      </c>
      <c r="E139">
        <f t="shared" si="16"/>
        <v>-0.30232947295909007</v>
      </c>
    </row>
    <row r="140" spans="1:5" x14ac:dyDescent="0.3">
      <c r="B140" t="s">
        <v>72</v>
      </c>
      <c r="C140">
        <v>1</v>
      </c>
      <c r="D140">
        <f t="shared" si="17"/>
        <v>2.8571428571428571E-2</v>
      </c>
      <c r="E140">
        <f t="shared" si="16"/>
        <v>-0.10158137318541181</v>
      </c>
    </row>
    <row r="141" spans="1:5" x14ac:dyDescent="0.3">
      <c r="B141" t="s">
        <v>67</v>
      </c>
      <c r="C141">
        <v>1</v>
      </c>
      <c r="D141">
        <f t="shared" si="17"/>
        <v>2.8571428571428571E-2</v>
      </c>
      <c r="E141">
        <f t="shared" si="16"/>
        <v>-0.10158137318541181</v>
      </c>
    </row>
    <row r="142" spans="1:5" x14ac:dyDescent="0.3">
      <c r="B142" t="s">
        <v>78</v>
      </c>
      <c r="C142">
        <v>1</v>
      </c>
      <c r="D142">
        <f t="shared" si="17"/>
        <v>2.8571428571428571E-2</v>
      </c>
      <c r="E142">
        <f t="shared" si="16"/>
        <v>-0.10158137318541181</v>
      </c>
    </row>
    <row r="143" spans="1:5" x14ac:dyDescent="0.3">
      <c r="B143" t="s">
        <v>65</v>
      </c>
      <c r="C143">
        <v>4</v>
      </c>
      <c r="D143">
        <f t="shared" si="17"/>
        <v>0.11428571428571428</v>
      </c>
      <c r="E143">
        <f t="shared" si="16"/>
        <v>-0.24789185147080264</v>
      </c>
    </row>
    <row r="144" spans="1:5" x14ac:dyDescent="0.3">
      <c r="B144" t="s">
        <v>70</v>
      </c>
      <c r="C144">
        <v>1</v>
      </c>
      <c r="D144">
        <f t="shared" si="17"/>
        <v>2.8571428571428571E-2</v>
      </c>
      <c r="E144">
        <f t="shared" si="16"/>
        <v>-0.10158137318541181</v>
      </c>
    </row>
    <row r="145" spans="1:5" x14ac:dyDescent="0.3">
      <c r="B145" t="s">
        <v>87</v>
      </c>
      <c r="C145">
        <v>1</v>
      </c>
      <c r="D145">
        <f t="shared" si="17"/>
        <v>2.8571428571428571E-2</v>
      </c>
      <c r="E145">
        <f t="shared" si="16"/>
        <v>-0.10158137318541181</v>
      </c>
    </row>
    <row r="146" spans="1:5" x14ac:dyDescent="0.3">
      <c r="B146" t="s">
        <v>85</v>
      </c>
      <c r="C146">
        <v>1</v>
      </c>
      <c r="D146">
        <f t="shared" si="17"/>
        <v>2.8571428571428571E-2</v>
      </c>
      <c r="E146">
        <f t="shared" si="16"/>
        <v>-0.10158137318541181</v>
      </c>
    </row>
    <row r="147" spans="1:5" x14ac:dyDescent="0.3">
      <c r="B147" t="s">
        <v>69</v>
      </c>
      <c r="C147">
        <v>3</v>
      </c>
      <c r="D147">
        <f t="shared" si="17"/>
        <v>8.5714285714285715E-2</v>
      </c>
      <c r="E147">
        <f t="shared" si="16"/>
        <v>-0.21057735195611177</v>
      </c>
    </row>
    <row r="148" spans="1:5" x14ac:dyDescent="0.3">
      <c r="B148" t="s">
        <v>76</v>
      </c>
      <c r="C148">
        <v>1</v>
      </c>
      <c r="D148">
        <f t="shared" si="17"/>
        <v>2.8571428571428571E-2</v>
      </c>
      <c r="E148">
        <f t="shared" si="16"/>
        <v>-0.10158137318541181</v>
      </c>
    </row>
    <row r="149" spans="1:5" x14ac:dyDescent="0.3">
      <c r="B149" t="s">
        <v>80</v>
      </c>
      <c r="C149">
        <v>1</v>
      </c>
      <c r="D149">
        <f t="shared" si="17"/>
        <v>2.8571428571428571E-2</v>
      </c>
      <c r="E149">
        <f t="shared" si="16"/>
        <v>-0.10158137318541181</v>
      </c>
    </row>
    <row r="150" spans="1:5" x14ac:dyDescent="0.3">
      <c r="B150" t="s">
        <v>101</v>
      </c>
      <c r="C150">
        <f>SUM(C132:C149)</f>
        <v>35</v>
      </c>
      <c r="E150">
        <f>-SUM(E132:E149)</f>
        <v>2.6884301203116832</v>
      </c>
    </row>
    <row r="151" spans="1:5" x14ac:dyDescent="0.3">
      <c r="A151" t="s">
        <v>149</v>
      </c>
      <c r="B151" t="s">
        <v>65</v>
      </c>
      <c r="C151">
        <v>4</v>
      </c>
      <c r="D151">
        <f>C151/29</f>
        <v>0.13793103448275862</v>
      </c>
      <c r="E151">
        <f t="shared" ref="E151:E164" si="18">D151*LN(D151)</f>
        <v>-0.2732415819126322</v>
      </c>
    </row>
    <row r="152" spans="1:5" x14ac:dyDescent="0.3">
      <c r="B152" t="s">
        <v>66</v>
      </c>
      <c r="C152">
        <v>2</v>
      </c>
      <c r="D152">
        <f t="shared" ref="D152:D164" si="19">C152/29</f>
        <v>6.8965517241379309E-2</v>
      </c>
      <c r="E152">
        <f t="shared" si="18"/>
        <v>-0.18442404478803645</v>
      </c>
    </row>
    <row r="153" spans="1:5" x14ac:dyDescent="0.3">
      <c r="B153" t="s">
        <v>83</v>
      </c>
      <c r="C153">
        <v>1</v>
      </c>
      <c r="D153">
        <f t="shared" si="19"/>
        <v>3.4482758620689655E-2</v>
      </c>
      <c r="E153">
        <f t="shared" si="18"/>
        <v>-0.11611364930987841</v>
      </c>
    </row>
    <row r="154" spans="1:5" x14ac:dyDescent="0.3">
      <c r="B154" t="s">
        <v>79</v>
      </c>
      <c r="C154">
        <v>1</v>
      </c>
      <c r="D154">
        <f t="shared" si="19"/>
        <v>3.4482758620689655E-2</v>
      </c>
      <c r="E154">
        <f t="shared" si="18"/>
        <v>-0.11611364930987841</v>
      </c>
    </row>
    <row r="155" spans="1:5" x14ac:dyDescent="0.3">
      <c r="B155" t="s">
        <v>74</v>
      </c>
      <c r="C155">
        <v>2</v>
      </c>
      <c r="D155">
        <f t="shared" si="19"/>
        <v>6.8965517241379309E-2</v>
      </c>
      <c r="E155">
        <f t="shared" si="18"/>
        <v>-0.18442404478803645</v>
      </c>
    </row>
    <row r="156" spans="1:5" x14ac:dyDescent="0.3">
      <c r="B156" t="s">
        <v>68</v>
      </c>
      <c r="C156">
        <v>4</v>
      </c>
      <c r="D156">
        <f t="shared" si="19"/>
        <v>0.13793103448275862</v>
      </c>
      <c r="E156">
        <f t="shared" si="18"/>
        <v>-0.2732415819126322</v>
      </c>
    </row>
    <row r="157" spans="1:5" x14ac:dyDescent="0.3">
      <c r="B157" t="s">
        <v>73</v>
      </c>
      <c r="C157">
        <v>2</v>
      </c>
      <c r="D157">
        <f t="shared" si="19"/>
        <v>6.8965517241379309E-2</v>
      </c>
      <c r="E157">
        <f t="shared" si="18"/>
        <v>-0.18442404478803645</v>
      </c>
    </row>
    <row r="158" spans="1:5" x14ac:dyDescent="0.3">
      <c r="B158" t="s">
        <v>80</v>
      </c>
      <c r="C158">
        <v>1</v>
      </c>
      <c r="D158">
        <f t="shared" si="19"/>
        <v>3.4482758620689655E-2</v>
      </c>
      <c r="E158">
        <f t="shared" si="18"/>
        <v>-0.11611364930987841</v>
      </c>
    </row>
    <row r="159" spans="1:5" x14ac:dyDescent="0.3">
      <c r="B159" t="s">
        <v>71</v>
      </c>
      <c r="C159">
        <v>4</v>
      </c>
      <c r="D159">
        <f t="shared" si="19"/>
        <v>0.13793103448275862</v>
      </c>
      <c r="E159">
        <f t="shared" si="18"/>
        <v>-0.2732415819126322</v>
      </c>
    </row>
    <row r="160" spans="1:5" x14ac:dyDescent="0.3">
      <c r="B160" t="s">
        <v>67</v>
      </c>
      <c r="C160">
        <v>1</v>
      </c>
      <c r="D160">
        <f t="shared" si="19"/>
        <v>3.4482758620689655E-2</v>
      </c>
      <c r="E160">
        <f t="shared" si="18"/>
        <v>-0.11611364930987841</v>
      </c>
    </row>
    <row r="161" spans="1:5" x14ac:dyDescent="0.3">
      <c r="B161" t="s">
        <v>69</v>
      </c>
      <c r="C161">
        <v>3</v>
      </c>
      <c r="D161">
        <f t="shared" si="19"/>
        <v>0.10344827586206896</v>
      </c>
      <c r="E161">
        <f t="shared" si="18"/>
        <v>-0.23469140082603768</v>
      </c>
    </row>
    <row r="162" spans="1:5" x14ac:dyDescent="0.3">
      <c r="B162" t="s">
        <v>70</v>
      </c>
      <c r="C162">
        <v>2</v>
      </c>
      <c r="D162">
        <f t="shared" si="19"/>
        <v>6.8965517241379309E-2</v>
      </c>
      <c r="E162">
        <f t="shared" si="18"/>
        <v>-0.18442404478803645</v>
      </c>
    </row>
    <row r="163" spans="1:5" x14ac:dyDescent="0.3">
      <c r="B163" t="s">
        <v>77</v>
      </c>
      <c r="C163">
        <v>1</v>
      </c>
      <c r="D163">
        <f t="shared" si="19"/>
        <v>3.4482758620689655E-2</v>
      </c>
      <c r="E163">
        <f t="shared" si="18"/>
        <v>-0.11611364930987841</v>
      </c>
    </row>
    <row r="164" spans="1:5" x14ac:dyDescent="0.3">
      <c r="B164" t="s">
        <v>72</v>
      </c>
      <c r="C164">
        <v>1</v>
      </c>
      <c r="D164">
        <f t="shared" si="19"/>
        <v>3.4482758620689655E-2</v>
      </c>
      <c r="E164">
        <f t="shared" si="18"/>
        <v>-0.11611364930987841</v>
      </c>
    </row>
    <row r="165" spans="1:5" x14ac:dyDescent="0.3">
      <c r="B165" t="s">
        <v>101</v>
      </c>
      <c r="C165">
        <f>SUM(C151:C164)</f>
        <v>29</v>
      </c>
      <c r="E165">
        <f>-SUM(E151:E164)</f>
        <v>2.4887942215753505</v>
      </c>
    </row>
    <row r="166" spans="1:5" x14ac:dyDescent="0.3">
      <c r="A166" t="s">
        <v>150</v>
      </c>
      <c r="B166" t="s">
        <v>65</v>
      </c>
      <c r="C166">
        <v>4</v>
      </c>
      <c r="D166">
        <f>C166/31</f>
        <v>0.12903225806451613</v>
      </c>
      <c r="E166">
        <f t="shared" ref="E166:E183" si="20">D166*LN(D166)</f>
        <v>-0.26421843140196843</v>
      </c>
    </row>
    <row r="167" spans="1:5" x14ac:dyDescent="0.3">
      <c r="B167" t="s">
        <v>68</v>
      </c>
      <c r="C167">
        <v>3</v>
      </c>
      <c r="D167">
        <f t="shared" ref="D167:D183" si="21">C167/31</f>
        <v>9.6774193548387094E-2</v>
      </c>
      <c r="E167">
        <f t="shared" si="20"/>
        <v>-0.22600402411132614</v>
      </c>
    </row>
    <row r="168" spans="1:5" x14ac:dyDescent="0.3">
      <c r="B168" t="s">
        <v>67</v>
      </c>
      <c r="C168">
        <v>1</v>
      </c>
      <c r="D168">
        <f t="shared" si="21"/>
        <v>3.2258064516129031E-2</v>
      </c>
      <c r="E168">
        <f t="shared" si="20"/>
        <v>-0.11077378078984343</v>
      </c>
    </row>
    <row r="169" spans="1:5" x14ac:dyDescent="0.3">
      <c r="B169" t="s">
        <v>66</v>
      </c>
      <c r="C169">
        <v>2</v>
      </c>
      <c r="D169">
        <f t="shared" si="21"/>
        <v>6.4516129032258063E-2</v>
      </c>
      <c r="E169">
        <f t="shared" si="20"/>
        <v>-0.17682838864033554</v>
      </c>
    </row>
    <row r="170" spans="1:5" x14ac:dyDescent="0.3">
      <c r="B170" t="s">
        <v>71</v>
      </c>
      <c r="C170">
        <v>4</v>
      </c>
      <c r="D170">
        <f t="shared" si="21"/>
        <v>0.12903225806451613</v>
      </c>
      <c r="E170">
        <f t="shared" si="20"/>
        <v>-0.26421843140196843</v>
      </c>
    </row>
    <row r="171" spans="1:5" x14ac:dyDescent="0.3">
      <c r="B171" t="s">
        <v>84</v>
      </c>
      <c r="C171">
        <v>1</v>
      </c>
      <c r="D171">
        <f t="shared" si="21"/>
        <v>3.2258064516129031E-2</v>
      </c>
      <c r="E171">
        <f t="shared" si="20"/>
        <v>-0.11077378078984343</v>
      </c>
    </row>
    <row r="172" spans="1:5" x14ac:dyDescent="0.3">
      <c r="B172" t="s">
        <v>69</v>
      </c>
      <c r="C172">
        <v>3</v>
      </c>
      <c r="D172">
        <f t="shared" si="21"/>
        <v>9.6774193548387094E-2</v>
      </c>
      <c r="E172">
        <f t="shared" si="20"/>
        <v>-0.22600402411132614</v>
      </c>
    </row>
    <row r="173" spans="1:5" x14ac:dyDescent="0.3">
      <c r="B173" t="s">
        <v>74</v>
      </c>
      <c r="C173">
        <v>2</v>
      </c>
      <c r="D173">
        <f t="shared" si="21"/>
        <v>6.4516129032258063E-2</v>
      </c>
      <c r="E173">
        <f t="shared" si="20"/>
        <v>-0.17682838864033554</v>
      </c>
    </row>
    <row r="174" spans="1:5" x14ac:dyDescent="0.3">
      <c r="B174" t="s">
        <v>75</v>
      </c>
      <c r="C174">
        <v>1</v>
      </c>
      <c r="D174">
        <f t="shared" si="21"/>
        <v>3.2258064516129031E-2</v>
      </c>
      <c r="E174">
        <f t="shared" si="20"/>
        <v>-0.11077378078984343</v>
      </c>
    </row>
    <row r="175" spans="1:5" x14ac:dyDescent="0.3">
      <c r="B175" t="s">
        <v>72</v>
      </c>
      <c r="C175">
        <v>1</v>
      </c>
      <c r="D175">
        <f t="shared" si="21"/>
        <v>3.2258064516129031E-2</v>
      </c>
      <c r="E175">
        <f t="shared" si="20"/>
        <v>-0.11077378078984343</v>
      </c>
    </row>
    <row r="176" spans="1:5" x14ac:dyDescent="0.3">
      <c r="B176" t="s">
        <v>73</v>
      </c>
      <c r="C176">
        <v>2</v>
      </c>
      <c r="D176">
        <f t="shared" si="21"/>
        <v>6.4516129032258063E-2</v>
      </c>
      <c r="E176">
        <f t="shared" si="20"/>
        <v>-0.17682838864033554</v>
      </c>
    </row>
    <row r="177" spans="1:5" x14ac:dyDescent="0.3">
      <c r="B177" t="s">
        <v>83</v>
      </c>
      <c r="C177">
        <v>1</v>
      </c>
      <c r="D177">
        <f t="shared" si="21"/>
        <v>3.2258064516129031E-2</v>
      </c>
      <c r="E177">
        <f t="shared" si="20"/>
        <v>-0.11077378078984343</v>
      </c>
    </row>
    <row r="178" spans="1:5" x14ac:dyDescent="0.3">
      <c r="B178" t="s">
        <v>77</v>
      </c>
      <c r="C178">
        <v>1</v>
      </c>
      <c r="D178">
        <f t="shared" si="21"/>
        <v>3.2258064516129031E-2</v>
      </c>
      <c r="E178">
        <f t="shared" si="20"/>
        <v>-0.11077378078984343</v>
      </c>
    </row>
    <row r="179" spans="1:5" x14ac:dyDescent="0.3">
      <c r="B179" t="s">
        <v>70</v>
      </c>
      <c r="C179">
        <v>1</v>
      </c>
      <c r="D179">
        <f t="shared" si="21"/>
        <v>3.2258064516129031E-2</v>
      </c>
      <c r="E179">
        <f t="shared" si="20"/>
        <v>-0.11077378078984343</v>
      </c>
    </row>
    <row r="180" spans="1:5" x14ac:dyDescent="0.3">
      <c r="B180" t="s">
        <v>85</v>
      </c>
      <c r="C180">
        <v>1</v>
      </c>
      <c r="D180">
        <f t="shared" si="21"/>
        <v>3.2258064516129031E-2</v>
      </c>
      <c r="E180">
        <f t="shared" si="20"/>
        <v>-0.11077378078984343</v>
      </c>
    </row>
    <row r="181" spans="1:5" x14ac:dyDescent="0.3">
      <c r="B181" t="s">
        <v>87</v>
      </c>
      <c r="C181">
        <v>1</v>
      </c>
      <c r="D181">
        <f t="shared" si="21"/>
        <v>3.2258064516129031E-2</v>
      </c>
      <c r="E181">
        <f t="shared" si="20"/>
        <v>-0.11077378078984343</v>
      </c>
    </row>
    <row r="182" spans="1:5" x14ac:dyDescent="0.3">
      <c r="B182" t="s">
        <v>96</v>
      </c>
      <c r="C182">
        <v>1</v>
      </c>
      <c r="D182">
        <f t="shared" si="21"/>
        <v>3.2258064516129031E-2</v>
      </c>
      <c r="E182">
        <f t="shared" si="20"/>
        <v>-0.11077378078984343</v>
      </c>
    </row>
    <row r="183" spans="1:5" x14ac:dyDescent="0.3">
      <c r="B183" t="s">
        <v>76</v>
      </c>
      <c r="C183">
        <v>1</v>
      </c>
      <c r="D183">
        <f t="shared" si="21"/>
        <v>3.2258064516129031E-2</v>
      </c>
      <c r="E183">
        <f t="shared" si="20"/>
        <v>-0.11077378078984343</v>
      </c>
    </row>
    <row r="184" spans="1:5" x14ac:dyDescent="0.3">
      <c r="B184" t="s">
        <v>101</v>
      </c>
      <c r="C184">
        <f>SUM(C166:C183)</f>
        <v>31</v>
      </c>
      <c r="E184">
        <f>-SUM(E166:E183)</f>
        <v>2.7294416656358735</v>
      </c>
    </row>
    <row r="185" spans="1:5" x14ac:dyDescent="0.3">
      <c r="A185" t="s">
        <v>151</v>
      </c>
      <c r="B185" t="s">
        <v>68</v>
      </c>
      <c r="C185">
        <v>3</v>
      </c>
      <c r="D185">
        <f>C185/31</f>
        <v>9.6774193548387094E-2</v>
      </c>
      <c r="E185">
        <f t="shared" ref="E185:E201" si="22">D185*LN(D185)</f>
        <v>-0.22600402411132614</v>
      </c>
    </row>
    <row r="186" spans="1:5" x14ac:dyDescent="0.3">
      <c r="B186" t="s">
        <v>69</v>
      </c>
      <c r="C186">
        <v>3</v>
      </c>
      <c r="D186">
        <f t="shared" ref="D186:D201" si="23">C186/31</f>
        <v>9.6774193548387094E-2</v>
      </c>
      <c r="E186">
        <f t="shared" si="22"/>
        <v>-0.22600402411132614</v>
      </c>
    </row>
    <row r="187" spans="1:5" x14ac:dyDescent="0.3">
      <c r="B187" t="s">
        <v>77</v>
      </c>
      <c r="C187">
        <v>1</v>
      </c>
      <c r="D187">
        <f t="shared" si="23"/>
        <v>3.2258064516129031E-2</v>
      </c>
      <c r="E187">
        <f t="shared" si="22"/>
        <v>-0.11077378078984343</v>
      </c>
    </row>
    <row r="188" spans="1:5" x14ac:dyDescent="0.3">
      <c r="B188" t="s">
        <v>66</v>
      </c>
      <c r="C188">
        <v>2</v>
      </c>
      <c r="D188">
        <f t="shared" si="23"/>
        <v>6.4516129032258063E-2</v>
      </c>
      <c r="E188">
        <f t="shared" si="22"/>
        <v>-0.17682838864033554</v>
      </c>
    </row>
    <row r="189" spans="1:5" x14ac:dyDescent="0.3">
      <c r="B189" t="s">
        <v>71</v>
      </c>
      <c r="C189">
        <v>5</v>
      </c>
      <c r="D189">
        <f t="shared" si="23"/>
        <v>0.16129032258064516</v>
      </c>
      <c r="E189">
        <f t="shared" si="22"/>
        <v>-0.29428214387920093</v>
      </c>
    </row>
    <row r="190" spans="1:5" x14ac:dyDescent="0.3">
      <c r="B190" t="s">
        <v>74</v>
      </c>
      <c r="C190">
        <v>2</v>
      </c>
      <c r="D190">
        <f t="shared" si="23"/>
        <v>6.4516129032258063E-2</v>
      </c>
      <c r="E190">
        <f t="shared" si="22"/>
        <v>-0.17682838864033554</v>
      </c>
    </row>
    <row r="191" spans="1:5" x14ac:dyDescent="0.3">
      <c r="B191" t="s">
        <v>65</v>
      </c>
      <c r="C191">
        <v>3</v>
      </c>
      <c r="D191">
        <f t="shared" si="23"/>
        <v>9.6774193548387094E-2</v>
      </c>
      <c r="E191">
        <f t="shared" si="22"/>
        <v>-0.22600402411132614</v>
      </c>
    </row>
    <row r="192" spans="1:5" x14ac:dyDescent="0.3">
      <c r="B192" t="s">
        <v>84</v>
      </c>
      <c r="C192">
        <v>1</v>
      </c>
      <c r="D192">
        <f t="shared" si="23"/>
        <v>3.2258064516129031E-2</v>
      </c>
      <c r="E192">
        <f t="shared" si="22"/>
        <v>-0.11077378078984343</v>
      </c>
    </row>
    <row r="193" spans="1:5" x14ac:dyDescent="0.3">
      <c r="B193" t="s">
        <v>83</v>
      </c>
      <c r="C193">
        <v>1</v>
      </c>
      <c r="D193">
        <f t="shared" si="23"/>
        <v>3.2258064516129031E-2</v>
      </c>
      <c r="E193">
        <f t="shared" si="22"/>
        <v>-0.11077378078984343</v>
      </c>
    </row>
    <row r="194" spans="1:5" x14ac:dyDescent="0.3">
      <c r="B194" t="s">
        <v>72</v>
      </c>
      <c r="C194">
        <v>2</v>
      </c>
      <c r="D194">
        <f t="shared" si="23"/>
        <v>6.4516129032258063E-2</v>
      </c>
      <c r="E194">
        <f t="shared" si="22"/>
        <v>-0.17682838864033554</v>
      </c>
    </row>
    <row r="195" spans="1:5" x14ac:dyDescent="0.3">
      <c r="B195" t="s">
        <v>73</v>
      </c>
      <c r="C195">
        <v>2</v>
      </c>
      <c r="D195">
        <f t="shared" si="23"/>
        <v>6.4516129032258063E-2</v>
      </c>
      <c r="E195">
        <f t="shared" si="22"/>
        <v>-0.17682838864033554</v>
      </c>
    </row>
    <row r="196" spans="1:5" x14ac:dyDescent="0.3">
      <c r="B196" t="s">
        <v>75</v>
      </c>
      <c r="C196">
        <v>1</v>
      </c>
      <c r="D196">
        <f t="shared" si="23"/>
        <v>3.2258064516129031E-2</v>
      </c>
      <c r="E196">
        <f t="shared" si="22"/>
        <v>-0.11077378078984343</v>
      </c>
    </row>
    <row r="197" spans="1:5" x14ac:dyDescent="0.3">
      <c r="B197" t="s">
        <v>67</v>
      </c>
      <c r="C197">
        <v>1</v>
      </c>
      <c r="D197">
        <f t="shared" si="23"/>
        <v>3.2258064516129031E-2</v>
      </c>
      <c r="E197">
        <f t="shared" si="22"/>
        <v>-0.11077378078984343</v>
      </c>
    </row>
    <row r="198" spans="1:5" x14ac:dyDescent="0.3">
      <c r="B198" t="s">
        <v>78</v>
      </c>
      <c r="C198">
        <v>1</v>
      </c>
      <c r="D198">
        <f t="shared" si="23"/>
        <v>3.2258064516129031E-2</v>
      </c>
      <c r="E198">
        <f t="shared" si="22"/>
        <v>-0.11077378078984343</v>
      </c>
    </row>
    <row r="199" spans="1:5" x14ac:dyDescent="0.3">
      <c r="B199" t="s">
        <v>70</v>
      </c>
      <c r="C199">
        <v>1</v>
      </c>
      <c r="D199">
        <f t="shared" si="23"/>
        <v>3.2258064516129031E-2</v>
      </c>
      <c r="E199">
        <f t="shared" si="22"/>
        <v>-0.11077378078984343</v>
      </c>
    </row>
    <row r="200" spans="1:5" x14ac:dyDescent="0.3">
      <c r="B200" t="s">
        <v>87</v>
      </c>
      <c r="C200">
        <v>1</v>
      </c>
      <c r="D200">
        <f t="shared" si="23"/>
        <v>3.2258064516129031E-2</v>
      </c>
      <c r="E200">
        <f t="shared" si="22"/>
        <v>-0.11077378078984343</v>
      </c>
    </row>
    <row r="201" spans="1:5" x14ac:dyDescent="0.3">
      <c r="B201" t="s">
        <v>79</v>
      </c>
      <c r="C201">
        <v>1</v>
      </c>
      <c r="D201">
        <f t="shared" si="23"/>
        <v>3.2258064516129031E-2</v>
      </c>
      <c r="E201">
        <f t="shared" si="22"/>
        <v>-0.11077378078984343</v>
      </c>
    </row>
    <row r="202" spans="1:5" x14ac:dyDescent="0.3">
      <c r="B202" t="s">
        <v>101</v>
      </c>
      <c r="C202">
        <f>SUM(C185:C201)</f>
        <v>31</v>
      </c>
      <c r="E202">
        <f>-SUM(E185:E201)</f>
        <v>2.6765717978831125</v>
      </c>
    </row>
    <row r="203" spans="1:5" x14ac:dyDescent="0.3">
      <c r="A203" t="s">
        <v>152</v>
      </c>
      <c r="B203" t="s">
        <v>71</v>
      </c>
      <c r="C203">
        <v>4</v>
      </c>
      <c r="D203">
        <f>C203/29</f>
        <v>0.13793103448275862</v>
      </c>
      <c r="E203">
        <f t="shared" ref="E203:E220" si="24">D203*LN(D203)</f>
        <v>-0.2732415819126322</v>
      </c>
    </row>
    <row r="204" spans="1:5" x14ac:dyDescent="0.3">
      <c r="B204" t="s">
        <v>68</v>
      </c>
      <c r="C204">
        <v>3</v>
      </c>
      <c r="D204">
        <f t="shared" ref="D204:D220" si="25">C204/29</f>
        <v>0.10344827586206896</v>
      </c>
      <c r="E204">
        <f t="shared" si="24"/>
        <v>-0.23469140082603768</v>
      </c>
    </row>
    <row r="205" spans="1:5" x14ac:dyDescent="0.3">
      <c r="B205" t="s">
        <v>70</v>
      </c>
      <c r="C205">
        <v>1</v>
      </c>
      <c r="D205">
        <f t="shared" si="25"/>
        <v>3.4482758620689655E-2</v>
      </c>
      <c r="E205">
        <f t="shared" si="24"/>
        <v>-0.11611364930987841</v>
      </c>
    </row>
    <row r="206" spans="1:5" x14ac:dyDescent="0.3">
      <c r="B206" t="s">
        <v>73</v>
      </c>
      <c r="C206">
        <v>2</v>
      </c>
      <c r="D206">
        <f t="shared" si="25"/>
        <v>6.8965517241379309E-2</v>
      </c>
      <c r="E206">
        <f t="shared" si="24"/>
        <v>-0.18442404478803645</v>
      </c>
    </row>
    <row r="207" spans="1:5" x14ac:dyDescent="0.3">
      <c r="B207" t="s">
        <v>65</v>
      </c>
      <c r="C207">
        <v>1</v>
      </c>
      <c r="D207">
        <f t="shared" si="25"/>
        <v>3.4482758620689655E-2</v>
      </c>
      <c r="E207">
        <f t="shared" si="24"/>
        <v>-0.11611364930987841</v>
      </c>
    </row>
    <row r="208" spans="1:5" x14ac:dyDescent="0.3">
      <c r="B208" t="s">
        <v>91</v>
      </c>
      <c r="C208">
        <v>1</v>
      </c>
      <c r="D208">
        <f t="shared" si="25"/>
        <v>3.4482758620689655E-2</v>
      </c>
      <c r="E208">
        <f t="shared" si="24"/>
        <v>-0.11611364930987841</v>
      </c>
    </row>
    <row r="209" spans="1:5" x14ac:dyDescent="0.3">
      <c r="B209" t="s">
        <v>85</v>
      </c>
      <c r="C209">
        <v>1</v>
      </c>
      <c r="D209">
        <f t="shared" si="25"/>
        <v>3.4482758620689655E-2</v>
      </c>
      <c r="E209">
        <f t="shared" si="24"/>
        <v>-0.11611364930987841</v>
      </c>
    </row>
    <row r="210" spans="1:5" x14ac:dyDescent="0.3">
      <c r="B210" t="s">
        <v>66</v>
      </c>
      <c r="C210">
        <v>2</v>
      </c>
      <c r="D210">
        <f t="shared" si="25"/>
        <v>6.8965517241379309E-2</v>
      </c>
      <c r="E210">
        <f t="shared" si="24"/>
        <v>-0.18442404478803645</v>
      </c>
    </row>
    <row r="211" spans="1:5" x14ac:dyDescent="0.3">
      <c r="B211" t="s">
        <v>94</v>
      </c>
      <c r="C211">
        <v>1</v>
      </c>
      <c r="D211">
        <f t="shared" si="25"/>
        <v>3.4482758620689655E-2</v>
      </c>
      <c r="E211">
        <f t="shared" si="24"/>
        <v>-0.11611364930987841</v>
      </c>
    </row>
    <row r="212" spans="1:5" x14ac:dyDescent="0.3">
      <c r="B212" t="s">
        <v>74</v>
      </c>
      <c r="C212">
        <v>2</v>
      </c>
      <c r="D212">
        <f t="shared" si="25"/>
        <v>6.8965517241379309E-2</v>
      </c>
      <c r="E212">
        <f t="shared" si="24"/>
        <v>-0.18442404478803645</v>
      </c>
    </row>
    <row r="213" spans="1:5" x14ac:dyDescent="0.3">
      <c r="B213" t="s">
        <v>69</v>
      </c>
      <c r="C213">
        <v>3</v>
      </c>
      <c r="D213">
        <f t="shared" si="25"/>
        <v>0.10344827586206896</v>
      </c>
      <c r="E213">
        <f t="shared" si="24"/>
        <v>-0.23469140082603768</v>
      </c>
    </row>
    <row r="214" spans="1:5" x14ac:dyDescent="0.3">
      <c r="B214" t="s">
        <v>72</v>
      </c>
      <c r="C214">
        <v>1</v>
      </c>
      <c r="D214">
        <f t="shared" si="25"/>
        <v>3.4482758620689655E-2</v>
      </c>
      <c r="E214">
        <f t="shared" si="24"/>
        <v>-0.11611364930987841</v>
      </c>
    </row>
    <row r="215" spans="1:5" x14ac:dyDescent="0.3">
      <c r="B215" t="s">
        <v>67</v>
      </c>
      <c r="C215">
        <v>2</v>
      </c>
      <c r="D215">
        <f t="shared" si="25"/>
        <v>6.8965517241379309E-2</v>
      </c>
      <c r="E215">
        <f t="shared" si="24"/>
        <v>-0.18442404478803645</v>
      </c>
    </row>
    <row r="216" spans="1:5" x14ac:dyDescent="0.3">
      <c r="B216" t="s">
        <v>75</v>
      </c>
      <c r="C216">
        <v>1</v>
      </c>
      <c r="D216">
        <f t="shared" si="25"/>
        <v>3.4482758620689655E-2</v>
      </c>
      <c r="E216">
        <f t="shared" si="24"/>
        <v>-0.11611364930987841</v>
      </c>
    </row>
    <row r="217" spans="1:5" x14ac:dyDescent="0.3">
      <c r="B217" t="s">
        <v>78</v>
      </c>
      <c r="C217">
        <v>1</v>
      </c>
      <c r="D217">
        <f t="shared" si="25"/>
        <v>3.4482758620689655E-2</v>
      </c>
      <c r="E217">
        <f t="shared" si="24"/>
        <v>-0.11611364930987841</v>
      </c>
    </row>
    <row r="218" spans="1:5" x14ac:dyDescent="0.3">
      <c r="B218" t="s">
        <v>87</v>
      </c>
      <c r="C218">
        <v>1</v>
      </c>
      <c r="D218">
        <f t="shared" si="25"/>
        <v>3.4482758620689655E-2</v>
      </c>
      <c r="E218">
        <f t="shared" si="24"/>
        <v>-0.11611364930987841</v>
      </c>
    </row>
    <row r="219" spans="1:5" x14ac:dyDescent="0.3">
      <c r="B219" t="s">
        <v>84</v>
      </c>
      <c r="C219">
        <v>1</v>
      </c>
      <c r="D219">
        <f t="shared" si="25"/>
        <v>3.4482758620689655E-2</v>
      </c>
      <c r="E219">
        <f t="shared" si="24"/>
        <v>-0.11611364930987841</v>
      </c>
    </row>
    <row r="220" spans="1:5" x14ac:dyDescent="0.3">
      <c r="B220" t="s">
        <v>83</v>
      </c>
      <c r="C220">
        <v>1</v>
      </c>
      <c r="D220">
        <f t="shared" si="25"/>
        <v>3.4482758620689655E-2</v>
      </c>
      <c r="E220">
        <f t="shared" si="24"/>
        <v>-0.11611364930987841</v>
      </c>
    </row>
    <row r="221" spans="1:5" x14ac:dyDescent="0.3">
      <c r="B221" t="s">
        <v>101</v>
      </c>
      <c r="C221">
        <f>SUM(C203:C220)</f>
        <v>29</v>
      </c>
      <c r="E221">
        <f>-SUM(E203:E220)</f>
        <v>2.7575707051255152</v>
      </c>
    </row>
    <row r="222" spans="1:5" x14ac:dyDescent="0.3">
      <c r="A222" t="s">
        <v>153</v>
      </c>
      <c r="B222" t="s">
        <v>65</v>
      </c>
      <c r="C222">
        <v>3</v>
      </c>
      <c r="D222">
        <f>C222/28</f>
        <v>0.10714285714285714</v>
      </c>
      <c r="E222">
        <f t="shared" ref="E222:E236" si="26">D222*LN(D222)</f>
        <v>-0.23931345230433151</v>
      </c>
    </row>
    <row r="223" spans="1:5" x14ac:dyDescent="0.3">
      <c r="B223" t="s">
        <v>67</v>
      </c>
      <c r="C223">
        <v>2</v>
      </c>
      <c r="D223">
        <f t="shared" ref="D223:D236" si="27">C223/28</f>
        <v>7.1428571428571425E-2</v>
      </c>
      <c r="E223">
        <f t="shared" si="26"/>
        <v>-0.18850409497251847</v>
      </c>
    </row>
    <row r="224" spans="1:5" x14ac:dyDescent="0.3">
      <c r="B224" t="s">
        <v>71</v>
      </c>
      <c r="C224">
        <v>4</v>
      </c>
      <c r="D224">
        <f t="shared" si="27"/>
        <v>0.14285714285714285</v>
      </c>
      <c r="E224">
        <f t="shared" si="26"/>
        <v>-0.27798716415075903</v>
      </c>
    </row>
    <row r="225" spans="1:5" x14ac:dyDescent="0.3">
      <c r="B225" t="s">
        <v>69</v>
      </c>
      <c r="C225">
        <v>2</v>
      </c>
      <c r="D225">
        <f t="shared" si="27"/>
        <v>7.1428571428571425E-2</v>
      </c>
      <c r="E225">
        <f t="shared" si="26"/>
        <v>-0.18850409497251847</v>
      </c>
    </row>
    <row r="226" spans="1:5" x14ac:dyDescent="0.3">
      <c r="B226" t="s">
        <v>84</v>
      </c>
      <c r="C226">
        <v>1</v>
      </c>
      <c r="D226">
        <f t="shared" si="27"/>
        <v>3.5714285714285712E-2</v>
      </c>
      <c r="E226">
        <f t="shared" si="26"/>
        <v>-0.1190073039348287</v>
      </c>
    </row>
    <row r="227" spans="1:5" x14ac:dyDescent="0.3">
      <c r="B227" t="s">
        <v>70</v>
      </c>
      <c r="C227">
        <v>1</v>
      </c>
      <c r="D227">
        <f t="shared" si="27"/>
        <v>3.5714285714285712E-2</v>
      </c>
      <c r="E227">
        <f t="shared" si="26"/>
        <v>-0.1190073039348287</v>
      </c>
    </row>
    <row r="228" spans="1:5" x14ac:dyDescent="0.3">
      <c r="B228" t="s">
        <v>68</v>
      </c>
      <c r="C228">
        <v>3</v>
      </c>
      <c r="D228">
        <f t="shared" si="27"/>
        <v>0.10714285714285714</v>
      </c>
      <c r="E228">
        <f t="shared" si="26"/>
        <v>-0.23931345230433151</v>
      </c>
    </row>
    <row r="229" spans="1:5" x14ac:dyDescent="0.3">
      <c r="B229" t="s">
        <v>73</v>
      </c>
      <c r="C229">
        <v>1</v>
      </c>
      <c r="D229">
        <f t="shared" si="27"/>
        <v>3.5714285714285712E-2</v>
      </c>
      <c r="E229">
        <f t="shared" si="26"/>
        <v>-0.1190073039348287</v>
      </c>
    </row>
    <row r="230" spans="1:5" x14ac:dyDescent="0.3">
      <c r="B230" t="s">
        <v>76</v>
      </c>
      <c r="C230">
        <v>3</v>
      </c>
      <c r="D230">
        <f t="shared" si="27"/>
        <v>0.10714285714285714</v>
      </c>
      <c r="E230">
        <f t="shared" si="26"/>
        <v>-0.23931345230433151</v>
      </c>
    </row>
    <row r="231" spans="1:5" x14ac:dyDescent="0.3">
      <c r="B231" t="s">
        <v>74</v>
      </c>
      <c r="C231">
        <v>2</v>
      </c>
      <c r="D231">
        <f t="shared" si="27"/>
        <v>7.1428571428571425E-2</v>
      </c>
      <c r="E231">
        <f t="shared" si="26"/>
        <v>-0.18850409497251847</v>
      </c>
    </row>
    <row r="232" spans="1:5" x14ac:dyDescent="0.3">
      <c r="B232" t="s">
        <v>66</v>
      </c>
      <c r="C232">
        <v>1</v>
      </c>
      <c r="D232">
        <f t="shared" si="27"/>
        <v>3.5714285714285712E-2</v>
      </c>
      <c r="E232">
        <f t="shared" si="26"/>
        <v>-0.1190073039348287</v>
      </c>
    </row>
    <row r="233" spans="1:5" x14ac:dyDescent="0.3">
      <c r="B233" t="s">
        <v>75</v>
      </c>
      <c r="C233">
        <v>1</v>
      </c>
      <c r="D233">
        <f t="shared" si="27"/>
        <v>3.5714285714285712E-2</v>
      </c>
      <c r="E233">
        <f t="shared" si="26"/>
        <v>-0.1190073039348287</v>
      </c>
    </row>
    <row r="234" spans="1:5" x14ac:dyDescent="0.3">
      <c r="B234" t="s">
        <v>91</v>
      </c>
      <c r="C234">
        <v>2</v>
      </c>
      <c r="D234">
        <f t="shared" si="27"/>
        <v>7.1428571428571425E-2</v>
      </c>
      <c r="E234">
        <f t="shared" si="26"/>
        <v>-0.18850409497251847</v>
      </c>
    </row>
    <row r="235" spans="1:5" x14ac:dyDescent="0.3">
      <c r="B235" t="s">
        <v>72</v>
      </c>
      <c r="C235">
        <v>1</v>
      </c>
      <c r="D235">
        <f t="shared" si="27"/>
        <v>3.5714285714285712E-2</v>
      </c>
      <c r="E235">
        <f t="shared" si="26"/>
        <v>-0.1190073039348287</v>
      </c>
    </row>
    <row r="236" spans="1:5" x14ac:dyDescent="0.3">
      <c r="B236" t="s">
        <v>78</v>
      </c>
      <c r="C236">
        <v>1</v>
      </c>
      <c r="D236">
        <f t="shared" si="27"/>
        <v>3.5714285714285712E-2</v>
      </c>
      <c r="E236">
        <f t="shared" si="26"/>
        <v>-0.1190073039348287</v>
      </c>
    </row>
    <row r="237" spans="1:5" x14ac:dyDescent="0.3">
      <c r="B237" t="s">
        <v>101</v>
      </c>
      <c r="C237">
        <f>SUM(C222:C236)</f>
        <v>28</v>
      </c>
      <c r="E237">
        <f>-SUM(E222:E236)</f>
        <v>2.5829950284976282</v>
      </c>
    </row>
    <row r="238" spans="1:5" x14ac:dyDescent="0.3">
      <c r="A238" t="s">
        <v>154</v>
      </c>
      <c r="B238" t="s">
        <v>74</v>
      </c>
      <c r="C238">
        <v>2</v>
      </c>
      <c r="D238">
        <f>C238/29</f>
        <v>6.8965517241379309E-2</v>
      </c>
      <c r="E238">
        <f t="shared" ref="E238:E252" si="28">D238*LN(D238)</f>
        <v>-0.18442404478803645</v>
      </c>
    </row>
    <row r="239" spans="1:5" x14ac:dyDescent="0.3">
      <c r="B239" t="s">
        <v>84</v>
      </c>
      <c r="C239">
        <v>2</v>
      </c>
      <c r="D239">
        <f t="shared" ref="D239:D252" si="29">C239/29</f>
        <v>6.8965517241379309E-2</v>
      </c>
      <c r="E239">
        <f t="shared" si="28"/>
        <v>-0.18442404478803645</v>
      </c>
    </row>
    <row r="240" spans="1:5" x14ac:dyDescent="0.3">
      <c r="B240" t="s">
        <v>71</v>
      </c>
      <c r="C240">
        <v>3</v>
      </c>
      <c r="D240">
        <f t="shared" si="29"/>
        <v>0.10344827586206896</v>
      </c>
      <c r="E240">
        <f t="shared" si="28"/>
        <v>-0.23469140082603768</v>
      </c>
    </row>
    <row r="241" spans="1:5" x14ac:dyDescent="0.3">
      <c r="B241" t="s">
        <v>68</v>
      </c>
      <c r="C241">
        <v>3</v>
      </c>
      <c r="D241">
        <f t="shared" si="29"/>
        <v>0.10344827586206896</v>
      </c>
      <c r="E241">
        <f t="shared" si="28"/>
        <v>-0.23469140082603768</v>
      </c>
    </row>
    <row r="242" spans="1:5" x14ac:dyDescent="0.3">
      <c r="B242" t="s">
        <v>73</v>
      </c>
      <c r="C242">
        <v>1</v>
      </c>
      <c r="D242">
        <f t="shared" si="29"/>
        <v>3.4482758620689655E-2</v>
      </c>
      <c r="E242">
        <f t="shared" si="28"/>
        <v>-0.11611364930987841</v>
      </c>
    </row>
    <row r="243" spans="1:5" x14ac:dyDescent="0.3">
      <c r="B243" t="s">
        <v>70</v>
      </c>
      <c r="C243">
        <v>1</v>
      </c>
      <c r="D243">
        <f t="shared" si="29"/>
        <v>3.4482758620689655E-2</v>
      </c>
      <c r="E243">
        <f t="shared" si="28"/>
        <v>-0.11611364930987841</v>
      </c>
    </row>
    <row r="244" spans="1:5" x14ac:dyDescent="0.3">
      <c r="B244" t="s">
        <v>91</v>
      </c>
      <c r="C244">
        <v>1</v>
      </c>
      <c r="D244">
        <f t="shared" si="29"/>
        <v>3.4482758620689655E-2</v>
      </c>
      <c r="E244">
        <f t="shared" si="28"/>
        <v>-0.11611364930987841</v>
      </c>
    </row>
    <row r="245" spans="1:5" x14ac:dyDescent="0.3">
      <c r="B245" t="s">
        <v>69</v>
      </c>
      <c r="C245">
        <v>2</v>
      </c>
      <c r="D245">
        <f t="shared" si="29"/>
        <v>6.8965517241379309E-2</v>
      </c>
      <c r="E245">
        <f t="shared" si="28"/>
        <v>-0.18442404478803645</v>
      </c>
    </row>
    <row r="246" spans="1:5" x14ac:dyDescent="0.3">
      <c r="B246" t="s">
        <v>65</v>
      </c>
      <c r="C246">
        <v>2</v>
      </c>
      <c r="D246">
        <f t="shared" si="29"/>
        <v>6.8965517241379309E-2</v>
      </c>
      <c r="E246">
        <f t="shared" si="28"/>
        <v>-0.18442404478803645</v>
      </c>
    </row>
    <row r="247" spans="1:5" x14ac:dyDescent="0.3">
      <c r="B247" t="s">
        <v>76</v>
      </c>
      <c r="C247">
        <v>5</v>
      </c>
      <c r="D247">
        <f t="shared" si="29"/>
        <v>0.17241379310344829</v>
      </c>
      <c r="E247">
        <f t="shared" si="28"/>
        <v>-0.30307895130213341</v>
      </c>
    </row>
    <row r="248" spans="1:5" x14ac:dyDescent="0.3">
      <c r="B248" t="s">
        <v>66</v>
      </c>
      <c r="C248">
        <v>1</v>
      </c>
      <c r="D248">
        <f t="shared" si="29"/>
        <v>3.4482758620689655E-2</v>
      </c>
      <c r="E248">
        <f t="shared" si="28"/>
        <v>-0.11611364930987841</v>
      </c>
    </row>
    <row r="249" spans="1:5" x14ac:dyDescent="0.3">
      <c r="B249" t="s">
        <v>67</v>
      </c>
      <c r="C249">
        <v>3</v>
      </c>
      <c r="D249">
        <f t="shared" si="29"/>
        <v>0.10344827586206896</v>
      </c>
      <c r="E249">
        <f t="shared" si="28"/>
        <v>-0.23469140082603768</v>
      </c>
    </row>
    <row r="250" spans="1:5" x14ac:dyDescent="0.3">
      <c r="B250" t="s">
        <v>75</v>
      </c>
      <c r="C250">
        <v>1</v>
      </c>
      <c r="D250">
        <f t="shared" si="29"/>
        <v>3.4482758620689655E-2</v>
      </c>
      <c r="E250">
        <f t="shared" si="28"/>
        <v>-0.11611364930987841</v>
      </c>
    </row>
    <row r="251" spans="1:5" x14ac:dyDescent="0.3">
      <c r="B251" t="s">
        <v>87</v>
      </c>
      <c r="C251">
        <v>1</v>
      </c>
      <c r="D251">
        <f t="shared" si="29"/>
        <v>3.4482758620689655E-2</v>
      </c>
      <c r="E251">
        <f t="shared" si="28"/>
        <v>-0.11611364930987841</v>
      </c>
    </row>
    <row r="252" spans="1:5" x14ac:dyDescent="0.3">
      <c r="B252" t="s">
        <v>85</v>
      </c>
      <c r="C252">
        <v>1</v>
      </c>
      <c r="D252">
        <f t="shared" si="29"/>
        <v>3.4482758620689655E-2</v>
      </c>
      <c r="E252">
        <f t="shared" si="28"/>
        <v>-0.11611364930987841</v>
      </c>
    </row>
    <row r="253" spans="1:5" x14ac:dyDescent="0.3">
      <c r="B253" t="s">
        <v>101</v>
      </c>
      <c r="C253">
        <f>SUM(C238:C252)</f>
        <v>29</v>
      </c>
      <c r="E253">
        <f>-SUM(E238:E252)</f>
        <v>2.5576448781015406</v>
      </c>
    </row>
    <row r="254" spans="1:5" x14ac:dyDescent="0.3">
      <c r="A254" t="s">
        <v>155</v>
      </c>
      <c r="B254" t="s">
        <v>68</v>
      </c>
      <c r="C254">
        <v>2</v>
      </c>
      <c r="D254">
        <f>C254/32</f>
        <v>6.25E-2</v>
      </c>
      <c r="E254">
        <f t="shared" ref="E254:E271" si="30">D254*LN(D254)</f>
        <v>-0.17328679513998632</v>
      </c>
    </row>
    <row r="255" spans="1:5" x14ac:dyDescent="0.3">
      <c r="B255" t="s">
        <v>69</v>
      </c>
      <c r="C255">
        <v>5</v>
      </c>
      <c r="D255">
        <f t="shared" ref="D255:D271" si="31">C255/32</f>
        <v>0.15625</v>
      </c>
      <c r="E255">
        <f t="shared" si="30"/>
        <v>-0.29004656099462911</v>
      </c>
    </row>
    <row r="256" spans="1:5" x14ac:dyDescent="0.3">
      <c r="B256" t="s">
        <v>65</v>
      </c>
      <c r="C256">
        <v>3</v>
      </c>
      <c r="D256">
        <f t="shared" si="31"/>
        <v>9.375E-2</v>
      </c>
      <c r="E256">
        <f t="shared" si="30"/>
        <v>-0.22191783882483909</v>
      </c>
    </row>
    <row r="257" spans="2:5" x14ac:dyDescent="0.3">
      <c r="B257" t="s">
        <v>67</v>
      </c>
      <c r="C257">
        <v>2</v>
      </c>
      <c r="D257">
        <f t="shared" si="31"/>
        <v>6.25E-2</v>
      </c>
      <c r="E257">
        <f t="shared" si="30"/>
        <v>-0.17328679513998632</v>
      </c>
    </row>
    <row r="258" spans="2:5" x14ac:dyDescent="0.3">
      <c r="B258" t="s">
        <v>66</v>
      </c>
      <c r="C258">
        <v>2</v>
      </c>
      <c r="D258">
        <f t="shared" si="31"/>
        <v>6.25E-2</v>
      </c>
      <c r="E258">
        <f t="shared" si="30"/>
        <v>-0.17328679513998632</v>
      </c>
    </row>
    <row r="259" spans="2:5" x14ac:dyDescent="0.3">
      <c r="B259" t="s">
        <v>73</v>
      </c>
      <c r="C259">
        <v>1</v>
      </c>
      <c r="D259">
        <f t="shared" si="31"/>
        <v>3.125E-2</v>
      </c>
      <c r="E259">
        <f t="shared" si="30"/>
        <v>-0.10830424696249145</v>
      </c>
    </row>
    <row r="260" spans="2:5" x14ac:dyDescent="0.3">
      <c r="B260" t="s">
        <v>70</v>
      </c>
      <c r="C260">
        <v>1</v>
      </c>
      <c r="D260">
        <f t="shared" si="31"/>
        <v>3.125E-2</v>
      </c>
      <c r="E260">
        <f t="shared" si="30"/>
        <v>-0.10830424696249145</v>
      </c>
    </row>
    <row r="261" spans="2:5" x14ac:dyDescent="0.3">
      <c r="B261" t="s">
        <v>71</v>
      </c>
      <c r="C261">
        <v>4</v>
      </c>
      <c r="D261">
        <f t="shared" si="31"/>
        <v>0.125</v>
      </c>
      <c r="E261">
        <f t="shared" si="30"/>
        <v>-0.25993019270997947</v>
      </c>
    </row>
    <row r="262" spans="2:5" x14ac:dyDescent="0.3">
      <c r="B262" t="s">
        <v>72</v>
      </c>
      <c r="C262">
        <v>1</v>
      </c>
      <c r="D262">
        <f t="shared" si="31"/>
        <v>3.125E-2</v>
      </c>
      <c r="E262">
        <f t="shared" si="30"/>
        <v>-0.10830424696249145</v>
      </c>
    </row>
    <row r="263" spans="2:5" x14ac:dyDescent="0.3">
      <c r="B263" t="s">
        <v>91</v>
      </c>
      <c r="C263">
        <v>2</v>
      </c>
      <c r="D263">
        <f t="shared" si="31"/>
        <v>6.25E-2</v>
      </c>
      <c r="E263">
        <f t="shared" si="30"/>
        <v>-0.17328679513998632</v>
      </c>
    </row>
    <row r="264" spans="2:5" x14ac:dyDescent="0.3">
      <c r="B264" t="s">
        <v>83</v>
      </c>
      <c r="C264">
        <v>1</v>
      </c>
      <c r="D264">
        <f t="shared" si="31"/>
        <v>3.125E-2</v>
      </c>
      <c r="E264">
        <f t="shared" si="30"/>
        <v>-0.10830424696249145</v>
      </c>
    </row>
    <row r="265" spans="2:5" x14ac:dyDescent="0.3">
      <c r="B265" t="s">
        <v>84</v>
      </c>
      <c r="C265">
        <v>1</v>
      </c>
      <c r="D265">
        <f t="shared" si="31"/>
        <v>3.125E-2</v>
      </c>
      <c r="E265">
        <f t="shared" si="30"/>
        <v>-0.10830424696249145</v>
      </c>
    </row>
    <row r="266" spans="2:5" x14ac:dyDescent="0.3">
      <c r="B266" t="s">
        <v>75</v>
      </c>
      <c r="C266">
        <v>2</v>
      </c>
      <c r="D266">
        <f t="shared" si="31"/>
        <v>6.25E-2</v>
      </c>
      <c r="E266">
        <f t="shared" si="30"/>
        <v>-0.17328679513998632</v>
      </c>
    </row>
    <row r="267" spans="2:5" x14ac:dyDescent="0.3">
      <c r="B267" t="s">
        <v>74</v>
      </c>
      <c r="C267">
        <v>1</v>
      </c>
      <c r="D267">
        <f t="shared" si="31"/>
        <v>3.125E-2</v>
      </c>
      <c r="E267">
        <f t="shared" si="30"/>
        <v>-0.10830424696249145</v>
      </c>
    </row>
    <row r="268" spans="2:5" x14ac:dyDescent="0.3">
      <c r="B268" t="s">
        <v>78</v>
      </c>
      <c r="C268">
        <v>1</v>
      </c>
      <c r="D268">
        <f t="shared" si="31"/>
        <v>3.125E-2</v>
      </c>
      <c r="E268">
        <f t="shared" si="30"/>
        <v>-0.10830424696249145</v>
      </c>
    </row>
    <row r="269" spans="2:5" x14ac:dyDescent="0.3">
      <c r="B269" t="s">
        <v>97</v>
      </c>
      <c r="C269">
        <v>1</v>
      </c>
      <c r="D269">
        <f t="shared" si="31"/>
        <v>3.125E-2</v>
      </c>
      <c r="E269">
        <f t="shared" si="30"/>
        <v>-0.10830424696249145</v>
      </c>
    </row>
    <row r="270" spans="2:5" x14ac:dyDescent="0.3">
      <c r="B270" t="s">
        <v>98</v>
      </c>
      <c r="C270">
        <v>1</v>
      </c>
      <c r="D270">
        <f t="shared" si="31"/>
        <v>3.125E-2</v>
      </c>
      <c r="E270">
        <f t="shared" si="30"/>
        <v>-0.10830424696249145</v>
      </c>
    </row>
    <row r="271" spans="2:5" x14ac:dyDescent="0.3">
      <c r="B271" t="s">
        <v>87</v>
      </c>
      <c r="C271">
        <v>1</v>
      </c>
      <c r="D271">
        <f t="shared" si="31"/>
        <v>3.125E-2</v>
      </c>
      <c r="E271">
        <f t="shared" si="30"/>
        <v>-0.10830424696249145</v>
      </c>
    </row>
    <row r="272" spans="2:5" x14ac:dyDescent="0.3">
      <c r="B272" t="s">
        <v>101</v>
      </c>
      <c r="C272">
        <f>SUM(C254:C271)</f>
        <v>32</v>
      </c>
      <c r="E272">
        <f>-SUM(E254:E271)</f>
        <v>2.7213710378542935</v>
      </c>
    </row>
    <row r="273" spans="1:5" x14ac:dyDescent="0.3">
      <c r="A273" t="s">
        <v>156</v>
      </c>
      <c r="B273" t="s">
        <v>68</v>
      </c>
      <c r="C273">
        <v>3</v>
      </c>
      <c r="D273">
        <f>C273/38</f>
        <v>7.8947368421052627E-2</v>
      </c>
      <c r="E273">
        <f t="shared" ref="E273:E289" si="32">D273*LN(D273)</f>
        <v>-0.2004453056098639</v>
      </c>
    </row>
    <row r="274" spans="1:5" x14ac:dyDescent="0.3">
      <c r="B274" t="s">
        <v>69</v>
      </c>
      <c r="C274">
        <v>4</v>
      </c>
      <c r="D274">
        <f t="shared" ref="D274:D289" si="33">C274/38</f>
        <v>0.10526315789473684</v>
      </c>
      <c r="E274">
        <f t="shared" si="32"/>
        <v>-0.2369780840638416</v>
      </c>
    </row>
    <row r="275" spans="1:5" x14ac:dyDescent="0.3">
      <c r="B275" t="s">
        <v>72</v>
      </c>
      <c r="C275">
        <v>1</v>
      </c>
      <c r="D275">
        <f t="shared" si="33"/>
        <v>2.6315789473684209E-2</v>
      </c>
      <c r="E275">
        <f t="shared" si="32"/>
        <v>-9.5725951571746987E-2</v>
      </c>
    </row>
    <row r="276" spans="1:5" x14ac:dyDescent="0.3">
      <c r="B276" t="s">
        <v>65</v>
      </c>
      <c r="C276">
        <v>6</v>
      </c>
      <c r="D276">
        <f t="shared" si="33"/>
        <v>0.15789473684210525</v>
      </c>
      <c r="E276">
        <f t="shared" si="32"/>
        <v>-0.29144631955236805</v>
      </c>
    </row>
    <row r="277" spans="1:5" x14ac:dyDescent="0.3">
      <c r="B277" t="s">
        <v>84</v>
      </c>
      <c r="C277">
        <v>1</v>
      </c>
      <c r="D277">
        <f t="shared" si="33"/>
        <v>2.6315789473684209E-2</v>
      </c>
      <c r="E277">
        <f t="shared" si="32"/>
        <v>-9.5725951571746987E-2</v>
      </c>
    </row>
    <row r="278" spans="1:5" x14ac:dyDescent="0.3">
      <c r="B278" t="s">
        <v>74</v>
      </c>
      <c r="C278">
        <v>2</v>
      </c>
      <c r="D278">
        <f t="shared" si="33"/>
        <v>5.2631578947368418E-2</v>
      </c>
      <c r="E278">
        <f t="shared" si="32"/>
        <v>-0.15497047258770741</v>
      </c>
    </row>
    <row r="279" spans="1:5" x14ac:dyDescent="0.3">
      <c r="B279" t="s">
        <v>73</v>
      </c>
      <c r="C279">
        <v>1</v>
      </c>
      <c r="D279">
        <f t="shared" si="33"/>
        <v>2.6315789473684209E-2</v>
      </c>
      <c r="E279">
        <f t="shared" si="32"/>
        <v>-9.5725951571746987E-2</v>
      </c>
    </row>
    <row r="280" spans="1:5" x14ac:dyDescent="0.3">
      <c r="B280" t="s">
        <v>71</v>
      </c>
      <c r="C280">
        <v>6</v>
      </c>
      <c r="D280">
        <f t="shared" si="33"/>
        <v>0.15789473684210525</v>
      </c>
      <c r="E280">
        <f t="shared" si="32"/>
        <v>-0.29144631955236805</v>
      </c>
    </row>
    <row r="281" spans="1:5" x14ac:dyDescent="0.3">
      <c r="B281" t="s">
        <v>70</v>
      </c>
      <c r="C281">
        <v>2</v>
      </c>
      <c r="D281">
        <f t="shared" si="33"/>
        <v>5.2631578947368418E-2</v>
      </c>
      <c r="E281">
        <f t="shared" si="32"/>
        <v>-0.15497047258770741</v>
      </c>
    </row>
    <row r="282" spans="1:5" x14ac:dyDescent="0.3">
      <c r="B282" t="s">
        <v>66</v>
      </c>
      <c r="C282">
        <v>2</v>
      </c>
      <c r="D282">
        <f t="shared" si="33"/>
        <v>5.2631578947368418E-2</v>
      </c>
      <c r="E282">
        <f t="shared" si="32"/>
        <v>-0.15497047258770741</v>
      </c>
    </row>
    <row r="283" spans="1:5" x14ac:dyDescent="0.3">
      <c r="B283" t="s">
        <v>75</v>
      </c>
      <c r="C283">
        <v>2</v>
      </c>
      <c r="D283">
        <f t="shared" si="33"/>
        <v>5.2631578947368418E-2</v>
      </c>
      <c r="E283">
        <f t="shared" si="32"/>
        <v>-0.15497047258770741</v>
      </c>
    </row>
    <row r="284" spans="1:5" x14ac:dyDescent="0.3">
      <c r="B284" t="s">
        <v>67</v>
      </c>
      <c r="C284">
        <v>2</v>
      </c>
      <c r="D284">
        <f t="shared" si="33"/>
        <v>5.2631578947368418E-2</v>
      </c>
      <c r="E284">
        <f t="shared" si="32"/>
        <v>-0.15497047258770741</v>
      </c>
    </row>
    <row r="285" spans="1:5" x14ac:dyDescent="0.3">
      <c r="B285" t="s">
        <v>91</v>
      </c>
      <c r="C285">
        <v>1</v>
      </c>
      <c r="D285">
        <f t="shared" si="33"/>
        <v>2.6315789473684209E-2</v>
      </c>
      <c r="E285">
        <f t="shared" si="32"/>
        <v>-9.5725951571746987E-2</v>
      </c>
    </row>
    <row r="286" spans="1:5" x14ac:dyDescent="0.3">
      <c r="B286" t="s">
        <v>83</v>
      </c>
      <c r="C286">
        <v>1</v>
      </c>
      <c r="D286">
        <f t="shared" si="33"/>
        <v>2.6315789473684209E-2</v>
      </c>
      <c r="E286">
        <f t="shared" si="32"/>
        <v>-9.5725951571746987E-2</v>
      </c>
    </row>
    <row r="287" spans="1:5" x14ac:dyDescent="0.3">
      <c r="B287" t="s">
        <v>85</v>
      </c>
      <c r="C287">
        <v>1</v>
      </c>
      <c r="D287">
        <f t="shared" si="33"/>
        <v>2.6315789473684209E-2</v>
      </c>
      <c r="E287">
        <f t="shared" si="32"/>
        <v>-9.5725951571746987E-2</v>
      </c>
    </row>
    <row r="288" spans="1:5" x14ac:dyDescent="0.3">
      <c r="B288" t="s">
        <v>76</v>
      </c>
      <c r="C288">
        <v>2</v>
      </c>
      <c r="D288">
        <f t="shared" si="33"/>
        <v>5.2631578947368418E-2</v>
      </c>
      <c r="E288">
        <f t="shared" si="32"/>
        <v>-0.15497047258770741</v>
      </c>
    </row>
    <row r="289" spans="1:5" x14ac:dyDescent="0.3">
      <c r="B289" t="s">
        <v>77</v>
      </c>
      <c r="C289">
        <v>1</v>
      </c>
      <c r="D289">
        <f t="shared" si="33"/>
        <v>2.6315789473684209E-2</v>
      </c>
      <c r="E289">
        <f t="shared" si="32"/>
        <v>-9.5725951571746987E-2</v>
      </c>
    </row>
    <row r="290" spans="1:5" x14ac:dyDescent="0.3">
      <c r="B290" t="s">
        <v>101</v>
      </c>
      <c r="C290">
        <f>SUM(C273:C289)</f>
        <v>38</v>
      </c>
      <c r="E290">
        <f>-SUM(E273:E289)</f>
        <v>2.6202205253069151</v>
      </c>
    </row>
    <row r="291" spans="1:5" x14ac:dyDescent="0.3">
      <c r="A291" t="s">
        <v>157</v>
      </c>
      <c r="B291" t="s">
        <v>65</v>
      </c>
      <c r="C291">
        <v>5</v>
      </c>
      <c r="D291">
        <f>C291/30</f>
        <v>0.16666666666666666</v>
      </c>
      <c r="E291">
        <f t="shared" ref="E291:E305" si="34">D291*LN(D291)</f>
        <v>-0.29862657820467581</v>
      </c>
    </row>
    <row r="292" spans="1:5" x14ac:dyDescent="0.3">
      <c r="B292" t="s">
        <v>69</v>
      </c>
      <c r="C292">
        <v>3</v>
      </c>
      <c r="D292">
        <f t="shared" ref="D292:D305" si="35">C292/30</f>
        <v>0.1</v>
      </c>
      <c r="E292">
        <f t="shared" si="34"/>
        <v>-0.23025850929940456</v>
      </c>
    </row>
    <row r="293" spans="1:5" x14ac:dyDescent="0.3">
      <c r="B293" t="s">
        <v>71</v>
      </c>
      <c r="C293">
        <v>3</v>
      </c>
      <c r="D293">
        <f t="shared" si="35"/>
        <v>0.1</v>
      </c>
      <c r="E293">
        <f t="shared" si="34"/>
        <v>-0.23025850929940456</v>
      </c>
    </row>
    <row r="294" spans="1:5" x14ac:dyDescent="0.3">
      <c r="B294" t="s">
        <v>68</v>
      </c>
      <c r="C294">
        <v>3</v>
      </c>
      <c r="D294">
        <f t="shared" si="35"/>
        <v>0.1</v>
      </c>
      <c r="E294">
        <f t="shared" si="34"/>
        <v>-0.23025850929940456</v>
      </c>
    </row>
    <row r="295" spans="1:5" x14ac:dyDescent="0.3">
      <c r="B295" t="s">
        <v>100</v>
      </c>
      <c r="C295">
        <v>2</v>
      </c>
      <c r="D295">
        <f t="shared" si="35"/>
        <v>6.6666666666666666E-2</v>
      </c>
      <c r="E295">
        <f t="shared" si="34"/>
        <v>-0.18053668007348067</v>
      </c>
    </row>
    <row r="296" spans="1:5" x14ac:dyDescent="0.3">
      <c r="B296" t="s">
        <v>66</v>
      </c>
      <c r="C296">
        <v>2</v>
      </c>
      <c r="D296">
        <f t="shared" si="35"/>
        <v>6.6666666666666666E-2</v>
      </c>
      <c r="E296">
        <f t="shared" si="34"/>
        <v>-0.18053668007348067</v>
      </c>
    </row>
    <row r="297" spans="1:5" x14ac:dyDescent="0.3">
      <c r="B297" t="s">
        <v>74</v>
      </c>
      <c r="C297">
        <v>2</v>
      </c>
      <c r="D297">
        <f t="shared" si="35"/>
        <v>6.6666666666666666E-2</v>
      </c>
      <c r="E297">
        <f t="shared" si="34"/>
        <v>-0.18053668007348067</v>
      </c>
    </row>
    <row r="298" spans="1:5" x14ac:dyDescent="0.3">
      <c r="B298" t="s">
        <v>75</v>
      </c>
      <c r="C298">
        <v>1</v>
      </c>
      <c r="D298">
        <f t="shared" si="35"/>
        <v>3.3333333333333333E-2</v>
      </c>
      <c r="E298">
        <f t="shared" si="34"/>
        <v>-0.11337324605540518</v>
      </c>
    </row>
    <row r="299" spans="1:5" x14ac:dyDescent="0.3">
      <c r="B299" t="s">
        <v>85</v>
      </c>
      <c r="C299">
        <v>1</v>
      </c>
      <c r="D299">
        <f t="shared" si="35"/>
        <v>3.3333333333333333E-2</v>
      </c>
      <c r="E299">
        <f t="shared" si="34"/>
        <v>-0.11337324605540518</v>
      </c>
    </row>
    <row r="300" spans="1:5" x14ac:dyDescent="0.3">
      <c r="B300" t="s">
        <v>73</v>
      </c>
      <c r="C300">
        <v>1</v>
      </c>
      <c r="D300">
        <f t="shared" si="35"/>
        <v>3.3333333333333333E-2</v>
      </c>
      <c r="E300">
        <f t="shared" si="34"/>
        <v>-0.11337324605540518</v>
      </c>
    </row>
    <row r="301" spans="1:5" x14ac:dyDescent="0.3">
      <c r="B301" t="s">
        <v>84</v>
      </c>
      <c r="C301">
        <v>1</v>
      </c>
      <c r="D301">
        <f t="shared" si="35"/>
        <v>3.3333333333333333E-2</v>
      </c>
      <c r="E301">
        <f t="shared" si="34"/>
        <v>-0.11337324605540518</v>
      </c>
    </row>
    <row r="302" spans="1:5" x14ac:dyDescent="0.3">
      <c r="B302" t="s">
        <v>70</v>
      </c>
      <c r="C302">
        <v>1</v>
      </c>
      <c r="D302">
        <f t="shared" si="35"/>
        <v>3.3333333333333333E-2</v>
      </c>
      <c r="E302">
        <f t="shared" si="34"/>
        <v>-0.11337324605540518</v>
      </c>
    </row>
    <row r="303" spans="1:5" x14ac:dyDescent="0.3">
      <c r="B303" t="s">
        <v>72</v>
      </c>
      <c r="C303">
        <v>1</v>
      </c>
      <c r="D303">
        <f t="shared" si="35"/>
        <v>3.3333333333333333E-2</v>
      </c>
      <c r="E303">
        <f t="shared" si="34"/>
        <v>-0.11337324605540518</v>
      </c>
    </row>
    <row r="304" spans="1:5" x14ac:dyDescent="0.3">
      <c r="B304" t="s">
        <v>93</v>
      </c>
      <c r="C304">
        <v>1</v>
      </c>
      <c r="D304">
        <f t="shared" si="35"/>
        <v>3.3333333333333333E-2</v>
      </c>
      <c r="E304">
        <f t="shared" si="34"/>
        <v>-0.11337324605540518</v>
      </c>
    </row>
    <row r="305" spans="1:5" x14ac:dyDescent="0.3">
      <c r="B305" t="s">
        <v>76</v>
      </c>
      <c r="C305">
        <v>3</v>
      </c>
      <c r="D305">
        <f t="shared" si="35"/>
        <v>0.1</v>
      </c>
      <c r="E305">
        <f t="shared" si="34"/>
        <v>-0.23025850929940456</v>
      </c>
    </row>
    <row r="306" spans="1:5" x14ac:dyDescent="0.3">
      <c r="B306" t="s">
        <v>101</v>
      </c>
      <c r="C306">
        <f>SUM(C291:C305)</f>
        <v>30</v>
      </c>
      <c r="E306">
        <f>-SUM(E291:E305)</f>
        <v>2.554883378010572</v>
      </c>
    </row>
    <row r="307" spans="1:5" x14ac:dyDescent="0.3">
      <c r="A307" t="s">
        <v>158</v>
      </c>
      <c r="B307" t="s">
        <v>68</v>
      </c>
      <c r="C307">
        <v>2</v>
      </c>
      <c r="D307">
        <f>C307/37</f>
        <v>5.4054054054054057E-2</v>
      </c>
      <c r="E307">
        <f t="shared" ref="E307:E322" si="36">D307*LN(D307)</f>
        <v>-0.15771733686942049</v>
      </c>
    </row>
    <row r="308" spans="1:5" x14ac:dyDescent="0.3">
      <c r="B308" t="s">
        <v>69</v>
      </c>
      <c r="C308">
        <v>4</v>
      </c>
      <c r="D308">
        <f t="shared" ref="D308:D322" si="37">C308/37</f>
        <v>0.10810810810810811</v>
      </c>
      <c r="E308">
        <f t="shared" si="36"/>
        <v>-0.24049984340803607</v>
      </c>
    </row>
    <row r="309" spans="1:5" x14ac:dyDescent="0.3">
      <c r="B309" t="s">
        <v>67</v>
      </c>
      <c r="C309">
        <v>3</v>
      </c>
      <c r="D309">
        <f t="shared" si="37"/>
        <v>8.1081081081081086E-2</v>
      </c>
      <c r="E309">
        <f t="shared" si="36"/>
        <v>-0.20370045599806338</v>
      </c>
    </row>
    <row r="310" spans="1:5" x14ac:dyDescent="0.3">
      <c r="B310" t="s">
        <v>100</v>
      </c>
      <c r="C310">
        <v>4</v>
      </c>
      <c r="D310">
        <f t="shared" si="37"/>
        <v>0.10810810810810811</v>
      </c>
      <c r="E310">
        <f t="shared" si="36"/>
        <v>-0.24049984340803607</v>
      </c>
    </row>
    <row r="311" spans="1:5" x14ac:dyDescent="0.3">
      <c r="B311" t="s">
        <v>71</v>
      </c>
      <c r="C311">
        <v>8</v>
      </c>
      <c r="D311">
        <f t="shared" si="37"/>
        <v>0.21621621621621623</v>
      </c>
      <c r="E311">
        <f t="shared" si="36"/>
        <v>-0.33113002615446235</v>
      </c>
    </row>
    <row r="312" spans="1:5" x14ac:dyDescent="0.3">
      <c r="B312" t="s">
        <v>74</v>
      </c>
      <c r="C312">
        <v>2</v>
      </c>
      <c r="D312">
        <f t="shared" si="37"/>
        <v>5.4054054054054057E-2</v>
      </c>
      <c r="E312">
        <f t="shared" si="36"/>
        <v>-0.15771733686942049</v>
      </c>
    </row>
    <row r="313" spans="1:5" x14ac:dyDescent="0.3">
      <c r="B313" t="s">
        <v>73</v>
      </c>
      <c r="C313">
        <v>2</v>
      </c>
      <c r="D313">
        <f t="shared" si="37"/>
        <v>5.4054054054054057E-2</v>
      </c>
      <c r="E313">
        <f t="shared" si="36"/>
        <v>-0.15771733686942049</v>
      </c>
    </row>
    <row r="314" spans="1:5" x14ac:dyDescent="0.3">
      <c r="B314" t="s">
        <v>65</v>
      </c>
      <c r="C314">
        <v>3</v>
      </c>
      <c r="D314">
        <f t="shared" si="37"/>
        <v>8.1081081081081086E-2</v>
      </c>
      <c r="E314">
        <f t="shared" si="36"/>
        <v>-0.20370045599806338</v>
      </c>
    </row>
    <row r="315" spans="1:5" x14ac:dyDescent="0.3">
      <c r="B315" t="s">
        <v>66</v>
      </c>
      <c r="C315">
        <v>2</v>
      </c>
      <c r="D315">
        <f t="shared" si="37"/>
        <v>5.4054054054054057E-2</v>
      </c>
      <c r="E315">
        <f t="shared" si="36"/>
        <v>-0.15771733686942049</v>
      </c>
    </row>
    <row r="316" spans="1:5" x14ac:dyDescent="0.3">
      <c r="B316" t="s">
        <v>70</v>
      </c>
      <c r="C316">
        <v>1</v>
      </c>
      <c r="D316">
        <f t="shared" si="37"/>
        <v>2.7027027027027029E-2</v>
      </c>
      <c r="E316">
        <f t="shared" si="36"/>
        <v>-9.759237601741147E-2</v>
      </c>
    </row>
    <row r="317" spans="1:5" x14ac:dyDescent="0.3">
      <c r="B317" t="s">
        <v>78</v>
      </c>
      <c r="C317">
        <v>1</v>
      </c>
      <c r="D317">
        <f t="shared" si="37"/>
        <v>2.7027027027027029E-2</v>
      </c>
      <c r="E317">
        <f t="shared" si="36"/>
        <v>-9.759237601741147E-2</v>
      </c>
    </row>
    <row r="318" spans="1:5" x14ac:dyDescent="0.3">
      <c r="B318" t="s">
        <v>75</v>
      </c>
      <c r="C318">
        <v>1</v>
      </c>
      <c r="D318">
        <f t="shared" si="37"/>
        <v>2.7027027027027029E-2</v>
      </c>
      <c r="E318">
        <f t="shared" si="36"/>
        <v>-9.759237601741147E-2</v>
      </c>
    </row>
    <row r="319" spans="1:5" x14ac:dyDescent="0.3">
      <c r="B319" t="s">
        <v>83</v>
      </c>
      <c r="C319">
        <v>1</v>
      </c>
      <c r="D319">
        <f t="shared" si="37"/>
        <v>2.7027027027027029E-2</v>
      </c>
      <c r="E319">
        <f t="shared" si="36"/>
        <v>-9.759237601741147E-2</v>
      </c>
    </row>
    <row r="320" spans="1:5" x14ac:dyDescent="0.3">
      <c r="B320" t="s">
        <v>91</v>
      </c>
      <c r="C320">
        <v>1</v>
      </c>
      <c r="D320">
        <f t="shared" si="37"/>
        <v>2.7027027027027029E-2</v>
      </c>
      <c r="E320">
        <f t="shared" si="36"/>
        <v>-9.759237601741147E-2</v>
      </c>
    </row>
    <row r="321" spans="1:5" x14ac:dyDescent="0.3">
      <c r="B321" t="s">
        <v>95</v>
      </c>
      <c r="C321">
        <v>1</v>
      </c>
      <c r="D321">
        <f t="shared" si="37"/>
        <v>2.7027027027027029E-2</v>
      </c>
      <c r="E321">
        <f t="shared" si="36"/>
        <v>-9.759237601741147E-2</v>
      </c>
    </row>
    <row r="322" spans="1:5" x14ac:dyDescent="0.3">
      <c r="B322" t="s">
        <v>84</v>
      </c>
      <c r="C322">
        <v>1</v>
      </c>
      <c r="D322">
        <f t="shared" si="37"/>
        <v>2.7027027027027029E-2</v>
      </c>
      <c r="E322">
        <f t="shared" si="36"/>
        <v>-9.759237601741147E-2</v>
      </c>
    </row>
    <row r="323" spans="1:5" x14ac:dyDescent="0.3">
      <c r="B323" t="s">
        <v>101</v>
      </c>
      <c r="C323">
        <f>SUM(C307:C322)</f>
        <v>37</v>
      </c>
      <c r="E323">
        <f>-SUM(E307:E322)</f>
        <v>2.533546604566224</v>
      </c>
    </row>
    <row r="324" spans="1:5" x14ac:dyDescent="0.3">
      <c r="A324" t="s">
        <v>159</v>
      </c>
      <c r="B324" t="s">
        <v>69</v>
      </c>
      <c r="C324">
        <v>4</v>
      </c>
      <c r="D324">
        <f>C324/34</f>
        <v>0.11764705882352941</v>
      </c>
      <c r="E324">
        <f t="shared" ref="E324:E340" si="38">D324*LN(D324)</f>
        <v>-0.25177248982309069</v>
      </c>
    </row>
    <row r="325" spans="1:5" x14ac:dyDescent="0.3">
      <c r="B325" t="s">
        <v>84</v>
      </c>
      <c r="C325">
        <v>1</v>
      </c>
      <c r="D325">
        <f t="shared" ref="D325:D340" si="39">C325/34</f>
        <v>2.9411764705882353E-2</v>
      </c>
      <c r="E325">
        <f t="shared" si="38"/>
        <v>-0.1037164860181224</v>
      </c>
    </row>
    <row r="326" spans="1:5" x14ac:dyDescent="0.3">
      <c r="B326" t="s">
        <v>78</v>
      </c>
      <c r="C326">
        <v>1</v>
      </c>
      <c r="D326">
        <f t="shared" si="39"/>
        <v>2.9411764705882353E-2</v>
      </c>
      <c r="E326">
        <f t="shared" si="38"/>
        <v>-0.1037164860181224</v>
      </c>
    </row>
    <row r="327" spans="1:5" x14ac:dyDescent="0.3">
      <c r="B327" t="s">
        <v>71</v>
      </c>
      <c r="C327">
        <v>5</v>
      </c>
      <c r="D327">
        <f t="shared" si="39"/>
        <v>0.14705882352941177</v>
      </c>
      <c r="E327">
        <f t="shared" si="38"/>
        <v>-0.28190038414442076</v>
      </c>
    </row>
    <row r="328" spans="1:5" x14ac:dyDescent="0.3">
      <c r="B328" t="s">
        <v>66</v>
      </c>
      <c r="C328">
        <v>3</v>
      </c>
      <c r="D328">
        <f t="shared" si="39"/>
        <v>8.8235294117647065E-2</v>
      </c>
      <c r="E328">
        <f t="shared" si="38"/>
        <v>-0.21421307964247516</v>
      </c>
    </row>
    <row r="329" spans="1:5" x14ac:dyDescent="0.3">
      <c r="B329" t="s">
        <v>68</v>
      </c>
      <c r="C329">
        <v>2</v>
      </c>
      <c r="D329">
        <f t="shared" si="39"/>
        <v>5.8823529411764705E-2</v>
      </c>
      <c r="E329">
        <f t="shared" si="38"/>
        <v>-0.16665960847389508</v>
      </c>
    </row>
    <row r="330" spans="1:5" x14ac:dyDescent="0.3">
      <c r="B330" t="s">
        <v>74</v>
      </c>
      <c r="C330">
        <v>1</v>
      </c>
      <c r="D330">
        <f t="shared" si="39"/>
        <v>2.9411764705882353E-2</v>
      </c>
      <c r="E330">
        <f t="shared" si="38"/>
        <v>-0.1037164860181224</v>
      </c>
    </row>
    <row r="331" spans="1:5" x14ac:dyDescent="0.3">
      <c r="B331" t="s">
        <v>85</v>
      </c>
      <c r="C331">
        <v>2</v>
      </c>
      <c r="D331">
        <f t="shared" si="39"/>
        <v>5.8823529411764705E-2</v>
      </c>
      <c r="E331">
        <f t="shared" si="38"/>
        <v>-0.16665960847389508</v>
      </c>
    </row>
    <row r="332" spans="1:5" x14ac:dyDescent="0.3">
      <c r="B332" t="s">
        <v>67</v>
      </c>
      <c r="C332">
        <v>3</v>
      </c>
      <c r="D332">
        <f t="shared" si="39"/>
        <v>8.8235294117647065E-2</v>
      </c>
      <c r="E332">
        <f t="shared" si="38"/>
        <v>-0.21421307964247516</v>
      </c>
    </row>
    <row r="333" spans="1:5" x14ac:dyDescent="0.3">
      <c r="B333" t="s">
        <v>65</v>
      </c>
      <c r="C333">
        <v>2</v>
      </c>
      <c r="D333">
        <f t="shared" si="39"/>
        <v>5.8823529411764705E-2</v>
      </c>
      <c r="E333">
        <f t="shared" si="38"/>
        <v>-0.16665960847389508</v>
      </c>
    </row>
    <row r="334" spans="1:5" x14ac:dyDescent="0.3">
      <c r="B334" t="s">
        <v>70</v>
      </c>
      <c r="C334">
        <v>1</v>
      </c>
      <c r="D334">
        <f t="shared" si="39"/>
        <v>2.9411764705882353E-2</v>
      </c>
      <c r="E334">
        <f t="shared" si="38"/>
        <v>-0.1037164860181224</v>
      </c>
    </row>
    <row r="335" spans="1:5" x14ac:dyDescent="0.3">
      <c r="B335" t="s">
        <v>79</v>
      </c>
      <c r="C335">
        <v>1</v>
      </c>
      <c r="D335">
        <f t="shared" si="39"/>
        <v>2.9411764705882353E-2</v>
      </c>
      <c r="E335">
        <f t="shared" si="38"/>
        <v>-0.1037164860181224</v>
      </c>
    </row>
    <row r="336" spans="1:5" x14ac:dyDescent="0.3">
      <c r="B336" t="s">
        <v>75</v>
      </c>
      <c r="C336">
        <v>2</v>
      </c>
      <c r="D336">
        <f t="shared" si="39"/>
        <v>5.8823529411764705E-2</v>
      </c>
      <c r="E336">
        <f t="shared" si="38"/>
        <v>-0.16665960847389508</v>
      </c>
    </row>
    <row r="337" spans="1:5" x14ac:dyDescent="0.3">
      <c r="B337" t="s">
        <v>72</v>
      </c>
      <c r="C337">
        <v>1</v>
      </c>
      <c r="D337">
        <f t="shared" si="39"/>
        <v>2.9411764705882353E-2</v>
      </c>
      <c r="E337">
        <f t="shared" si="38"/>
        <v>-0.1037164860181224</v>
      </c>
    </row>
    <row r="338" spans="1:5" x14ac:dyDescent="0.3">
      <c r="B338" t="s">
        <v>87</v>
      </c>
      <c r="C338">
        <v>1</v>
      </c>
      <c r="D338">
        <f t="shared" si="39"/>
        <v>2.9411764705882353E-2</v>
      </c>
      <c r="E338">
        <f t="shared" si="38"/>
        <v>-0.1037164860181224</v>
      </c>
    </row>
    <row r="339" spans="1:5" x14ac:dyDescent="0.3">
      <c r="B339" t="s">
        <v>73</v>
      </c>
      <c r="C339">
        <v>2</v>
      </c>
      <c r="D339">
        <f t="shared" si="39"/>
        <v>5.8823529411764705E-2</v>
      </c>
      <c r="E339">
        <f t="shared" si="38"/>
        <v>-0.16665960847389508</v>
      </c>
    </row>
    <row r="340" spans="1:5" x14ac:dyDescent="0.3">
      <c r="B340" t="s">
        <v>100</v>
      </c>
      <c r="C340">
        <v>2</v>
      </c>
      <c r="D340">
        <f t="shared" si="39"/>
        <v>5.8823529411764705E-2</v>
      </c>
      <c r="E340">
        <f t="shared" si="38"/>
        <v>-0.16665960847389508</v>
      </c>
    </row>
    <row r="341" spans="1:5" s="19" customFormat="1" ht="15" thickBot="1" x14ac:dyDescent="0.35">
      <c r="B341" s="19" t="s">
        <v>101</v>
      </c>
      <c r="C341" s="19">
        <f>SUM(C324:C340)</f>
        <v>34</v>
      </c>
      <c r="E341" s="19">
        <f>-SUM(E324:E340)</f>
        <v>2.688072086222689</v>
      </c>
    </row>
    <row r="342" spans="1:5" x14ac:dyDescent="0.3">
      <c r="A342" t="s">
        <v>186</v>
      </c>
      <c r="B342" t="s">
        <v>76</v>
      </c>
      <c r="C342">
        <v>3</v>
      </c>
      <c r="D342" s="20">
        <f>C342/30</f>
        <v>0.1</v>
      </c>
      <c r="E342" s="20">
        <f>D342*LN(D342)</f>
        <v>-0.23025850929940456</v>
      </c>
    </row>
    <row r="343" spans="1:5" x14ac:dyDescent="0.3">
      <c r="B343" t="s">
        <v>65</v>
      </c>
      <c r="C343">
        <v>3</v>
      </c>
      <c r="D343" s="20">
        <f t="shared" ref="D343:D355" si="40">C343/30</f>
        <v>0.1</v>
      </c>
      <c r="E343" s="20">
        <f t="shared" ref="E343:E355" si="41">D343*LN(D343)</f>
        <v>-0.23025850929940456</v>
      </c>
    </row>
    <row r="344" spans="1:5" x14ac:dyDescent="0.3">
      <c r="B344" t="s">
        <v>66</v>
      </c>
      <c r="C344">
        <v>2</v>
      </c>
      <c r="D344" s="20">
        <f t="shared" si="40"/>
        <v>6.6666666666666666E-2</v>
      </c>
      <c r="E344" s="20">
        <f t="shared" si="41"/>
        <v>-0.18053668007348067</v>
      </c>
    </row>
    <row r="345" spans="1:5" x14ac:dyDescent="0.3">
      <c r="B345" t="s">
        <v>73</v>
      </c>
      <c r="C345">
        <v>2</v>
      </c>
      <c r="D345" s="20">
        <f t="shared" si="40"/>
        <v>6.6666666666666666E-2</v>
      </c>
      <c r="E345" s="20">
        <f t="shared" si="41"/>
        <v>-0.18053668007348067</v>
      </c>
    </row>
    <row r="346" spans="1:5" x14ac:dyDescent="0.3">
      <c r="B346" t="s">
        <v>68</v>
      </c>
      <c r="C346">
        <v>2</v>
      </c>
      <c r="D346" s="20">
        <f t="shared" si="40"/>
        <v>6.6666666666666666E-2</v>
      </c>
      <c r="E346" s="20">
        <f t="shared" si="41"/>
        <v>-0.18053668007348067</v>
      </c>
    </row>
    <row r="347" spans="1:5" x14ac:dyDescent="0.3">
      <c r="B347" t="s">
        <v>72</v>
      </c>
      <c r="C347">
        <v>1</v>
      </c>
      <c r="D347" s="20">
        <f t="shared" si="40"/>
        <v>3.3333333333333333E-2</v>
      </c>
      <c r="E347" s="20">
        <f t="shared" si="41"/>
        <v>-0.11337324605540518</v>
      </c>
    </row>
    <row r="348" spans="1:5" x14ac:dyDescent="0.3">
      <c r="B348" t="s">
        <v>69</v>
      </c>
      <c r="C348">
        <v>5</v>
      </c>
      <c r="D348" s="20">
        <f t="shared" si="40"/>
        <v>0.16666666666666666</v>
      </c>
      <c r="E348" s="20">
        <f t="shared" si="41"/>
        <v>-0.29862657820467581</v>
      </c>
    </row>
    <row r="349" spans="1:5" x14ac:dyDescent="0.3">
      <c r="B349" t="s">
        <v>74</v>
      </c>
      <c r="C349">
        <v>2</v>
      </c>
      <c r="D349" s="20">
        <f t="shared" si="40"/>
        <v>6.6666666666666666E-2</v>
      </c>
      <c r="E349" s="20">
        <f t="shared" si="41"/>
        <v>-0.18053668007348067</v>
      </c>
    </row>
    <row r="350" spans="1:5" x14ac:dyDescent="0.3">
      <c r="B350" t="s">
        <v>71</v>
      </c>
      <c r="C350">
        <v>5</v>
      </c>
      <c r="D350" s="20">
        <f t="shared" si="40"/>
        <v>0.16666666666666666</v>
      </c>
      <c r="E350" s="20">
        <f t="shared" si="41"/>
        <v>-0.29862657820467581</v>
      </c>
    </row>
    <row r="351" spans="1:5" x14ac:dyDescent="0.3">
      <c r="B351" t="s">
        <v>67</v>
      </c>
      <c r="C351">
        <v>1</v>
      </c>
      <c r="D351" s="20">
        <f t="shared" si="40"/>
        <v>3.3333333333333333E-2</v>
      </c>
      <c r="E351" s="20">
        <f t="shared" si="41"/>
        <v>-0.11337324605540518</v>
      </c>
    </row>
    <row r="352" spans="1:5" x14ac:dyDescent="0.3">
      <c r="B352" t="s">
        <v>94</v>
      </c>
      <c r="C352">
        <v>1</v>
      </c>
      <c r="D352" s="20">
        <f t="shared" si="40"/>
        <v>3.3333333333333333E-2</v>
      </c>
      <c r="E352" s="20">
        <f t="shared" si="41"/>
        <v>-0.11337324605540518</v>
      </c>
    </row>
    <row r="353" spans="1:5" x14ac:dyDescent="0.3">
      <c r="B353" t="s">
        <v>70</v>
      </c>
      <c r="C353">
        <v>1</v>
      </c>
      <c r="D353" s="20">
        <f t="shared" si="40"/>
        <v>3.3333333333333333E-2</v>
      </c>
      <c r="E353" s="20">
        <f t="shared" si="41"/>
        <v>-0.11337324605540518</v>
      </c>
    </row>
    <row r="354" spans="1:5" x14ac:dyDescent="0.3">
      <c r="B354" t="s">
        <v>83</v>
      </c>
      <c r="C354">
        <v>1</v>
      </c>
      <c r="D354" s="20">
        <f t="shared" si="40"/>
        <v>3.3333333333333333E-2</v>
      </c>
      <c r="E354" s="20">
        <f t="shared" si="41"/>
        <v>-0.11337324605540518</v>
      </c>
    </row>
    <row r="355" spans="1:5" x14ac:dyDescent="0.3">
      <c r="B355" t="s">
        <v>84</v>
      </c>
      <c r="C355">
        <v>1</v>
      </c>
      <c r="D355" s="20">
        <f t="shared" si="40"/>
        <v>3.3333333333333333E-2</v>
      </c>
      <c r="E355" s="20">
        <f t="shared" si="41"/>
        <v>-0.11337324605540518</v>
      </c>
    </row>
    <row r="356" spans="1:5" x14ac:dyDescent="0.3">
      <c r="B356" t="s">
        <v>101</v>
      </c>
      <c r="C356">
        <f>SUM(C342:C355)</f>
        <v>30</v>
      </c>
      <c r="E356" s="20">
        <f>-SUM(E342:E355)</f>
        <v>2.4601563716345138</v>
      </c>
    </row>
    <row r="357" spans="1:5" x14ac:dyDescent="0.3">
      <c r="A357" t="s">
        <v>187</v>
      </c>
      <c r="B357" t="s">
        <v>69</v>
      </c>
      <c r="C357">
        <v>4</v>
      </c>
      <c r="D357">
        <f>C357/36</f>
        <v>0.1111111111111111</v>
      </c>
      <c r="E357" s="20">
        <f>D357*LN(D357)</f>
        <v>-0.24413606414846883</v>
      </c>
    </row>
    <row r="358" spans="1:5" x14ac:dyDescent="0.3">
      <c r="B358" t="s">
        <v>65</v>
      </c>
      <c r="C358">
        <v>4</v>
      </c>
      <c r="D358">
        <f t="shared" ref="D358:D370" si="42">C358/36</f>
        <v>0.1111111111111111</v>
      </c>
      <c r="E358" s="20">
        <f t="shared" ref="E358:E370" si="43">D358*LN(D358)</f>
        <v>-0.24413606414846883</v>
      </c>
    </row>
    <row r="359" spans="1:5" x14ac:dyDescent="0.3">
      <c r="B359" t="s">
        <v>66</v>
      </c>
      <c r="C359">
        <v>2</v>
      </c>
      <c r="D359">
        <f t="shared" si="42"/>
        <v>5.5555555555555552E-2</v>
      </c>
      <c r="E359" s="20">
        <f t="shared" si="43"/>
        <v>-0.16057620877200915</v>
      </c>
    </row>
    <row r="360" spans="1:5" x14ac:dyDescent="0.3">
      <c r="B360" t="s">
        <v>71</v>
      </c>
      <c r="C360">
        <v>6</v>
      </c>
      <c r="D360">
        <f t="shared" si="42"/>
        <v>0.16666666666666666</v>
      </c>
      <c r="E360" s="20">
        <f t="shared" si="43"/>
        <v>-0.29862657820467581</v>
      </c>
    </row>
    <row r="361" spans="1:5" x14ac:dyDescent="0.3">
      <c r="B361" t="s">
        <v>76</v>
      </c>
      <c r="C361">
        <v>3</v>
      </c>
      <c r="D361">
        <f t="shared" si="42"/>
        <v>8.3333333333333329E-2</v>
      </c>
      <c r="E361" s="20">
        <f t="shared" si="43"/>
        <v>-0.20707555414900003</v>
      </c>
    </row>
    <row r="362" spans="1:5" x14ac:dyDescent="0.3">
      <c r="B362" t="s">
        <v>74</v>
      </c>
      <c r="C362">
        <v>2</v>
      </c>
      <c r="D362">
        <f t="shared" si="42"/>
        <v>5.5555555555555552E-2</v>
      </c>
      <c r="E362" s="20">
        <f t="shared" si="43"/>
        <v>-0.16057620877200915</v>
      </c>
    </row>
    <row r="363" spans="1:5" x14ac:dyDescent="0.3">
      <c r="B363" t="s">
        <v>73</v>
      </c>
      <c r="C363">
        <v>2</v>
      </c>
      <c r="D363">
        <f t="shared" si="42"/>
        <v>5.5555555555555552E-2</v>
      </c>
      <c r="E363" s="20">
        <f t="shared" si="43"/>
        <v>-0.16057620877200915</v>
      </c>
    </row>
    <row r="364" spans="1:5" x14ac:dyDescent="0.3">
      <c r="B364" t="s">
        <v>70</v>
      </c>
      <c r="C364">
        <v>2</v>
      </c>
      <c r="D364">
        <f t="shared" si="42"/>
        <v>5.5555555555555552E-2</v>
      </c>
      <c r="E364" s="20">
        <f t="shared" si="43"/>
        <v>-0.16057620877200915</v>
      </c>
    </row>
    <row r="365" spans="1:5" x14ac:dyDescent="0.3">
      <c r="B365" t="s">
        <v>84</v>
      </c>
      <c r="C365">
        <v>1</v>
      </c>
      <c r="D365">
        <f t="shared" si="42"/>
        <v>2.7777777777777776E-2</v>
      </c>
      <c r="E365" s="20">
        <f t="shared" si="43"/>
        <v>-9.9542192734891941E-2</v>
      </c>
    </row>
    <row r="366" spans="1:5" x14ac:dyDescent="0.3">
      <c r="B366" t="s">
        <v>67</v>
      </c>
      <c r="C366">
        <v>2</v>
      </c>
      <c r="D366">
        <f t="shared" si="42"/>
        <v>5.5555555555555552E-2</v>
      </c>
      <c r="E366" s="20">
        <f t="shared" si="43"/>
        <v>-0.16057620877200915</v>
      </c>
    </row>
    <row r="367" spans="1:5" x14ac:dyDescent="0.3">
      <c r="B367" t="s">
        <v>68</v>
      </c>
      <c r="C367">
        <v>4</v>
      </c>
      <c r="D367">
        <f t="shared" si="42"/>
        <v>0.1111111111111111</v>
      </c>
      <c r="E367" s="20">
        <f t="shared" si="43"/>
        <v>-0.24413606414846883</v>
      </c>
    </row>
    <row r="368" spans="1:5" x14ac:dyDescent="0.3">
      <c r="B368" t="s">
        <v>83</v>
      </c>
      <c r="C368">
        <v>2</v>
      </c>
      <c r="D368">
        <f t="shared" si="42"/>
        <v>5.5555555555555552E-2</v>
      </c>
      <c r="E368" s="20">
        <f t="shared" si="43"/>
        <v>-0.16057620877200915</v>
      </c>
    </row>
    <row r="369" spans="1:5" x14ac:dyDescent="0.3">
      <c r="B369" t="s">
        <v>85</v>
      </c>
      <c r="C369">
        <v>1</v>
      </c>
      <c r="D369">
        <f t="shared" si="42"/>
        <v>2.7777777777777776E-2</v>
      </c>
      <c r="E369" s="20">
        <f t="shared" si="43"/>
        <v>-9.9542192734891941E-2</v>
      </c>
    </row>
    <row r="370" spans="1:5" x14ac:dyDescent="0.3">
      <c r="B370" t="s">
        <v>72</v>
      </c>
      <c r="C370">
        <v>1</v>
      </c>
      <c r="D370">
        <f t="shared" si="42"/>
        <v>2.7777777777777776E-2</v>
      </c>
      <c r="E370" s="20">
        <f t="shared" si="43"/>
        <v>-9.9542192734891941E-2</v>
      </c>
    </row>
    <row r="371" spans="1:5" x14ac:dyDescent="0.3">
      <c r="B371" t="s">
        <v>101</v>
      </c>
      <c r="C371">
        <f>SUM(C357:C370)</f>
        <v>36</v>
      </c>
      <c r="E371" s="20">
        <f>-SUM(E357:E370)</f>
        <v>2.5001941556358127</v>
      </c>
    </row>
    <row r="372" spans="1:5" x14ac:dyDescent="0.3">
      <c r="A372" t="s">
        <v>188</v>
      </c>
      <c r="B372" t="s">
        <v>71</v>
      </c>
      <c r="C372">
        <v>3</v>
      </c>
      <c r="D372">
        <f>C372/23</f>
        <v>0.13043478260869565</v>
      </c>
      <c r="E372" s="20">
        <f>D372*LN(D372)</f>
        <v>-0.26568025138187479</v>
      </c>
    </row>
    <row r="373" spans="1:5" x14ac:dyDescent="0.3">
      <c r="B373" t="s">
        <v>67</v>
      </c>
      <c r="C373">
        <v>1</v>
      </c>
      <c r="D373">
        <f t="shared" ref="D373:D384" si="44">C373/23</f>
        <v>4.3478260869565216E-2</v>
      </c>
      <c r="E373" s="20">
        <f t="shared" ref="E373:E384" si="45">D373*LN(D373)</f>
        <v>-0.13632583547518043</v>
      </c>
    </row>
    <row r="374" spans="1:5" x14ac:dyDescent="0.3">
      <c r="B374" t="s">
        <v>73</v>
      </c>
      <c r="C374">
        <v>1</v>
      </c>
      <c r="D374">
        <f t="shared" si="44"/>
        <v>4.3478260869565216E-2</v>
      </c>
      <c r="E374" s="20">
        <f t="shared" si="45"/>
        <v>-0.13632583547518043</v>
      </c>
    </row>
    <row r="375" spans="1:5" x14ac:dyDescent="0.3">
      <c r="B375" t="s">
        <v>65</v>
      </c>
      <c r="C375">
        <v>4</v>
      </c>
      <c r="D375">
        <f t="shared" si="44"/>
        <v>0.17391304347826086</v>
      </c>
      <c r="E375" s="20">
        <f t="shared" si="45"/>
        <v>-0.30420867040161026</v>
      </c>
    </row>
    <row r="376" spans="1:5" x14ac:dyDescent="0.3">
      <c r="B376" t="s">
        <v>69</v>
      </c>
      <c r="C376">
        <v>3</v>
      </c>
      <c r="D376">
        <f t="shared" si="44"/>
        <v>0.13043478260869565</v>
      </c>
      <c r="E376" s="20">
        <f t="shared" si="45"/>
        <v>-0.26568025138187479</v>
      </c>
    </row>
    <row r="377" spans="1:5" x14ac:dyDescent="0.3">
      <c r="B377" t="s">
        <v>68</v>
      </c>
      <c r="C377">
        <v>3</v>
      </c>
      <c r="D377">
        <f t="shared" si="44"/>
        <v>0.13043478260869565</v>
      </c>
      <c r="E377" s="20">
        <f t="shared" si="45"/>
        <v>-0.26568025138187479</v>
      </c>
    </row>
    <row r="378" spans="1:5" x14ac:dyDescent="0.3">
      <c r="B378" t="s">
        <v>76</v>
      </c>
      <c r="C378">
        <v>2</v>
      </c>
      <c r="D378">
        <f t="shared" si="44"/>
        <v>8.6956521739130432E-2</v>
      </c>
      <c r="E378" s="20">
        <f t="shared" si="45"/>
        <v>-0.21237800307558297</v>
      </c>
    </row>
    <row r="379" spans="1:5" x14ac:dyDescent="0.3">
      <c r="B379" t="s">
        <v>74</v>
      </c>
      <c r="C379">
        <v>1</v>
      </c>
      <c r="D379">
        <f t="shared" si="44"/>
        <v>4.3478260869565216E-2</v>
      </c>
      <c r="E379" s="20">
        <f t="shared" si="45"/>
        <v>-0.13632583547518043</v>
      </c>
    </row>
    <row r="380" spans="1:5" x14ac:dyDescent="0.3">
      <c r="B380" t="s">
        <v>94</v>
      </c>
      <c r="C380">
        <v>1</v>
      </c>
      <c r="D380">
        <f t="shared" si="44"/>
        <v>4.3478260869565216E-2</v>
      </c>
      <c r="E380" s="20">
        <f t="shared" si="45"/>
        <v>-0.13632583547518043</v>
      </c>
    </row>
    <row r="381" spans="1:5" x14ac:dyDescent="0.3">
      <c r="B381" t="s">
        <v>66</v>
      </c>
      <c r="C381">
        <v>1</v>
      </c>
      <c r="D381">
        <f t="shared" si="44"/>
        <v>4.3478260869565216E-2</v>
      </c>
      <c r="E381" s="20">
        <f t="shared" si="45"/>
        <v>-0.13632583547518043</v>
      </c>
    </row>
    <row r="382" spans="1:5" x14ac:dyDescent="0.3">
      <c r="B382" t="s">
        <v>75</v>
      </c>
      <c r="C382">
        <v>1</v>
      </c>
      <c r="D382">
        <f t="shared" si="44"/>
        <v>4.3478260869565216E-2</v>
      </c>
      <c r="E382" s="20">
        <f t="shared" si="45"/>
        <v>-0.13632583547518043</v>
      </c>
    </row>
    <row r="383" spans="1:5" x14ac:dyDescent="0.3">
      <c r="B383" t="s">
        <v>70</v>
      </c>
      <c r="C383">
        <v>1</v>
      </c>
      <c r="D383">
        <f t="shared" si="44"/>
        <v>4.3478260869565216E-2</v>
      </c>
      <c r="E383" s="20">
        <f t="shared" si="45"/>
        <v>-0.13632583547518043</v>
      </c>
    </row>
    <row r="384" spans="1:5" x14ac:dyDescent="0.3">
      <c r="B384" t="s">
        <v>84</v>
      </c>
      <c r="C384">
        <v>1</v>
      </c>
      <c r="D384">
        <f t="shared" si="44"/>
        <v>4.3478260869565216E-2</v>
      </c>
      <c r="E384" s="20">
        <f t="shared" si="45"/>
        <v>-0.13632583547518043</v>
      </c>
    </row>
    <row r="385" spans="1:5" x14ac:dyDescent="0.3">
      <c r="B385" t="s">
        <v>101</v>
      </c>
      <c r="C385">
        <f>SUM(C372:C384)</f>
        <v>23</v>
      </c>
      <c r="E385" s="20">
        <f>-SUM(E372:E384)</f>
        <v>2.4042341114242607</v>
      </c>
    </row>
    <row r="386" spans="1:5" x14ac:dyDescent="0.3">
      <c r="A386" t="s">
        <v>189</v>
      </c>
      <c r="B386" t="s">
        <v>71</v>
      </c>
      <c r="C386">
        <v>6</v>
      </c>
      <c r="D386">
        <f>C386/44</f>
        <v>0.13636363636363635</v>
      </c>
      <c r="E386" s="20">
        <f>D386*LN(D386)</f>
        <v>-0.2716950224577554</v>
      </c>
    </row>
    <row r="387" spans="1:5" x14ac:dyDescent="0.3">
      <c r="B387" t="s">
        <v>69</v>
      </c>
      <c r="C387">
        <v>5</v>
      </c>
      <c r="D387">
        <f t="shared" ref="D387:D404" si="46">C387/44</f>
        <v>0.11363636363636363</v>
      </c>
      <c r="E387" s="20">
        <f t="shared" ref="E387:E404" si="47">D387*LN(D387)</f>
        <v>-0.24713087744138193</v>
      </c>
    </row>
    <row r="388" spans="1:5" x14ac:dyDescent="0.3">
      <c r="B388" t="s">
        <v>67</v>
      </c>
      <c r="C388">
        <v>1</v>
      </c>
      <c r="D388">
        <f t="shared" si="46"/>
        <v>2.2727272727272728E-2</v>
      </c>
      <c r="E388" s="20">
        <f t="shared" si="47"/>
        <v>-8.6004309861778663E-2</v>
      </c>
    </row>
    <row r="389" spans="1:5" x14ac:dyDescent="0.3">
      <c r="B389" t="s">
        <v>79</v>
      </c>
      <c r="C389">
        <v>1</v>
      </c>
      <c r="D389">
        <f t="shared" si="46"/>
        <v>2.2727272727272728E-2</v>
      </c>
      <c r="E389" s="20">
        <f t="shared" si="47"/>
        <v>-8.6004309861778663E-2</v>
      </c>
    </row>
    <row r="390" spans="1:5" x14ac:dyDescent="0.3">
      <c r="B390" t="s">
        <v>65</v>
      </c>
      <c r="C390">
        <v>7</v>
      </c>
      <c r="D390">
        <f t="shared" si="46"/>
        <v>0.15909090909090909</v>
      </c>
      <c r="E390" s="20">
        <f t="shared" si="47"/>
        <v>-0.29245355441001442</v>
      </c>
    </row>
    <row r="391" spans="1:5" x14ac:dyDescent="0.3">
      <c r="B391" t="s">
        <v>68</v>
      </c>
      <c r="C391">
        <v>2</v>
      </c>
      <c r="D391">
        <f t="shared" si="46"/>
        <v>4.5454545454545456E-2</v>
      </c>
      <c r="E391" s="20">
        <f t="shared" si="47"/>
        <v>-0.14050192969810527</v>
      </c>
    </row>
    <row r="392" spans="1:5" x14ac:dyDescent="0.3">
      <c r="B392" t="s">
        <v>93</v>
      </c>
      <c r="C392">
        <v>5</v>
      </c>
      <c r="D392">
        <f t="shared" si="46"/>
        <v>0.11363636363636363</v>
      </c>
      <c r="E392" s="20">
        <f t="shared" si="47"/>
        <v>-0.24713087744138193</v>
      </c>
    </row>
    <row r="393" spans="1:5" x14ac:dyDescent="0.3">
      <c r="B393" t="s">
        <v>83</v>
      </c>
      <c r="C393">
        <v>1</v>
      </c>
      <c r="D393">
        <f t="shared" si="46"/>
        <v>2.2727272727272728E-2</v>
      </c>
      <c r="E393" s="20">
        <f t="shared" si="47"/>
        <v>-8.6004309861778663E-2</v>
      </c>
    </row>
    <row r="394" spans="1:5" x14ac:dyDescent="0.3">
      <c r="B394" t="s">
        <v>74</v>
      </c>
      <c r="C394">
        <v>2</v>
      </c>
      <c r="D394">
        <f t="shared" si="46"/>
        <v>4.5454545454545456E-2</v>
      </c>
      <c r="E394" s="20">
        <f t="shared" si="47"/>
        <v>-0.14050192969810527</v>
      </c>
    </row>
    <row r="395" spans="1:5" x14ac:dyDescent="0.3">
      <c r="B395" t="s">
        <v>70</v>
      </c>
      <c r="C395">
        <v>1</v>
      </c>
      <c r="D395">
        <f t="shared" si="46"/>
        <v>2.2727272727272728E-2</v>
      </c>
      <c r="E395" s="20">
        <f t="shared" si="47"/>
        <v>-8.6004309861778663E-2</v>
      </c>
    </row>
    <row r="396" spans="1:5" x14ac:dyDescent="0.3">
      <c r="B396" t="s">
        <v>66</v>
      </c>
      <c r="C396">
        <v>1</v>
      </c>
      <c r="D396">
        <f t="shared" si="46"/>
        <v>2.2727272727272728E-2</v>
      </c>
      <c r="E396" s="20">
        <f t="shared" si="47"/>
        <v>-8.6004309861778663E-2</v>
      </c>
    </row>
    <row r="397" spans="1:5" x14ac:dyDescent="0.3">
      <c r="B397" t="s">
        <v>78</v>
      </c>
      <c r="C397">
        <v>1</v>
      </c>
      <c r="D397">
        <f t="shared" si="46"/>
        <v>2.2727272727272728E-2</v>
      </c>
      <c r="E397" s="20">
        <f t="shared" si="47"/>
        <v>-8.6004309861778663E-2</v>
      </c>
    </row>
    <row r="398" spans="1:5" x14ac:dyDescent="0.3">
      <c r="B398" t="s">
        <v>75</v>
      </c>
      <c r="C398">
        <v>1</v>
      </c>
      <c r="D398">
        <f t="shared" si="46"/>
        <v>2.2727272727272728E-2</v>
      </c>
      <c r="E398" s="20">
        <f t="shared" si="47"/>
        <v>-8.6004309861778663E-2</v>
      </c>
    </row>
    <row r="399" spans="1:5" x14ac:dyDescent="0.3">
      <c r="B399" t="s">
        <v>84</v>
      </c>
      <c r="C399">
        <v>1</v>
      </c>
      <c r="D399">
        <f t="shared" si="46"/>
        <v>2.2727272727272728E-2</v>
      </c>
      <c r="E399" s="20">
        <f t="shared" si="47"/>
        <v>-8.6004309861778663E-2</v>
      </c>
    </row>
    <row r="400" spans="1:5" x14ac:dyDescent="0.3">
      <c r="B400" t="s">
        <v>94</v>
      </c>
      <c r="C400">
        <v>1</v>
      </c>
      <c r="D400">
        <f t="shared" si="46"/>
        <v>2.2727272727272728E-2</v>
      </c>
      <c r="E400" s="20">
        <f t="shared" si="47"/>
        <v>-8.6004309861778663E-2</v>
      </c>
    </row>
    <row r="401" spans="1:5" x14ac:dyDescent="0.3">
      <c r="B401" t="s">
        <v>73</v>
      </c>
      <c r="C401">
        <v>3</v>
      </c>
      <c r="D401">
        <f t="shared" si="46"/>
        <v>6.8181818181818177E-2</v>
      </c>
      <c r="E401" s="20">
        <f t="shared" si="47"/>
        <v>-0.18310754626705578</v>
      </c>
    </row>
    <row r="402" spans="1:5" x14ac:dyDescent="0.3">
      <c r="B402" t="s">
        <v>177</v>
      </c>
      <c r="C402">
        <v>2</v>
      </c>
      <c r="D402">
        <f t="shared" si="46"/>
        <v>4.5454545454545456E-2</v>
      </c>
      <c r="E402" s="20">
        <f t="shared" si="47"/>
        <v>-0.14050192969810527</v>
      </c>
    </row>
    <row r="403" spans="1:5" x14ac:dyDescent="0.3">
      <c r="B403" t="s">
        <v>72</v>
      </c>
      <c r="C403">
        <v>1</v>
      </c>
      <c r="D403">
        <f t="shared" si="46"/>
        <v>2.2727272727272728E-2</v>
      </c>
      <c r="E403" s="20">
        <f t="shared" si="47"/>
        <v>-8.6004309861778663E-2</v>
      </c>
    </row>
    <row r="404" spans="1:5" x14ac:dyDescent="0.3">
      <c r="B404" t="s">
        <v>92</v>
      </c>
      <c r="C404">
        <v>2</v>
      </c>
      <c r="D404">
        <f t="shared" si="46"/>
        <v>4.5454545454545456E-2</v>
      </c>
      <c r="E404" s="20">
        <f t="shared" si="47"/>
        <v>-0.14050192969810527</v>
      </c>
    </row>
    <row r="405" spans="1:5" x14ac:dyDescent="0.3">
      <c r="B405" t="s">
        <v>101</v>
      </c>
      <c r="C405">
        <f>SUM(C386:C404)</f>
        <v>44</v>
      </c>
      <c r="E405" s="20">
        <f>-SUM(E386:E404)</f>
        <v>2.6635686954277973</v>
      </c>
    </row>
    <row r="406" spans="1:5" x14ac:dyDescent="0.3">
      <c r="A406" t="s">
        <v>190</v>
      </c>
      <c r="B406" t="s">
        <v>93</v>
      </c>
      <c r="C406">
        <v>8</v>
      </c>
      <c r="D406">
        <f>C406/33</f>
        <v>0.24242424242424243</v>
      </c>
      <c r="E406" s="20">
        <f>D406*LN(D406)</f>
        <v>-0.34353115631191378</v>
      </c>
    </row>
    <row r="407" spans="1:5" x14ac:dyDescent="0.3">
      <c r="B407" t="s">
        <v>71</v>
      </c>
      <c r="C407">
        <v>2</v>
      </c>
      <c r="D407">
        <f t="shared" ref="D407:D419" si="48">C407/33</f>
        <v>6.0606060606060608E-2</v>
      </c>
      <c r="E407" s="20">
        <f t="shared" ref="E407:E419" si="49">D407*LN(D407)</f>
        <v>-0.16990062914585061</v>
      </c>
    </row>
    <row r="408" spans="1:5" x14ac:dyDescent="0.3">
      <c r="B408" t="s">
        <v>65</v>
      </c>
      <c r="C408">
        <v>5</v>
      </c>
      <c r="D408">
        <f t="shared" si="48"/>
        <v>0.15151515151515152</v>
      </c>
      <c r="E408" s="20">
        <f t="shared" si="49"/>
        <v>-0.28591964379278484</v>
      </c>
    </row>
    <row r="409" spans="1:5" x14ac:dyDescent="0.3">
      <c r="B409" t="s">
        <v>67</v>
      </c>
      <c r="C409">
        <v>1</v>
      </c>
      <c r="D409">
        <f t="shared" si="48"/>
        <v>3.0303030303030304E-2</v>
      </c>
      <c r="E409" s="20">
        <f t="shared" si="49"/>
        <v>-0.10595477458989334</v>
      </c>
    </row>
    <row r="410" spans="1:5" x14ac:dyDescent="0.3">
      <c r="B410" t="s">
        <v>83</v>
      </c>
      <c r="C410">
        <v>1</v>
      </c>
      <c r="D410">
        <f t="shared" si="48"/>
        <v>3.0303030303030304E-2</v>
      </c>
      <c r="E410" s="20">
        <f t="shared" si="49"/>
        <v>-0.10595477458989334</v>
      </c>
    </row>
    <row r="411" spans="1:5" x14ac:dyDescent="0.3">
      <c r="B411" t="s">
        <v>68</v>
      </c>
      <c r="C411">
        <v>3</v>
      </c>
      <c r="D411">
        <f t="shared" si="48"/>
        <v>9.0909090909090912E-2</v>
      </c>
      <c r="E411" s="20">
        <f t="shared" si="49"/>
        <v>-0.21799047934530644</v>
      </c>
    </row>
    <row r="412" spans="1:5" x14ac:dyDescent="0.3">
      <c r="B412" t="s">
        <v>66</v>
      </c>
      <c r="C412">
        <v>1</v>
      </c>
      <c r="D412">
        <f t="shared" si="48"/>
        <v>3.0303030303030304E-2</v>
      </c>
      <c r="E412" s="20">
        <f t="shared" si="49"/>
        <v>-0.10595477458989334</v>
      </c>
    </row>
    <row r="413" spans="1:5" x14ac:dyDescent="0.3">
      <c r="B413" t="s">
        <v>84</v>
      </c>
      <c r="C413">
        <v>1</v>
      </c>
      <c r="D413">
        <f t="shared" si="48"/>
        <v>3.0303030303030304E-2</v>
      </c>
      <c r="E413" s="20">
        <f t="shared" si="49"/>
        <v>-0.10595477458989334</v>
      </c>
    </row>
    <row r="414" spans="1:5" x14ac:dyDescent="0.3">
      <c r="B414" t="s">
        <v>177</v>
      </c>
      <c r="C414">
        <v>2</v>
      </c>
      <c r="D414">
        <f t="shared" si="48"/>
        <v>6.0606060606060608E-2</v>
      </c>
      <c r="E414" s="20">
        <f t="shared" si="49"/>
        <v>-0.16990062914585061</v>
      </c>
    </row>
    <row r="415" spans="1:5" x14ac:dyDescent="0.3">
      <c r="B415" t="s">
        <v>73</v>
      </c>
      <c r="C415">
        <v>2</v>
      </c>
      <c r="D415">
        <f t="shared" si="48"/>
        <v>6.0606060606060608E-2</v>
      </c>
      <c r="E415" s="20">
        <f t="shared" si="49"/>
        <v>-0.16990062914585061</v>
      </c>
    </row>
    <row r="416" spans="1:5" x14ac:dyDescent="0.3">
      <c r="B416" t="s">
        <v>69</v>
      </c>
      <c r="C416">
        <v>4</v>
      </c>
      <c r="D416">
        <f t="shared" si="48"/>
        <v>0.12121212121212122</v>
      </c>
      <c r="E416" s="20">
        <f t="shared" si="49"/>
        <v>-0.25578341822382905</v>
      </c>
    </row>
    <row r="417" spans="1:5" x14ac:dyDescent="0.3">
      <c r="B417" t="s">
        <v>70</v>
      </c>
      <c r="C417">
        <v>1</v>
      </c>
      <c r="D417">
        <f t="shared" si="48"/>
        <v>3.0303030303030304E-2</v>
      </c>
      <c r="E417" s="20">
        <f t="shared" si="49"/>
        <v>-0.10595477458989334</v>
      </c>
    </row>
    <row r="418" spans="1:5" x14ac:dyDescent="0.3">
      <c r="B418" t="s">
        <v>72</v>
      </c>
      <c r="C418">
        <v>1</v>
      </c>
      <c r="D418">
        <f t="shared" si="48"/>
        <v>3.0303030303030304E-2</v>
      </c>
      <c r="E418" s="20">
        <f t="shared" si="49"/>
        <v>-0.10595477458989334</v>
      </c>
    </row>
    <row r="419" spans="1:5" x14ac:dyDescent="0.3">
      <c r="B419" t="s">
        <v>74</v>
      </c>
      <c r="C419">
        <v>1</v>
      </c>
      <c r="D419">
        <f t="shared" si="48"/>
        <v>3.0303030303030304E-2</v>
      </c>
      <c r="E419" s="20">
        <f t="shared" si="49"/>
        <v>-0.10595477458989334</v>
      </c>
    </row>
    <row r="420" spans="1:5" x14ac:dyDescent="0.3">
      <c r="B420" t="s">
        <v>101</v>
      </c>
      <c r="C420">
        <f>SUM(C406:C419)</f>
        <v>33</v>
      </c>
      <c r="E420" s="20">
        <f>-SUM(E406:E419)</f>
        <v>2.3546100072406393</v>
      </c>
    </row>
    <row r="421" spans="1:5" x14ac:dyDescent="0.3">
      <c r="A421" t="s">
        <v>191</v>
      </c>
      <c r="B421" t="s">
        <v>66</v>
      </c>
      <c r="C421">
        <v>1</v>
      </c>
      <c r="D421">
        <f>C421/33</f>
        <v>3.0303030303030304E-2</v>
      </c>
      <c r="E421" s="20">
        <f>D421*LN(D421)</f>
        <v>-0.10595477458989334</v>
      </c>
    </row>
    <row r="422" spans="1:5" x14ac:dyDescent="0.3">
      <c r="B422" t="s">
        <v>83</v>
      </c>
      <c r="C422">
        <v>1</v>
      </c>
      <c r="D422">
        <f t="shared" ref="D422:D435" si="50">C422/33</f>
        <v>3.0303030303030304E-2</v>
      </c>
      <c r="E422" s="20">
        <f t="shared" ref="E422:E435" si="51">D422*LN(D422)</f>
        <v>-0.10595477458989334</v>
      </c>
    </row>
    <row r="423" spans="1:5" x14ac:dyDescent="0.3">
      <c r="B423" t="s">
        <v>73</v>
      </c>
      <c r="C423">
        <v>1</v>
      </c>
      <c r="D423">
        <f t="shared" si="50"/>
        <v>3.0303030303030304E-2</v>
      </c>
      <c r="E423" s="20">
        <f t="shared" si="51"/>
        <v>-0.10595477458989334</v>
      </c>
    </row>
    <row r="424" spans="1:5" x14ac:dyDescent="0.3">
      <c r="B424" t="s">
        <v>93</v>
      </c>
      <c r="C424">
        <v>13</v>
      </c>
      <c r="D424">
        <f t="shared" si="50"/>
        <v>0.39393939393939392</v>
      </c>
      <c r="E424" s="20">
        <f t="shared" si="51"/>
        <v>-0.36697747430497774</v>
      </c>
    </row>
    <row r="425" spans="1:5" x14ac:dyDescent="0.3">
      <c r="B425" t="s">
        <v>68</v>
      </c>
      <c r="C425">
        <v>3</v>
      </c>
      <c r="D425">
        <f t="shared" si="50"/>
        <v>9.0909090909090912E-2</v>
      </c>
      <c r="E425" s="20">
        <f t="shared" si="51"/>
        <v>-0.21799047934530644</v>
      </c>
    </row>
    <row r="426" spans="1:5" x14ac:dyDescent="0.3">
      <c r="B426" t="s">
        <v>94</v>
      </c>
      <c r="C426">
        <v>1</v>
      </c>
      <c r="D426">
        <f t="shared" si="50"/>
        <v>3.0303030303030304E-2</v>
      </c>
      <c r="E426" s="20">
        <f t="shared" si="51"/>
        <v>-0.10595477458989334</v>
      </c>
    </row>
    <row r="427" spans="1:5" x14ac:dyDescent="0.3">
      <c r="B427" t="s">
        <v>65</v>
      </c>
      <c r="C427">
        <v>3</v>
      </c>
      <c r="D427">
        <f t="shared" si="50"/>
        <v>9.0909090909090912E-2</v>
      </c>
      <c r="E427" s="20">
        <f t="shared" si="51"/>
        <v>-0.21799047934530644</v>
      </c>
    </row>
    <row r="428" spans="1:5" x14ac:dyDescent="0.3">
      <c r="B428" t="s">
        <v>69</v>
      </c>
      <c r="C428">
        <v>2</v>
      </c>
      <c r="D428">
        <f t="shared" si="50"/>
        <v>6.0606060606060608E-2</v>
      </c>
      <c r="E428" s="20">
        <f t="shared" si="51"/>
        <v>-0.16990062914585061</v>
      </c>
    </row>
    <row r="429" spans="1:5" x14ac:dyDescent="0.3">
      <c r="B429" t="s">
        <v>71</v>
      </c>
      <c r="C429">
        <v>2</v>
      </c>
      <c r="D429">
        <f t="shared" si="50"/>
        <v>6.0606060606060608E-2</v>
      </c>
      <c r="E429" s="20">
        <f t="shared" si="51"/>
        <v>-0.16990062914585061</v>
      </c>
    </row>
    <row r="430" spans="1:5" x14ac:dyDescent="0.3">
      <c r="B430" t="s">
        <v>85</v>
      </c>
      <c r="C430">
        <v>1</v>
      </c>
      <c r="D430">
        <f t="shared" si="50"/>
        <v>3.0303030303030304E-2</v>
      </c>
      <c r="E430" s="20">
        <f t="shared" si="51"/>
        <v>-0.10595477458989334</v>
      </c>
    </row>
    <row r="431" spans="1:5" x14ac:dyDescent="0.3">
      <c r="B431" t="s">
        <v>67</v>
      </c>
      <c r="C431">
        <v>1</v>
      </c>
      <c r="D431">
        <f t="shared" si="50"/>
        <v>3.0303030303030304E-2</v>
      </c>
      <c r="E431" s="20">
        <f t="shared" si="51"/>
        <v>-0.10595477458989334</v>
      </c>
    </row>
    <row r="432" spans="1:5" x14ac:dyDescent="0.3">
      <c r="B432" t="s">
        <v>74</v>
      </c>
      <c r="C432">
        <v>1</v>
      </c>
      <c r="D432">
        <f t="shared" si="50"/>
        <v>3.0303030303030304E-2</v>
      </c>
      <c r="E432" s="20">
        <f t="shared" si="51"/>
        <v>-0.10595477458989334</v>
      </c>
    </row>
    <row r="433" spans="1:5" x14ac:dyDescent="0.3">
      <c r="B433" t="s">
        <v>72</v>
      </c>
      <c r="C433">
        <v>1</v>
      </c>
      <c r="D433">
        <f t="shared" si="50"/>
        <v>3.0303030303030304E-2</v>
      </c>
      <c r="E433" s="20">
        <f t="shared" si="51"/>
        <v>-0.10595477458989334</v>
      </c>
    </row>
    <row r="434" spans="1:5" x14ac:dyDescent="0.3">
      <c r="B434" t="s">
        <v>84</v>
      </c>
      <c r="C434">
        <v>1</v>
      </c>
      <c r="D434">
        <f t="shared" si="50"/>
        <v>3.0303030303030304E-2</v>
      </c>
      <c r="E434" s="20">
        <f t="shared" si="51"/>
        <v>-0.10595477458989334</v>
      </c>
    </row>
    <row r="435" spans="1:5" x14ac:dyDescent="0.3">
      <c r="B435" t="s">
        <v>70</v>
      </c>
      <c r="C435">
        <v>1</v>
      </c>
      <c r="D435">
        <f t="shared" si="50"/>
        <v>3.0303030303030304E-2</v>
      </c>
      <c r="E435" s="20">
        <f t="shared" si="51"/>
        <v>-0.10595477458989334</v>
      </c>
    </row>
    <row r="436" spans="1:5" x14ac:dyDescent="0.3">
      <c r="B436" t="s">
        <v>101</v>
      </c>
      <c r="C436">
        <f>SUM(C421:C435)</f>
        <v>33</v>
      </c>
      <c r="E436" s="20">
        <f>-SUM(E421:E435)</f>
        <v>2.2023074371862257</v>
      </c>
    </row>
    <row r="437" spans="1:5" x14ac:dyDescent="0.3">
      <c r="A437" t="s">
        <v>192</v>
      </c>
      <c r="B437" t="s">
        <v>93</v>
      </c>
      <c r="C437">
        <v>6</v>
      </c>
      <c r="D437">
        <f>C437/34</f>
        <v>0.17647058823529413</v>
      </c>
      <c r="E437" s="20">
        <f>D437*LN(D437)</f>
        <v>-0.30610606859790113</v>
      </c>
    </row>
    <row r="438" spans="1:5" x14ac:dyDescent="0.3">
      <c r="B438" t="s">
        <v>65</v>
      </c>
      <c r="C438">
        <v>4</v>
      </c>
      <c r="D438">
        <f t="shared" ref="D438:D451" si="52">C438/34</f>
        <v>0.11764705882352941</v>
      </c>
      <c r="E438" s="20">
        <f t="shared" ref="E438:E451" si="53">D438*LN(D438)</f>
        <v>-0.25177248982309069</v>
      </c>
    </row>
    <row r="439" spans="1:5" x14ac:dyDescent="0.3">
      <c r="B439" t="s">
        <v>71</v>
      </c>
      <c r="C439">
        <v>4</v>
      </c>
      <c r="D439">
        <f t="shared" si="52"/>
        <v>0.11764705882352941</v>
      </c>
      <c r="E439" s="20">
        <f t="shared" si="53"/>
        <v>-0.25177248982309069</v>
      </c>
    </row>
    <row r="440" spans="1:5" x14ac:dyDescent="0.3">
      <c r="B440" t="s">
        <v>94</v>
      </c>
      <c r="C440">
        <v>1</v>
      </c>
      <c r="D440">
        <f t="shared" si="52"/>
        <v>2.9411764705882353E-2</v>
      </c>
      <c r="E440" s="20">
        <f t="shared" si="53"/>
        <v>-0.1037164860181224</v>
      </c>
    </row>
    <row r="441" spans="1:5" x14ac:dyDescent="0.3">
      <c r="B441" t="s">
        <v>69</v>
      </c>
      <c r="C441">
        <v>2</v>
      </c>
      <c r="D441">
        <f t="shared" si="52"/>
        <v>5.8823529411764705E-2</v>
      </c>
      <c r="E441" s="20">
        <f t="shared" si="53"/>
        <v>-0.16665960847389508</v>
      </c>
    </row>
    <row r="442" spans="1:5" x14ac:dyDescent="0.3">
      <c r="B442" t="s">
        <v>70</v>
      </c>
      <c r="C442">
        <v>1</v>
      </c>
      <c r="D442">
        <f t="shared" si="52"/>
        <v>2.9411764705882353E-2</v>
      </c>
      <c r="E442" s="20">
        <f t="shared" si="53"/>
        <v>-0.1037164860181224</v>
      </c>
    </row>
    <row r="443" spans="1:5" x14ac:dyDescent="0.3">
      <c r="B443" t="s">
        <v>73</v>
      </c>
      <c r="C443">
        <v>1</v>
      </c>
      <c r="D443">
        <f t="shared" si="52"/>
        <v>2.9411764705882353E-2</v>
      </c>
      <c r="E443" s="20">
        <f t="shared" si="53"/>
        <v>-0.1037164860181224</v>
      </c>
    </row>
    <row r="444" spans="1:5" x14ac:dyDescent="0.3">
      <c r="B444" t="s">
        <v>68</v>
      </c>
      <c r="C444">
        <v>5</v>
      </c>
      <c r="D444">
        <f t="shared" si="52"/>
        <v>0.14705882352941177</v>
      </c>
      <c r="E444" s="20">
        <f t="shared" si="53"/>
        <v>-0.28190038414442076</v>
      </c>
    </row>
    <row r="445" spans="1:5" x14ac:dyDescent="0.3">
      <c r="B445" t="s">
        <v>80</v>
      </c>
      <c r="C445">
        <v>2</v>
      </c>
      <c r="D445">
        <f t="shared" si="52"/>
        <v>5.8823529411764705E-2</v>
      </c>
      <c r="E445" s="20">
        <f t="shared" si="53"/>
        <v>-0.16665960847389508</v>
      </c>
    </row>
    <row r="446" spans="1:5" x14ac:dyDescent="0.3">
      <c r="B446" t="s">
        <v>66</v>
      </c>
      <c r="C446">
        <v>1</v>
      </c>
      <c r="D446">
        <f t="shared" si="52"/>
        <v>2.9411764705882353E-2</v>
      </c>
      <c r="E446" s="20">
        <f t="shared" si="53"/>
        <v>-0.1037164860181224</v>
      </c>
    </row>
    <row r="447" spans="1:5" x14ac:dyDescent="0.3">
      <c r="B447" t="s">
        <v>67</v>
      </c>
      <c r="C447">
        <v>1</v>
      </c>
      <c r="D447">
        <f t="shared" si="52"/>
        <v>2.9411764705882353E-2</v>
      </c>
      <c r="E447" s="20">
        <f t="shared" si="53"/>
        <v>-0.1037164860181224</v>
      </c>
    </row>
    <row r="448" spans="1:5" x14ac:dyDescent="0.3">
      <c r="B448" t="s">
        <v>74</v>
      </c>
      <c r="C448">
        <v>1</v>
      </c>
      <c r="D448">
        <f t="shared" si="52"/>
        <v>2.9411764705882353E-2</v>
      </c>
      <c r="E448" s="20">
        <f t="shared" si="53"/>
        <v>-0.1037164860181224</v>
      </c>
    </row>
    <row r="449" spans="1:5" x14ac:dyDescent="0.3">
      <c r="B449" t="s">
        <v>76</v>
      </c>
      <c r="C449">
        <v>1</v>
      </c>
      <c r="D449">
        <f t="shared" si="52"/>
        <v>2.9411764705882353E-2</v>
      </c>
      <c r="E449" s="20">
        <f t="shared" si="53"/>
        <v>-0.1037164860181224</v>
      </c>
    </row>
    <row r="450" spans="1:5" x14ac:dyDescent="0.3">
      <c r="B450" t="s">
        <v>72</v>
      </c>
      <c r="C450">
        <v>1</v>
      </c>
      <c r="D450">
        <f t="shared" si="52"/>
        <v>2.9411764705882353E-2</v>
      </c>
      <c r="E450" s="20">
        <f t="shared" si="53"/>
        <v>-0.1037164860181224</v>
      </c>
    </row>
    <row r="451" spans="1:5" x14ac:dyDescent="0.3">
      <c r="B451" t="s">
        <v>177</v>
      </c>
      <c r="C451">
        <v>3</v>
      </c>
      <c r="D451">
        <f t="shared" si="52"/>
        <v>8.8235294117647065E-2</v>
      </c>
      <c r="E451" s="20">
        <f t="shared" si="53"/>
        <v>-0.21421307964247516</v>
      </c>
    </row>
    <row r="452" spans="1:5" x14ac:dyDescent="0.3">
      <c r="B452" t="s">
        <v>101</v>
      </c>
      <c r="C452">
        <f>SUM(C437:C451)</f>
        <v>34</v>
      </c>
      <c r="E452" s="20">
        <f>-SUM(E437:E451)</f>
        <v>2.4688156171237479</v>
      </c>
    </row>
    <row r="453" spans="1:5" x14ac:dyDescent="0.3">
      <c r="A453" t="s">
        <v>193</v>
      </c>
      <c r="B453" t="s">
        <v>74</v>
      </c>
      <c r="C453">
        <v>2</v>
      </c>
      <c r="D453">
        <f>C453/38</f>
        <v>5.2631578947368418E-2</v>
      </c>
      <c r="E453" s="20">
        <f>D453*LN(D453)</f>
        <v>-0.15497047258770741</v>
      </c>
    </row>
    <row r="454" spans="1:5" x14ac:dyDescent="0.3">
      <c r="B454" t="s">
        <v>71</v>
      </c>
      <c r="C454">
        <v>4</v>
      </c>
      <c r="D454">
        <f t="shared" ref="D454:D470" si="54">C454/38</f>
        <v>0.10526315789473684</v>
      </c>
      <c r="E454" s="20">
        <f t="shared" ref="E454:E470" si="55">D454*LN(D454)</f>
        <v>-0.2369780840638416</v>
      </c>
    </row>
    <row r="455" spans="1:5" x14ac:dyDescent="0.3">
      <c r="B455" t="s">
        <v>76</v>
      </c>
      <c r="C455">
        <v>2</v>
      </c>
      <c r="D455">
        <f t="shared" si="54"/>
        <v>5.2631578947368418E-2</v>
      </c>
      <c r="E455" s="20">
        <f t="shared" si="55"/>
        <v>-0.15497047258770741</v>
      </c>
    </row>
    <row r="456" spans="1:5" x14ac:dyDescent="0.3">
      <c r="B456" t="s">
        <v>65</v>
      </c>
      <c r="C456">
        <v>3</v>
      </c>
      <c r="D456">
        <f t="shared" si="54"/>
        <v>7.8947368421052627E-2</v>
      </c>
      <c r="E456" s="20">
        <f t="shared" si="55"/>
        <v>-0.2004453056098639</v>
      </c>
    </row>
    <row r="457" spans="1:5" x14ac:dyDescent="0.3">
      <c r="B457" t="s">
        <v>93</v>
      </c>
      <c r="C457">
        <v>11</v>
      </c>
      <c r="D457">
        <f t="shared" si="54"/>
        <v>0.28947368421052633</v>
      </c>
      <c r="E457" s="20">
        <f t="shared" si="55"/>
        <v>-0.35885788832126758</v>
      </c>
    </row>
    <row r="458" spans="1:5" x14ac:dyDescent="0.3">
      <c r="B458" t="s">
        <v>66</v>
      </c>
      <c r="C458">
        <v>2</v>
      </c>
      <c r="D458">
        <f t="shared" si="54"/>
        <v>5.2631578947368418E-2</v>
      </c>
      <c r="E458" s="20">
        <f t="shared" si="55"/>
        <v>-0.15497047258770741</v>
      </c>
    </row>
    <row r="459" spans="1:5" x14ac:dyDescent="0.3">
      <c r="B459" t="s">
        <v>69</v>
      </c>
      <c r="C459">
        <v>2</v>
      </c>
      <c r="D459">
        <f t="shared" si="54"/>
        <v>5.2631578947368418E-2</v>
      </c>
      <c r="E459" s="20">
        <f t="shared" si="55"/>
        <v>-0.15497047258770741</v>
      </c>
    </row>
    <row r="460" spans="1:5" x14ac:dyDescent="0.3">
      <c r="B460" t="s">
        <v>91</v>
      </c>
      <c r="C460">
        <v>2</v>
      </c>
      <c r="D460">
        <f t="shared" si="54"/>
        <v>5.2631578947368418E-2</v>
      </c>
      <c r="E460" s="20">
        <f t="shared" si="55"/>
        <v>-0.15497047258770741</v>
      </c>
    </row>
    <row r="461" spans="1:5" x14ac:dyDescent="0.3">
      <c r="B461" t="s">
        <v>177</v>
      </c>
      <c r="C461">
        <v>1</v>
      </c>
      <c r="D461">
        <f t="shared" si="54"/>
        <v>2.6315789473684209E-2</v>
      </c>
      <c r="E461" s="20">
        <f t="shared" si="55"/>
        <v>-9.5725951571746987E-2</v>
      </c>
    </row>
    <row r="462" spans="1:5" x14ac:dyDescent="0.3">
      <c r="B462" t="s">
        <v>73</v>
      </c>
      <c r="C462">
        <v>1</v>
      </c>
      <c r="D462">
        <f t="shared" si="54"/>
        <v>2.6315789473684209E-2</v>
      </c>
      <c r="E462" s="20">
        <f t="shared" si="55"/>
        <v>-9.5725951571746987E-2</v>
      </c>
    </row>
    <row r="463" spans="1:5" x14ac:dyDescent="0.3">
      <c r="B463" t="s">
        <v>70</v>
      </c>
      <c r="C463">
        <v>1</v>
      </c>
      <c r="D463">
        <f t="shared" si="54"/>
        <v>2.6315789473684209E-2</v>
      </c>
      <c r="E463" s="20">
        <f t="shared" si="55"/>
        <v>-9.5725951571746987E-2</v>
      </c>
    </row>
    <row r="464" spans="1:5" x14ac:dyDescent="0.3">
      <c r="B464" t="s">
        <v>67</v>
      </c>
      <c r="C464">
        <v>1</v>
      </c>
      <c r="D464">
        <f t="shared" si="54"/>
        <v>2.6315789473684209E-2</v>
      </c>
      <c r="E464" s="20">
        <f t="shared" si="55"/>
        <v>-9.5725951571746987E-2</v>
      </c>
    </row>
    <row r="465" spans="1:5" x14ac:dyDescent="0.3">
      <c r="B465" t="s">
        <v>94</v>
      </c>
      <c r="C465">
        <v>1</v>
      </c>
      <c r="D465">
        <f t="shared" si="54"/>
        <v>2.6315789473684209E-2</v>
      </c>
      <c r="E465" s="20">
        <f t="shared" si="55"/>
        <v>-9.5725951571746987E-2</v>
      </c>
    </row>
    <row r="466" spans="1:5" x14ac:dyDescent="0.3">
      <c r="B466" t="s">
        <v>83</v>
      </c>
      <c r="C466">
        <v>1</v>
      </c>
      <c r="D466">
        <f t="shared" si="54"/>
        <v>2.6315789473684209E-2</v>
      </c>
      <c r="E466" s="20">
        <f t="shared" si="55"/>
        <v>-9.5725951571746987E-2</v>
      </c>
    </row>
    <row r="467" spans="1:5" x14ac:dyDescent="0.3">
      <c r="B467" t="s">
        <v>75</v>
      </c>
      <c r="C467">
        <v>1</v>
      </c>
      <c r="D467">
        <f t="shared" si="54"/>
        <v>2.6315789473684209E-2</v>
      </c>
      <c r="E467" s="20">
        <f t="shared" si="55"/>
        <v>-9.5725951571746987E-2</v>
      </c>
    </row>
    <row r="468" spans="1:5" x14ac:dyDescent="0.3">
      <c r="B468" t="s">
        <v>68</v>
      </c>
      <c r="C468">
        <v>1</v>
      </c>
      <c r="D468">
        <f t="shared" si="54"/>
        <v>2.6315789473684209E-2</v>
      </c>
      <c r="E468" s="20">
        <f t="shared" si="55"/>
        <v>-9.5725951571746987E-2</v>
      </c>
    </row>
    <row r="469" spans="1:5" x14ac:dyDescent="0.3">
      <c r="B469" t="s">
        <v>84</v>
      </c>
      <c r="C469">
        <v>1</v>
      </c>
      <c r="D469">
        <f t="shared" si="54"/>
        <v>2.6315789473684209E-2</v>
      </c>
      <c r="E469" s="20">
        <f t="shared" si="55"/>
        <v>-9.5725951571746987E-2</v>
      </c>
    </row>
    <row r="470" spans="1:5" x14ac:dyDescent="0.3">
      <c r="B470" t="s">
        <v>72</v>
      </c>
      <c r="C470">
        <v>1</v>
      </c>
      <c r="D470">
        <f t="shared" si="54"/>
        <v>2.6315789473684209E-2</v>
      </c>
      <c r="E470" s="20">
        <f t="shared" si="55"/>
        <v>-9.5725951571746987E-2</v>
      </c>
    </row>
    <row r="471" spans="1:5" x14ac:dyDescent="0.3">
      <c r="B471" t="s">
        <v>101</v>
      </c>
      <c r="C471">
        <f>SUM(C453:C470)</f>
        <v>38</v>
      </c>
      <c r="E471" s="20">
        <f>-SUM(E453:E470)</f>
        <v>2.5283931566509805</v>
      </c>
    </row>
    <row r="472" spans="1:5" x14ac:dyDescent="0.3">
      <c r="A472" t="s">
        <v>194</v>
      </c>
      <c r="B472" t="s">
        <v>73</v>
      </c>
      <c r="C472">
        <v>2</v>
      </c>
      <c r="D472">
        <f>C472/35</f>
        <v>5.7142857142857141E-2</v>
      </c>
      <c r="E472" s="20">
        <f>D472*LN(D472)</f>
        <v>-0.16355433605311248</v>
      </c>
    </row>
    <row r="473" spans="1:5" x14ac:dyDescent="0.3">
      <c r="B473" t="s">
        <v>71</v>
      </c>
      <c r="C473">
        <v>3</v>
      </c>
      <c r="D473">
        <f t="shared" ref="D473:D487" si="56">C473/35</f>
        <v>8.5714285714285715E-2</v>
      </c>
      <c r="E473" s="20">
        <f t="shared" ref="E473:E487" si="57">D473*LN(D473)</f>
        <v>-0.21057735195611177</v>
      </c>
    </row>
    <row r="474" spans="1:5" x14ac:dyDescent="0.3">
      <c r="B474" t="s">
        <v>74</v>
      </c>
      <c r="C474">
        <v>2</v>
      </c>
      <c r="D474">
        <f t="shared" si="56"/>
        <v>5.7142857142857141E-2</v>
      </c>
      <c r="E474" s="20">
        <f t="shared" si="57"/>
        <v>-0.16355433605311248</v>
      </c>
    </row>
    <row r="475" spans="1:5" x14ac:dyDescent="0.3">
      <c r="B475" t="s">
        <v>69</v>
      </c>
      <c r="C475">
        <v>4</v>
      </c>
      <c r="D475">
        <f t="shared" si="56"/>
        <v>0.11428571428571428</v>
      </c>
      <c r="E475" s="20">
        <f t="shared" si="57"/>
        <v>-0.24789185147080264</v>
      </c>
    </row>
    <row r="476" spans="1:5" x14ac:dyDescent="0.3">
      <c r="B476" t="s">
        <v>65</v>
      </c>
      <c r="C476">
        <v>4</v>
      </c>
      <c r="D476">
        <f t="shared" si="56"/>
        <v>0.11428571428571428</v>
      </c>
      <c r="E476" s="20">
        <f t="shared" si="57"/>
        <v>-0.24789185147080264</v>
      </c>
    </row>
    <row r="477" spans="1:5" x14ac:dyDescent="0.3">
      <c r="B477" t="s">
        <v>68</v>
      </c>
      <c r="C477">
        <v>4</v>
      </c>
      <c r="D477">
        <f t="shared" si="56"/>
        <v>0.11428571428571428</v>
      </c>
      <c r="E477" s="20">
        <f t="shared" si="57"/>
        <v>-0.24789185147080264</v>
      </c>
    </row>
    <row r="478" spans="1:5" x14ac:dyDescent="0.3">
      <c r="B478" t="s">
        <v>67</v>
      </c>
      <c r="C478">
        <v>1</v>
      </c>
      <c r="D478">
        <f t="shared" si="56"/>
        <v>2.8571428571428571E-2</v>
      </c>
      <c r="E478" s="20">
        <f t="shared" si="57"/>
        <v>-0.10158137318541181</v>
      </c>
    </row>
    <row r="479" spans="1:5" x14ac:dyDescent="0.3">
      <c r="B479" t="s">
        <v>76</v>
      </c>
      <c r="C479">
        <v>1</v>
      </c>
      <c r="D479">
        <f t="shared" si="56"/>
        <v>2.8571428571428571E-2</v>
      </c>
      <c r="E479" s="20">
        <f t="shared" si="57"/>
        <v>-0.10158137318541181</v>
      </c>
    </row>
    <row r="480" spans="1:5" x14ac:dyDescent="0.3">
      <c r="B480" t="s">
        <v>177</v>
      </c>
      <c r="C480">
        <v>3</v>
      </c>
      <c r="D480">
        <f t="shared" si="56"/>
        <v>8.5714285714285715E-2</v>
      </c>
      <c r="E480" s="20">
        <f t="shared" si="57"/>
        <v>-0.21057735195611177</v>
      </c>
    </row>
    <row r="481" spans="1:5" x14ac:dyDescent="0.3">
      <c r="B481" t="s">
        <v>94</v>
      </c>
      <c r="C481">
        <v>1</v>
      </c>
      <c r="D481">
        <f t="shared" si="56"/>
        <v>2.8571428571428571E-2</v>
      </c>
      <c r="E481" s="20">
        <f t="shared" si="57"/>
        <v>-0.10158137318541181</v>
      </c>
    </row>
    <row r="482" spans="1:5" x14ac:dyDescent="0.3">
      <c r="B482" t="s">
        <v>80</v>
      </c>
      <c r="C482">
        <v>2</v>
      </c>
      <c r="D482">
        <f t="shared" si="56"/>
        <v>5.7142857142857141E-2</v>
      </c>
      <c r="E482" s="20">
        <f t="shared" si="57"/>
        <v>-0.16355433605311248</v>
      </c>
    </row>
    <row r="483" spans="1:5" x14ac:dyDescent="0.3">
      <c r="B483" t="s">
        <v>93</v>
      </c>
      <c r="C483">
        <v>4</v>
      </c>
      <c r="D483">
        <f t="shared" si="56"/>
        <v>0.11428571428571428</v>
      </c>
      <c r="E483" s="20">
        <f t="shared" si="57"/>
        <v>-0.24789185147080264</v>
      </c>
    </row>
    <row r="484" spans="1:5" x14ac:dyDescent="0.3">
      <c r="B484" t="s">
        <v>84</v>
      </c>
      <c r="C484">
        <v>1</v>
      </c>
      <c r="D484">
        <f t="shared" si="56"/>
        <v>2.8571428571428571E-2</v>
      </c>
      <c r="E484" s="20">
        <f t="shared" si="57"/>
        <v>-0.10158137318541181</v>
      </c>
    </row>
    <row r="485" spans="1:5" x14ac:dyDescent="0.3">
      <c r="B485" t="s">
        <v>66</v>
      </c>
      <c r="C485">
        <v>1</v>
      </c>
      <c r="D485">
        <f t="shared" si="56"/>
        <v>2.8571428571428571E-2</v>
      </c>
      <c r="E485" s="20">
        <f t="shared" si="57"/>
        <v>-0.10158137318541181</v>
      </c>
    </row>
    <row r="486" spans="1:5" x14ac:dyDescent="0.3">
      <c r="B486" t="s">
        <v>72</v>
      </c>
      <c r="C486">
        <v>1</v>
      </c>
      <c r="D486">
        <f t="shared" si="56"/>
        <v>2.8571428571428571E-2</v>
      </c>
      <c r="E486" s="20">
        <f t="shared" si="57"/>
        <v>-0.10158137318541181</v>
      </c>
    </row>
    <row r="487" spans="1:5" x14ac:dyDescent="0.3">
      <c r="B487" t="s">
        <v>83</v>
      </c>
      <c r="C487">
        <v>1</v>
      </c>
      <c r="D487">
        <f t="shared" si="56"/>
        <v>2.8571428571428571E-2</v>
      </c>
      <c r="E487" s="20">
        <f t="shared" si="57"/>
        <v>-0.10158137318541181</v>
      </c>
    </row>
    <row r="488" spans="1:5" x14ac:dyDescent="0.3">
      <c r="B488" t="s">
        <v>101</v>
      </c>
      <c r="C488">
        <f>SUM(C472:C487)</f>
        <v>35</v>
      </c>
      <c r="E488" s="20">
        <f>-SUM(E472:E487)</f>
        <v>2.6144547302526542</v>
      </c>
    </row>
    <row r="489" spans="1:5" x14ac:dyDescent="0.3">
      <c r="A489" t="s">
        <v>195</v>
      </c>
      <c r="B489" t="s">
        <v>84</v>
      </c>
      <c r="C489">
        <v>1</v>
      </c>
      <c r="D489">
        <f>C489/26</f>
        <v>3.8461538461538464E-2</v>
      </c>
      <c r="E489" s="20">
        <f>D489*LN(D489)</f>
        <v>-0.12531140530851856</v>
      </c>
    </row>
    <row r="490" spans="1:5" x14ac:dyDescent="0.3">
      <c r="B490" t="s">
        <v>73</v>
      </c>
      <c r="C490">
        <v>2</v>
      </c>
      <c r="D490">
        <f t="shared" ref="D490:D504" si="58">C490/26</f>
        <v>7.6923076923076927E-2</v>
      </c>
      <c r="E490" s="20">
        <f t="shared" ref="E490:E504" si="59">D490*LN(D490)</f>
        <v>-0.19730379672781054</v>
      </c>
    </row>
    <row r="491" spans="1:5" x14ac:dyDescent="0.3">
      <c r="B491" t="s">
        <v>67</v>
      </c>
      <c r="C491">
        <v>2</v>
      </c>
      <c r="D491">
        <f t="shared" si="58"/>
        <v>7.6923076923076927E-2</v>
      </c>
      <c r="E491" s="20">
        <f t="shared" si="59"/>
        <v>-0.19730379672781054</v>
      </c>
    </row>
    <row r="492" spans="1:5" x14ac:dyDescent="0.3">
      <c r="B492" t="s">
        <v>65</v>
      </c>
      <c r="C492">
        <v>3</v>
      </c>
      <c r="D492">
        <f t="shared" si="58"/>
        <v>0.11538461538461539</v>
      </c>
      <c r="E492" s="20">
        <f t="shared" si="59"/>
        <v>-0.24917125954077371</v>
      </c>
    </row>
    <row r="493" spans="1:5" x14ac:dyDescent="0.3">
      <c r="B493" t="s">
        <v>66</v>
      </c>
      <c r="C493">
        <v>1</v>
      </c>
      <c r="D493">
        <f t="shared" si="58"/>
        <v>3.8461538461538464E-2</v>
      </c>
      <c r="E493" s="20">
        <f t="shared" si="59"/>
        <v>-0.12531140530851856</v>
      </c>
    </row>
    <row r="494" spans="1:5" x14ac:dyDescent="0.3">
      <c r="B494" t="s">
        <v>74</v>
      </c>
      <c r="C494">
        <v>2</v>
      </c>
      <c r="D494">
        <f t="shared" si="58"/>
        <v>7.6923076923076927E-2</v>
      </c>
      <c r="E494" s="20">
        <f t="shared" si="59"/>
        <v>-0.19730379672781054</v>
      </c>
    </row>
    <row r="495" spans="1:5" x14ac:dyDescent="0.3">
      <c r="B495" t="s">
        <v>69</v>
      </c>
      <c r="C495">
        <v>3</v>
      </c>
      <c r="D495">
        <f t="shared" si="58"/>
        <v>0.11538461538461539</v>
      </c>
      <c r="E495" s="20">
        <f t="shared" si="59"/>
        <v>-0.24917125954077371</v>
      </c>
    </row>
    <row r="496" spans="1:5" x14ac:dyDescent="0.3">
      <c r="B496" t="s">
        <v>71</v>
      </c>
      <c r="C496">
        <v>2</v>
      </c>
      <c r="D496">
        <f t="shared" si="58"/>
        <v>7.6923076923076927E-2</v>
      </c>
      <c r="E496" s="20">
        <f t="shared" si="59"/>
        <v>-0.19730379672781054</v>
      </c>
    </row>
    <row r="497" spans="1:5" x14ac:dyDescent="0.3">
      <c r="B497" t="s">
        <v>72</v>
      </c>
      <c r="C497">
        <v>1</v>
      </c>
      <c r="D497">
        <f t="shared" si="58"/>
        <v>3.8461538461538464E-2</v>
      </c>
      <c r="E497" s="20">
        <f t="shared" si="59"/>
        <v>-0.12531140530851856</v>
      </c>
    </row>
    <row r="498" spans="1:5" x14ac:dyDescent="0.3">
      <c r="B498" t="s">
        <v>70</v>
      </c>
      <c r="C498">
        <v>1</v>
      </c>
      <c r="D498">
        <f t="shared" si="58"/>
        <v>3.8461538461538464E-2</v>
      </c>
      <c r="E498" s="20">
        <f t="shared" si="59"/>
        <v>-0.12531140530851856</v>
      </c>
    </row>
    <row r="499" spans="1:5" x14ac:dyDescent="0.3">
      <c r="B499" t="s">
        <v>93</v>
      </c>
      <c r="C499">
        <v>2</v>
      </c>
      <c r="D499">
        <f t="shared" si="58"/>
        <v>7.6923076923076927E-2</v>
      </c>
      <c r="E499" s="20">
        <f t="shared" si="59"/>
        <v>-0.19730379672781054</v>
      </c>
    </row>
    <row r="500" spans="1:5" x14ac:dyDescent="0.3">
      <c r="B500" t="s">
        <v>76</v>
      </c>
      <c r="C500">
        <v>1</v>
      </c>
      <c r="D500">
        <f t="shared" si="58"/>
        <v>3.8461538461538464E-2</v>
      </c>
      <c r="E500" s="20">
        <f t="shared" si="59"/>
        <v>-0.12531140530851856</v>
      </c>
    </row>
    <row r="501" spans="1:5" x14ac:dyDescent="0.3">
      <c r="B501" t="s">
        <v>94</v>
      </c>
      <c r="C501">
        <v>1</v>
      </c>
      <c r="D501">
        <f t="shared" si="58"/>
        <v>3.8461538461538464E-2</v>
      </c>
      <c r="E501" s="20">
        <f t="shared" si="59"/>
        <v>-0.12531140530851856</v>
      </c>
    </row>
    <row r="502" spans="1:5" x14ac:dyDescent="0.3">
      <c r="B502" t="s">
        <v>177</v>
      </c>
      <c r="C502">
        <v>1</v>
      </c>
      <c r="D502">
        <f t="shared" si="58"/>
        <v>3.8461538461538464E-2</v>
      </c>
      <c r="E502" s="20">
        <f t="shared" si="59"/>
        <v>-0.12531140530851856</v>
      </c>
    </row>
    <row r="503" spans="1:5" x14ac:dyDescent="0.3">
      <c r="B503" t="s">
        <v>75</v>
      </c>
      <c r="C503">
        <v>2</v>
      </c>
      <c r="D503">
        <f t="shared" si="58"/>
        <v>7.6923076923076927E-2</v>
      </c>
      <c r="E503" s="20">
        <f t="shared" si="59"/>
        <v>-0.19730379672781054</v>
      </c>
    </row>
    <row r="504" spans="1:5" x14ac:dyDescent="0.3">
      <c r="B504" t="s">
        <v>83</v>
      </c>
      <c r="C504">
        <v>1</v>
      </c>
      <c r="D504">
        <f t="shared" si="58"/>
        <v>3.8461538461538464E-2</v>
      </c>
      <c r="E504" s="20">
        <f t="shared" si="59"/>
        <v>-0.12531140530851856</v>
      </c>
    </row>
    <row r="505" spans="1:5" x14ac:dyDescent="0.3">
      <c r="B505" t="s">
        <v>101</v>
      </c>
      <c r="C505">
        <f>SUM(C489:C504)</f>
        <v>26</v>
      </c>
      <c r="E505" s="20">
        <f>-SUM(E489:E504)</f>
        <v>2.6846565419165596</v>
      </c>
    </row>
    <row r="506" spans="1:5" x14ac:dyDescent="0.3">
      <c r="A506" t="s">
        <v>185</v>
      </c>
      <c r="B506" t="s">
        <v>71</v>
      </c>
      <c r="C506">
        <v>7</v>
      </c>
      <c r="D506">
        <f>C506/40</f>
        <v>0.17499999999999999</v>
      </c>
      <c r="E506" s="20">
        <f>D506*LN(D506)</f>
        <v>-0.30501962838525903</v>
      </c>
    </row>
    <row r="507" spans="1:5" x14ac:dyDescent="0.3">
      <c r="B507" t="s">
        <v>93</v>
      </c>
      <c r="C507">
        <v>1</v>
      </c>
      <c r="D507">
        <f t="shared" ref="D507:D518" si="60">C507/40</f>
        <v>2.5000000000000001E-2</v>
      </c>
      <c r="E507" s="20">
        <f t="shared" ref="E507:E518" si="61">D507*LN(D507)</f>
        <v>-9.2221986352848409E-2</v>
      </c>
    </row>
    <row r="508" spans="1:5" x14ac:dyDescent="0.3">
      <c r="B508" t="s">
        <v>65</v>
      </c>
      <c r="C508">
        <v>4</v>
      </c>
      <c r="D508">
        <f t="shared" si="60"/>
        <v>0.1</v>
      </c>
      <c r="E508" s="20">
        <f t="shared" si="61"/>
        <v>-0.23025850929940456</v>
      </c>
    </row>
    <row r="509" spans="1:5" x14ac:dyDescent="0.3">
      <c r="B509" t="s">
        <v>72</v>
      </c>
      <c r="C509">
        <v>1</v>
      </c>
      <c r="D509">
        <f t="shared" si="60"/>
        <v>2.5000000000000001E-2</v>
      </c>
      <c r="E509" s="20">
        <f t="shared" si="61"/>
        <v>-9.2221986352848409E-2</v>
      </c>
    </row>
    <row r="510" spans="1:5" x14ac:dyDescent="0.3">
      <c r="B510" t="s">
        <v>177</v>
      </c>
      <c r="C510">
        <v>15</v>
      </c>
      <c r="D510">
        <f t="shared" si="60"/>
        <v>0.375</v>
      </c>
      <c r="E510" s="20">
        <f t="shared" si="61"/>
        <v>-0.36781096987939732</v>
      </c>
    </row>
    <row r="511" spans="1:5" x14ac:dyDescent="0.3">
      <c r="B511" t="s">
        <v>70</v>
      </c>
      <c r="C511">
        <v>1</v>
      </c>
      <c r="D511">
        <f t="shared" si="60"/>
        <v>2.5000000000000001E-2</v>
      </c>
      <c r="E511" s="20">
        <f t="shared" si="61"/>
        <v>-9.2221986352848409E-2</v>
      </c>
    </row>
    <row r="512" spans="1:5" x14ac:dyDescent="0.3">
      <c r="B512" t="s">
        <v>69</v>
      </c>
      <c r="C512">
        <v>3</v>
      </c>
      <c r="D512">
        <f t="shared" si="60"/>
        <v>7.4999999999999997E-2</v>
      </c>
      <c r="E512" s="20">
        <f t="shared" si="61"/>
        <v>-0.19427003740843699</v>
      </c>
    </row>
    <row r="513" spans="1:5" x14ac:dyDescent="0.3">
      <c r="B513" t="s">
        <v>68</v>
      </c>
      <c r="C513">
        <v>3</v>
      </c>
      <c r="D513">
        <f t="shared" si="60"/>
        <v>7.4999999999999997E-2</v>
      </c>
      <c r="E513" s="20">
        <f t="shared" si="61"/>
        <v>-0.19427003740843699</v>
      </c>
    </row>
    <row r="514" spans="1:5" x14ac:dyDescent="0.3">
      <c r="B514" t="s">
        <v>74</v>
      </c>
      <c r="C514">
        <v>1</v>
      </c>
      <c r="D514">
        <f t="shared" si="60"/>
        <v>2.5000000000000001E-2</v>
      </c>
      <c r="E514" s="20">
        <f t="shared" si="61"/>
        <v>-9.2221986352848409E-2</v>
      </c>
    </row>
    <row r="515" spans="1:5" x14ac:dyDescent="0.3">
      <c r="B515" t="s">
        <v>67</v>
      </c>
      <c r="C515">
        <v>1</v>
      </c>
      <c r="D515">
        <f t="shared" si="60"/>
        <v>2.5000000000000001E-2</v>
      </c>
      <c r="E515" s="20">
        <f t="shared" si="61"/>
        <v>-9.2221986352848409E-2</v>
      </c>
    </row>
    <row r="516" spans="1:5" x14ac:dyDescent="0.3">
      <c r="B516" t="s">
        <v>73</v>
      </c>
      <c r="C516">
        <v>1</v>
      </c>
      <c r="D516">
        <f t="shared" si="60"/>
        <v>2.5000000000000001E-2</v>
      </c>
      <c r="E516" s="20">
        <f t="shared" si="61"/>
        <v>-9.2221986352848409E-2</v>
      </c>
    </row>
    <row r="517" spans="1:5" x14ac:dyDescent="0.3">
      <c r="B517" t="s">
        <v>84</v>
      </c>
      <c r="C517">
        <v>1</v>
      </c>
      <c r="D517">
        <f t="shared" si="60"/>
        <v>2.5000000000000001E-2</v>
      </c>
      <c r="E517" s="20">
        <f t="shared" si="61"/>
        <v>-9.2221986352848409E-2</v>
      </c>
    </row>
    <row r="518" spans="1:5" x14ac:dyDescent="0.3">
      <c r="B518" t="s">
        <v>91</v>
      </c>
      <c r="C518">
        <v>1</v>
      </c>
      <c r="D518">
        <f t="shared" si="60"/>
        <v>2.5000000000000001E-2</v>
      </c>
      <c r="E518" s="20">
        <f t="shared" si="61"/>
        <v>-9.2221986352848409E-2</v>
      </c>
    </row>
    <row r="519" spans="1:5" x14ac:dyDescent="0.3">
      <c r="B519" t="s">
        <v>101</v>
      </c>
      <c r="C519">
        <f>SUM(C506:C518)</f>
        <v>40</v>
      </c>
      <c r="E519" s="20">
        <f>-SUM(E506:E518)</f>
        <v>2.0294050732037219</v>
      </c>
    </row>
    <row r="520" spans="1:5" x14ac:dyDescent="0.3">
      <c r="A520" t="s">
        <v>196</v>
      </c>
      <c r="B520" t="s">
        <v>71</v>
      </c>
      <c r="C520">
        <v>6</v>
      </c>
      <c r="D520">
        <f>C520/34</f>
        <v>0.17647058823529413</v>
      </c>
      <c r="E520" s="20">
        <f>D520*LN(D520)</f>
        <v>-0.30610606859790113</v>
      </c>
    </row>
    <row r="521" spans="1:5" x14ac:dyDescent="0.3">
      <c r="B521" t="s">
        <v>73</v>
      </c>
      <c r="C521">
        <v>1</v>
      </c>
      <c r="D521">
        <f t="shared" ref="D521:D533" si="62">C521/34</f>
        <v>2.9411764705882353E-2</v>
      </c>
      <c r="E521" s="20">
        <f t="shared" ref="E521:E533" si="63">D521*LN(D521)</f>
        <v>-0.1037164860181224</v>
      </c>
    </row>
    <row r="522" spans="1:5" x14ac:dyDescent="0.3">
      <c r="B522" t="s">
        <v>65</v>
      </c>
      <c r="C522">
        <v>3</v>
      </c>
      <c r="D522">
        <f t="shared" si="62"/>
        <v>8.8235294117647065E-2</v>
      </c>
      <c r="E522" s="20">
        <f t="shared" si="63"/>
        <v>-0.21421307964247516</v>
      </c>
    </row>
    <row r="523" spans="1:5" x14ac:dyDescent="0.3">
      <c r="B523" t="s">
        <v>68</v>
      </c>
      <c r="C523">
        <v>7</v>
      </c>
      <c r="D523">
        <f t="shared" si="62"/>
        <v>0.20588235294117646</v>
      </c>
      <c r="E523" s="20">
        <f t="shared" si="63"/>
        <v>-0.32538684202723339</v>
      </c>
    </row>
    <row r="524" spans="1:5" x14ac:dyDescent="0.3">
      <c r="B524" t="s">
        <v>177</v>
      </c>
      <c r="C524">
        <v>4</v>
      </c>
      <c r="D524">
        <f t="shared" si="62"/>
        <v>0.11764705882352941</v>
      </c>
      <c r="E524" s="20">
        <f t="shared" si="63"/>
        <v>-0.25177248982309069</v>
      </c>
    </row>
    <row r="525" spans="1:5" x14ac:dyDescent="0.3">
      <c r="B525" t="s">
        <v>74</v>
      </c>
      <c r="C525">
        <v>2</v>
      </c>
      <c r="D525">
        <f t="shared" si="62"/>
        <v>5.8823529411764705E-2</v>
      </c>
      <c r="E525" s="20">
        <f t="shared" si="63"/>
        <v>-0.16665960847389508</v>
      </c>
    </row>
    <row r="526" spans="1:5" x14ac:dyDescent="0.3">
      <c r="B526" t="s">
        <v>66</v>
      </c>
      <c r="C526">
        <v>1</v>
      </c>
      <c r="D526">
        <f t="shared" si="62"/>
        <v>2.9411764705882353E-2</v>
      </c>
      <c r="E526" s="20">
        <f t="shared" si="63"/>
        <v>-0.1037164860181224</v>
      </c>
    </row>
    <row r="527" spans="1:5" x14ac:dyDescent="0.3">
      <c r="B527" t="s">
        <v>75</v>
      </c>
      <c r="C527">
        <v>2</v>
      </c>
      <c r="D527">
        <f t="shared" si="62"/>
        <v>5.8823529411764705E-2</v>
      </c>
      <c r="E527" s="20">
        <f t="shared" si="63"/>
        <v>-0.16665960847389508</v>
      </c>
    </row>
    <row r="528" spans="1:5" x14ac:dyDescent="0.3">
      <c r="B528" t="s">
        <v>69</v>
      </c>
      <c r="C528">
        <v>3</v>
      </c>
      <c r="D528">
        <f t="shared" si="62"/>
        <v>8.8235294117647065E-2</v>
      </c>
      <c r="E528" s="20">
        <f t="shared" si="63"/>
        <v>-0.21421307964247516</v>
      </c>
    </row>
    <row r="529" spans="2:5" x14ac:dyDescent="0.3">
      <c r="B529" t="s">
        <v>70</v>
      </c>
      <c r="C529">
        <v>1</v>
      </c>
      <c r="D529">
        <f t="shared" si="62"/>
        <v>2.9411764705882353E-2</v>
      </c>
      <c r="E529" s="20">
        <f t="shared" si="63"/>
        <v>-0.1037164860181224</v>
      </c>
    </row>
    <row r="530" spans="2:5" x14ac:dyDescent="0.3">
      <c r="B530" t="s">
        <v>72</v>
      </c>
      <c r="C530">
        <v>1</v>
      </c>
      <c r="D530">
        <f t="shared" si="62"/>
        <v>2.9411764705882353E-2</v>
      </c>
      <c r="E530" s="20">
        <f t="shared" si="63"/>
        <v>-0.1037164860181224</v>
      </c>
    </row>
    <row r="531" spans="2:5" x14ac:dyDescent="0.3">
      <c r="B531" t="s">
        <v>79</v>
      </c>
      <c r="C531">
        <v>1</v>
      </c>
      <c r="D531">
        <f t="shared" si="62"/>
        <v>2.9411764705882353E-2</v>
      </c>
      <c r="E531" s="20">
        <f t="shared" si="63"/>
        <v>-0.1037164860181224</v>
      </c>
    </row>
    <row r="532" spans="2:5" x14ac:dyDescent="0.3">
      <c r="B532" t="s">
        <v>84</v>
      </c>
      <c r="C532">
        <v>1</v>
      </c>
      <c r="D532">
        <f t="shared" si="62"/>
        <v>2.9411764705882353E-2</v>
      </c>
      <c r="E532" s="20">
        <f t="shared" si="63"/>
        <v>-0.1037164860181224</v>
      </c>
    </row>
    <row r="533" spans="2:5" x14ac:dyDescent="0.3">
      <c r="B533" t="s">
        <v>97</v>
      </c>
      <c r="C533">
        <v>1</v>
      </c>
      <c r="D533">
        <f t="shared" si="62"/>
        <v>2.9411764705882353E-2</v>
      </c>
      <c r="E533" s="20">
        <f t="shared" si="63"/>
        <v>-0.1037164860181224</v>
      </c>
    </row>
    <row r="534" spans="2:5" x14ac:dyDescent="0.3">
      <c r="B534" t="s">
        <v>101</v>
      </c>
      <c r="C534">
        <f>SUM(C520:C533)</f>
        <v>34</v>
      </c>
      <c r="E534" s="20">
        <f>-SUM(E520:E533)</f>
        <v>2.3710261788078228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0612-3684-46D0-B027-3F3E5EDEFA39}">
  <dimension ref="A1:L42"/>
  <sheetViews>
    <sheetView workbookViewId="0">
      <selection activeCell="E3" sqref="E3:F14"/>
    </sheetView>
  </sheetViews>
  <sheetFormatPr defaultRowHeight="14.4" x14ac:dyDescent="0.3"/>
  <cols>
    <col min="1" max="1" width="15.109375" bestFit="1" customWidth="1"/>
    <col min="2" max="2" width="18.5546875" bestFit="1" customWidth="1"/>
    <col min="3" max="3" width="20.21875" bestFit="1" customWidth="1"/>
    <col min="4" max="4" width="17.6640625" customWidth="1"/>
    <col min="5" max="5" width="15.77734375" bestFit="1" customWidth="1"/>
    <col min="6" max="6" width="16.77734375" bestFit="1" customWidth="1"/>
    <col min="7" max="7" width="20.21875" bestFit="1" customWidth="1"/>
    <col min="9" max="9" width="14.44140625" bestFit="1" customWidth="1"/>
    <col min="11" max="11" width="9.6640625" bestFit="1" customWidth="1"/>
  </cols>
  <sheetData>
    <row r="1" spans="1:12" ht="15" thickBot="1" x14ac:dyDescent="0.35">
      <c r="A1" s="44" t="s">
        <v>234</v>
      </c>
      <c r="B1" s="44"/>
      <c r="C1" s="44"/>
      <c r="E1" s="44" t="s">
        <v>235</v>
      </c>
      <c r="F1" s="44"/>
      <c r="G1" s="44"/>
    </row>
    <row r="2" spans="1:12" x14ac:dyDescent="0.3">
      <c r="B2" s="11" t="s">
        <v>232</v>
      </c>
      <c r="C2" s="11" t="s">
        <v>233</v>
      </c>
      <c r="F2" s="11" t="s">
        <v>232</v>
      </c>
      <c r="G2" s="11" t="s">
        <v>233</v>
      </c>
      <c r="K2" s="29"/>
      <c r="L2" s="29"/>
    </row>
    <row r="3" spans="1:12" x14ac:dyDescent="0.3">
      <c r="A3" s="11" t="s">
        <v>36</v>
      </c>
      <c r="B3">
        <f>SUM('DailyDataSheet(Birds)'!G31:G350)</f>
        <v>516</v>
      </c>
      <c r="C3">
        <f>(B3/$B$15) * 100</f>
        <v>23.035714285714285</v>
      </c>
      <c r="E3" s="11" t="s">
        <v>36</v>
      </c>
      <c r="F3">
        <f>SUM('DailyDataSheet2(Birds)'!G3:G171)</f>
        <v>339</v>
      </c>
      <c r="G3">
        <f>(F3/$F$15) * 100</f>
        <v>19.640787949015063</v>
      </c>
    </row>
    <row r="4" spans="1:12" x14ac:dyDescent="0.3">
      <c r="A4" s="11" t="s">
        <v>37</v>
      </c>
      <c r="B4">
        <f>SUM('DailyDataSheet(Birds)'!H31:H350)</f>
        <v>345</v>
      </c>
      <c r="C4">
        <f t="shared" ref="C4:C14" si="0">(B4/$B$15) * 100</f>
        <v>15.401785714285715</v>
      </c>
      <c r="E4" s="11" t="s">
        <v>37</v>
      </c>
      <c r="F4">
        <f>SUM('DailyDataSheet2(Birds)'!H3:H180)</f>
        <v>198</v>
      </c>
      <c r="G4">
        <f t="shared" ref="G4:G14" si="1">(F4/$F$15) * 100</f>
        <v>11.471610660486673</v>
      </c>
    </row>
    <row r="5" spans="1:12" x14ac:dyDescent="0.3">
      <c r="A5" s="11" t="s">
        <v>55</v>
      </c>
      <c r="B5">
        <f>SUM('DailyDataSheet(Birds)'!I31:I350)</f>
        <v>170</v>
      </c>
      <c r="C5">
        <f t="shared" si="0"/>
        <v>7.5892857142857135</v>
      </c>
      <c r="E5" s="11" t="s">
        <v>55</v>
      </c>
      <c r="F5">
        <f>SUM('DailyDataSheet2(Birds)'!I3:I178)</f>
        <v>105</v>
      </c>
      <c r="G5">
        <f t="shared" si="1"/>
        <v>6.08342989571263</v>
      </c>
      <c r="K5" s="28"/>
      <c r="L5" s="29"/>
    </row>
    <row r="6" spans="1:12" x14ac:dyDescent="0.3">
      <c r="A6" s="11" t="s">
        <v>56</v>
      </c>
      <c r="B6">
        <f>SUM('DailyDataSheet(Birds)'!J31:J350)</f>
        <v>215</v>
      </c>
      <c r="C6">
        <f t="shared" si="0"/>
        <v>9.5982142857142865</v>
      </c>
      <c r="E6" s="11" t="s">
        <v>56</v>
      </c>
      <c r="F6">
        <f>SUM('DailyDataSheet2(Birds)'!J3:J180)</f>
        <v>217</v>
      </c>
      <c r="G6">
        <f t="shared" si="1"/>
        <v>12.57242178447277</v>
      </c>
      <c r="K6" s="25"/>
    </row>
    <row r="7" spans="1:12" x14ac:dyDescent="0.3">
      <c r="A7" s="11" t="s">
        <v>40</v>
      </c>
      <c r="B7">
        <f>SUM('DailyDataSheet(Birds)'!K31:K350)</f>
        <v>193</v>
      </c>
      <c r="C7">
        <f t="shared" si="0"/>
        <v>8.6160714285714288</v>
      </c>
      <c r="E7" s="11" t="s">
        <v>40</v>
      </c>
      <c r="F7">
        <f>SUM('DailyDataSheet2(Birds)'!K3:K173)</f>
        <v>133</v>
      </c>
      <c r="G7">
        <f t="shared" si="1"/>
        <v>7.705677867902665</v>
      </c>
    </row>
    <row r="8" spans="1:12" x14ac:dyDescent="0.3">
      <c r="A8" s="11" t="s">
        <v>41</v>
      </c>
      <c r="B8">
        <f>SUM('DailyDataSheet(Birds)'!L31:L350)</f>
        <v>106</v>
      </c>
      <c r="C8">
        <f t="shared" si="0"/>
        <v>4.7321428571428568</v>
      </c>
      <c r="E8" s="11" t="s">
        <v>41</v>
      </c>
      <c r="F8">
        <f>SUM('DailyDataSheet2(Birds)'!L3:L170)</f>
        <v>51</v>
      </c>
      <c r="G8">
        <f t="shared" si="1"/>
        <v>2.9548088064889919</v>
      </c>
    </row>
    <row r="9" spans="1:12" x14ac:dyDescent="0.3">
      <c r="A9" s="11" t="s">
        <v>42</v>
      </c>
      <c r="B9">
        <f>SUM('DailyDataSheet(Birds)'!M31:M350)</f>
        <v>155</v>
      </c>
      <c r="C9">
        <f t="shared" si="0"/>
        <v>6.9196428571428577</v>
      </c>
      <c r="E9" s="11" t="s">
        <v>42</v>
      </c>
      <c r="F9">
        <f>SUM('DailyDataSheet2(Birds)'!M3:M170)</f>
        <v>335</v>
      </c>
      <c r="G9">
        <f t="shared" si="1"/>
        <v>19.409038238702202</v>
      </c>
    </row>
    <row r="10" spans="1:12" x14ac:dyDescent="0.3">
      <c r="A10" s="11" t="s">
        <v>43</v>
      </c>
      <c r="B10">
        <f>SUM('DailyDataSheet(Birds)'!N31:N350)</f>
        <v>264</v>
      </c>
      <c r="C10">
        <f t="shared" si="0"/>
        <v>11.785714285714285</v>
      </c>
      <c r="E10" s="11" t="s">
        <v>43</v>
      </c>
      <c r="F10">
        <f>SUM('DailyDataSheet2(Birds)'!N3:N183)</f>
        <v>237</v>
      </c>
      <c r="G10">
        <f t="shared" si="1"/>
        <v>13.73117033603708</v>
      </c>
    </row>
    <row r="11" spans="1:12" x14ac:dyDescent="0.3">
      <c r="A11" s="11" t="s">
        <v>44</v>
      </c>
      <c r="B11">
        <f>SUM('DailyDataSheet(Birds)'!O31:O347)</f>
        <v>234</v>
      </c>
      <c r="C11">
        <f t="shared" si="0"/>
        <v>10.446428571428571</v>
      </c>
      <c r="E11" s="11" t="s">
        <v>44</v>
      </c>
      <c r="F11">
        <f>SUM('DailyDataSheet2(Birds)'!O3:O178)</f>
        <v>96</v>
      </c>
      <c r="G11">
        <f t="shared" si="1"/>
        <v>5.5619930475086905</v>
      </c>
    </row>
    <row r="12" spans="1:12" x14ac:dyDescent="0.3">
      <c r="A12" s="11" t="s">
        <v>45</v>
      </c>
      <c r="B12">
        <f>SUM('DailyDataSheet(Birds)'!P31:P340)</f>
        <v>16</v>
      </c>
      <c r="C12">
        <f t="shared" si="0"/>
        <v>0.7142857142857143</v>
      </c>
      <c r="E12" s="11" t="s">
        <v>173</v>
      </c>
      <c r="F12">
        <f>SUM('DailyDataSheet2(Birds)'!P3:P52)</f>
        <v>11</v>
      </c>
      <c r="G12">
        <f t="shared" si="1"/>
        <v>0.6373117033603708</v>
      </c>
    </row>
    <row r="13" spans="1:12" x14ac:dyDescent="0.3">
      <c r="A13" s="11" t="s">
        <v>46</v>
      </c>
      <c r="B13">
        <f>SUM('DailyDataSheet(Birds)'!Q31:Q247)</f>
        <v>19</v>
      </c>
      <c r="C13">
        <f t="shared" si="0"/>
        <v>0.8482142857142857</v>
      </c>
      <c r="E13" s="11" t="s">
        <v>47</v>
      </c>
      <c r="F13">
        <f>SUM('DailyDataSheet2(Birds)'!Q3:Q169)</f>
        <v>3</v>
      </c>
      <c r="G13">
        <f t="shared" si="1"/>
        <v>0.17381228273464658</v>
      </c>
    </row>
    <row r="14" spans="1:12" x14ac:dyDescent="0.3">
      <c r="A14" s="11" t="s">
        <v>47</v>
      </c>
      <c r="B14">
        <f>SUM('DailyDataSheet(Birds)'!R268:R345)</f>
        <v>7</v>
      </c>
      <c r="C14">
        <f t="shared" si="0"/>
        <v>0.3125</v>
      </c>
      <c r="E14" s="11" t="s">
        <v>176</v>
      </c>
      <c r="F14">
        <f>SUM('DailyDataSheet2(Birds)'!R3:R177)</f>
        <v>1</v>
      </c>
      <c r="G14">
        <f t="shared" si="1"/>
        <v>5.7937427578215524E-2</v>
      </c>
    </row>
    <row r="15" spans="1:12" x14ac:dyDescent="0.3">
      <c r="A15" s="12" t="s">
        <v>101</v>
      </c>
      <c r="B15" s="13">
        <f>SUM(B3:B14)</f>
        <v>2240</v>
      </c>
      <c r="C15" s="13">
        <f>SUM(C3:C14)</f>
        <v>100.00000000000001</v>
      </c>
      <c r="E15" s="12" t="s">
        <v>101</v>
      </c>
      <c r="F15" s="13">
        <f>SUM(F3:F14)</f>
        <v>1726</v>
      </c>
      <c r="G15" s="13">
        <f>SUM(G3:G14)</f>
        <v>99.999999999999986</v>
      </c>
    </row>
    <row r="21" spans="1:9" s="19" customFormat="1" ht="15" thickBot="1" x14ac:dyDescent="0.35"/>
    <row r="22" spans="1:9" ht="18" thickBot="1" x14ac:dyDescent="0.4">
      <c r="A22" s="43" t="s">
        <v>224</v>
      </c>
      <c r="B22" s="43"/>
    </row>
    <row r="23" spans="1:9" ht="15.6" thickTop="1" thickBot="1" x14ac:dyDescent="0.35">
      <c r="A23" s="15" t="s">
        <v>164</v>
      </c>
      <c r="B23" s="15" t="s">
        <v>166</v>
      </c>
      <c r="C23" s="14"/>
      <c r="D23" t="s">
        <v>229</v>
      </c>
      <c r="E23" s="14"/>
      <c r="F23" s="14"/>
      <c r="G23" s="14"/>
      <c r="H23" s="14"/>
      <c r="I23" s="14"/>
    </row>
    <row r="24" spans="1:9" x14ac:dyDescent="0.3">
      <c r="A24" s="26">
        <v>0.67301166700925652</v>
      </c>
      <c r="B24">
        <v>1.1569876443452742</v>
      </c>
      <c r="C24" s="26"/>
      <c r="D24" t="s">
        <v>230</v>
      </c>
      <c r="E24" s="26"/>
      <c r="F24" s="26"/>
      <c r="G24" s="26"/>
      <c r="H24" s="26"/>
      <c r="I24" s="26"/>
    </row>
    <row r="25" spans="1:9" x14ac:dyDescent="0.3">
      <c r="A25" s="26">
        <v>0</v>
      </c>
      <c r="B25">
        <v>0.69223904968069117</v>
      </c>
    </row>
    <row r="26" spans="1:9" x14ac:dyDescent="0.3">
      <c r="A26">
        <v>1.0549201679861442</v>
      </c>
      <c r="B26">
        <v>0.56233514461880829</v>
      </c>
      <c r="D26" t="s">
        <v>164</v>
      </c>
      <c r="G26" t="s">
        <v>166</v>
      </c>
    </row>
    <row r="27" spans="1:9" x14ac:dyDescent="0.3">
      <c r="A27">
        <v>0</v>
      </c>
      <c r="B27">
        <v>1.0652740629198205</v>
      </c>
      <c r="D27" t="s">
        <v>225</v>
      </c>
      <c r="E27">
        <f>AVERAGE(A24:A42)</f>
        <v>0.31158252947821574</v>
      </c>
      <c r="G27" t="s">
        <v>225</v>
      </c>
      <c r="H27">
        <f>AVERAGE(B24:B35)</f>
        <v>0.82004952688869803</v>
      </c>
    </row>
    <row r="28" spans="1:9" x14ac:dyDescent="0.3">
      <c r="A28">
        <v>0</v>
      </c>
      <c r="B28">
        <v>0.84810244637459142</v>
      </c>
      <c r="D28" t="s">
        <v>226</v>
      </c>
      <c r="E28">
        <f>_xlfn.STDEV.S(A24:A42)</f>
        <v>0.35129557220213048</v>
      </c>
      <c r="G28" t="s">
        <v>226</v>
      </c>
      <c r="H28">
        <f>_xlfn.STDEV.S(B24:B35)</f>
        <v>0.44459145209897916</v>
      </c>
    </row>
    <row r="29" spans="1:9" x14ac:dyDescent="0.3">
      <c r="A29">
        <v>0</v>
      </c>
      <c r="B29">
        <v>0.90607140517923601</v>
      </c>
      <c r="D29" t="s">
        <v>220</v>
      </c>
      <c r="E29">
        <v>19</v>
      </c>
      <c r="G29" t="s">
        <v>220</v>
      </c>
      <c r="H29">
        <v>12</v>
      </c>
    </row>
    <row r="30" spans="1:9" x14ac:dyDescent="0.3">
      <c r="A30">
        <v>0</v>
      </c>
      <c r="B30">
        <v>1.2950711522922349</v>
      </c>
      <c r="D30" t="s">
        <v>227</v>
      </c>
      <c r="E30">
        <f>E28^2/E29</f>
        <v>6.495188370990646E-3</v>
      </c>
      <c r="G30" t="s">
        <v>227</v>
      </c>
      <c r="H30">
        <f>H28^2/H29</f>
        <v>1.6471796606623238E-2</v>
      </c>
    </row>
    <row r="31" spans="1:9" x14ac:dyDescent="0.3">
      <c r="A31">
        <v>1.0337005498525014</v>
      </c>
      <c r="B31">
        <v>1.0192878884822012</v>
      </c>
    </row>
    <row r="32" spans="1:9" x14ac:dyDescent="0.3">
      <c r="A32">
        <v>0.37677016125643675</v>
      </c>
      <c r="B32">
        <v>0.94172862013606329</v>
      </c>
      <c r="E32">
        <f>SQRT(E30+H30)</f>
        <v>0.15154862248669199</v>
      </c>
    </row>
    <row r="33" spans="1:5" x14ac:dyDescent="0.3">
      <c r="A33">
        <v>0</v>
      </c>
      <c r="B33">
        <v>1.3534969086354538</v>
      </c>
    </row>
    <row r="34" spans="1:5" x14ac:dyDescent="0.3">
      <c r="A34">
        <v>0.69314718055994529</v>
      </c>
      <c r="B34">
        <v>0</v>
      </c>
      <c r="D34" t="s">
        <v>228</v>
      </c>
      <c r="E34">
        <f>E27-H27/E32</f>
        <v>-5.0995489835166286</v>
      </c>
    </row>
    <row r="35" spans="1:5" x14ac:dyDescent="0.3">
      <c r="A35">
        <v>0.45056120886630463</v>
      </c>
      <c r="B35">
        <v>0</v>
      </c>
      <c r="D35" t="s">
        <v>231</v>
      </c>
      <c r="E35">
        <f>_xlfn.NORM.S.DIST(E34, TRUE)</f>
        <v>1.7023187808308688E-7</v>
      </c>
    </row>
    <row r="36" spans="1:5" x14ac:dyDescent="0.3">
      <c r="A36">
        <v>0.2868359830561607</v>
      </c>
    </row>
    <row r="37" spans="1:5" x14ac:dyDescent="0.3">
      <c r="A37">
        <v>0</v>
      </c>
    </row>
    <row r="38" spans="1:5" x14ac:dyDescent="0.3">
      <c r="A38">
        <v>0.20619205063323187</v>
      </c>
    </row>
    <row r="39" spans="1:5" x14ac:dyDescent="0.3">
      <c r="A39">
        <v>0.42932302193061622</v>
      </c>
    </row>
    <row r="40" spans="1:5" x14ac:dyDescent="0.3">
      <c r="A40">
        <v>0</v>
      </c>
    </row>
    <row r="41" spans="1:5" x14ac:dyDescent="0.3">
      <c r="A41">
        <v>0.21455915517640509</v>
      </c>
    </row>
    <row r="42" spans="1:5" x14ac:dyDescent="0.3">
      <c r="A42">
        <v>0.5010469137590966</v>
      </c>
    </row>
  </sheetData>
  <mergeCells count="3">
    <mergeCell ref="A22:B22"/>
    <mergeCell ref="A1:C1"/>
    <mergeCell ref="E1:G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DC3C-1C50-4D72-8ED2-2C55CDE37C2E}">
  <dimension ref="A1:AF94"/>
  <sheetViews>
    <sheetView topLeftCell="A32" workbookViewId="0">
      <selection activeCell="M44" sqref="M44"/>
    </sheetView>
  </sheetViews>
  <sheetFormatPr defaultRowHeight="14.4" x14ac:dyDescent="0.3"/>
  <cols>
    <col min="1" max="1" width="9.21875" customWidth="1"/>
    <col min="2" max="2" width="9.77734375" customWidth="1"/>
    <col min="3" max="3" width="10.109375" customWidth="1"/>
    <col min="4" max="4" width="10.6640625" customWidth="1"/>
    <col min="5" max="5" width="4.109375" customWidth="1"/>
    <col min="10" max="10" width="3.5546875" style="27" customWidth="1"/>
    <col min="28" max="28" width="3.33203125" customWidth="1"/>
  </cols>
  <sheetData>
    <row r="1" spans="1:32" x14ac:dyDescent="0.3">
      <c r="F1" s="17" t="s">
        <v>178</v>
      </c>
      <c r="K1" t="s">
        <v>181</v>
      </c>
    </row>
    <row r="2" spans="1:32" ht="15" thickBot="1" x14ac:dyDescent="0.35">
      <c r="A2" s="6" t="s">
        <v>136</v>
      </c>
      <c r="B2" s="6" t="s">
        <v>58</v>
      </c>
      <c r="C2" s="6" t="s">
        <v>59</v>
      </c>
      <c r="D2" s="10" t="s">
        <v>60</v>
      </c>
      <c r="F2" t="s">
        <v>183</v>
      </c>
      <c r="G2" t="s">
        <v>184</v>
      </c>
      <c r="H2" t="s">
        <v>179</v>
      </c>
      <c r="I2" t="s">
        <v>180</v>
      </c>
      <c r="K2" t="s">
        <v>182</v>
      </c>
      <c r="L2" t="s">
        <v>181</v>
      </c>
      <c r="M2" t="s">
        <v>179</v>
      </c>
      <c r="N2" t="s">
        <v>180</v>
      </c>
      <c r="X2" t="s">
        <v>183</v>
      </c>
      <c r="Y2" t="s">
        <v>184</v>
      </c>
      <c r="Z2" t="s">
        <v>179</v>
      </c>
      <c r="AA2" t="s">
        <v>180</v>
      </c>
      <c r="AC2" t="s">
        <v>182</v>
      </c>
      <c r="AD2" t="s">
        <v>181</v>
      </c>
      <c r="AE2" t="s">
        <v>179</v>
      </c>
      <c r="AF2" t="s">
        <v>180</v>
      </c>
    </row>
    <row r="3" spans="1:32" x14ac:dyDescent="0.3">
      <c r="A3" t="s">
        <v>139</v>
      </c>
      <c r="B3">
        <v>15</v>
      </c>
      <c r="C3">
        <f>-SUM('Diversity calculations'!E2:E16)</f>
        <v>2.5807473674432471</v>
      </c>
      <c r="D3" s="30">
        <f>C3/SUM('DailyDataSheet(Feeders)'!E2:E4)</f>
        <v>0.39086510359989629</v>
      </c>
      <c r="F3" s="18"/>
      <c r="G3">
        <f>AVERAGE(F4:F22)</f>
        <v>0.11688549576557024</v>
      </c>
      <c r="H3">
        <f>3.27*G3</f>
        <v>0.3822155711534147</v>
      </c>
      <c r="I3">
        <v>0</v>
      </c>
      <c r="K3">
        <f t="shared" ref="K3:K22" si="0">C3</f>
        <v>2.5807473674432471</v>
      </c>
      <c r="L3">
        <f>AVERAGE(K3:K22)</f>
        <v>2.6147066111487223</v>
      </c>
      <c r="M3">
        <f>L3+2.66*G3</f>
        <v>2.925622029885139</v>
      </c>
      <c r="N3">
        <f>L3-2.66*G3</f>
        <v>2.3037911924123056</v>
      </c>
      <c r="X3" s="18"/>
      <c r="Y3">
        <f>AVERAGE(X4:X34)</f>
        <v>0.15434049947223383</v>
      </c>
      <c r="Z3">
        <f>3.27*Y3</f>
        <v>0.50469343327420457</v>
      </c>
      <c r="AA3">
        <v>0</v>
      </c>
      <c r="AC3">
        <f>C3</f>
        <v>2.5807473674432471</v>
      </c>
      <c r="AD3">
        <f>AVERAGE(AC3:AC34)</f>
        <v>2.5492485718587243</v>
      </c>
      <c r="AE3">
        <f>AD3+2.66*Y3</f>
        <v>2.9597943004548664</v>
      </c>
      <c r="AF3">
        <f>AD3-2.66*Y3</f>
        <v>2.1387028432625823</v>
      </c>
    </row>
    <row r="4" spans="1:32" x14ac:dyDescent="0.3">
      <c r="A4" t="s">
        <v>141</v>
      </c>
      <c r="B4">
        <v>12</v>
      </c>
      <c r="C4">
        <f>-SUM('Diversity calculations'!E18:E29)</f>
        <v>2.3033795051939387</v>
      </c>
      <c r="D4" s="30">
        <f>C4/SUM('DailyDataSheet(Feeders)'!E2:E4)</f>
        <v>0.34885656778541901</v>
      </c>
      <c r="F4">
        <f t="shared" ref="F4:F22" si="1">MAX(C3:C4)-MIN(C3:C4)</f>
        <v>0.27736786224930832</v>
      </c>
      <c r="G4">
        <v>0.11688549576557024</v>
      </c>
      <c r="H4">
        <v>0.3822155711534147</v>
      </c>
      <c r="I4">
        <v>0</v>
      </c>
      <c r="K4">
        <f t="shared" si="0"/>
        <v>2.3033795051939387</v>
      </c>
      <c r="L4">
        <v>2.6147066111487223</v>
      </c>
      <c r="M4">
        <v>2.925622029885139</v>
      </c>
      <c r="N4">
        <v>2.3037911924123056</v>
      </c>
      <c r="X4">
        <f>MAX(C3:C4)-MIN(C3:C4)</f>
        <v>0.27736786224930832</v>
      </c>
      <c r="Y4">
        <v>0.15434049947223383</v>
      </c>
      <c r="Z4">
        <v>0.50469343327420457</v>
      </c>
      <c r="AA4">
        <v>0</v>
      </c>
      <c r="AC4">
        <f t="shared" ref="AC4:AC34" si="2">C4</f>
        <v>2.3033795051939387</v>
      </c>
      <c r="AD4">
        <v>2.5492485718587243</v>
      </c>
      <c r="AE4">
        <v>2.9597943004548664</v>
      </c>
      <c r="AF4">
        <v>2.1387028432625823</v>
      </c>
    </row>
    <row r="5" spans="1:32" x14ac:dyDescent="0.3">
      <c r="A5" t="s">
        <v>142</v>
      </c>
      <c r="B5">
        <v>16</v>
      </c>
      <c r="C5">
        <f>-SUM('Diversity calculations'!E31:E46)</f>
        <v>2.5884253066207541</v>
      </c>
      <c r="D5" s="30">
        <f>C5/SUM('DailyDataSheet(Feeders)'!E5:E12)</f>
        <v>0.46999683777439033</v>
      </c>
      <c r="F5">
        <f t="shared" si="1"/>
        <v>0.28504580142681535</v>
      </c>
      <c r="G5">
        <v>0.11688549576557024</v>
      </c>
      <c r="H5">
        <v>0.3822155711534147</v>
      </c>
      <c r="I5">
        <v>0</v>
      </c>
      <c r="K5">
        <f t="shared" si="0"/>
        <v>2.5884253066207541</v>
      </c>
      <c r="L5">
        <v>2.6147066111487223</v>
      </c>
      <c r="M5">
        <v>2.925622029885139</v>
      </c>
      <c r="N5">
        <v>2.3037911924123056</v>
      </c>
      <c r="X5">
        <f t="shared" ref="X5:X34" si="3">MAX(C4:C5)-MIN(C4:C5)</f>
        <v>0.28504580142681535</v>
      </c>
      <c r="Y5">
        <v>0.15434049947223383</v>
      </c>
      <c r="Z5">
        <v>0.50469343327420457</v>
      </c>
      <c r="AA5">
        <v>0</v>
      </c>
      <c r="AC5">
        <f t="shared" si="2"/>
        <v>2.5884253066207541</v>
      </c>
      <c r="AD5">
        <v>2.5492485718587243</v>
      </c>
      <c r="AE5">
        <v>2.9597943004548664</v>
      </c>
      <c r="AF5">
        <v>2.1387028432625823</v>
      </c>
    </row>
    <row r="6" spans="1:32" x14ac:dyDescent="0.3">
      <c r="A6" t="s">
        <v>143</v>
      </c>
      <c r="B6">
        <v>15</v>
      </c>
      <c r="C6">
        <f>-SUM('Diversity calculations'!E48:E62)</f>
        <v>2.6015683031684977</v>
      </c>
      <c r="D6" s="30">
        <f>C6/SUM('DailyDataSheet(Feeders)'!E5:E12)</f>
        <v>0.47238329520876909</v>
      </c>
      <c r="F6">
        <f t="shared" si="1"/>
        <v>1.3142996547743646E-2</v>
      </c>
      <c r="G6">
        <v>0.11688549576557024</v>
      </c>
      <c r="H6">
        <v>0.3822155711534147</v>
      </c>
      <c r="I6">
        <v>0</v>
      </c>
      <c r="K6">
        <f t="shared" si="0"/>
        <v>2.6015683031684977</v>
      </c>
      <c r="L6">
        <v>2.6147066111487223</v>
      </c>
      <c r="M6">
        <v>2.925622029885139</v>
      </c>
      <c r="N6">
        <v>2.3037911924123056</v>
      </c>
      <c r="X6">
        <f t="shared" si="3"/>
        <v>1.3142996547743646E-2</v>
      </c>
      <c r="Y6">
        <v>0.15434049947223383</v>
      </c>
      <c r="Z6">
        <v>0.50469343327420457</v>
      </c>
      <c r="AA6">
        <v>0</v>
      </c>
      <c r="AC6">
        <f t="shared" si="2"/>
        <v>2.6015683031684977</v>
      </c>
      <c r="AD6">
        <v>2.5492485718587243</v>
      </c>
      <c r="AE6">
        <v>2.9597943004548664</v>
      </c>
      <c r="AF6">
        <v>2.1387028432625823</v>
      </c>
    </row>
    <row r="7" spans="1:32" x14ac:dyDescent="0.3">
      <c r="A7" t="s">
        <v>144</v>
      </c>
      <c r="B7">
        <v>15</v>
      </c>
      <c r="C7">
        <f>-SUM('Diversity calculations'!E64:E78)</f>
        <v>2.6215673561994279</v>
      </c>
      <c r="D7" s="30">
        <f>C7/SUM('DailyDataSheet(Feeders)'!E13:E16)</f>
        <v>0.93051650469346225</v>
      </c>
      <c r="F7">
        <f t="shared" si="1"/>
        <v>1.9999053030930192E-2</v>
      </c>
      <c r="G7">
        <v>0.11688549576557024</v>
      </c>
      <c r="H7">
        <v>0.3822155711534147</v>
      </c>
      <c r="I7">
        <v>0</v>
      </c>
      <c r="K7">
        <f t="shared" si="0"/>
        <v>2.6215673561994279</v>
      </c>
      <c r="L7">
        <v>2.6147066111487223</v>
      </c>
      <c r="M7">
        <v>2.925622029885139</v>
      </c>
      <c r="N7">
        <v>2.3037911924123056</v>
      </c>
      <c r="X7">
        <f t="shared" si="3"/>
        <v>1.9999053030930192E-2</v>
      </c>
      <c r="Y7">
        <v>0.15434049947223383</v>
      </c>
      <c r="Z7">
        <v>0.50469343327420457</v>
      </c>
      <c r="AA7">
        <v>0</v>
      </c>
      <c r="AC7">
        <f t="shared" si="2"/>
        <v>2.6215673561994279</v>
      </c>
      <c r="AD7">
        <v>2.5492485718587243</v>
      </c>
      <c r="AE7">
        <v>2.9597943004548664</v>
      </c>
      <c r="AF7">
        <v>2.1387028432625823</v>
      </c>
    </row>
    <row r="8" spans="1:32" x14ac:dyDescent="0.3">
      <c r="A8" t="s">
        <v>145</v>
      </c>
      <c r="B8">
        <v>17</v>
      </c>
      <c r="C8">
        <f>-SUM('Diversity calculations'!E80:E96)</f>
        <v>2.6695938201771452</v>
      </c>
      <c r="D8" s="30">
        <f>C8/SUM('DailyDataSheet(Feeders)'!E13:E16)</f>
        <v>0.94756333634844581</v>
      </c>
      <c r="F8">
        <f t="shared" si="1"/>
        <v>4.802646397771726E-2</v>
      </c>
      <c r="G8">
        <v>0.11688549576557024</v>
      </c>
      <c r="H8">
        <v>0.3822155711534147</v>
      </c>
      <c r="I8">
        <v>0</v>
      </c>
      <c r="K8">
        <f t="shared" si="0"/>
        <v>2.6695938201771452</v>
      </c>
      <c r="L8">
        <v>2.6147066111487223</v>
      </c>
      <c r="M8">
        <v>2.925622029885139</v>
      </c>
      <c r="N8">
        <v>2.3037911924123056</v>
      </c>
      <c r="X8">
        <f t="shared" si="3"/>
        <v>4.802646397771726E-2</v>
      </c>
      <c r="Y8">
        <v>0.15434049947223383</v>
      </c>
      <c r="Z8">
        <v>0.50469343327420457</v>
      </c>
      <c r="AA8">
        <v>0</v>
      </c>
      <c r="AC8">
        <f t="shared" si="2"/>
        <v>2.6695938201771452</v>
      </c>
      <c r="AD8">
        <v>2.5492485718587243</v>
      </c>
      <c r="AE8">
        <v>2.9597943004548664</v>
      </c>
      <c r="AF8">
        <v>2.1387028432625823</v>
      </c>
    </row>
    <row r="9" spans="1:32" x14ac:dyDescent="0.3">
      <c r="A9" t="s">
        <v>146</v>
      </c>
      <c r="B9">
        <v>15</v>
      </c>
      <c r="C9">
        <f>-SUM('Diversity calculations'!E98:E112)</f>
        <v>2.5856731268063742</v>
      </c>
      <c r="D9" s="30">
        <f>C9/SUM('DailyDataSheet(Feeders)'!E17:E23)</f>
        <v>0.61680568440931949</v>
      </c>
      <c r="F9">
        <f t="shared" si="1"/>
        <v>8.3920693370771016E-2</v>
      </c>
      <c r="G9">
        <v>0.11688549576557024</v>
      </c>
      <c r="H9">
        <v>0.3822155711534147</v>
      </c>
      <c r="I9">
        <v>0</v>
      </c>
      <c r="K9">
        <f t="shared" si="0"/>
        <v>2.5856731268063742</v>
      </c>
      <c r="L9">
        <v>2.6147066111487223</v>
      </c>
      <c r="M9">
        <v>2.925622029885139</v>
      </c>
      <c r="N9">
        <v>2.3037911924123056</v>
      </c>
      <c r="X9">
        <f t="shared" si="3"/>
        <v>8.3920693370771016E-2</v>
      </c>
      <c r="Y9">
        <v>0.15434049947223383</v>
      </c>
      <c r="Z9">
        <v>0.50469343327420457</v>
      </c>
      <c r="AA9">
        <v>0</v>
      </c>
      <c r="AC9">
        <f t="shared" si="2"/>
        <v>2.5856731268063742</v>
      </c>
      <c r="AD9">
        <v>2.5492485718587243</v>
      </c>
      <c r="AE9">
        <v>2.9597943004548664</v>
      </c>
      <c r="AF9">
        <v>2.1387028432625823</v>
      </c>
    </row>
    <row r="10" spans="1:32" x14ac:dyDescent="0.3">
      <c r="A10" t="s">
        <v>147</v>
      </c>
      <c r="B10">
        <v>17</v>
      </c>
      <c r="C10">
        <f>-SUM('Diversity calculations'!E114:E130)</f>
        <v>2.7436353882736624</v>
      </c>
      <c r="D10" s="30">
        <f>C10/SUM('DailyDataSheet(Feeders)'!E24:E31)</f>
        <v>0.39585601018699462</v>
      </c>
      <c r="F10">
        <f t="shared" si="1"/>
        <v>0.1579622614672882</v>
      </c>
      <c r="G10">
        <v>0.11688549576557024</v>
      </c>
      <c r="H10">
        <v>0.3822155711534147</v>
      </c>
      <c r="I10">
        <v>0</v>
      </c>
      <c r="K10">
        <f t="shared" si="0"/>
        <v>2.7436353882736624</v>
      </c>
      <c r="L10">
        <v>2.6147066111487223</v>
      </c>
      <c r="M10">
        <v>2.925622029885139</v>
      </c>
      <c r="N10">
        <v>2.3037911924123056</v>
      </c>
      <c r="X10">
        <f t="shared" si="3"/>
        <v>0.1579622614672882</v>
      </c>
      <c r="Y10">
        <v>0.15434049947223383</v>
      </c>
      <c r="Z10">
        <v>0.50469343327420457</v>
      </c>
      <c r="AA10">
        <v>0</v>
      </c>
      <c r="AC10">
        <f t="shared" si="2"/>
        <v>2.7436353882736624</v>
      </c>
      <c r="AD10">
        <v>2.5492485718587243</v>
      </c>
      <c r="AE10">
        <v>2.9597943004548664</v>
      </c>
      <c r="AF10">
        <v>2.1387028432625823</v>
      </c>
    </row>
    <row r="11" spans="1:32" x14ac:dyDescent="0.3">
      <c r="A11" t="s">
        <v>148</v>
      </c>
      <c r="B11">
        <v>18</v>
      </c>
      <c r="C11">
        <f>-SUM('Diversity calculations'!E132:E149)</f>
        <v>2.6884301203116832</v>
      </c>
      <c r="D11" s="30">
        <f>C11/SUM('DailyDataSheet(Feeders)'!E24:E31)</f>
        <v>0.38789090767733375</v>
      </c>
      <c r="F11">
        <f t="shared" si="1"/>
        <v>5.5205267961979221E-2</v>
      </c>
      <c r="G11">
        <v>0.11688549576557024</v>
      </c>
      <c r="H11">
        <v>0.3822155711534147</v>
      </c>
      <c r="I11">
        <v>0</v>
      </c>
      <c r="K11">
        <f t="shared" si="0"/>
        <v>2.6884301203116832</v>
      </c>
      <c r="L11">
        <v>2.6147066111487223</v>
      </c>
      <c r="M11">
        <v>2.925622029885139</v>
      </c>
      <c r="N11">
        <v>2.3037911924123056</v>
      </c>
      <c r="X11">
        <f t="shared" si="3"/>
        <v>5.5205267961979221E-2</v>
      </c>
      <c r="Y11">
        <v>0.15434049947223383</v>
      </c>
      <c r="Z11">
        <v>0.50469343327420457</v>
      </c>
      <c r="AA11">
        <v>0</v>
      </c>
      <c r="AC11">
        <f t="shared" si="2"/>
        <v>2.6884301203116832</v>
      </c>
      <c r="AD11">
        <v>2.5492485718587243</v>
      </c>
      <c r="AE11">
        <v>2.9597943004548664</v>
      </c>
      <c r="AF11">
        <v>2.1387028432625823</v>
      </c>
    </row>
    <row r="12" spans="1:32" x14ac:dyDescent="0.3">
      <c r="A12" t="s">
        <v>149</v>
      </c>
      <c r="B12">
        <v>14</v>
      </c>
      <c r="C12">
        <f>-SUM('Diversity calculations'!E151:E164)</f>
        <v>2.4887942215753505</v>
      </c>
      <c r="D12" s="30" t="s">
        <v>57</v>
      </c>
      <c r="F12">
        <f t="shared" si="1"/>
        <v>0.1996358987363327</v>
      </c>
      <c r="G12">
        <v>0.11688549576557024</v>
      </c>
      <c r="H12">
        <v>0.3822155711534147</v>
      </c>
      <c r="I12">
        <v>0</v>
      </c>
      <c r="K12">
        <f t="shared" si="0"/>
        <v>2.4887942215753505</v>
      </c>
      <c r="L12">
        <v>2.6147066111487223</v>
      </c>
      <c r="M12">
        <v>2.925622029885139</v>
      </c>
      <c r="N12">
        <v>2.3037911924123056</v>
      </c>
      <c r="X12">
        <f t="shared" si="3"/>
        <v>0.1996358987363327</v>
      </c>
      <c r="Y12">
        <v>0.15434049947223383</v>
      </c>
      <c r="Z12">
        <v>0.50469343327420457</v>
      </c>
      <c r="AA12">
        <v>0</v>
      </c>
      <c r="AC12">
        <f t="shared" si="2"/>
        <v>2.4887942215753505</v>
      </c>
      <c r="AD12">
        <v>2.5492485718587243</v>
      </c>
      <c r="AE12">
        <v>2.9597943004548664</v>
      </c>
      <c r="AF12">
        <v>2.1387028432625823</v>
      </c>
    </row>
    <row r="13" spans="1:32" x14ac:dyDescent="0.3">
      <c r="A13" t="s">
        <v>150</v>
      </c>
      <c r="B13">
        <v>18</v>
      </c>
      <c r="C13">
        <f>-SUM('Diversity calculations'!E166:E183)</f>
        <v>2.7294416656358735</v>
      </c>
      <c r="D13" s="30" t="s">
        <v>57</v>
      </c>
      <c r="F13">
        <f t="shared" si="1"/>
        <v>0.24064744406052307</v>
      </c>
      <c r="G13">
        <v>0.11688549576557024</v>
      </c>
      <c r="H13">
        <v>0.3822155711534147</v>
      </c>
      <c r="I13">
        <v>0</v>
      </c>
      <c r="K13">
        <f t="shared" si="0"/>
        <v>2.7294416656358735</v>
      </c>
      <c r="L13">
        <v>2.6147066111487223</v>
      </c>
      <c r="M13">
        <v>2.925622029885139</v>
      </c>
      <c r="N13">
        <v>2.3037911924123056</v>
      </c>
      <c r="X13">
        <f t="shared" si="3"/>
        <v>0.24064744406052307</v>
      </c>
      <c r="Y13">
        <v>0.15434049947223383</v>
      </c>
      <c r="Z13">
        <v>0.50469343327420457</v>
      </c>
      <c r="AA13">
        <v>0</v>
      </c>
      <c r="AC13">
        <f t="shared" si="2"/>
        <v>2.7294416656358735</v>
      </c>
      <c r="AD13">
        <v>2.5492485718587243</v>
      </c>
      <c r="AE13">
        <v>2.9597943004548664</v>
      </c>
      <c r="AF13">
        <v>2.1387028432625823</v>
      </c>
    </row>
    <row r="14" spans="1:32" x14ac:dyDescent="0.3">
      <c r="A14" t="s">
        <v>151</v>
      </c>
      <c r="B14">
        <v>17</v>
      </c>
      <c r="C14">
        <f>-SUM('Diversity calculations'!E185:E201)</f>
        <v>2.6765717978831125</v>
      </c>
      <c r="D14" s="30">
        <f>C14/SUM('DailyDataSheet(Feeders)'!E32:E37)</f>
        <v>0.76313767424076551</v>
      </c>
      <c r="F14">
        <f t="shared" si="1"/>
        <v>5.2869867752761035E-2</v>
      </c>
      <c r="G14">
        <v>0.11688549576557024</v>
      </c>
      <c r="H14">
        <v>0.3822155711534147</v>
      </c>
      <c r="I14">
        <v>0</v>
      </c>
      <c r="K14">
        <f t="shared" si="0"/>
        <v>2.6765717978831125</v>
      </c>
      <c r="L14">
        <v>2.6147066111487223</v>
      </c>
      <c r="M14">
        <v>2.925622029885139</v>
      </c>
      <c r="N14">
        <v>2.3037911924123056</v>
      </c>
      <c r="X14">
        <f t="shared" si="3"/>
        <v>5.2869867752761035E-2</v>
      </c>
      <c r="Y14">
        <v>0.15434049947223383</v>
      </c>
      <c r="Z14">
        <v>0.50469343327420457</v>
      </c>
      <c r="AA14">
        <v>0</v>
      </c>
      <c r="AC14">
        <f t="shared" si="2"/>
        <v>2.6765717978831125</v>
      </c>
      <c r="AD14">
        <v>2.5492485718587243</v>
      </c>
      <c r="AE14">
        <v>2.9597943004548664</v>
      </c>
      <c r="AF14">
        <v>2.1387028432625823</v>
      </c>
    </row>
    <row r="15" spans="1:32" x14ac:dyDescent="0.3">
      <c r="A15" t="s">
        <v>152</v>
      </c>
      <c r="B15">
        <v>18</v>
      </c>
      <c r="C15">
        <f>-SUM('Diversity calculations'!E203:E220)</f>
        <v>2.7575707051255152</v>
      </c>
      <c r="D15" s="30">
        <f>C15/SUM('DailyDataSheet(Feeders)'!E32:E37)</f>
        <v>0.7862318866724658</v>
      </c>
      <c r="F15">
        <f t="shared" si="1"/>
        <v>8.0998907242402662E-2</v>
      </c>
      <c r="G15">
        <v>0.11688549576557024</v>
      </c>
      <c r="H15">
        <v>0.3822155711534147</v>
      </c>
      <c r="I15">
        <v>0</v>
      </c>
      <c r="K15">
        <f t="shared" si="0"/>
        <v>2.7575707051255152</v>
      </c>
      <c r="L15">
        <v>2.6147066111487223</v>
      </c>
      <c r="M15">
        <v>2.925622029885139</v>
      </c>
      <c r="N15">
        <v>2.3037911924123056</v>
      </c>
      <c r="X15">
        <f t="shared" si="3"/>
        <v>8.0998907242402662E-2</v>
      </c>
      <c r="Y15">
        <v>0.15434049947223383</v>
      </c>
      <c r="Z15">
        <v>0.50469343327420457</v>
      </c>
      <c r="AA15">
        <v>0</v>
      </c>
      <c r="AC15">
        <f t="shared" si="2"/>
        <v>2.7575707051255152</v>
      </c>
      <c r="AD15">
        <v>2.5492485718587243</v>
      </c>
      <c r="AE15">
        <v>2.9597943004548664</v>
      </c>
      <c r="AF15">
        <v>2.1387028432625823</v>
      </c>
    </row>
    <row r="16" spans="1:32" x14ac:dyDescent="0.3">
      <c r="A16" t="s">
        <v>153</v>
      </c>
      <c r="B16">
        <v>15</v>
      </c>
      <c r="C16">
        <f>-SUM('Diversity calculations'!E222:E236)</f>
        <v>2.5829950284976282</v>
      </c>
      <c r="D16" s="30">
        <f>C16/SUM('DailyDataSheet(Feeders)'!E38:E44)</f>
        <v>0.55566036539720542</v>
      </c>
      <c r="F16">
        <f t="shared" si="1"/>
        <v>0.17457567662788698</v>
      </c>
      <c r="G16">
        <v>0.11688549576557024</v>
      </c>
      <c r="H16">
        <v>0.3822155711534147</v>
      </c>
      <c r="I16">
        <v>0</v>
      </c>
      <c r="K16">
        <f t="shared" si="0"/>
        <v>2.5829950284976282</v>
      </c>
      <c r="L16">
        <v>2.6147066111487223</v>
      </c>
      <c r="M16">
        <v>2.925622029885139</v>
      </c>
      <c r="N16">
        <v>2.3037911924123056</v>
      </c>
      <c r="X16">
        <f t="shared" si="3"/>
        <v>0.17457567662788698</v>
      </c>
      <c r="Y16">
        <v>0.15434049947223383</v>
      </c>
      <c r="Z16">
        <v>0.50469343327420457</v>
      </c>
      <c r="AA16">
        <v>0</v>
      </c>
      <c r="AC16">
        <f t="shared" si="2"/>
        <v>2.5829950284976282</v>
      </c>
      <c r="AD16">
        <v>2.5492485718587243</v>
      </c>
      <c r="AE16">
        <v>2.9597943004548664</v>
      </c>
      <c r="AF16">
        <v>2.1387028432625823</v>
      </c>
    </row>
    <row r="17" spans="1:32" x14ac:dyDescent="0.3">
      <c r="A17" t="s">
        <v>154</v>
      </c>
      <c r="B17">
        <v>15</v>
      </c>
      <c r="C17">
        <f>-SUM('Diversity calculations'!E238:E252)</f>
        <v>2.5576448781015406</v>
      </c>
      <c r="D17" s="30">
        <f>C17/SUM('DailyDataSheet(Feeders)'!E38:E44)</f>
        <v>0.55020697749805914</v>
      </c>
      <c r="F17">
        <f t="shared" si="1"/>
        <v>2.5350150396087567E-2</v>
      </c>
      <c r="G17">
        <v>0.11688549576557024</v>
      </c>
      <c r="H17">
        <v>0.3822155711534147</v>
      </c>
      <c r="I17">
        <v>0</v>
      </c>
      <c r="K17">
        <f t="shared" si="0"/>
        <v>2.5576448781015406</v>
      </c>
      <c r="L17">
        <v>2.6147066111487223</v>
      </c>
      <c r="M17">
        <v>2.925622029885139</v>
      </c>
      <c r="N17">
        <v>2.3037911924123056</v>
      </c>
      <c r="X17">
        <f t="shared" si="3"/>
        <v>2.5350150396087567E-2</v>
      </c>
      <c r="Y17">
        <v>0.15434049947223383</v>
      </c>
      <c r="Z17">
        <v>0.50469343327420457</v>
      </c>
      <c r="AA17">
        <v>0</v>
      </c>
      <c r="AC17">
        <f t="shared" si="2"/>
        <v>2.5576448781015406</v>
      </c>
      <c r="AD17">
        <v>2.5492485718587243</v>
      </c>
      <c r="AE17">
        <v>2.9597943004548664</v>
      </c>
      <c r="AF17">
        <v>2.1387028432625823</v>
      </c>
    </row>
    <row r="18" spans="1:32" x14ac:dyDescent="0.3">
      <c r="A18" t="s">
        <v>155</v>
      </c>
      <c r="B18">
        <v>18</v>
      </c>
      <c r="C18">
        <f>-SUM('Diversity calculations'!E254:E271)</f>
        <v>2.7213710378542935</v>
      </c>
      <c r="D18" s="30">
        <f>C18/SUM('DailyDataSheet(Feeders)'!E45:E48)</f>
        <v>0.81289049151112069</v>
      </c>
      <c r="F18">
        <f t="shared" si="1"/>
        <v>0.16372615975275284</v>
      </c>
      <c r="G18">
        <v>0.11688549576557024</v>
      </c>
      <c r="H18">
        <v>0.3822155711534147</v>
      </c>
      <c r="I18">
        <v>0</v>
      </c>
      <c r="K18">
        <f t="shared" si="0"/>
        <v>2.7213710378542935</v>
      </c>
      <c r="L18">
        <v>2.6147066111487223</v>
      </c>
      <c r="M18">
        <v>2.925622029885139</v>
      </c>
      <c r="N18">
        <v>2.3037911924123056</v>
      </c>
      <c r="X18">
        <f t="shared" si="3"/>
        <v>0.16372615975275284</v>
      </c>
      <c r="Y18">
        <v>0.15434049947223383</v>
      </c>
      <c r="Z18">
        <v>0.50469343327420457</v>
      </c>
      <c r="AA18">
        <v>0</v>
      </c>
      <c r="AC18">
        <f t="shared" si="2"/>
        <v>2.7213710378542935</v>
      </c>
      <c r="AD18">
        <v>2.5492485718587243</v>
      </c>
      <c r="AE18">
        <v>2.9597943004548664</v>
      </c>
      <c r="AF18">
        <v>2.1387028432625823</v>
      </c>
    </row>
    <row r="19" spans="1:32" x14ac:dyDescent="0.3">
      <c r="A19" t="s">
        <v>156</v>
      </c>
      <c r="B19">
        <v>17</v>
      </c>
      <c r="C19">
        <f>-SUM('Diversity calculations'!E273:E289)</f>
        <v>2.6202205253069151</v>
      </c>
      <c r="D19" s="30">
        <f>C19/SUM('DailyDataSheet(Feeders)'!E45:E48)</f>
        <v>0.78267620293470108</v>
      </c>
      <c r="F19">
        <f t="shared" si="1"/>
        <v>0.10115051254737839</v>
      </c>
      <c r="G19">
        <v>0.11688549576557024</v>
      </c>
      <c r="H19">
        <v>0.3822155711534147</v>
      </c>
      <c r="I19">
        <v>0</v>
      </c>
      <c r="K19">
        <f t="shared" si="0"/>
        <v>2.6202205253069151</v>
      </c>
      <c r="L19">
        <v>2.6147066111487223</v>
      </c>
      <c r="M19">
        <v>2.925622029885139</v>
      </c>
      <c r="N19">
        <v>2.3037911924123056</v>
      </c>
      <c r="X19">
        <f t="shared" si="3"/>
        <v>0.10115051254737839</v>
      </c>
      <c r="Y19">
        <v>0.15434049947223383</v>
      </c>
      <c r="Z19">
        <v>0.50469343327420457</v>
      </c>
      <c r="AA19">
        <v>0</v>
      </c>
      <c r="AC19">
        <f t="shared" si="2"/>
        <v>2.6202205253069151</v>
      </c>
      <c r="AD19">
        <v>2.5492485718587243</v>
      </c>
      <c r="AE19">
        <v>2.9597943004548664</v>
      </c>
      <c r="AF19">
        <v>2.1387028432625823</v>
      </c>
    </row>
    <row r="20" spans="1:32" x14ac:dyDescent="0.3">
      <c r="A20" t="s">
        <v>157</v>
      </c>
      <c r="B20">
        <v>15</v>
      </c>
      <c r="C20">
        <f>-SUM('Diversity calculations'!E291:E305)</f>
        <v>2.554883378010572</v>
      </c>
      <c r="D20" s="30">
        <f>C20/SUM('DailyDataSheet(Feeders)'!E49:E55)</f>
        <v>0.5668291973064522</v>
      </c>
      <c r="F20">
        <f t="shared" si="1"/>
        <v>6.5337147296343101E-2</v>
      </c>
      <c r="G20">
        <v>0.11688549576557024</v>
      </c>
      <c r="H20">
        <v>0.3822155711534147</v>
      </c>
      <c r="I20">
        <v>0</v>
      </c>
      <c r="K20">
        <f t="shared" si="0"/>
        <v>2.554883378010572</v>
      </c>
      <c r="L20">
        <v>2.6147066111487223</v>
      </c>
      <c r="M20">
        <v>2.925622029885139</v>
      </c>
      <c r="N20">
        <v>2.3037911924123056</v>
      </c>
      <c r="X20">
        <f t="shared" si="3"/>
        <v>6.5337147296343101E-2</v>
      </c>
      <c r="Y20">
        <v>0.15434049947223383</v>
      </c>
      <c r="Z20">
        <v>0.50469343327420457</v>
      </c>
      <c r="AA20">
        <v>0</v>
      </c>
      <c r="AC20">
        <f t="shared" si="2"/>
        <v>2.554883378010572</v>
      </c>
      <c r="AD20">
        <v>2.5492485718587243</v>
      </c>
      <c r="AE20">
        <v>2.9597943004548664</v>
      </c>
      <c r="AF20">
        <v>2.1387028432625823</v>
      </c>
    </row>
    <row r="21" spans="1:32" x14ac:dyDescent="0.3">
      <c r="A21" t="s">
        <v>158</v>
      </c>
      <c r="B21">
        <v>16</v>
      </c>
      <c r="C21">
        <f>-SUM('Diversity calculations'!E307:E322)</f>
        <v>2.533546604566224</v>
      </c>
      <c r="D21" t="s">
        <v>57</v>
      </c>
      <c r="F21">
        <f t="shared" si="1"/>
        <v>2.1336773444347923E-2</v>
      </c>
      <c r="G21">
        <v>0.11688549576557024</v>
      </c>
      <c r="H21">
        <v>0.3822155711534147</v>
      </c>
      <c r="I21">
        <v>0</v>
      </c>
      <c r="K21">
        <f t="shared" si="0"/>
        <v>2.533546604566224</v>
      </c>
      <c r="L21">
        <v>2.6147066111487223</v>
      </c>
      <c r="M21">
        <v>2.925622029885139</v>
      </c>
      <c r="N21">
        <v>2.3037911924123056</v>
      </c>
      <c r="X21">
        <f t="shared" si="3"/>
        <v>2.1336773444347923E-2</v>
      </c>
      <c r="Y21">
        <v>0.15434049947223383</v>
      </c>
      <c r="Z21">
        <v>0.50469343327420457</v>
      </c>
      <c r="AA21">
        <v>0</v>
      </c>
      <c r="AC21">
        <f t="shared" si="2"/>
        <v>2.533546604566224</v>
      </c>
      <c r="AD21">
        <v>2.5492485718587243</v>
      </c>
      <c r="AE21">
        <v>2.9597943004548664</v>
      </c>
      <c r="AF21">
        <v>2.1387028432625823</v>
      </c>
    </row>
    <row r="22" spans="1:32" s="19" customFormat="1" ht="15" thickBot="1" x14ac:dyDescent="0.35">
      <c r="A22" s="19" t="s">
        <v>159</v>
      </c>
      <c r="B22" s="19">
        <v>17</v>
      </c>
      <c r="C22" s="19">
        <f>-SUM('Diversity calculations'!E324:E340)</f>
        <v>2.688072086222689</v>
      </c>
      <c r="D22" s="19" t="s">
        <v>57</v>
      </c>
      <c r="F22" s="19">
        <f t="shared" si="1"/>
        <v>0.15452548165646496</v>
      </c>
      <c r="G22" s="19">
        <v>0.11688549576557024</v>
      </c>
      <c r="H22" s="19">
        <v>0.3822155711534147</v>
      </c>
      <c r="I22" s="19">
        <v>0</v>
      </c>
      <c r="J22" s="31"/>
      <c r="K22" s="19">
        <f t="shared" si="0"/>
        <v>2.688072086222689</v>
      </c>
      <c r="L22" s="19">
        <v>2.6147066111487223</v>
      </c>
      <c r="M22" s="19">
        <v>2.925622029885139</v>
      </c>
      <c r="N22" s="19">
        <v>2.3037911924123056</v>
      </c>
      <c r="X22">
        <f t="shared" si="3"/>
        <v>0.15452548165646496</v>
      </c>
      <c r="Y22" s="19">
        <v>0.15434049947223383</v>
      </c>
      <c r="Z22" s="19">
        <v>0.50469343327420457</v>
      </c>
      <c r="AA22">
        <v>0</v>
      </c>
      <c r="AC22">
        <f t="shared" si="2"/>
        <v>2.688072086222689</v>
      </c>
      <c r="AD22" s="19">
        <v>2.5492485718587243</v>
      </c>
      <c r="AE22" s="19">
        <v>2.9597943004548664</v>
      </c>
      <c r="AF22" s="19">
        <v>2.1387028432625823</v>
      </c>
    </row>
    <row r="23" spans="1:32" x14ac:dyDescent="0.3">
      <c r="A23" s="20" t="s">
        <v>186</v>
      </c>
      <c r="B23" s="20">
        <v>14</v>
      </c>
      <c r="C23" s="20">
        <v>2.4601563716345098</v>
      </c>
      <c r="D23" s="30">
        <f>C23/SUM('DailyDataSheet(Feeders)'!E67:E75)</f>
        <v>0.18922238460822835</v>
      </c>
      <c r="F23" s="18"/>
      <c r="G23">
        <f>AVERAGE(F24:F34)</f>
        <v>0.21234684995502143</v>
      </c>
      <c r="H23">
        <f>3.27*G23</f>
        <v>0.69437419935292011</v>
      </c>
      <c r="I23" s="20">
        <v>0</v>
      </c>
      <c r="K23" s="20">
        <v>2.4601563716345098</v>
      </c>
      <c r="L23">
        <f>AVERAGE(K23:K34)</f>
        <v>2.4401518397087281</v>
      </c>
      <c r="M23">
        <f>L23+2.66*G23</f>
        <v>3.004994460589085</v>
      </c>
      <c r="N23">
        <f>L23-2.66*G23</f>
        <v>1.8753092188283711</v>
      </c>
      <c r="X23">
        <f t="shared" si="3"/>
        <v>0.22791571458817916</v>
      </c>
      <c r="Y23">
        <v>0.15434049947223383</v>
      </c>
      <c r="Z23">
        <v>0.50469343327420457</v>
      </c>
      <c r="AA23">
        <v>0</v>
      </c>
      <c r="AC23">
        <f t="shared" si="2"/>
        <v>2.4601563716345098</v>
      </c>
      <c r="AD23">
        <v>2.5492485718587243</v>
      </c>
      <c r="AE23">
        <v>2.9597943004548664</v>
      </c>
      <c r="AF23">
        <v>2.1387028432625823</v>
      </c>
    </row>
    <row r="24" spans="1:32" x14ac:dyDescent="0.3">
      <c r="A24" s="20" t="s">
        <v>187</v>
      </c>
      <c r="B24" s="20">
        <v>14</v>
      </c>
      <c r="C24">
        <v>2.5001941556358127</v>
      </c>
      <c r="D24" s="30">
        <f>Diversity!C24/SUM('DailyDataSheet(Feeders)'!E67:E75)</f>
        <v>0.19230188193226316</v>
      </c>
      <c r="F24" s="20">
        <f>MAX(C23:C24)-MIN(C23:C24)</f>
        <v>4.0037784001302867E-2</v>
      </c>
      <c r="G24">
        <v>0.21234684995502143</v>
      </c>
      <c r="H24">
        <v>0.69437419935292011</v>
      </c>
      <c r="I24" s="20">
        <v>0</v>
      </c>
      <c r="K24">
        <v>2.5001941556358127</v>
      </c>
      <c r="L24">
        <v>2.4401518397087281</v>
      </c>
      <c r="M24">
        <v>3.004994460589085</v>
      </c>
      <c r="N24">
        <v>1.8753092188283711</v>
      </c>
      <c r="X24">
        <f t="shared" si="3"/>
        <v>4.0037784001302867E-2</v>
      </c>
      <c r="Y24">
        <v>0.15434049947223383</v>
      </c>
      <c r="Z24">
        <v>0.50469343327420457</v>
      </c>
      <c r="AA24">
        <v>0</v>
      </c>
      <c r="AC24">
        <f t="shared" si="2"/>
        <v>2.5001941556358127</v>
      </c>
      <c r="AD24">
        <v>2.5492485718587243</v>
      </c>
      <c r="AE24">
        <v>2.9597943004548664</v>
      </c>
      <c r="AF24">
        <v>2.1387028432625823</v>
      </c>
    </row>
    <row r="25" spans="1:32" x14ac:dyDescent="0.3">
      <c r="A25" s="20" t="s">
        <v>188</v>
      </c>
      <c r="B25" s="20">
        <v>13</v>
      </c>
      <c r="C25">
        <v>2.4042341114242607</v>
      </c>
      <c r="D25" s="30">
        <f>C25/SUM('DailyDataSheet(Feeders)'!E76:E81)</f>
        <v>0.34688666248131672</v>
      </c>
      <c r="F25" s="20">
        <f t="shared" ref="F25:F34" si="4">MAX(C24:C25)-MIN(C24:C25)</f>
        <v>9.596004421155202E-2</v>
      </c>
      <c r="G25">
        <v>0.21234684995502143</v>
      </c>
      <c r="H25">
        <v>0.69437419935292011</v>
      </c>
      <c r="I25" s="20">
        <v>0</v>
      </c>
      <c r="K25">
        <v>2.4042341114242607</v>
      </c>
      <c r="L25">
        <v>2.4401518397087281</v>
      </c>
      <c r="M25">
        <v>3.004994460589085</v>
      </c>
      <c r="N25">
        <v>1.8753092188283711</v>
      </c>
      <c r="X25">
        <f t="shared" si="3"/>
        <v>9.596004421155202E-2</v>
      </c>
      <c r="Y25">
        <v>0.15434049947223383</v>
      </c>
      <c r="Z25">
        <v>0.50469343327420457</v>
      </c>
      <c r="AA25">
        <v>0</v>
      </c>
      <c r="AC25">
        <f t="shared" si="2"/>
        <v>2.4042341114242607</v>
      </c>
      <c r="AD25">
        <v>2.5492485718587243</v>
      </c>
      <c r="AE25">
        <v>2.9597943004548664</v>
      </c>
      <c r="AF25">
        <v>2.1387028432625823</v>
      </c>
    </row>
    <row r="26" spans="1:32" x14ac:dyDescent="0.3">
      <c r="A26" s="20" t="s">
        <v>189</v>
      </c>
      <c r="B26" s="20">
        <v>19</v>
      </c>
      <c r="C26">
        <v>2.6635686954277973</v>
      </c>
      <c r="D26" s="30">
        <f>C26/SUM('DailyDataSheet(Feeders)'!E76:E81)</f>
        <v>0.38430386236360092</v>
      </c>
      <c r="F26" s="20">
        <f t="shared" si="4"/>
        <v>0.25933458400353659</v>
      </c>
      <c r="G26">
        <v>0.21234684995502143</v>
      </c>
      <c r="H26">
        <v>0.69437419935292011</v>
      </c>
      <c r="I26" s="20">
        <v>0</v>
      </c>
      <c r="K26">
        <v>2.6635686954277973</v>
      </c>
      <c r="L26">
        <v>2.4401518397087281</v>
      </c>
      <c r="M26">
        <v>3.004994460589085</v>
      </c>
      <c r="N26">
        <v>1.8753092188283711</v>
      </c>
      <c r="X26">
        <f t="shared" si="3"/>
        <v>0.25933458400353659</v>
      </c>
      <c r="Y26">
        <v>0.15434049947223383</v>
      </c>
      <c r="Z26">
        <v>0.50469343327420457</v>
      </c>
      <c r="AA26">
        <v>0</v>
      </c>
      <c r="AC26">
        <f t="shared" si="2"/>
        <v>2.6635686954277973</v>
      </c>
      <c r="AD26">
        <v>2.5492485718587243</v>
      </c>
      <c r="AE26">
        <v>2.9597943004548664</v>
      </c>
      <c r="AF26">
        <v>2.1387028432625823</v>
      </c>
    </row>
    <row r="27" spans="1:32" x14ac:dyDescent="0.3">
      <c r="A27" s="20" t="s">
        <v>190</v>
      </c>
      <c r="B27" s="20">
        <v>14</v>
      </c>
      <c r="C27">
        <v>2.3546100072406393</v>
      </c>
      <c r="D27" s="30">
        <f>C27/SUM('DailyDataSheet(Feeders)'!E82:E88)</f>
        <v>0.28839003995416279</v>
      </c>
      <c r="F27" s="20">
        <f t="shared" si="4"/>
        <v>0.30895868818715799</v>
      </c>
      <c r="G27">
        <v>0.21234684995502143</v>
      </c>
      <c r="H27">
        <v>0.69437419935292011</v>
      </c>
      <c r="I27" s="20">
        <v>0</v>
      </c>
      <c r="K27">
        <v>2.3546100072406393</v>
      </c>
      <c r="L27">
        <v>2.4401518397087281</v>
      </c>
      <c r="M27">
        <v>3.004994460589085</v>
      </c>
      <c r="N27">
        <v>1.8753092188283711</v>
      </c>
      <c r="X27">
        <f t="shared" si="3"/>
        <v>0.30895868818715799</v>
      </c>
      <c r="Y27">
        <v>0.15434049947223383</v>
      </c>
      <c r="Z27">
        <v>0.50469343327420457</v>
      </c>
      <c r="AA27">
        <v>0</v>
      </c>
      <c r="AC27">
        <f t="shared" si="2"/>
        <v>2.3546100072406393</v>
      </c>
      <c r="AD27">
        <v>2.5492485718587243</v>
      </c>
      <c r="AE27">
        <v>2.9597943004548664</v>
      </c>
      <c r="AF27">
        <v>2.1387028432625823</v>
      </c>
    </row>
    <row r="28" spans="1:32" x14ac:dyDescent="0.3">
      <c r="A28" s="20" t="s">
        <v>191</v>
      </c>
      <c r="B28" s="20">
        <v>15</v>
      </c>
      <c r="C28">
        <v>2.2023074371862257</v>
      </c>
      <c r="D28" s="30">
        <f>C28/SUM('DailyDataSheet(Feeders)'!E82:E88)</f>
        <v>0.26973618894357154</v>
      </c>
      <c r="F28" s="20">
        <f t="shared" si="4"/>
        <v>0.15230257005441361</v>
      </c>
      <c r="G28">
        <v>0.21234684995502143</v>
      </c>
      <c r="H28">
        <v>0.69437419935292011</v>
      </c>
      <c r="I28" s="20">
        <v>0</v>
      </c>
      <c r="K28">
        <v>2.2023074371862257</v>
      </c>
      <c r="L28">
        <v>2.4401518397087281</v>
      </c>
      <c r="M28">
        <v>3.004994460589085</v>
      </c>
      <c r="N28">
        <v>1.8753092188283711</v>
      </c>
      <c r="X28">
        <f t="shared" si="3"/>
        <v>0.15230257005441361</v>
      </c>
      <c r="Y28">
        <v>0.15434049947223383</v>
      </c>
      <c r="Z28">
        <v>0.50469343327420457</v>
      </c>
      <c r="AA28">
        <v>0</v>
      </c>
      <c r="AC28">
        <f t="shared" si="2"/>
        <v>2.2023074371862257</v>
      </c>
      <c r="AD28">
        <v>2.5492485718587243</v>
      </c>
      <c r="AE28">
        <v>2.9597943004548664</v>
      </c>
      <c r="AF28">
        <v>2.1387028432625823</v>
      </c>
    </row>
    <row r="29" spans="1:32" x14ac:dyDescent="0.3">
      <c r="A29" s="20" t="s">
        <v>192</v>
      </c>
      <c r="B29" s="20">
        <v>15</v>
      </c>
      <c r="C29">
        <v>2.4688156171237479</v>
      </c>
      <c r="D29" s="30">
        <f>C29/SUM('DailyDataSheet(Feeders)'!E89:E95)</f>
        <v>0.32683457750163325</v>
      </c>
      <c r="F29" s="20">
        <f t="shared" si="4"/>
        <v>0.26650817993752218</v>
      </c>
      <c r="G29">
        <v>0.21234684995502143</v>
      </c>
      <c r="H29">
        <v>0.69437419935292011</v>
      </c>
      <c r="I29" s="20">
        <v>0</v>
      </c>
      <c r="K29">
        <v>2.4688156171237479</v>
      </c>
      <c r="L29">
        <v>2.4401518397087281</v>
      </c>
      <c r="M29">
        <v>3.004994460589085</v>
      </c>
      <c r="N29">
        <v>1.8753092188283711</v>
      </c>
      <c r="X29">
        <f t="shared" si="3"/>
        <v>0.26650817993752218</v>
      </c>
      <c r="Y29">
        <v>0.15434049947223383</v>
      </c>
      <c r="Z29">
        <v>0.50469343327420457</v>
      </c>
      <c r="AA29">
        <v>0</v>
      </c>
      <c r="AC29">
        <f t="shared" si="2"/>
        <v>2.4688156171237479</v>
      </c>
      <c r="AD29">
        <v>2.5492485718587243</v>
      </c>
      <c r="AE29">
        <v>2.9597943004548664</v>
      </c>
      <c r="AF29">
        <v>2.1387028432625823</v>
      </c>
    </row>
    <row r="30" spans="1:32" x14ac:dyDescent="0.3">
      <c r="A30" s="20" t="s">
        <v>193</v>
      </c>
      <c r="B30" s="20">
        <v>18</v>
      </c>
      <c r="C30">
        <v>2.5283931566509805</v>
      </c>
      <c r="D30" s="30">
        <f>C30/SUM('DailyDataSheet(Feeders)'!E89:E95)</f>
        <v>0.33472176025635653</v>
      </c>
      <c r="F30" s="20">
        <f t="shared" si="4"/>
        <v>5.9577539527232659E-2</v>
      </c>
      <c r="G30">
        <v>0.21234684995502143</v>
      </c>
      <c r="H30">
        <v>0.69437419935292011</v>
      </c>
      <c r="I30" s="20">
        <v>0</v>
      </c>
      <c r="K30">
        <v>2.5283931566509805</v>
      </c>
      <c r="L30">
        <v>2.4401518397087281</v>
      </c>
      <c r="M30">
        <v>3.004994460589085</v>
      </c>
      <c r="N30">
        <v>1.8753092188283711</v>
      </c>
      <c r="X30">
        <f t="shared" si="3"/>
        <v>5.9577539527232659E-2</v>
      </c>
      <c r="Y30">
        <v>0.15434049947223383</v>
      </c>
      <c r="Z30">
        <v>0.50469343327420457</v>
      </c>
      <c r="AA30">
        <v>0</v>
      </c>
      <c r="AC30">
        <f t="shared" si="2"/>
        <v>2.5283931566509805</v>
      </c>
      <c r="AD30">
        <v>2.5492485718587243</v>
      </c>
      <c r="AE30">
        <v>2.9597943004548664</v>
      </c>
      <c r="AF30">
        <v>2.1387028432625823</v>
      </c>
    </row>
    <row r="31" spans="1:32" x14ac:dyDescent="0.3">
      <c r="A31" s="20" t="s">
        <v>194</v>
      </c>
      <c r="B31" s="20">
        <v>16</v>
      </c>
      <c r="C31">
        <v>2.6144547302526542</v>
      </c>
      <c r="D31" s="30">
        <f>C31/SUM('DailyDataSheet(Feeders)'!E96:E102)</f>
        <v>0.32021553539539355</v>
      </c>
      <c r="F31" s="20">
        <f t="shared" si="4"/>
        <v>8.6061573601673658E-2</v>
      </c>
      <c r="G31">
        <v>0.21234684995502143</v>
      </c>
      <c r="H31">
        <v>0.69437419935292011</v>
      </c>
      <c r="I31" s="20">
        <v>0</v>
      </c>
      <c r="K31">
        <v>2.6144547302526542</v>
      </c>
      <c r="L31">
        <v>2.4401518397087281</v>
      </c>
      <c r="M31">
        <v>3.004994460589085</v>
      </c>
      <c r="N31">
        <v>1.8753092188283711</v>
      </c>
      <c r="X31">
        <f t="shared" si="3"/>
        <v>8.6061573601673658E-2</v>
      </c>
      <c r="Y31">
        <v>0.15434049947223383</v>
      </c>
      <c r="Z31">
        <v>0.50469343327420457</v>
      </c>
      <c r="AA31">
        <v>0</v>
      </c>
      <c r="AC31">
        <f t="shared" si="2"/>
        <v>2.6144547302526542</v>
      </c>
      <c r="AD31">
        <v>2.5492485718587243</v>
      </c>
      <c r="AE31">
        <v>2.9597943004548664</v>
      </c>
      <c r="AF31">
        <v>2.1387028432625823</v>
      </c>
    </row>
    <row r="32" spans="1:32" x14ac:dyDescent="0.3">
      <c r="A32" s="20" t="s">
        <v>195</v>
      </c>
      <c r="B32" s="20">
        <v>16</v>
      </c>
      <c r="C32">
        <v>2.6846565419165596</v>
      </c>
      <c r="D32" s="30">
        <f>C32/SUM('DailyDataSheet(Feeders)'!E96:E102)</f>
        <v>0.32881377595682476</v>
      </c>
      <c r="F32" s="20">
        <f t="shared" si="4"/>
        <v>7.0201811663905378E-2</v>
      </c>
      <c r="G32">
        <v>0.21234684995502143</v>
      </c>
      <c r="H32">
        <v>0.69437419935292011</v>
      </c>
      <c r="I32" s="20">
        <v>0</v>
      </c>
      <c r="K32">
        <v>2.6846565419165596</v>
      </c>
      <c r="L32">
        <v>2.4401518397087281</v>
      </c>
      <c r="M32">
        <v>3.004994460589085</v>
      </c>
      <c r="N32">
        <v>1.8753092188283711</v>
      </c>
      <c r="X32">
        <f t="shared" si="3"/>
        <v>7.0201811663905378E-2</v>
      </c>
      <c r="Y32">
        <v>0.15434049947223383</v>
      </c>
      <c r="Z32">
        <v>0.50469343327420457</v>
      </c>
      <c r="AA32">
        <v>0</v>
      </c>
      <c r="AC32">
        <f t="shared" si="2"/>
        <v>2.6846565419165596</v>
      </c>
      <c r="AD32">
        <v>2.5492485718587243</v>
      </c>
      <c r="AE32">
        <v>2.9597943004548664</v>
      </c>
      <c r="AF32">
        <v>2.1387028432625823</v>
      </c>
    </row>
    <row r="33" spans="1:32" x14ac:dyDescent="0.3">
      <c r="A33" s="20" t="s">
        <v>185</v>
      </c>
      <c r="B33" s="20">
        <v>13</v>
      </c>
      <c r="C33">
        <v>2.0294050732037219</v>
      </c>
      <c r="D33" s="30">
        <f>C33/SUM('DailyDataSheet(Feeders)'!E112:E117)</f>
        <v>0.28894569671042242</v>
      </c>
      <c r="F33" s="20">
        <f t="shared" si="4"/>
        <v>0.65525146871283768</v>
      </c>
      <c r="G33">
        <v>0.21234684995502143</v>
      </c>
      <c r="H33">
        <v>0.69437419935292011</v>
      </c>
      <c r="I33" s="20">
        <v>0</v>
      </c>
      <c r="K33">
        <v>2.0294050732037219</v>
      </c>
      <c r="L33">
        <v>2.4401518397087281</v>
      </c>
      <c r="M33">
        <v>3.004994460589085</v>
      </c>
      <c r="N33">
        <v>1.8753092188283711</v>
      </c>
      <c r="X33">
        <f t="shared" si="3"/>
        <v>0.65525146871283768</v>
      </c>
      <c r="Y33">
        <v>0.15434049947223383</v>
      </c>
      <c r="Z33">
        <v>0.50469343327420457</v>
      </c>
      <c r="AA33">
        <v>0</v>
      </c>
      <c r="AC33">
        <f t="shared" si="2"/>
        <v>2.0294050732037219</v>
      </c>
      <c r="AD33">
        <v>2.5492485718587243</v>
      </c>
      <c r="AE33">
        <v>2.9597943004548664</v>
      </c>
      <c r="AF33">
        <v>2.1387028432625823</v>
      </c>
    </row>
    <row r="34" spans="1:32" x14ac:dyDescent="0.3">
      <c r="A34" s="20" t="s">
        <v>196</v>
      </c>
      <c r="B34" s="20">
        <v>14</v>
      </c>
      <c r="C34">
        <v>2.3710261788078228</v>
      </c>
      <c r="D34" s="30">
        <f>C34/SUM('DailyDataSheet(Feeders)'!E112:E117)</f>
        <v>0.33758554179267264</v>
      </c>
      <c r="F34" s="20">
        <f t="shared" si="4"/>
        <v>0.34162110560410097</v>
      </c>
      <c r="G34">
        <v>0.21234684995502143</v>
      </c>
      <c r="H34">
        <v>0.69437419935292011</v>
      </c>
      <c r="I34" s="20">
        <v>0</v>
      </c>
      <c r="K34">
        <v>2.3710261788078228</v>
      </c>
      <c r="L34">
        <v>2.4401518397087281</v>
      </c>
      <c r="M34">
        <v>3.004994460589085</v>
      </c>
      <c r="N34">
        <v>1.8753092188283711</v>
      </c>
      <c r="X34">
        <f t="shared" si="3"/>
        <v>0.34162110560410097</v>
      </c>
      <c r="Y34">
        <v>0.15434049947223383</v>
      </c>
      <c r="Z34">
        <v>0.50469343327420457</v>
      </c>
      <c r="AA34">
        <v>0</v>
      </c>
      <c r="AC34">
        <f t="shared" si="2"/>
        <v>2.3710261788078228</v>
      </c>
      <c r="AD34">
        <v>2.5492485718587243</v>
      </c>
      <c r="AE34">
        <v>2.9597943004548664</v>
      </c>
      <c r="AF34">
        <v>2.1387028432625823</v>
      </c>
    </row>
    <row r="36" spans="1:32" x14ac:dyDescent="0.3">
      <c r="A36" s="42" t="s">
        <v>248</v>
      </c>
      <c r="B36" s="42"/>
      <c r="C36" s="42"/>
      <c r="D36" s="42"/>
      <c r="F36" s="42" t="s">
        <v>249</v>
      </c>
      <c r="G36" s="42"/>
      <c r="H36" s="42"/>
      <c r="I36" s="42"/>
    </row>
    <row r="37" spans="1:32" x14ac:dyDescent="0.3">
      <c r="A37" t="s">
        <v>225</v>
      </c>
      <c r="B37" t="s">
        <v>226</v>
      </c>
      <c r="C37" t="s">
        <v>220</v>
      </c>
      <c r="D37" t="s">
        <v>227</v>
      </c>
      <c r="F37" t="s">
        <v>225</v>
      </c>
      <c r="G37" t="s">
        <v>226</v>
      </c>
      <c r="H37" t="s">
        <v>220</v>
      </c>
      <c r="I37" t="s">
        <v>227</v>
      </c>
    </row>
    <row r="38" spans="1:32" x14ac:dyDescent="0.3">
      <c r="A38">
        <v>2.6147066111487223</v>
      </c>
      <c r="B38">
        <f>_xlfn.STDEV.S(C3:C22)</f>
        <v>0.10497485023838882</v>
      </c>
      <c r="C38">
        <v>20</v>
      </c>
      <c r="D38">
        <f>B38^2/C38</f>
        <v>5.5098595912860806E-4</v>
      </c>
      <c r="F38">
        <v>2.4401518397087281</v>
      </c>
      <c r="G38">
        <f>_xlfn.STDEV.S(C23:C34)</f>
        <v>0.18862209764781213</v>
      </c>
      <c r="H38">
        <v>12</v>
      </c>
      <c r="I38">
        <f>G38^2/H38</f>
        <v>2.964857976755064E-3</v>
      </c>
    </row>
    <row r="40" spans="1:32" x14ac:dyDescent="0.3">
      <c r="A40" t="s">
        <v>228</v>
      </c>
      <c r="B40">
        <f>(A38-F38)/SQRT(D38+I38)</f>
        <v>2.9438584926281877</v>
      </c>
      <c r="D40" t="s">
        <v>272</v>
      </c>
    </row>
    <row r="41" spans="1:32" x14ac:dyDescent="0.3">
      <c r="A41" t="s">
        <v>231</v>
      </c>
      <c r="B41">
        <f>_xlfn.NORM.S.DIST(B40, TRUE)</f>
        <v>0.99837925914426351</v>
      </c>
    </row>
    <row r="46" spans="1:32" x14ac:dyDescent="0.3">
      <c r="A46" t="s">
        <v>270</v>
      </c>
    </row>
    <row r="47" spans="1:32" x14ac:dyDescent="0.3">
      <c r="A47" t="s">
        <v>271</v>
      </c>
    </row>
    <row r="65" spans="1:32" x14ac:dyDescent="0.3">
      <c r="F65" s="17" t="s">
        <v>178</v>
      </c>
      <c r="K65" t="s">
        <v>181</v>
      </c>
    </row>
    <row r="66" spans="1:32" ht="15" thickBot="1" x14ac:dyDescent="0.35">
      <c r="A66" t="s">
        <v>60</v>
      </c>
      <c r="B66" s="6" t="s">
        <v>136</v>
      </c>
      <c r="F66" t="s">
        <v>183</v>
      </c>
      <c r="G66" t="s">
        <v>184</v>
      </c>
      <c r="H66" t="s">
        <v>179</v>
      </c>
      <c r="I66" t="s">
        <v>180</v>
      </c>
      <c r="K66" t="s">
        <v>182</v>
      </c>
      <c r="L66" t="s">
        <v>181</v>
      </c>
      <c r="M66" t="s">
        <v>179</v>
      </c>
      <c r="N66" t="s">
        <v>180</v>
      </c>
      <c r="X66" t="s">
        <v>183</v>
      </c>
      <c r="Y66" t="s">
        <v>184</v>
      </c>
      <c r="Z66" t="s">
        <v>179</v>
      </c>
      <c r="AA66" t="s">
        <v>180</v>
      </c>
      <c r="AC66" t="s">
        <v>182</v>
      </c>
      <c r="AD66" t="s">
        <v>181</v>
      </c>
      <c r="AE66" t="s">
        <v>179</v>
      </c>
      <c r="AF66" t="s">
        <v>180</v>
      </c>
    </row>
    <row r="67" spans="1:32" x14ac:dyDescent="0.3">
      <c r="A67">
        <v>0.39086510359989629</v>
      </c>
      <c r="B67" t="s">
        <v>139</v>
      </c>
      <c r="F67" s="27"/>
      <c r="G67">
        <f>AVERAGE(F68:F82)</f>
        <v>0.15623322862905903</v>
      </c>
      <c r="H67">
        <f>3.27*G67</f>
        <v>0.51088265761702301</v>
      </c>
      <c r="I67">
        <v>0</v>
      </c>
      <c r="K67">
        <v>0.39086510359989629</v>
      </c>
      <c r="L67">
        <f>AVERAGE(K67:K82)</f>
        <v>0.61114794020280006</v>
      </c>
      <c r="M67">
        <f>L67+2.66*G67</f>
        <v>1.0267283283560971</v>
      </c>
      <c r="N67">
        <f>L67-2.66*G67</f>
        <v>0.19556755204950299</v>
      </c>
      <c r="X67" s="27"/>
      <c r="Y67">
        <f>AVERAGE(X68:X94)</f>
        <v>0.11879082793975346</v>
      </c>
      <c r="Z67">
        <f>3.27*Y67</f>
        <v>0.38844600736299378</v>
      </c>
      <c r="AA67">
        <v>0</v>
      </c>
      <c r="AC67">
        <v>0.39086510359989629</v>
      </c>
      <c r="AD67">
        <f>AVERAGE(AC67:AC94)</f>
        <v>0.47808303396933022</v>
      </c>
      <c r="AE67">
        <f>AD67+2.66*Y67</f>
        <v>0.79406663628907448</v>
      </c>
      <c r="AF67">
        <f>AD67-2.66*Y67</f>
        <v>0.16209943164958601</v>
      </c>
    </row>
    <row r="68" spans="1:32" x14ac:dyDescent="0.3">
      <c r="A68">
        <v>0.34885656778541901</v>
      </c>
      <c r="B68" t="s">
        <v>141</v>
      </c>
      <c r="F68">
        <f>MAX(A67:A68)-MIN(A67:A68)</f>
        <v>4.2008535814477277E-2</v>
      </c>
      <c r="G68">
        <v>0.15623322862905903</v>
      </c>
      <c r="H68">
        <v>0.51088265761702301</v>
      </c>
      <c r="I68">
        <v>0</v>
      </c>
      <c r="K68">
        <v>0.34885656778541901</v>
      </c>
      <c r="L68">
        <v>0.61114794020280006</v>
      </c>
      <c r="M68">
        <v>1.0267283283560971</v>
      </c>
      <c r="N68">
        <v>0.19556755204950299</v>
      </c>
      <c r="X68">
        <f>MAX(A67:A68)-MIN(A67:A68)</f>
        <v>4.2008535814477277E-2</v>
      </c>
      <c r="Y68">
        <v>0.11879082793975346</v>
      </c>
      <c r="Z68">
        <v>0.38844600736299378</v>
      </c>
      <c r="AA68">
        <v>0</v>
      </c>
      <c r="AC68">
        <v>0.34885656778541901</v>
      </c>
      <c r="AD68">
        <v>0.47808303396933022</v>
      </c>
      <c r="AE68">
        <v>0.79406663628907448</v>
      </c>
      <c r="AF68">
        <v>0.16209943164958601</v>
      </c>
    </row>
    <row r="69" spans="1:32" x14ac:dyDescent="0.3">
      <c r="A69">
        <v>0.46999683777439033</v>
      </c>
      <c r="B69" t="s">
        <v>142</v>
      </c>
      <c r="F69">
        <f t="shared" ref="F69:F82" si="5">MAX(A68:A69)-MIN(A68:A69)</f>
        <v>0.12114026998897132</v>
      </c>
      <c r="G69">
        <v>0.15623322862905903</v>
      </c>
      <c r="H69">
        <v>0.51088265761702301</v>
      </c>
      <c r="I69">
        <v>0</v>
      </c>
      <c r="K69">
        <v>0.46999683777439033</v>
      </c>
      <c r="L69">
        <v>0.61114794020280006</v>
      </c>
      <c r="M69">
        <v>1.0267283283560971</v>
      </c>
      <c r="N69">
        <v>0.19556755204950299</v>
      </c>
      <c r="X69">
        <f t="shared" ref="X69:X94" si="6">MAX(A68:A69)-MIN(A68:A69)</f>
        <v>0.12114026998897132</v>
      </c>
      <c r="Y69">
        <v>0.11879082793975346</v>
      </c>
      <c r="Z69">
        <v>0.38844600736299378</v>
      </c>
      <c r="AA69">
        <v>0</v>
      </c>
      <c r="AC69">
        <v>0.46999683777439033</v>
      </c>
      <c r="AD69">
        <v>0.47808303396933022</v>
      </c>
      <c r="AE69">
        <v>0.79406663628907448</v>
      </c>
      <c r="AF69">
        <v>0.16209943164958601</v>
      </c>
    </row>
    <row r="70" spans="1:32" x14ac:dyDescent="0.3">
      <c r="A70">
        <v>0.47238329520876909</v>
      </c>
      <c r="B70" t="s">
        <v>143</v>
      </c>
      <c r="F70">
        <f t="shared" si="5"/>
        <v>2.3864574343787637E-3</v>
      </c>
      <c r="G70">
        <v>0.15623322862905903</v>
      </c>
      <c r="H70">
        <v>0.51088265761702301</v>
      </c>
      <c r="I70">
        <v>0</v>
      </c>
      <c r="K70">
        <v>0.47238329520876909</v>
      </c>
      <c r="L70">
        <v>0.61114794020280006</v>
      </c>
      <c r="M70">
        <v>1.0267283283560971</v>
      </c>
      <c r="N70">
        <v>0.19556755204950299</v>
      </c>
      <c r="X70">
        <f t="shared" si="6"/>
        <v>2.3864574343787637E-3</v>
      </c>
      <c r="Y70">
        <v>0.11879082793975346</v>
      </c>
      <c r="Z70">
        <v>0.38844600736299378</v>
      </c>
      <c r="AA70">
        <v>0</v>
      </c>
      <c r="AC70">
        <v>0.47238329520876909</v>
      </c>
      <c r="AD70">
        <v>0.47808303396933022</v>
      </c>
      <c r="AE70">
        <v>0.79406663628907448</v>
      </c>
      <c r="AF70">
        <v>0.16209943164958601</v>
      </c>
    </row>
    <row r="71" spans="1:32" x14ac:dyDescent="0.3">
      <c r="A71">
        <v>0.93051650469346225</v>
      </c>
      <c r="B71" t="s">
        <v>144</v>
      </c>
      <c r="F71">
        <f t="shared" si="5"/>
        <v>0.45813320948469316</v>
      </c>
      <c r="G71">
        <v>0.15623322862905903</v>
      </c>
      <c r="H71">
        <v>0.51088265761702301</v>
      </c>
      <c r="I71">
        <v>0</v>
      </c>
      <c r="K71">
        <v>0.93051650469346225</v>
      </c>
      <c r="L71">
        <v>0.61114794020280006</v>
      </c>
      <c r="M71">
        <v>1.0267283283560971</v>
      </c>
      <c r="N71">
        <v>0.19556755204950299</v>
      </c>
      <c r="X71">
        <f t="shared" si="6"/>
        <v>0.45813320948469316</v>
      </c>
      <c r="Y71">
        <v>0.11879082793975346</v>
      </c>
      <c r="Z71">
        <v>0.38844600736299378</v>
      </c>
      <c r="AA71">
        <v>0</v>
      </c>
      <c r="AC71">
        <v>0.93051650469346225</v>
      </c>
      <c r="AD71">
        <v>0.47808303396933022</v>
      </c>
      <c r="AE71">
        <v>0.79406663628907448</v>
      </c>
      <c r="AF71">
        <v>0.16209943164958601</v>
      </c>
    </row>
    <row r="72" spans="1:32" x14ac:dyDescent="0.3">
      <c r="A72">
        <v>0.94756333634844581</v>
      </c>
      <c r="B72" t="s">
        <v>145</v>
      </c>
      <c r="F72">
        <f t="shared" si="5"/>
        <v>1.7046831654983552E-2</v>
      </c>
      <c r="G72">
        <v>0.15623322862905903</v>
      </c>
      <c r="H72">
        <v>0.51088265761702301</v>
      </c>
      <c r="I72">
        <v>0</v>
      </c>
      <c r="K72">
        <v>0.94756333634844581</v>
      </c>
      <c r="L72">
        <v>0.61114794020280006</v>
      </c>
      <c r="M72">
        <v>1.0267283283560971</v>
      </c>
      <c r="N72">
        <v>0.19556755204950299</v>
      </c>
      <c r="X72">
        <f t="shared" si="6"/>
        <v>1.7046831654983552E-2</v>
      </c>
      <c r="Y72">
        <v>0.11879082793975346</v>
      </c>
      <c r="Z72">
        <v>0.38844600736299378</v>
      </c>
      <c r="AA72">
        <v>0</v>
      </c>
      <c r="AC72">
        <v>0.94756333634844581</v>
      </c>
      <c r="AD72">
        <v>0.47808303396933022</v>
      </c>
      <c r="AE72">
        <v>0.79406663628907448</v>
      </c>
      <c r="AF72">
        <v>0.16209943164958601</v>
      </c>
    </row>
    <row r="73" spans="1:32" x14ac:dyDescent="0.3">
      <c r="A73">
        <v>0.61680568440931949</v>
      </c>
      <c r="B73" t="s">
        <v>146</v>
      </c>
      <c r="F73">
        <f t="shared" si="5"/>
        <v>0.33075765193912632</v>
      </c>
      <c r="G73">
        <v>0.15623322862905903</v>
      </c>
      <c r="H73">
        <v>0.51088265761702301</v>
      </c>
      <c r="I73">
        <v>0</v>
      </c>
      <c r="K73">
        <v>0.61680568440931949</v>
      </c>
      <c r="L73">
        <v>0.61114794020280006</v>
      </c>
      <c r="M73">
        <v>1.0267283283560971</v>
      </c>
      <c r="N73">
        <v>0.19556755204950299</v>
      </c>
      <c r="X73">
        <f t="shared" si="6"/>
        <v>0.33075765193912632</v>
      </c>
      <c r="Y73">
        <v>0.11879082793975346</v>
      </c>
      <c r="Z73">
        <v>0.38844600736299378</v>
      </c>
      <c r="AA73">
        <v>0</v>
      </c>
      <c r="AC73">
        <v>0.61680568440931949</v>
      </c>
      <c r="AD73">
        <v>0.47808303396933022</v>
      </c>
      <c r="AE73">
        <v>0.79406663628907448</v>
      </c>
      <c r="AF73">
        <v>0.16209943164958601</v>
      </c>
    </row>
    <row r="74" spans="1:32" x14ac:dyDescent="0.3">
      <c r="A74">
        <v>0.39585601018699462</v>
      </c>
      <c r="B74" t="s">
        <v>147</v>
      </c>
      <c r="F74">
        <f t="shared" si="5"/>
        <v>0.22094967422232487</v>
      </c>
      <c r="G74">
        <v>0.15623322862905903</v>
      </c>
      <c r="H74">
        <v>0.51088265761702301</v>
      </c>
      <c r="I74">
        <v>0</v>
      </c>
      <c r="K74">
        <v>0.39585601018699462</v>
      </c>
      <c r="L74">
        <v>0.61114794020280006</v>
      </c>
      <c r="M74">
        <v>1.0267283283560971</v>
      </c>
      <c r="N74">
        <v>0.19556755204950299</v>
      </c>
      <c r="X74">
        <f t="shared" si="6"/>
        <v>0.22094967422232487</v>
      </c>
      <c r="Y74">
        <v>0.11879082793975346</v>
      </c>
      <c r="Z74">
        <v>0.38844600736299378</v>
      </c>
      <c r="AA74">
        <v>0</v>
      </c>
      <c r="AC74">
        <v>0.39585601018699462</v>
      </c>
      <c r="AD74">
        <v>0.47808303396933022</v>
      </c>
      <c r="AE74">
        <v>0.79406663628907448</v>
      </c>
      <c r="AF74">
        <v>0.16209943164958601</v>
      </c>
    </row>
    <row r="75" spans="1:32" x14ac:dyDescent="0.3">
      <c r="A75">
        <v>0.38789090767733375</v>
      </c>
      <c r="B75" t="s">
        <v>148</v>
      </c>
      <c r="F75">
        <f t="shared" si="5"/>
        <v>7.9651025096608707E-3</v>
      </c>
      <c r="G75">
        <v>0.15623322862905903</v>
      </c>
      <c r="H75">
        <v>0.51088265761702301</v>
      </c>
      <c r="I75">
        <v>0</v>
      </c>
      <c r="K75">
        <v>0.38789090767733375</v>
      </c>
      <c r="L75">
        <v>0.61114794020280006</v>
      </c>
      <c r="M75">
        <v>1.0267283283560971</v>
      </c>
      <c r="N75">
        <v>0.19556755204950299</v>
      </c>
      <c r="X75">
        <f t="shared" si="6"/>
        <v>7.9651025096608707E-3</v>
      </c>
      <c r="Y75">
        <v>0.11879082793975346</v>
      </c>
      <c r="Z75">
        <v>0.38844600736299378</v>
      </c>
      <c r="AA75">
        <v>0</v>
      </c>
      <c r="AC75">
        <v>0.38789090767733375</v>
      </c>
      <c r="AD75">
        <v>0.47808303396933022</v>
      </c>
      <c r="AE75">
        <v>0.79406663628907448</v>
      </c>
      <c r="AF75">
        <v>0.16209943164958601</v>
      </c>
    </row>
    <row r="76" spans="1:32" x14ac:dyDescent="0.3">
      <c r="A76">
        <v>0.76313767424076551</v>
      </c>
      <c r="B76" t="s">
        <v>151</v>
      </c>
      <c r="F76">
        <f t="shared" si="5"/>
        <v>0.37524676656343176</v>
      </c>
      <c r="G76">
        <v>0.15623322862905903</v>
      </c>
      <c r="H76">
        <v>0.51088265761702301</v>
      </c>
      <c r="I76">
        <v>0</v>
      </c>
      <c r="K76">
        <v>0.76313767424076551</v>
      </c>
      <c r="L76">
        <v>0.61114794020280006</v>
      </c>
      <c r="M76">
        <v>1.0267283283560971</v>
      </c>
      <c r="N76">
        <v>0.19556755204950299</v>
      </c>
      <c r="X76">
        <f t="shared" si="6"/>
        <v>0.37524676656343176</v>
      </c>
      <c r="Y76">
        <v>0.11879082793975346</v>
      </c>
      <c r="Z76">
        <v>0.38844600736299378</v>
      </c>
      <c r="AA76">
        <v>0</v>
      </c>
      <c r="AC76">
        <v>0.76313767424076551</v>
      </c>
      <c r="AD76">
        <v>0.47808303396933022</v>
      </c>
      <c r="AE76">
        <v>0.79406663628907448</v>
      </c>
      <c r="AF76">
        <v>0.16209943164958601</v>
      </c>
    </row>
    <row r="77" spans="1:32" x14ac:dyDescent="0.3">
      <c r="A77">
        <v>0.7862318866724658</v>
      </c>
      <c r="B77" t="s">
        <v>152</v>
      </c>
      <c r="F77">
        <f t="shared" si="5"/>
        <v>2.3094212431700289E-2</v>
      </c>
      <c r="G77">
        <v>0.15623322862905903</v>
      </c>
      <c r="H77">
        <v>0.51088265761702301</v>
      </c>
      <c r="I77">
        <v>0</v>
      </c>
      <c r="K77">
        <v>0.7862318866724658</v>
      </c>
      <c r="L77">
        <v>0.61114794020280006</v>
      </c>
      <c r="M77">
        <v>1.0267283283560971</v>
      </c>
      <c r="N77">
        <v>0.19556755204950299</v>
      </c>
      <c r="X77">
        <f t="shared" si="6"/>
        <v>2.3094212431700289E-2</v>
      </c>
      <c r="Y77">
        <v>0.11879082793975346</v>
      </c>
      <c r="Z77">
        <v>0.38844600736299378</v>
      </c>
      <c r="AA77">
        <v>0</v>
      </c>
      <c r="AC77">
        <v>0.7862318866724658</v>
      </c>
      <c r="AD77">
        <v>0.47808303396933022</v>
      </c>
      <c r="AE77">
        <v>0.79406663628907448</v>
      </c>
      <c r="AF77">
        <v>0.16209943164958601</v>
      </c>
    </row>
    <row r="78" spans="1:32" x14ac:dyDescent="0.3">
      <c r="A78">
        <v>0.55566036539720542</v>
      </c>
      <c r="B78" t="s">
        <v>153</v>
      </c>
      <c r="F78">
        <f t="shared" si="5"/>
        <v>0.23057152127526037</v>
      </c>
      <c r="G78">
        <v>0.15623322862905903</v>
      </c>
      <c r="H78">
        <v>0.51088265761702301</v>
      </c>
      <c r="I78">
        <v>0</v>
      </c>
      <c r="K78">
        <v>0.55566036539720542</v>
      </c>
      <c r="L78">
        <v>0.61114794020280006</v>
      </c>
      <c r="M78">
        <v>1.0267283283560971</v>
      </c>
      <c r="N78">
        <v>0.19556755204950299</v>
      </c>
      <c r="X78">
        <f t="shared" si="6"/>
        <v>0.23057152127526037</v>
      </c>
      <c r="Y78">
        <v>0.11879082793975346</v>
      </c>
      <c r="Z78">
        <v>0.38844600736299378</v>
      </c>
      <c r="AA78">
        <v>0</v>
      </c>
      <c r="AC78">
        <v>0.55566036539720542</v>
      </c>
      <c r="AD78">
        <v>0.47808303396933022</v>
      </c>
      <c r="AE78">
        <v>0.79406663628907448</v>
      </c>
      <c r="AF78">
        <v>0.16209943164958601</v>
      </c>
    </row>
    <row r="79" spans="1:32" x14ac:dyDescent="0.3">
      <c r="A79">
        <v>0.55020697749805914</v>
      </c>
      <c r="B79" t="s">
        <v>154</v>
      </c>
      <c r="F79">
        <f t="shared" si="5"/>
        <v>5.4533878991462892E-3</v>
      </c>
      <c r="G79">
        <v>0.15623322862905903</v>
      </c>
      <c r="H79">
        <v>0.51088265761702301</v>
      </c>
      <c r="I79">
        <v>0</v>
      </c>
      <c r="K79">
        <v>0.55020697749805914</v>
      </c>
      <c r="L79">
        <v>0.61114794020280006</v>
      </c>
      <c r="M79">
        <v>1.0267283283560971</v>
      </c>
      <c r="N79">
        <v>0.19556755204950299</v>
      </c>
      <c r="X79">
        <f t="shared" si="6"/>
        <v>5.4533878991462892E-3</v>
      </c>
      <c r="Y79">
        <v>0.11879082793975346</v>
      </c>
      <c r="Z79">
        <v>0.38844600736299378</v>
      </c>
      <c r="AA79">
        <v>0</v>
      </c>
      <c r="AC79">
        <v>0.55020697749805914</v>
      </c>
      <c r="AD79">
        <v>0.47808303396933022</v>
      </c>
      <c r="AE79">
        <v>0.79406663628907448</v>
      </c>
      <c r="AF79">
        <v>0.16209943164958601</v>
      </c>
    </row>
    <row r="80" spans="1:32" x14ac:dyDescent="0.3">
      <c r="A80">
        <v>0.81289049151112069</v>
      </c>
      <c r="B80" t="s">
        <v>155</v>
      </c>
      <c r="F80">
        <f t="shared" si="5"/>
        <v>0.26268351401306156</v>
      </c>
      <c r="G80">
        <v>0.15623322862905903</v>
      </c>
      <c r="H80">
        <v>0.51088265761702301</v>
      </c>
      <c r="I80">
        <v>0</v>
      </c>
      <c r="K80">
        <v>0.81289049151112069</v>
      </c>
      <c r="L80">
        <v>0.61114794020280006</v>
      </c>
      <c r="M80">
        <v>1.0267283283560971</v>
      </c>
      <c r="N80">
        <v>0.19556755204950299</v>
      </c>
      <c r="X80">
        <f t="shared" si="6"/>
        <v>0.26268351401306156</v>
      </c>
      <c r="Y80">
        <v>0.11879082793975346</v>
      </c>
      <c r="Z80">
        <v>0.38844600736299378</v>
      </c>
      <c r="AA80">
        <v>0</v>
      </c>
      <c r="AC80">
        <v>0.81289049151112069</v>
      </c>
      <c r="AD80">
        <v>0.47808303396933022</v>
      </c>
      <c r="AE80">
        <v>0.79406663628907448</v>
      </c>
      <c r="AF80">
        <v>0.16209943164958601</v>
      </c>
    </row>
    <row r="81" spans="1:32" x14ac:dyDescent="0.3">
      <c r="A81">
        <v>0.78267620293470108</v>
      </c>
      <c r="B81" t="s">
        <v>156</v>
      </c>
      <c r="F81">
        <f t="shared" si="5"/>
        <v>3.0214288576419612E-2</v>
      </c>
      <c r="G81" s="29">
        <v>0.15623322862905903</v>
      </c>
      <c r="H81" s="29">
        <v>0.51088265761702301</v>
      </c>
      <c r="I81">
        <v>0</v>
      </c>
      <c r="J81" s="34"/>
      <c r="K81">
        <v>0.78267620293470108</v>
      </c>
      <c r="L81" s="29">
        <v>0.61114794020280006</v>
      </c>
      <c r="M81" s="29">
        <v>1.0267283283560971</v>
      </c>
      <c r="N81" s="29">
        <v>0.19556755204950299</v>
      </c>
      <c r="X81">
        <f t="shared" si="6"/>
        <v>3.0214288576419612E-2</v>
      </c>
      <c r="Y81">
        <v>0.11879082793975346</v>
      </c>
      <c r="Z81">
        <v>0.38844600736299378</v>
      </c>
      <c r="AA81">
        <v>0</v>
      </c>
      <c r="AC81">
        <v>0.78267620293470108</v>
      </c>
      <c r="AD81">
        <v>0.47808303396933022</v>
      </c>
      <c r="AE81">
        <v>0.79406663628907448</v>
      </c>
      <c r="AF81">
        <v>0.16209943164958601</v>
      </c>
    </row>
    <row r="82" spans="1:32" x14ac:dyDescent="0.3">
      <c r="A82" s="32">
        <v>0.5668291973064522</v>
      </c>
      <c r="B82" t="s">
        <v>157</v>
      </c>
      <c r="F82" s="32">
        <f t="shared" si="5"/>
        <v>0.21584700562824888</v>
      </c>
      <c r="G82" s="32">
        <v>0.15623322862905903</v>
      </c>
      <c r="H82" s="32">
        <v>0.51088265761702301</v>
      </c>
      <c r="I82" s="32">
        <v>0</v>
      </c>
      <c r="J82" s="33"/>
      <c r="K82" s="32">
        <v>0.5668291973064522</v>
      </c>
      <c r="L82" s="32">
        <v>0.61114794020280006</v>
      </c>
      <c r="M82" s="32">
        <v>1.0267283283560971</v>
      </c>
      <c r="N82" s="32">
        <v>0.19556755204950299</v>
      </c>
      <c r="X82">
        <f t="shared" si="6"/>
        <v>0.21584700562824888</v>
      </c>
      <c r="Y82">
        <v>0.11879082793975346</v>
      </c>
      <c r="Z82">
        <v>0.38844600736299378</v>
      </c>
      <c r="AA82">
        <v>0</v>
      </c>
      <c r="AC82">
        <v>0.5668291973064522</v>
      </c>
      <c r="AD82">
        <v>0.47808303396933022</v>
      </c>
      <c r="AE82">
        <v>0.79406663628907448</v>
      </c>
      <c r="AF82">
        <v>0.16209943164958601</v>
      </c>
    </row>
    <row r="83" spans="1:32" x14ac:dyDescent="0.3">
      <c r="A83">
        <v>0.18922238460822835</v>
      </c>
      <c r="B83" s="20" t="s">
        <v>186</v>
      </c>
      <c r="F83" s="34"/>
      <c r="G83">
        <f>AVERAGE(F84:F94)</f>
        <v>4.4204282930839424E-2</v>
      </c>
      <c r="H83">
        <f>3.27*G83</f>
        <v>0.14454800518384492</v>
      </c>
      <c r="I83">
        <v>0</v>
      </c>
      <c r="K83">
        <v>0.18922238460822835</v>
      </c>
      <c r="L83">
        <f>AVERAGE(K83:K94)</f>
        <v>0.30066315899137053</v>
      </c>
      <c r="M83">
        <f>L83+2.66*G83</f>
        <v>0.41824655158740343</v>
      </c>
      <c r="N83">
        <f>L83-2.66*G83</f>
        <v>0.18307976639533766</v>
      </c>
      <c r="X83">
        <f t="shared" si="6"/>
        <v>0.37760681269822383</v>
      </c>
      <c r="Y83">
        <v>0.11879082793975346</v>
      </c>
      <c r="Z83">
        <v>0.38844600736299378</v>
      </c>
      <c r="AA83">
        <v>0</v>
      </c>
      <c r="AC83">
        <v>0.18922238460822835</v>
      </c>
      <c r="AD83">
        <v>0.47808303396933022</v>
      </c>
      <c r="AE83">
        <v>0.79406663628907448</v>
      </c>
      <c r="AF83">
        <v>0.16209943164958601</v>
      </c>
    </row>
    <row r="84" spans="1:32" x14ac:dyDescent="0.3">
      <c r="A84">
        <v>0.19230188193226316</v>
      </c>
      <c r="B84" s="20" t="s">
        <v>187</v>
      </c>
      <c r="F84" s="20">
        <f>MAX(A83:A84)-MIN(A83:A84)</f>
        <v>3.0794973240348134E-3</v>
      </c>
      <c r="G84">
        <v>4.4204282930839424E-2</v>
      </c>
      <c r="H84">
        <v>0.14454800518384492</v>
      </c>
      <c r="I84">
        <v>0</v>
      </c>
      <c r="K84">
        <v>0.19230188193226316</v>
      </c>
      <c r="L84">
        <v>0.30066315899137053</v>
      </c>
      <c r="M84">
        <v>0.41824655158740343</v>
      </c>
      <c r="N84">
        <v>0.18307976639533766</v>
      </c>
      <c r="X84">
        <f t="shared" si="6"/>
        <v>3.0794973240348134E-3</v>
      </c>
      <c r="Y84">
        <v>0.11879082793975346</v>
      </c>
      <c r="Z84">
        <v>0.38844600736299378</v>
      </c>
      <c r="AA84">
        <v>0</v>
      </c>
      <c r="AC84">
        <v>0.19230188193226316</v>
      </c>
      <c r="AD84">
        <v>0.47808303396933022</v>
      </c>
      <c r="AE84">
        <v>0.79406663628907448</v>
      </c>
      <c r="AF84">
        <v>0.16209943164958601</v>
      </c>
    </row>
    <row r="85" spans="1:32" x14ac:dyDescent="0.3">
      <c r="A85">
        <v>0.34688666248131672</v>
      </c>
      <c r="B85" s="20" t="s">
        <v>188</v>
      </c>
      <c r="F85" s="20">
        <f t="shared" ref="F85:F94" si="7">MAX(A84:A85)-MIN(A84:A85)</f>
        <v>0.15458478054905356</v>
      </c>
      <c r="G85">
        <v>4.4204282930839424E-2</v>
      </c>
      <c r="H85">
        <v>0.14454800518384492</v>
      </c>
      <c r="I85">
        <v>0</v>
      </c>
      <c r="K85">
        <v>0.34688666248131672</v>
      </c>
      <c r="L85">
        <v>0.30066315899137053</v>
      </c>
      <c r="M85">
        <v>0.41824655158740343</v>
      </c>
      <c r="N85">
        <v>0.18307976639533766</v>
      </c>
      <c r="X85">
        <f t="shared" si="6"/>
        <v>0.15458478054905356</v>
      </c>
      <c r="Y85">
        <v>0.11879082793975346</v>
      </c>
      <c r="Z85">
        <v>0.38844600736299378</v>
      </c>
      <c r="AA85">
        <v>0</v>
      </c>
      <c r="AC85">
        <v>0.34688666248131672</v>
      </c>
      <c r="AD85">
        <v>0.47808303396933022</v>
      </c>
      <c r="AE85">
        <v>0.79406663628907448</v>
      </c>
      <c r="AF85">
        <v>0.16209943164958601</v>
      </c>
    </row>
    <row r="86" spans="1:32" x14ac:dyDescent="0.3">
      <c r="A86">
        <v>0.38430386236360092</v>
      </c>
      <c r="B86" s="20" t="s">
        <v>189</v>
      </c>
      <c r="F86" s="20">
        <f t="shared" si="7"/>
        <v>3.7417199882284202E-2</v>
      </c>
      <c r="G86">
        <v>4.4204282930839424E-2</v>
      </c>
      <c r="H86">
        <v>0.14454800518384492</v>
      </c>
      <c r="I86">
        <v>0</v>
      </c>
      <c r="K86">
        <v>0.38430386236360092</v>
      </c>
      <c r="L86">
        <v>0.30066315899137053</v>
      </c>
      <c r="M86">
        <v>0.41824655158740343</v>
      </c>
      <c r="N86">
        <v>0.18307976639533766</v>
      </c>
      <c r="X86">
        <f t="shared" si="6"/>
        <v>3.7417199882284202E-2</v>
      </c>
      <c r="Y86">
        <v>0.11879082793975346</v>
      </c>
      <c r="Z86">
        <v>0.38844600736299378</v>
      </c>
      <c r="AA86">
        <v>0</v>
      </c>
      <c r="AC86">
        <v>0.38430386236360092</v>
      </c>
      <c r="AD86">
        <v>0.47808303396933022</v>
      </c>
      <c r="AE86">
        <v>0.79406663628907448</v>
      </c>
      <c r="AF86">
        <v>0.16209943164958601</v>
      </c>
    </row>
    <row r="87" spans="1:32" x14ac:dyDescent="0.3">
      <c r="A87">
        <v>0.28839003995416279</v>
      </c>
      <c r="B87" s="20" t="s">
        <v>190</v>
      </c>
      <c r="F87" s="20">
        <f t="shared" si="7"/>
        <v>9.5913822409438132E-2</v>
      </c>
      <c r="G87">
        <v>4.4204282930839424E-2</v>
      </c>
      <c r="H87">
        <v>0.14454800518384492</v>
      </c>
      <c r="I87">
        <v>0</v>
      </c>
      <c r="K87">
        <v>0.28839003995416279</v>
      </c>
      <c r="L87">
        <v>0.30066315899137053</v>
      </c>
      <c r="M87">
        <v>0.41824655158740343</v>
      </c>
      <c r="N87">
        <v>0.18307976639533766</v>
      </c>
      <c r="X87">
        <f t="shared" si="6"/>
        <v>9.5913822409438132E-2</v>
      </c>
      <c r="Y87">
        <v>0.11879082793975346</v>
      </c>
      <c r="Z87">
        <v>0.38844600736299378</v>
      </c>
      <c r="AA87">
        <v>0</v>
      </c>
      <c r="AC87">
        <v>0.28839003995416279</v>
      </c>
      <c r="AD87">
        <v>0.47808303396933022</v>
      </c>
      <c r="AE87">
        <v>0.79406663628907448</v>
      </c>
      <c r="AF87">
        <v>0.16209943164958601</v>
      </c>
    </row>
    <row r="88" spans="1:32" x14ac:dyDescent="0.3">
      <c r="A88">
        <v>0.26973618894357154</v>
      </c>
      <c r="B88" s="20" t="s">
        <v>191</v>
      </c>
      <c r="F88" s="20">
        <f t="shared" si="7"/>
        <v>1.8653851010591249E-2</v>
      </c>
      <c r="G88">
        <v>4.4204282930839424E-2</v>
      </c>
      <c r="H88">
        <v>0.14454800518384492</v>
      </c>
      <c r="I88">
        <v>0</v>
      </c>
      <c r="K88">
        <v>0.26973618894357154</v>
      </c>
      <c r="L88">
        <v>0.30066315899137053</v>
      </c>
      <c r="M88">
        <v>0.41824655158740343</v>
      </c>
      <c r="N88">
        <v>0.18307976639533766</v>
      </c>
      <c r="X88">
        <f t="shared" si="6"/>
        <v>1.8653851010591249E-2</v>
      </c>
      <c r="Y88">
        <v>0.11879082793975346</v>
      </c>
      <c r="Z88">
        <v>0.38844600736299378</v>
      </c>
      <c r="AA88">
        <v>0</v>
      </c>
      <c r="AC88">
        <v>0.26973618894357154</v>
      </c>
      <c r="AD88">
        <v>0.47808303396933022</v>
      </c>
      <c r="AE88">
        <v>0.79406663628907448</v>
      </c>
      <c r="AF88">
        <v>0.16209943164958601</v>
      </c>
    </row>
    <row r="89" spans="1:32" x14ac:dyDescent="0.3">
      <c r="A89">
        <v>0.32683457750163325</v>
      </c>
      <c r="B89" s="20" t="s">
        <v>192</v>
      </c>
      <c r="F89" s="20">
        <f t="shared" si="7"/>
        <v>5.7098388558061708E-2</v>
      </c>
      <c r="G89">
        <v>4.4204282930839424E-2</v>
      </c>
      <c r="H89">
        <v>0.14454800518384492</v>
      </c>
      <c r="I89">
        <v>0</v>
      </c>
      <c r="K89">
        <v>0.32683457750163325</v>
      </c>
      <c r="L89">
        <v>0.30066315899137053</v>
      </c>
      <c r="M89">
        <v>0.41824655158740343</v>
      </c>
      <c r="N89">
        <v>0.18307976639533766</v>
      </c>
      <c r="X89">
        <f t="shared" si="6"/>
        <v>5.7098388558061708E-2</v>
      </c>
      <c r="Y89">
        <v>0.11879082793975346</v>
      </c>
      <c r="Z89">
        <v>0.38844600736299378</v>
      </c>
      <c r="AA89">
        <v>0</v>
      </c>
      <c r="AC89">
        <v>0.32683457750163325</v>
      </c>
      <c r="AD89">
        <v>0.47808303396933022</v>
      </c>
      <c r="AE89">
        <v>0.79406663628907448</v>
      </c>
      <c r="AF89">
        <v>0.16209943164958601</v>
      </c>
    </row>
    <row r="90" spans="1:32" x14ac:dyDescent="0.3">
      <c r="A90">
        <v>0.33472176025635653</v>
      </c>
      <c r="B90" s="20" t="s">
        <v>193</v>
      </c>
      <c r="F90" s="20">
        <f t="shared" si="7"/>
        <v>7.8871827547232765E-3</v>
      </c>
      <c r="G90">
        <v>4.4204282930839424E-2</v>
      </c>
      <c r="H90">
        <v>0.14454800518384492</v>
      </c>
      <c r="I90">
        <v>0</v>
      </c>
      <c r="K90">
        <v>0.33472176025635653</v>
      </c>
      <c r="L90">
        <v>0.30066315899137053</v>
      </c>
      <c r="M90">
        <v>0.41824655158740343</v>
      </c>
      <c r="N90">
        <v>0.18307976639533766</v>
      </c>
      <c r="X90">
        <f t="shared" si="6"/>
        <v>7.8871827547232765E-3</v>
      </c>
      <c r="Y90">
        <v>0.11879082793975346</v>
      </c>
      <c r="Z90">
        <v>0.38844600736299378</v>
      </c>
      <c r="AA90">
        <v>0</v>
      </c>
      <c r="AC90">
        <v>0.33472176025635653</v>
      </c>
      <c r="AD90">
        <v>0.47808303396933022</v>
      </c>
      <c r="AE90">
        <v>0.79406663628907448</v>
      </c>
      <c r="AF90">
        <v>0.16209943164958601</v>
      </c>
    </row>
    <row r="91" spans="1:32" x14ac:dyDescent="0.3">
      <c r="A91">
        <v>0.32021553539539355</v>
      </c>
      <c r="B91" s="20" t="s">
        <v>194</v>
      </c>
      <c r="F91" s="20">
        <f t="shared" si="7"/>
        <v>1.450622486096298E-2</v>
      </c>
      <c r="G91">
        <v>4.4204282930839424E-2</v>
      </c>
      <c r="H91">
        <v>0.14454800518384492</v>
      </c>
      <c r="I91">
        <v>0</v>
      </c>
      <c r="K91">
        <v>0.32021553539539355</v>
      </c>
      <c r="L91">
        <v>0.30066315899137053</v>
      </c>
      <c r="M91">
        <v>0.41824655158740343</v>
      </c>
      <c r="N91">
        <v>0.18307976639533766</v>
      </c>
      <c r="X91">
        <f t="shared" si="6"/>
        <v>1.450622486096298E-2</v>
      </c>
      <c r="Y91">
        <v>0.11879082793975346</v>
      </c>
      <c r="Z91">
        <v>0.38844600736299378</v>
      </c>
      <c r="AA91">
        <v>0</v>
      </c>
      <c r="AC91">
        <v>0.32021553539539355</v>
      </c>
      <c r="AD91">
        <v>0.47808303396933022</v>
      </c>
      <c r="AE91">
        <v>0.79406663628907448</v>
      </c>
      <c r="AF91">
        <v>0.16209943164958601</v>
      </c>
    </row>
    <row r="92" spans="1:32" x14ac:dyDescent="0.3">
      <c r="A92">
        <v>0.32881377595682476</v>
      </c>
      <c r="B92" s="20" t="s">
        <v>195</v>
      </c>
      <c r="F92" s="20">
        <f t="shared" si="7"/>
        <v>8.5982405614312141E-3</v>
      </c>
      <c r="G92">
        <v>4.4204282930839424E-2</v>
      </c>
      <c r="H92">
        <v>0.14454800518384492</v>
      </c>
      <c r="I92">
        <v>0</v>
      </c>
      <c r="K92">
        <v>0.32881377595682476</v>
      </c>
      <c r="L92">
        <v>0.30066315899137053</v>
      </c>
      <c r="M92">
        <v>0.41824655158740343</v>
      </c>
      <c r="N92">
        <v>0.18307976639533766</v>
      </c>
      <c r="X92">
        <f t="shared" si="6"/>
        <v>8.5982405614312141E-3</v>
      </c>
      <c r="Y92">
        <v>0.11879082793975346</v>
      </c>
      <c r="Z92">
        <v>0.38844600736299378</v>
      </c>
      <c r="AA92">
        <v>0</v>
      </c>
      <c r="AC92">
        <v>0.32881377595682476</v>
      </c>
      <c r="AD92">
        <v>0.47808303396933022</v>
      </c>
      <c r="AE92">
        <v>0.79406663628907448</v>
      </c>
      <c r="AF92">
        <v>0.16209943164958601</v>
      </c>
    </row>
    <row r="93" spans="1:32" x14ac:dyDescent="0.3">
      <c r="A93">
        <v>0.28894569671042242</v>
      </c>
      <c r="B93" s="20" t="s">
        <v>185</v>
      </c>
      <c r="F93" s="20">
        <f t="shared" si="7"/>
        <v>3.9868079246402344E-2</v>
      </c>
      <c r="G93">
        <v>4.4204282930839424E-2</v>
      </c>
      <c r="H93">
        <v>0.14454800518384492</v>
      </c>
      <c r="I93">
        <v>0</v>
      </c>
      <c r="K93">
        <v>0.28894569671042242</v>
      </c>
      <c r="L93">
        <v>0.30066315899137053</v>
      </c>
      <c r="M93">
        <v>0.41824655158740343</v>
      </c>
      <c r="N93">
        <v>0.18307976639533766</v>
      </c>
      <c r="X93">
        <f t="shared" si="6"/>
        <v>3.9868079246402344E-2</v>
      </c>
      <c r="Y93">
        <v>0.11879082793975346</v>
      </c>
      <c r="Z93">
        <v>0.38844600736299378</v>
      </c>
      <c r="AA93">
        <v>0</v>
      </c>
      <c r="AC93">
        <v>0.28894569671042242</v>
      </c>
      <c r="AD93">
        <v>0.47808303396933022</v>
      </c>
      <c r="AE93">
        <v>0.79406663628907448</v>
      </c>
      <c r="AF93">
        <v>0.16209943164958601</v>
      </c>
    </row>
    <row r="94" spans="1:32" x14ac:dyDescent="0.3">
      <c r="A94">
        <v>0.33758554179267264</v>
      </c>
      <c r="B94" s="20" t="s">
        <v>196</v>
      </c>
      <c r="F94" s="20">
        <f t="shared" si="7"/>
        <v>4.8639845082250222E-2</v>
      </c>
      <c r="G94">
        <v>4.4204282930839424E-2</v>
      </c>
      <c r="H94">
        <v>0.14454800518384492</v>
      </c>
      <c r="I94">
        <v>0</v>
      </c>
      <c r="K94">
        <v>0.33758554179267264</v>
      </c>
      <c r="L94">
        <v>0.30066315899137053</v>
      </c>
      <c r="M94">
        <v>0.41824655158740343</v>
      </c>
      <c r="N94">
        <v>0.18307976639533766</v>
      </c>
      <c r="X94">
        <f t="shared" si="6"/>
        <v>4.8639845082250222E-2</v>
      </c>
      <c r="Y94">
        <v>0.11879082793975346</v>
      </c>
      <c r="Z94">
        <v>0.38844600736299378</v>
      </c>
      <c r="AA94">
        <v>0</v>
      </c>
      <c r="AC94">
        <v>0.33758554179267264</v>
      </c>
      <c r="AD94">
        <v>0.47808303396933022</v>
      </c>
      <c r="AE94">
        <v>0.79406663628907448</v>
      </c>
      <c r="AF94">
        <v>0.16209943164958601</v>
      </c>
    </row>
  </sheetData>
  <mergeCells count="2">
    <mergeCell ref="A36:D36"/>
    <mergeCell ref="F36:I3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7294-A7E8-46EB-AE2C-B53946103408}">
  <dimension ref="A1:K57"/>
  <sheetViews>
    <sheetView topLeftCell="A24" workbookViewId="0">
      <selection activeCell="C35" sqref="C35"/>
    </sheetView>
  </sheetViews>
  <sheetFormatPr defaultRowHeight="14.4" x14ac:dyDescent="0.3"/>
  <cols>
    <col min="1" max="1" width="10.88671875" bestFit="1" customWidth="1"/>
    <col min="2" max="2" width="22" bestFit="1" customWidth="1"/>
    <col min="6" max="6" width="4.5546875" style="27" customWidth="1"/>
    <col min="7" max="7" width="10.88671875" bestFit="1" customWidth="1"/>
    <col min="8" max="8" width="22" bestFit="1" customWidth="1"/>
  </cols>
  <sheetData>
    <row r="1" spans="1:11" ht="18" thickBot="1" x14ac:dyDescent="0.4">
      <c r="A1" s="45" t="s">
        <v>223</v>
      </c>
      <c r="B1" s="45"/>
      <c r="C1" s="45"/>
      <c r="D1" s="45"/>
      <c r="E1" s="45"/>
      <c r="G1" s="44" t="s">
        <v>222</v>
      </c>
      <c r="H1" s="44"/>
      <c r="I1" s="44"/>
      <c r="J1" s="44"/>
      <c r="K1" s="44"/>
    </row>
    <row r="2" spans="1:11" ht="15" thickTop="1" x14ac:dyDescent="0.3">
      <c r="A2" s="11" t="s">
        <v>137</v>
      </c>
      <c r="B2" s="11" t="s">
        <v>33</v>
      </c>
      <c r="C2" s="11" t="s">
        <v>35</v>
      </c>
      <c r="D2" s="11" t="s">
        <v>138</v>
      </c>
      <c r="E2" s="11" t="s">
        <v>221</v>
      </c>
      <c r="G2" s="11" t="s">
        <v>137</v>
      </c>
      <c r="H2" s="11" t="s">
        <v>33</v>
      </c>
      <c r="I2" s="11" t="s">
        <v>35</v>
      </c>
      <c r="J2" s="11" t="s">
        <v>138</v>
      </c>
      <c r="K2" s="11" t="s">
        <v>221</v>
      </c>
    </row>
    <row r="3" spans="1:11" x14ac:dyDescent="0.3">
      <c r="A3" t="s">
        <v>139</v>
      </c>
      <c r="B3" t="s">
        <v>71</v>
      </c>
      <c r="C3">
        <v>3</v>
      </c>
      <c r="D3">
        <f>C3/5</f>
        <v>0.6</v>
      </c>
      <c r="E3">
        <f>D3*LN(D3)</f>
        <v>-0.30649537425959444</v>
      </c>
      <c r="G3" t="s">
        <v>186</v>
      </c>
      <c r="H3" t="s">
        <v>76</v>
      </c>
      <c r="I3">
        <v>2</v>
      </c>
      <c r="J3">
        <f>I3/13</f>
        <v>0.15384615384615385</v>
      </c>
      <c r="K3">
        <f>J3*LN(J3)</f>
        <v>-0.28796956567716792</v>
      </c>
    </row>
    <row r="4" spans="1:11" x14ac:dyDescent="0.3">
      <c r="B4" t="s">
        <v>73</v>
      </c>
      <c r="C4">
        <v>2</v>
      </c>
      <c r="D4">
        <f>C4/5</f>
        <v>0.4</v>
      </c>
      <c r="E4">
        <f>D4*LN(D4)</f>
        <v>-0.36651629274966202</v>
      </c>
      <c r="H4" t="s">
        <v>73</v>
      </c>
      <c r="I4">
        <v>1</v>
      </c>
      <c r="J4">
        <f t="shared" ref="J4:J6" si="0">I4/13</f>
        <v>7.6923076923076927E-2</v>
      </c>
      <c r="K4">
        <f t="shared" ref="K4:K6" si="1">J4*LN(J4)</f>
        <v>-0.19730379672781054</v>
      </c>
    </row>
    <row r="5" spans="1:11" x14ac:dyDescent="0.3">
      <c r="B5" t="s">
        <v>101</v>
      </c>
      <c r="C5">
        <v>5</v>
      </c>
      <c r="E5">
        <f>-SUM(E3:E4)</f>
        <v>0.67301166700925652</v>
      </c>
      <c r="H5" t="s">
        <v>72</v>
      </c>
      <c r="I5">
        <v>3</v>
      </c>
      <c r="J5">
        <f t="shared" si="0"/>
        <v>0.23076923076923078</v>
      </c>
      <c r="K5">
        <f t="shared" si="1"/>
        <v>-0.33838547741386776</v>
      </c>
    </row>
    <row r="6" spans="1:11" x14ac:dyDescent="0.3">
      <c r="A6" t="s">
        <v>142</v>
      </c>
      <c r="B6" t="s">
        <v>71</v>
      </c>
      <c r="C6">
        <v>2</v>
      </c>
      <c r="D6">
        <v>1</v>
      </c>
      <c r="E6">
        <f>D6*LN(D6)</f>
        <v>0</v>
      </c>
      <c r="H6" t="s">
        <v>71</v>
      </c>
      <c r="I6">
        <v>7</v>
      </c>
      <c r="J6">
        <f t="shared" si="0"/>
        <v>0.53846153846153844</v>
      </c>
      <c r="K6">
        <f t="shared" si="1"/>
        <v>-0.33332880452642805</v>
      </c>
    </row>
    <row r="7" spans="1:11" x14ac:dyDescent="0.3">
      <c r="B7" t="s">
        <v>101</v>
      </c>
      <c r="C7">
        <v>2</v>
      </c>
      <c r="E7">
        <v>0</v>
      </c>
      <c r="H7" t="s">
        <v>101</v>
      </c>
      <c r="I7">
        <v>13</v>
      </c>
      <c r="K7">
        <f>-SUM(K3:K6)</f>
        <v>1.1569876443452742</v>
      </c>
    </row>
    <row r="8" spans="1:11" x14ac:dyDescent="0.3">
      <c r="A8" t="s">
        <v>143</v>
      </c>
      <c r="B8" t="s">
        <v>71</v>
      </c>
      <c r="C8">
        <v>2</v>
      </c>
      <c r="D8">
        <f>C8/5</f>
        <v>0.4</v>
      </c>
      <c r="E8">
        <f>D8*LN(D8)</f>
        <v>-0.36651629274966202</v>
      </c>
      <c r="G8" t="s">
        <v>187</v>
      </c>
      <c r="H8" t="s">
        <v>71</v>
      </c>
      <c r="I8">
        <v>23</v>
      </c>
      <c r="J8">
        <f>I8/32</f>
        <v>0.71875</v>
      </c>
      <c r="K8">
        <f>J8*LN(J8)</f>
        <v>-0.23736121243822711</v>
      </c>
    </row>
    <row r="9" spans="1:11" x14ac:dyDescent="0.3">
      <c r="B9" t="s">
        <v>73</v>
      </c>
      <c r="C9">
        <v>1</v>
      </c>
      <c r="D9">
        <f t="shared" ref="D9:D10" si="2">C9/5</f>
        <v>0.2</v>
      </c>
      <c r="E9">
        <f t="shared" ref="E9:E10" si="3">D9*LN(D9)</f>
        <v>-0.32188758248682009</v>
      </c>
      <c r="H9" t="s">
        <v>76</v>
      </c>
      <c r="I9">
        <v>8</v>
      </c>
      <c r="J9">
        <f t="shared" ref="J9:J10" si="4">I9/32</f>
        <v>0.25</v>
      </c>
      <c r="K9">
        <f t="shared" ref="K9:K10" si="5">J9*LN(J9)</f>
        <v>-0.34657359027997264</v>
      </c>
    </row>
    <row r="10" spans="1:11" x14ac:dyDescent="0.3">
      <c r="B10" t="s">
        <v>83</v>
      </c>
      <c r="C10">
        <v>2</v>
      </c>
      <c r="D10">
        <f t="shared" si="2"/>
        <v>0.4</v>
      </c>
      <c r="E10">
        <f t="shared" si="3"/>
        <v>-0.36651629274966202</v>
      </c>
      <c r="H10" t="s">
        <v>73</v>
      </c>
      <c r="I10">
        <v>1</v>
      </c>
      <c r="J10">
        <f t="shared" si="4"/>
        <v>3.125E-2</v>
      </c>
      <c r="K10">
        <f t="shared" si="5"/>
        <v>-0.10830424696249145</v>
      </c>
    </row>
    <row r="11" spans="1:11" x14ac:dyDescent="0.3">
      <c r="B11" t="s">
        <v>101</v>
      </c>
      <c r="C11">
        <f>SUM(C8:C10)</f>
        <v>5</v>
      </c>
      <c r="E11">
        <f>-SUM(E8:E10)</f>
        <v>1.0549201679861442</v>
      </c>
      <c r="H11" t="s">
        <v>101</v>
      </c>
      <c r="I11">
        <f>SUM(I8:I10)</f>
        <v>32</v>
      </c>
      <c r="K11">
        <f>-SUM(K8:K10)</f>
        <v>0.69223904968069117</v>
      </c>
    </row>
    <row r="12" spans="1:11" x14ac:dyDescent="0.3">
      <c r="A12" t="s">
        <v>144</v>
      </c>
      <c r="B12" t="s">
        <v>71</v>
      </c>
      <c r="C12">
        <v>1</v>
      </c>
      <c r="D12">
        <v>1</v>
      </c>
      <c r="E12">
        <v>0</v>
      </c>
      <c r="G12" t="s">
        <v>188</v>
      </c>
      <c r="H12" t="s">
        <v>71</v>
      </c>
      <c r="I12">
        <v>9</v>
      </c>
      <c r="J12">
        <f>I12/12</f>
        <v>0.75</v>
      </c>
      <c r="K12">
        <f>J12*LN(J12)</f>
        <v>-0.21576155433883568</v>
      </c>
    </row>
    <row r="13" spans="1:11" x14ac:dyDescent="0.3">
      <c r="B13" t="s">
        <v>101</v>
      </c>
      <c r="C13">
        <v>1</v>
      </c>
      <c r="E13">
        <v>0</v>
      </c>
      <c r="H13" t="s">
        <v>76</v>
      </c>
      <c r="I13">
        <v>3</v>
      </c>
      <c r="J13">
        <f>I13/12</f>
        <v>0.25</v>
      </c>
      <c r="K13">
        <f>J13*LN(J13)</f>
        <v>-0.34657359027997264</v>
      </c>
    </row>
    <row r="14" spans="1:11" x14ac:dyDescent="0.3">
      <c r="A14" t="s">
        <v>145</v>
      </c>
      <c r="B14" t="s">
        <v>71</v>
      </c>
      <c r="C14">
        <v>1</v>
      </c>
      <c r="D14">
        <v>1</v>
      </c>
      <c r="E14">
        <v>0</v>
      </c>
      <c r="H14" t="s">
        <v>101</v>
      </c>
      <c r="I14">
        <v>12</v>
      </c>
      <c r="K14">
        <f>-SUM(K12:K13)</f>
        <v>0.56233514461880829</v>
      </c>
    </row>
    <row r="15" spans="1:11" x14ac:dyDescent="0.3">
      <c r="B15" t="s">
        <v>101</v>
      </c>
      <c r="C15">
        <v>1</v>
      </c>
      <c r="E15">
        <v>0</v>
      </c>
      <c r="G15" t="s">
        <v>189</v>
      </c>
      <c r="H15" t="s">
        <v>71</v>
      </c>
      <c r="I15">
        <v>21</v>
      </c>
      <c r="J15">
        <f>I15/33</f>
        <v>0.63636363636363635</v>
      </c>
      <c r="K15">
        <f>J15*LN(J15)</f>
        <v>-0.28762689692740007</v>
      </c>
    </row>
    <row r="16" spans="1:11" x14ac:dyDescent="0.3">
      <c r="A16" t="s">
        <v>146</v>
      </c>
      <c r="B16" t="s">
        <v>71</v>
      </c>
      <c r="C16">
        <v>2</v>
      </c>
      <c r="D16">
        <v>1</v>
      </c>
      <c r="E16">
        <v>0</v>
      </c>
      <c r="H16" t="s">
        <v>83</v>
      </c>
      <c r="I16">
        <v>6</v>
      </c>
      <c r="J16">
        <f t="shared" ref="J16:J19" si="6">I16/33</f>
        <v>0.18181818181818182</v>
      </c>
      <c r="K16">
        <f t="shared" ref="K16:K19" si="7">J16*LN(J16)</f>
        <v>-0.30995419858880463</v>
      </c>
    </row>
    <row r="17" spans="1:11" x14ac:dyDescent="0.3">
      <c r="B17" t="s">
        <v>101</v>
      </c>
      <c r="C17">
        <v>2</v>
      </c>
      <c r="E17">
        <v>0</v>
      </c>
      <c r="H17" t="s">
        <v>94</v>
      </c>
      <c r="I17">
        <v>1</v>
      </c>
      <c r="J17">
        <f t="shared" si="6"/>
        <v>3.0303030303030304E-2</v>
      </c>
      <c r="K17">
        <f t="shared" si="7"/>
        <v>-0.10595477458989334</v>
      </c>
    </row>
    <row r="18" spans="1:11" x14ac:dyDescent="0.3">
      <c r="A18" t="s">
        <v>147</v>
      </c>
      <c r="B18" t="s">
        <v>71</v>
      </c>
      <c r="C18">
        <v>5</v>
      </c>
      <c r="D18">
        <v>1</v>
      </c>
      <c r="E18">
        <v>0</v>
      </c>
      <c r="H18" t="s">
        <v>73</v>
      </c>
      <c r="I18">
        <v>4</v>
      </c>
      <c r="J18">
        <f t="shared" si="6"/>
        <v>0.12121212121212122</v>
      </c>
      <c r="K18">
        <f t="shared" si="7"/>
        <v>-0.25578341822382905</v>
      </c>
    </row>
    <row r="19" spans="1:11" x14ac:dyDescent="0.3">
      <c r="B19" t="s">
        <v>101</v>
      </c>
      <c r="C19">
        <v>5</v>
      </c>
      <c r="E19">
        <v>0</v>
      </c>
      <c r="H19" t="s">
        <v>92</v>
      </c>
      <c r="I19">
        <v>1</v>
      </c>
      <c r="J19">
        <f t="shared" si="6"/>
        <v>3.0303030303030304E-2</v>
      </c>
      <c r="K19">
        <f t="shared" si="7"/>
        <v>-0.10595477458989334</v>
      </c>
    </row>
    <row r="20" spans="1:11" x14ac:dyDescent="0.3">
      <c r="A20" t="s">
        <v>148</v>
      </c>
      <c r="B20" t="s">
        <v>71</v>
      </c>
      <c r="C20">
        <v>9</v>
      </c>
      <c r="D20">
        <f>C20/16</f>
        <v>0.5625</v>
      </c>
      <c r="E20">
        <f>D20*LN(D20)</f>
        <v>-0.3236423315082535</v>
      </c>
      <c r="H20" t="s">
        <v>101</v>
      </c>
      <c r="I20">
        <f>SUM(I15:I19)</f>
        <v>33</v>
      </c>
      <c r="K20">
        <f>-SUM(K15:K19)</f>
        <v>1.0652740629198205</v>
      </c>
    </row>
    <row r="21" spans="1:11" x14ac:dyDescent="0.3">
      <c r="B21" t="s">
        <v>83</v>
      </c>
      <c r="C21">
        <v>1</v>
      </c>
      <c r="D21">
        <f t="shared" ref="D21:D23" si="8">C21/16</f>
        <v>6.25E-2</v>
      </c>
      <c r="E21">
        <f t="shared" ref="E21:E23" si="9">D21*LN(D21)</f>
        <v>-0.17328679513998632</v>
      </c>
      <c r="G21" t="s">
        <v>190</v>
      </c>
      <c r="H21" t="s">
        <v>93</v>
      </c>
      <c r="I21">
        <v>32</v>
      </c>
      <c r="J21">
        <f>I21/58</f>
        <v>0.55172413793103448</v>
      </c>
      <c r="K21">
        <f>J21*LN(J21)</f>
        <v>-0.32811426634300289</v>
      </c>
    </row>
    <row r="22" spans="1:11" x14ac:dyDescent="0.3">
      <c r="B22" t="s">
        <v>73</v>
      </c>
      <c r="C22">
        <v>5</v>
      </c>
      <c r="D22">
        <f t="shared" si="8"/>
        <v>0.3125</v>
      </c>
      <c r="E22">
        <f t="shared" si="9"/>
        <v>-0.36348462806427528</v>
      </c>
      <c r="H22" t="s">
        <v>71</v>
      </c>
      <c r="I22">
        <v>23</v>
      </c>
      <c r="J22">
        <f t="shared" ref="J22:J23" si="10">I22/58</f>
        <v>0.39655172413793105</v>
      </c>
      <c r="K22">
        <f t="shared" ref="K22:K23" si="11">J22*LN(J22)</f>
        <v>-0.36679003924477938</v>
      </c>
    </row>
    <row r="23" spans="1:11" x14ac:dyDescent="0.3">
      <c r="B23" t="s">
        <v>84</v>
      </c>
      <c r="C23">
        <v>1</v>
      </c>
      <c r="D23">
        <f t="shared" si="8"/>
        <v>6.25E-2</v>
      </c>
      <c r="E23">
        <f t="shared" si="9"/>
        <v>-0.17328679513998632</v>
      </c>
      <c r="H23" t="s">
        <v>73</v>
      </c>
      <c r="I23">
        <v>3</v>
      </c>
      <c r="J23">
        <f t="shared" si="10"/>
        <v>5.1724137931034482E-2</v>
      </c>
      <c r="K23">
        <f t="shared" si="11"/>
        <v>-0.1531981407868091</v>
      </c>
    </row>
    <row r="24" spans="1:11" x14ac:dyDescent="0.3">
      <c r="B24" t="s">
        <v>101</v>
      </c>
      <c r="C24">
        <f>SUM(C20:C23)</f>
        <v>16</v>
      </c>
      <c r="E24">
        <f>-SUM(E20:E23)</f>
        <v>1.0337005498525014</v>
      </c>
      <c r="H24" t="s">
        <v>101</v>
      </c>
      <c r="I24">
        <f>SUM(I21:I23)</f>
        <v>58</v>
      </c>
      <c r="K24">
        <f>-SUM(K21:K23)</f>
        <v>0.84810244637459142</v>
      </c>
    </row>
    <row r="25" spans="1:11" x14ac:dyDescent="0.3">
      <c r="A25" t="s">
        <v>149</v>
      </c>
      <c r="B25" t="s">
        <v>73</v>
      </c>
      <c r="C25">
        <v>1</v>
      </c>
      <c r="D25">
        <f>C25/8</f>
        <v>0.125</v>
      </c>
      <c r="E25">
        <f>D25*LN(D25)</f>
        <v>-0.25993019270997947</v>
      </c>
      <c r="G25" t="s">
        <v>191</v>
      </c>
      <c r="H25" t="s">
        <v>73</v>
      </c>
      <c r="I25">
        <v>1</v>
      </c>
      <c r="J25">
        <f>I25/36</f>
        <v>2.7777777777777776E-2</v>
      </c>
      <c r="K25">
        <f>J25*LN(J25)</f>
        <v>-9.9542192734891941E-2</v>
      </c>
    </row>
    <row r="26" spans="1:11" x14ac:dyDescent="0.3">
      <c r="B26" t="s">
        <v>71</v>
      </c>
      <c r="C26">
        <v>7</v>
      </c>
      <c r="D26">
        <f>C26/8</f>
        <v>0.875</v>
      </c>
      <c r="E26">
        <f>D26*LN(D26)</f>
        <v>-0.1168399685464573</v>
      </c>
      <c r="H26" t="s">
        <v>93</v>
      </c>
      <c r="I26">
        <v>16</v>
      </c>
      <c r="J26">
        <f t="shared" ref="J26:J28" si="12">I26/36</f>
        <v>0.44444444444444442</v>
      </c>
      <c r="K26">
        <f t="shared" ref="K26:K28" si="13">J26*LN(J26)</f>
        <v>-0.36041342942947946</v>
      </c>
    </row>
    <row r="27" spans="1:11" x14ac:dyDescent="0.3">
      <c r="B27" t="s">
        <v>101</v>
      </c>
      <c r="C27">
        <v>8</v>
      </c>
      <c r="E27">
        <f>-SUM(E25:E26)</f>
        <v>0.37677016125643675</v>
      </c>
      <c r="H27" t="s">
        <v>94</v>
      </c>
      <c r="I27">
        <v>1</v>
      </c>
      <c r="J27">
        <f t="shared" si="12"/>
        <v>2.7777777777777776E-2</v>
      </c>
      <c r="K27">
        <f t="shared" si="13"/>
        <v>-9.9542192734891941E-2</v>
      </c>
    </row>
    <row r="28" spans="1:11" x14ac:dyDescent="0.3">
      <c r="A28" t="s">
        <v>150</v>
      </c>
      <c r="B28" t="s">
        <v>76</v>
      </c>
      <c r="C28">
        <v>1</v>
      </c>
      <c r="D28">
        <v>1</v>
      </c>
      <c r="E28">
        <v>0</v>
      </c>
      <c r="H28" t="s">
        <v>71</v>
      </c>
      <c r="I28">
        <v>18</v>
      </c>
      <c r="J28">
        <f t="shared" si="12"/>
        <v>0.5</v>
      </c>
      <c r="K28">
        <f t="shared" si="13"/>
        <v>-0.34657359027997264</v>
      </c>
    </row>
    <row r="29" spans="1:11" x14ac:dyDescent="0.3">
      <c r="B29" t="s">
        <v>101</v>
      </c>
      <c r="C29">
        <v>1</v>
      </c>
      <c r="E29">
        <v>0</v>
      </c>
      <c r="H29" t="s">
        <v>101</v>
      </c>
      <c r="I29">
        <f>SUM(I25:I28)</f>
        <v>36</v>
      </c>
      <c r="K29">
        <f>-SUM(K25:K28)</f>
        <v>0.90607140517923601</v>
      </c>
    </row>
    <row r="30" spans="1:11" x14ac:dyDescent="0.3">
      <c r="A30" t="s">
        <v>151</v>
      </c>
      <c r="B30" t="s">
        <v>71</v>
      </c>
      <c r="C30">
        <v>1</v>
      </c>
      <c r="D30">
        <v>0.5</v>
      </c>
      <c r="E30">
        <f>D30*LN(D30)</f>
        <v>-0.34657359027997264</v>
      </c>
      <c r="G30" t="s">
        <v>192</v>
      </c>
      <c r="H30" t="s">
        <v>93</v>
      </c>
      <c r="I30">
        <v>13</v>
      </c>
      <c r="J30">
        <f>I30/32</f>
        <v>0.40625</v>
      </c>
      <c r="K30">
        <f>J30*LN(J30)</f>
        <v>-0.36594453404363958</v>
      </c>
    </row>
    <row r="31" spans="1:11" x14ac:dyDescent="0.3">
      <c r="B31" t="s">
        <v>83</v>
      </c>
      <c r="C31">
        <v>1</v>
      </c>
      <c r="D31">
        <v>0.5</v>
      </c>
      <c r="E31">
        <f>D31*LN(D31)</f>
        <v>-0.34657359027997264</v>
      </c>
      <c r="H31" t="s">
        <v>71</v>
      </c>
      <c r="I31">
        <v>13</v>
      </c>
      <c r="J31">
        <f t="shared" ref="J31:J35" si="14">I31/32</f>
        <v>0.40625</v>
      </c>
      <c r="K31">
        <f t="shared" ref="K31:K35" si="15">J31*LN(J31)</f>
        <v>-0.36594453404363958</v>
      </c>
    </row>
    <row r="32" spans="1:11" x14ac:dyDescent="0.3">
      <c r="B32" t="s">
        <v>101</v>
      </c>
      <c r="C32">
        <v>2</v>
      </c>
      <c r="E32">
        <f>-SUM(E30:E31)</f>
        <v>0.69314718055994529</v>
      </c>
      <c r="H32" t="s">
        <v>94</v>
      </c>
      <c r="I32">
        <v>2</v>
      </c>
      <c r="J32">
        <f t="shared" si="14"/>
        <v>6.25E-2</v>
      </c>
      <c r="K32">
        <f t="shared" si="15"/>
        <v>-0.17328679513998632</v>
      </c>
    </row>
    <row r="33" spans="1:11" x14ac:dyDescent="0.3">
      <c r="A33" t="s">
        <v>152</v>
      </c>
      <c r="B33" t="s">
        <v>71</v>
      </c>
      <c r="C33">
        <v>10</v>
      </c>
      <c r="D33">
        <f>C33/12</f>
        <v>0.83333333333333337</v>
      </c>
      <c r="E33">
        <f>D33*LN(D33)</f>
        <v>-0.15193463066162882</v>
      </c>
      <c r="H33" t="s">
        <v>73</v>
      </c>
      <c r="I33">
        <v>2</v>
      </c>
      <c r="J33">
        <f t="shared" si="14"/>
        <v>6.25E-2</v>
      </c>
      <c r="K33">
        <f t="shared" si="15"/>
        <v>-0.17328679513998632</v>
      </c>
    </row>
    <row r="34" spans="1:11" x14ac:dyDescent="0.3">
      <c r="B34" t="s">
        <v>73</v>
      </c>
      <c r="C34">
        <v>2</v>
      </c>
      <c r="D34">
        <f>C34/12</f>
        <v>0.16666666666666666</v>
      </c>
      <c r="E34">
        <f>D34*LN(D34)</f>
        <v>-0.29862657820467581</v>
      </c>
      <c r="H34" t="s">
        <v>76</v>
      </c>
      <c r="I34">
        <v>1</v>
      </c>
      <c r="J34">
        <f t="shared" si="14"/>
        <v>3.125E-2</v>
      </c>
      <c r="K34">
        <f t="shared" si="15"/>
        <v>-0.10830424696249145</v>
      </c>
    </row>
    <row r="35" spans="1:11" x14ac:dyDescent="0.3">
      <c r="B35" t="s">
        <v>101</v>
      </c>
      <c r="C35">
        <v>12</v>
      </c>
      <c r="E35">
        <f>-SUM(E33:E34)</f>
        <v>0.45056120886630463</v>
      </c>
      <c r="H35" t="s">
        <v>177</v>
      </c>
      <c r="I35">
        <v>1</v>
      </c>
      <c r="J35">
        <f t="shared" si="14"/>
        <v>3.125E-2</v>
      </c>
      <c r="K35">
        <f t="shared" si="15"/>
        <v>-0.10830424696249145</v>
      </c>
    </row>
    <row r="36" spans="1:11" x14ac:dyDescent="0.3">
      <c r="A36" t="s">
        <v>153</v>
      </c>
      <c r="B36" t="s">
        <v>71</v>
      </c>
      <c r="C36">
        <v>11</v>
      </c>
      <c r="D36">
        <f>C36/12</f>
        <v>0.91666666666666663</v>
      </c>
      <c r="E36">
        <f>D36*LN(D36)</f>
        <v>-7.976042890716066E-2</v>
      </c>
      <c r="H36" t="s">
        <v>101</v>
      </c>
      <c r="I36">
        <v>32</v>
      </c>
      <c r="K36">
        <f>-SUM(K30:K35)</f>
        <v>1.2950711522922349</v>
      </c>
    </row>
    <row r="37" spans="1:11" x14ac:dyDescent="0.3">
      <c r="B37" t="s">
        <v>73</v>
      </c>
      <c r="C37">
        <v>1</v>
      </c>
      <c r="D37">
        <f>C37/12</f>
        <v>8.3333333333333329E-2</v>
      </c>
      <c r="E37">
        <f>D37*LN(D37)</f>
        <v>-0.20707555414900003</v>
      </c>
      <c r="G37" t="s">
        <v>193</v>
      </c>
      <c r="H37" t="s">
        <v>71</v>
      </c>
      <c r="I37">
        <v>14</v>
      </c>
      <c r="J37">
        <f>I37/43</f>
        <v>0.32558139534883723</v>
      </c>
      <c r="K37">
        <f>J37*LN(J37)</f>
        <v>-0.36534881407200592</v>
      </c>
    </row>
    <row r="38" spans="1:11" x14ac:dyDescent="0.3">
      <c r="B38" t="s">
        <v>101</v>
      </c>
      <c r="C38">
        <v>12</v>
      </c>
      <c r="E38">
        <f>-SUM(E36:E37)</f>
        <v>0.2868359830561607</v>
      </c>
      <c r="H38" t="s">
        <v>93</v>
      </c>
      <c r="I38">
        <v>24</v>
      </c>
      <c r="J38">
        <f t="shared" ref="J38:J40" si="16">I38/43</f>
        <v>0.55813953488372092</v>
      </c>
      <c r="K38">
        <f t="shared" ref="K38:K40" si="17">J38*LN(J38)</f>
        <v>-0.3254769964719722</v>
      </c>
    </row>
    <row r="39" spans="1:11" x14ac:dyDescent="0.3">
      <c r="A39" t="s">
        <v>154</v>
      </c>
      <c r="B39" t="s">
        <v>71</v>
      </c>
      <c r="C39">
        <v>3</v>
      </c>
      <c r="D39">
        <v>1</v>
      </c>
      <c r="E39">
        <v>0</v>
      </c>
      <c r="H39" t="s">
        <v>73</v>
      </c>
      <c r="I39">
        <v>3</v>
      </c>
      <c r="J39">
        <f t="shared" si="16"/>
        <v>6.9767441860465115E-2</v>
      </c>
      <c r="K39">
        <f t="shared" si="17"/>
        <v>-0.18576194142038044</v>
      </c>
    </row>
    <row r="40" spans="1:11" x14ac:dyDescent="0.3">
      <c r="B40" t="s">
        <v>101</v>
      </c>
      <c r="C40">
        <v>3</v>
      </c>
      <c r="E40">
        <v>0</v>
      </c>
      <c r="H40" t="s">
        <v>83</v>
      </c>
      <c r="I40">
        <v>2</v>
      </c>
      <c r="J40">
        <f t="shared" si="16"/>
        <v>4.6511627906976744E-2</v>
      </c>
      <c r="K40">
        <f t="shared" si="17"/>
        <v>-0.14270013651784264</v>
      </c>
    </row>
    <row r="41" spans="1:11" x14ac:dyDescent="0.3">
      <c r="A41" t="s">
        <v>155</v>
      </c>
      <c r="B41" t="s">
        <v>73</v>
      </c>
      <c r="C41">
        <v>1</v>
      </c>
      <c r="D41">
        <f>C41/19</f>
        <v>5.2631578947368418E-2</v>
      </c>
      <c r="E41">
        <f>D41*LN(D41)</f>
        <v>-0.15497047258770741</v>
      </c>
      <c r="H41" t="s">
        <v>101</v>
      </c>
      <c r="I41">
        <f>SUM(I37:I40)</f>
        <v>43</v>
      </c>
      <c r="K41">
        <f>-SUM(K37:K40)</f>
        <v>1.0192878884822012</v>
      </c>
    </row>
    <row r="42" spans="1:11" x14ac:dyDescent="0.3">
      <c r="B42" t="s">
        <v>71</v>
      </c>
      <c r="C42">
        <v>18</v>
      </c>
      <c r="D42">
        <f>C42/19</f>
        <v>0.94736842105263153</v>
      </c>
      <c r="E42">
        <f>D42*LN(D42)</f>
        <v>-5.1221578045524456E-2</v>
      </c>
      <c r="G42" t="s">
        <v>194</v>
      </c>
      <c r="H42" t="s">
        <v>73</v>
      </c>
      <c r="I42">
        <v>1</v>
      </c>
      <c r="J42">
        <f>I42/25</f>
        <v>0.04</v>
      </c>
      <c r="K42">
        <f>J42*LN(J42)</f>
        <v>-0.12875503299472801</v>
      </c>
    </row>
    <row r="43" spans="1:11" x14ac:dyDescent="0.3">
      <c r="B43" t="s">
        <v>101</v>
      </c>
      <c r="C43">
        <v>19</v>
      </c>
      <c r="E43">
        <f>-SUM(E41:E42)</f>
        <v>0.20619205063323187</v>
      </c>
      <c r="H43" t="s">
        <v>71</v>
      </c>
      <c r="I43">
        <v>17</v>
      </c>
      <c r="J43">
        <f t="shared" ref="J43:J46" si="18">I43/25</f>
        <v>0.68</v>
      </c>
      <c r="K43">
        <f t="shared" ref="K43:K46" si="19">J43*LN(J43)</f>
        <v>-0.26225048695214959</v>
      </c>
    </row>
    <row r="44" spans="1:11" x14ac:dyDescent="0.3">
      <c r="A44" t="s">
        <v>156</v>
      </c>
      <c r="B44" t="s">
        <v>72</v>
      </c>
      <c r="C44">
        <v>2</v>
      </c>
      <c r="D44">
        <f>C44/13</f>
        <v>0.15384615384615385</v>
      </c>
      <c r="E44">
        <f>D44*LN(D44)</f>
        <v>-0.28796956567716792</v>
      </c>
      <c r="H44" t="s">
        <v>94</v>
      </c>
      <c r="I44">
        <v>1</v>
      </c>
      <c r="J44">
        <f t="shared" si="18"/>
        <v>0.04</v>
      </c>
      <c r="K44">
        <f t="shared" si="19"/>
        <v>-0.12875503299472801</v>
      </c>
    </row>
    <row r="45" spans="1:11" x14ac:dyDescent="0.3">
      <c r="B45" t="s">
        <v>71</v>
      </c>
      <c r="C45">
        <v>11</v>
      </c>
      <c r="D45">
        <f>C45/13</f>
        <v>0.84615384615384615</v>
      </c>
      <c r="E45">
        <f>D45*LN(D45)</f>
        <v>-0.14135345625344833</v>
      </c>
      <c r="H45" t="s">
        <v>93</v>
      </c>
      <c r="I45">
        <v>4</v>
      </c>
      <c r="J45">
        <f t="shared" si="18"/>
        <v>0.16</v>
      </c>
      <c r="K45">
        <f t="shared" si="19"/>
        <v>-0.29321303419972966</v>
      </c>
    </row>
    <row r="46" spans="1:11" x14ac:dyDescent="0.3">
      <c r="B46" t="s">
        <v>101</v>
      </c>
      <c r="C46">
        <v>13</v>
      </c>
      <c r="E46">
        <f>-SUM(E44:E45)</f>
        <v>0.42932302193061622</v>
      </c>
      <c r="H46" t="s">
        <v>83</v>
      </c>
      <c r="I46">
        <v>1</v>
      </c>
      <c r="J46">
        <f t="shared" si="18"/>
        <v>0.04</v>
      </c>
      <c r="K46">
        <f t="shared" si="19"/>
        <v>-0.12875503299472801</v>
      </c>
    </row>
    <row r="47" spans="1:11" x14ac:dyDescent="0.3">
      <c r="A47" t="s">
        <v>157</v>
      </c>
      <c r="B47" t="s">
        <v>71</v>
      </c>
      <c r="C47">
        <v>9</v>
      </c>
      <c r="D47">
        <v>1</v>
      </c>
      <c r="E47">
        <v>0</v>
      </c>
      <c r="H47" t="s">
        <v>101</v>
      </c>
      <c r="I47">
        <v>25</v>
      </c>
      <c r="K47">
        <f>-SUM(K42:K46)</f>
        <v>0.94172862013606329</v>
      </c>
    </row>
    <row r="48" spans="1:11" x14ac:dyDescent="0.3">
      <c r="B48" t="s">
        <v>101</v>
      </c>
      <c r="C48">
        <v>9</v>
      </c>
      <c r="E48">
        <v>0</v>
      </c>
      <c r="G48" t="s">
        <v>195</v>
      </c>
      <c r="H48" t="s">
        <v>73</v>
      </c>
      <c r="I48">
        <v>5</v>
      </c>
      <c r="J48">
        <f>I48/19</f>
        <v>0.26315789473684209</v>
      </c>
      <c r="K48">
        <f>J48*LN(J48)</f>
        <v>-0.3513160701927211</v>
      </c>
    </row>
    <row r="49" spans="1:11" x14ac:dyDescent="0.3">
      <c r="A49" t="s">
        <v>158</v>
      </c>
      <c r="B49" t="s">
        <v>69</v>
      </c>
      <c r="C49">
        <v>1</v>
      </c>
      <c r="D49">
        <f>C49/18</f>
        <v>5.5555555555555552E-2</v>
      </c>
      <c r="E49">
        <f>D49*LN(D49)</f>
        <v>-0.16057620877200915</v>
      </c>
      <c r="H49" t="s">
        <v>71</v>
      </c>
      <c r="I49">
        <v>8</v>
      </c>
      <c r="J49">
        <f t="shared" ref="J49:J52" si="20">I49/19</f>
        <v>0.42105263157894735</v>
      </c>
      <c r="K49">
        <f t="shared" ref="K49:K52" si="21">J49*LN(J49)</f>
        <v>-0.36420944736278088</v>
      </c>
    </row>
    <row r="50" spans="1:11" x14ac:dyDescent="0.3">
      <c r="B50" t="s">
        <v>71</v>
      </c>
      <c r="C50">
        <v>17</v>
      </c>
      <c r="D50">
        <f>C50/18</f>
        <v>0.94444444444444442</v>
      </c>
      <c r="E50">
        <f>D50*LN(D50)</f>
        <v>-5.398294640439593E-2</v>
      </c>
      <c r="H50" t="s">
        <v>93</v>
      </c>
      <c r="I50">
        <v>4</v>
      </c>
      <c r="J50">
        <f t="shared" si="20"/>
        <v>0.21052631578947367</v>
      </c>
      <c r="K50">
        <f t="shared" si="21"/>
        <v>-0.32803044590453678</v>
      </c>
    </row>
    <row r="51" spans="1:11" x14ac:dyDescent="0.3">
      <c r="B51" t="s">
        <v>101</v>
      </c>
      <c r="C51">
        <v>18</v>
      </c>
      <c r="E51">
        <f>-SUM(E49:E50)</f>
        <v>0.21455915517640509</v>
      </c>
      <c r="H51" t="s">
        <v>76</v>
      </c>
      <c r="I51">
        <v>1</v>
      </c>
      <c r="J51">
        <f t="shared" si="20"/>
        <v>5.2631578947368418E-2</v>
      </c>
      <c r="K51">
        <f t="shared" si="21"/>
        <v>-0.15497047258770741</v>
      </c>
    </row>
    <row r="52" spans="1:11" x14ac:dyDescent="0.3">
      <c r="A52" t="s">
        <v>159</v>
      </c>
      <c r="B52" t="s">
        <v>71</v>
      </c>
      <c r="C52">
        <v>18</v>
      </c>
      <c r="D52">
        <f>C52/21</f>
        <v>0.8571428571428571</v>
      </c>
      <c r="E52">
        <f>D52*LN(D52)</f>
        <v>-0.13212915413765</v>
      </c>
      <c r="H52" t="s">
        <v>83</v>
      </c>
      <c r="I52">
        <v>1</v>
      </c>
      <c r="J52">
        <f t="shared" si="20"/>
        <v>5.2631578947368418E-2</v>
      </c>
      <c r="K52">
        <f t="shared" si="21"/>
        <v>-0.15497047258770741</v>
      </c>
    </row>
    <row r="53" spans="1:11" x14ac:dyDescent="0.3">
      <c r="B53" t="s">
        <v>66</v>
      </c>
      <c r="C53">
        <v>1</v>
      </c>
      <c r="D53">
        <f t="shared" ref="D53:D54" si="22">C53/21</f>
        <v>4.7619047619047616E-2</v>
      </c>
      <c r="E53">
        <f t="shared" ref="E53:E54" si="23">D53*LN(D53)</f>
        <v>-0.14497725893921062</v>
      </c>
      <c r="H53" t="s">
        <v>101</v>
      </c>
      <c r="I53">
        <f>SUM(I48:I52)</f>
        <v>19</v>
      </c>
      <c r="K53">
        <f>-SUM(K48:K52)</f>
        <v>1.3534969086354538</v>
      </c>
    </row>
    <row r="54" spans="1:11" x14ac:dyDescent="0.3">
      <c r="B54" t="s">
        <v>72</v>
      </c>
      <c r="C54">
        <v>2</v>
      </c>
      <c r="D54">
        <f t="shared" si="22"/>
        <v>9.5238095238095233E-2</v>
      </c>
      <c r="E54">
        <f t="shared" si="23"/>
        <v>-0.22394050068223595</v>
      </c>
      <c r="G54" t="s">
        <v>185</v>
      </c>
      <c r="H54" t="s">
        <v>71</v>
      </c>
      <c r="I54">
        <v>19</v>
      </c>
      <c r="J54">
        <v>1</v>
      </c>
      <c r="K54">
        <v>0</v>
      </c>
    </row>
    <row r="55" spans="1:11" x14ac:dyDescent="0.3">
      <c r="B55" t="s">
        <v>101</v>
      </c>
      <c r="C55">
        <v>21</v>
      </c>
      <c r="E55">
        <f>-SUM(E52:E54)</f>
        <v>0.5010469137590966</v>
      </c>
      <c r="H55" t="s">
        <v>101</v>
      </c>
      <c r="I55">
        <v>19</v>
      </c>
      <c r="K55">
        <v>0</v>
      </c>
    </row>
    <row r="56" spans="1:11" x14ac:dyDescent="0.3">
      <c r="G56" t="s">
        <v>196</v>
      </c>
      <c r="H56" t="s">
        <v>71</v>
      </c>
      <c r="I56">
        <v>14</v>
      </c>
      <c r="J56">
        <v>1</v>
      </c>
      <c r="K56">
        <v>0</v>
      </c>
    </row>
    <row r="57" spans="1:11" x14ac:dyDescent="0.3">
      <c r="H57" t="s">
        <v>101</v>
      </c>
      <c r="I57">
        <v>14</v>
      </c>
      <c r="K57">
        <v>0</v>
      </c>
    </row>
  </sheetData>
  <mergeCells count="2">
    <mergeCell ref="A1:E1"/>
    <mergeCell ref="G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Measurement Plan</vt:lpstr>
      <vt:lpstr>DailyDataSheet(Feeders)</vt:lpstr>
      <vt:lpstr>Species Mode</vt:lpstr>
      <vt:lpstr>Time of Day Chi sq</vt:lpstr>
      <vt:lpstr>FeedDataSheet</vt:lpstr>
      <vt:lpstr>Diversity calculations</vt:lpstr>
      <vt:lpstr>Sunflower vs. Safflower</vt:lpstr>
      <vt:lpstr>Diversity</vt:lpstr>
      <vt:lpstr>Tube Diversity</vt:lpstr>
      <vt:lpstr>Diversity and temp</vt:lpstr>
      <vt:lpstr>DailyDataSheet(Birds)</vt:lpstr>
      <vt:lpstr>DailyDataSheet2(Birds)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Tuck</dc:creator>
  <cp:lastModifiedBy>Paul Tuck</cp:lastModifiedBy>
  <dcterms:created xsi:type="dcterms:W3CDTF">2021-04-15T14:17:36Z</dcterms:created>
  <dcterms:modified xsi:type="dcterms:W3CDTF">2021-06-13T22:01:10Z</dcterms:modified>
</cp:coreProperties>
</file>