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9\Desktop\Informatique\Projets Python\Projet Alice\files\"/>
    </mc:Choice>
  </mc:AlternateContent>
  <xr:revisionPtr revIDLastSave="0" documentId="8_{0FEFF518-B927-405A-B306-2B7C1836AF44}" xr6:coauthVersionLast="45" xr6:coauthVersionMax="45" xr10:uidLastSave="{00000000-0000-0000-0000-000000000000}"/>
  <bookViews>
    <workbookView xWindow="-108" yWindow="-108" windowWidth="23256" windowHeight="12576" firstSheet="7" activeTab="12" xr2:uid="{B707716F-07AD-4350-9323-6A1C18FB4D0B}"/>
  </bookViews>
  <sheets>
    <sheet name="EtalonnageTube2_09032020" sheetId="2" r:id="rId1"/>
    <sheet name="EtalonnageAir_10032020" sheetId="3" r:id="rId2"/>
    <sheet name="Cuve2%_06032020" sheetId="4" r:id="rId3"/>
    <sheet name="Cuve2%_1_09032020" sheetId="5" r:id="rId4"/>
    <sheet name="Cuve2%_2_09032020" sheetId="6" r:id="rId5"/>
    <sheet name="Cuve2%_11032020" sheetId="7" r:id="rId6"/>
    <sheet name="Cuve2%_04062020 (2)" sheetId="11" r:id="rId7"/>
    <sheet name="Cuve2%_05062020 (2)" sheetId="15" r:id="rId8"/>
    <sheet name="EtalonnageTube_04062020" sheetId="9" r:id="rId9"/>
    <sheet name="EtalonnageAir_04062020" sheetId="8" r:id="rId10"/>
    <sheet name="Cuve2%_04062020" sheetId="10" r:id="rId11"/>
    <sheet name="EtalonnageTube_05062020" sheetId="13" r:id="rId12"/>
    <sheet name="Cuve2%_05062020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5" l="1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5" i="15"/>
  <c r="I5" i="15"/>
  <c r="N19" i="15"/>
  <c r="S19" i="15" s="1"/>
  <c r="I19" i="15"/>
  <c r="N18" i="15"/>
  <c r="S18" i="15" s="1"/>
  <c r="I18" i="15"/>
  <c r="N17" i="15"/>
  <c r="S17" i="15" s="1"/>
  <c r="I17" i="15"/>
  <c r="N16" i="15"/>
  <c r="S16" i="15" s="1"/>
  <c r="I16" i="15"/>
  <c r="N15" i="15"/>
  <c r="I15" i="15"/>
  <c r="N14" i="15"/>
  <c r="I14" i="15"/>
  <c r="N13" i="15"/>
  <c r="O31" i="15" s="1"/>
  <c r="I13" i="15"/>
  <c r="O30" i="15" s="1"/>
  <c r="N12" i="15"/>
  <c r="J34" i="15" s="1"/>
  <c r="I12" i="15"/>
  <c r="J32" i="15" s="1"/>
  <c r="O38" i="15" s="1"/>
  <c r="N11" i="15"/>
  <c r="I11" i="15"/>
  <c r="N10" i="15"/>
  <c r="I10" i="15"/>
  <c r="N9" i="15"/>
  <c r="I9" i="15"/>
  <c r="N8" i="15"/>
  <c r="I8" i="15"/>
  <c r="N7" i="15"/>
  <c r="I7" i="15"/>
  <c r="N6" i="15"/>
  <c r="I6" i="15"/>
  <c r="N5" i="15"/>
  <c r="J35" i="14"/>
  <c r="O30" i="14"/>
  <c r="J34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5" i="14"/>
  <c r="I6" i="14"/>
  <c r="I7" i="14"/>
  <c r="I8" i="14"/>
  <c r="I9" i="14"/>
  <c r="I10" i="14"/>
  <c r="I11" i="14"/>
  <c r="I12" i="14"/>
  <c r="J32" i="14" s="1"/>
  <c r="O38" i="14" s="1"/>
  <c r="I13" i="14"/>
  <c r="I14" i="14"/>
  <c r="I15" i="14"/>
  <c r="I16" i="14"/>
  <c r="R16" i="14" s="1"/>
  <c r="I17" i="14"/>
  <c r="R17" i="14" s="1"/>
  <c r="I18" i="14"/>
  <c r="R18" i="14" s="1"/>
  <c r="I19" i="14"/>
  <c r="R19" i="14" s="1"/>
  <c r="I5" i="14"/>
  <c r="N19" i="14"/>
  <c r="N18" i="14"/>
  <c r="S18" i="14" s="1"/>
  <c r="N17" i="14"/>
  <c r="S17" i="14" s="1"/>
  <c r="N16" i="14"/>
  <c r="S16" i="14" s="1"/>
  <c r="N15" i="14"/>
  <c r="N14" i="14"/>
  <c r="N13" i="14"/>
  <c r="O31" i="14" s="1"/>
  <c r="N12" i="14"/>
  <c r="N11" i="14"/>
  <c r="N10" i="14"/>
  <c r="N9" i="14"/>
  <c r="N8" i="14"/>
  <c r="N7" i="14"/>
  <c r="N6" i="14"/>
  <c r="N5" i="14"/>
  <c r="D30" i="13"/>
  <c r="D33" i="13" s="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O31" i="11"/>
  <c r="N22" i="11"/>
  <c r="S22" i="11" s="1"/>
  <c r="F22" i="11"/>
  <c r="I22" i="11" s="1"/>
  <c r="E22" i="11"/>
  <c r="D22" i="11"/>
  <c r="N21" i="11"/>
  <c r="F21" i="11"/>
  <c r="G21" i="11" s="1"/>
  <c r="E21" i="11"/>
  <c r="D21" i="11"/>
  <c r="N20" i="11"/>
  <c r="S20" i="11" s="1"/>
  <c r="F20" i="11"/>
  <c r="K20" i="11" s="1"/>
  <c r="E20" i="11"/>
  <c r="D20" i="11"/>
  <c r="N19" i="11"/>
  <c r="I19" i="11"/>
  <c r="J33" i="11" s="1"/>
  <c r="G19" i="11"/>
  <c r="N18" i="11"/>
  <c r="I18" i="11"/>
  <c r="G18" i="11"/>
  <c r="N17" i="11"/>
  <c r="I17" i="11"/>
  <c r="G17" i="11"/>
  <c r="N16" i="11"/>
  <c r="V16" i="11" s="1"/>
  <c r="I16" i="11"/>
  <c r="G16" i="11"/>
  <c r="N15" i="11"/>
  <c r="I15" i="11"/>
  <c r="G15" i="11"/>
  <c r="N14" i="11"/>
  <c r="I14" i="11"/>
  <c r="U14" i="11" s="1"/>
  <c r="G14" i="11"/>
  <c r="N13" i="11"/>
  <c r="I13" i="11"/>
  <c r="O30" i="11" s="1"/>
  <c r="G13" i="11"/>
  <c r="N12" i="11"/>
  <c r="J34" i="11" s="1"/>
  <c r="I12" i="11"/>
  <c r="J32" i="11" s="1"/>
  <c r="O38" i="11" s="1"/>
  <c r="G12" i="11"/>
  <c r="N11" i="11"/>
  <c r="I11" i="11"/>
  <c r="G11" i="11"/>
  <c r="N10" i="11"/>
  <c r="I10" i="11"/>
  <c r="G10" i="11"/>
  <c r="N9" i="11"/>
  <c r="I9" i="11"/>
  <c r="G9" i="11"/>
  <c r="N8" i="11"/>
  <c r="I8" i="11"/>
  <c r="G8" i="11"/>
  <c r="N7" i="11"/>
  <c r="I7" i="11"/>
  <c r="G7" i="11"/>
  <c r="N6" i="11"/>
  <c r="I6" i="11"/>
  <c r="G6" i="11"/>
  <c r="N5" i="11"/>
  <c r="I5" i="11"/>
  <c r="G5" i="11"/>
  <c r="V18" i="11" l="1"/>
  <c r="K21" i="11"/>
  <c r="U16" i="14"/>
  <c r="I21" i="11"/>
  <c r="R21" i="11" s="1"/>
  <c r="P5" i="11"/>
  <c r="J33" i="14"/>
  <c r="O33" i="11"/>
  <c r="R19" i="11"/>
  <c r="V21" i="11"/>
  <c r="P17" i="15"/>
  <c r="G20" i="11"/>
  <c r="K22" i="11"/>
  <c r="P5" i="15"/>
  <c r="P18" i="15"/>
  <c r="P19" i="15"/>
  <c r="O33" i="15"/>
  <c r="P15" i="15"/>
  <c r="P12" i="15"/>
  <c r="P16" i="15"/>
  <c r="P8" i="15"/>
  <c r="P11" i="15"/>
  <c r="P9" i="15"/>
  <c r="P7" i="15"/>
  <c r="P10" i="15"/>
  <c r="P6" i="15"/>
  <c r="V13" i="15"/>
  <c r="U15" i="15"/>
  <c r="U14" i="15"/>
  <c r="V18" i="15"/>
  <c r="V16" i="15"/>
  <c r="U18" i="15"/>
  <c r="U16" i="15"/>
  <c r="V19" i="15"/>
  <c r="U19" i="15"/>
  <c r="S26" i="15"/>
  <c r="V17" i="15"/>
  <c r="V15" i="15"/>
  <c r="U17" i="15"/>
  <c r="V26" i="15"/>
  <c r="P13" i="15"/>
  <c r="V14" i="15"/>
  <c r="J33" i="15"/>
  <c r="J38" i="15" s="1"/>
  <c r="U13" i="15"/>
  <c r="R16" i="15"/>
  <c r="R17" i="15"/>
  <c r="R18" i="15"/>
  <c r="R19" i="15"/>
  <c r="J35" i="15"/>
  <c r="P14" i="15"/>
  <c r="P5" i="14"/>
  <c r="P8" i="14"/>
  <c r="V18" i="14"/>
  <c r="P7" i="14"/>
  <c r="V16" i="14"/>
  <c r="P10" i="14"/>
  <c r="P18" i="14"/>
  <c r="P13" i="14"/>
  <c r="V26" i="14"/>
  <c r="P11" i="14"/>
  <c r="O33" i="14"/>
  <c r="U19" i="14"/>
  <c r="S26" i="14"/>
  <c r="U13" i="14"/>
  <c r="V14" i="14"/>
  <c r="V13" i="14"/>
  <c r="U18" i="14"/>
  <c r="V15" i="14"/>
  <c r="V17" i="14"/>
  <c r="V19" i="14"/>
  <c r="U14" i="14"/>
  <c r="P9" i="14"/>
  <c r="P17" i="14"/>
  <c r="S19" i="14"/>
  <c r="P6" i="14"/>
  <c r="P16" i="14"/>
  <c r="U17" i="14"/>
  <c r="P19" i="14"/>
  <c r="P12" i="14"/>
  <c r="P15" i="14"/>
  <c r="P14" i="14"/>
  <c r="O28" i="14" s="1"/>
  <c r="U15" i="14"/>
  <c r="P13" i="11"/>
  <c r="U16" i="11"/>
  <c r="P11" i="11"/>
  <c r="P7" i="11"/>
  <c r="P8" i="11"/>
  <c r="P10" i="11"/>
  <c r="V14" i="11"/>
  <c r="U18" i="11"/>
  <c r="S26" i="11"/>
  <c r="V27" i="11" s="1"/>
  <c r="V13" i="11"/>
  <c r="U13" i="11"/>
  <c r="V15" i="11"/>
  <c r="U17" i="11"/>
  <c r="U19" i="11"/>
  <c r="V19" i="11"/>
  <c r="P22" i="11"/>
  <c r="R22" i="11"/>
  <c r="V22" i="11"/>
  <c r="U22" i="11"/>
  <c r="V17" i="11"/>
  <c r="V26" i="11"/>
  <c r="U21" i="11"/>
  <c r="P19" i="11"/>
  <c r="G22" i="11"/>
  <c r="P18" i="11"/>
  <c r="I20" i="11"/>
  <c r="P9" i="11"/>
  <c r="P17" i="11"/>
  <c r="S19" i="11"/>
  <c r="S21" i="11"/>
  <c r="P6" i="11"/>
  <c r="P16" i="11"/>
  <c r="P12" i="11"/>
  <c r="P15" i="11"/>
  <c r="U15" i="11"/>
  <c r="J35" i="11"/>
  <c r="J38" i="11" s="1"/>
  <c r="P14" i="11"/>
  <c r="O28" i="11" s="1"/>
  <c r="O35" i="11" s="1"/>
  <c r="S29" i="15" l="1"/>
  <c r="S30" i="15" s="1"/>
  <c r="O28" i="15"/>
  <c r="O35" i="15" s="1"/>
  <c r="V27" i="15"/>
  <c r="J39" i="15"/>
  <c r="O35" i="14"/>
  <c r="S29" i="14"/>
  <c r="V27" i="14"/>
  <c r="J38" i="14"/>
  <c r="S29" i="11"/>
  <c r="S30" i="11" s="1"/>
  <c r="P21" i="11"/>
  <c r="R20" i="11"/>
  <c r="P20" i="11"/>
  <c r="V20" i="11"/>
  <c r="U20" i="11"/>
  <c r="J39" i="11"/>
  <c r="J39" i="14" l="1"/>
  <c r="S30" i="14"/>
  <c r="N6" i="10" l="1"/>
  <c r="N9" i="10"/>
  <c r="N11" i="10"/>
  <c r="N12" i="10"/>
  <c r="J34" i="10" s="1"/>
  <c r="N13" i="10"/>
  <c r="N14" i="10"/>
  <c r="N15" i="10"/>
  <c r="N16" i="10"/>
  <c r="K7" i="10" l="1"/>
  <c r="K6" i="10"/>
  <c r="K5" i="10"/>
  <c r="N22" i="10"/>
  <c r="M21" i="6"/>
  <c r="J9" i="4"/>
  <c r="J7" i="4"/>
  <c r="I7" i="4"/>
  <c r="U20" i="7"/>
  <c r="U21" i="7"/>
  <c r="G5" i="10"/>
  <c r="S22" i="10" l="1"/>
  <c r="O31" i="10"/>
  <c r="M5" i="7"/>
  <c r="N5" i="10"/>
  <c r="P5" i="10" s="1"/>
  <c r="N7" i="10"/>
  <c r="N8" i="10"/>
  <c r="N10" i="10"/>
  <c r="N17" i="10"/>
  <c r="N18" i="10"/>
  <c r="N19" i="10"/>
  <c r="N20" i="10"/>
  <c r="S20" i="10" s="1"/>
  <c r="N21" i="10"/>
  <c r="S21" i="10" s="1"/>
  <c r="J5" i="7"/>
  <c r="I5" i="10"/>
  <c r="S19" i="10" l="1"/>
  <c r="J35" i="10"/>
  <c r="K8" i="10" l="1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J6" i="7"/>
  <c r="I7" i="10"/>
  <c r="I8" i="10"/>
  <c r="P8" i="10" s="1"/>
  <c r="I9" i="10"/>
  <c r="P9" i="10" s="1"/>
  <c r="I10" i="10"/>
  <c r="P10" i="10" s="1"/>
  <c r="I11" i="10"/>
  <c r="I12" i="10"/>
  <c r="I13" i="10"/>
  <c r="I14" i="10"/>
  <c r="I15" i="10"/>
  <c r="I16" i="10"/>
  <c r="I17" i="10"/>
  <c r="I18" i="10"/>
  <c r="I19" i="10"/>
  <c r="I20" i="10"/>
  <c r="I21" i="10"/>
  <c r="I22" i="10"/>
  <c r="I6" i="10"/>
  <c r="P6" i="10" s="1"/>
  <c r="I6" i="7"/>
  <c r="F22" i="10"/>
  <c r="E22" i="10"/>
  <c r="D22" i="10"/>
  <c r="F21" i="10"/>
  <c r="E21" i="10"/>
  <c r="D21" i="10"/>
  <c r="F20" i="10"/>
  <c r="E20" i="10"/>
  <c r="D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D30" i="9"/>
  <c r="D33" i="9" s="1"/>
  <c r="G14" i="8"/>
  <c r="G13" i="8"/>
  <c r="G12" i="8"/>
  <c r="G11" i="8"/>
  <c r="G10" i="8"/>
  <c r="G9" i="8"/>
  <c r="G8" i="8"/>
  <c r="G7" i="8"/>
  <c r="G6" i="8"/>
  <c r="P14" i="10" l="1"/>
  <c r="O28" i="10" s="1"/>
  <c r="O33" i="10"/>
  <c r="O35" i="10" s="1"/>
  <c r="V14" i="10"/>
  <c r="O30" i="10"/>
  <c r="S26" i="10" s="1"/>
  <c r="P13" i="10"/>
  <c r="U13" i="10"/>
  <c r="V13" i="10"/>
  <c r="R20" i="10"/>
  <c r="P20" i="10"/>
  <c r="U20" i="10"/>
  <c r="J32" i="10"/>
  <c r="P12" i="10"/>
  <c r="R21" i="10"/>
  <c r="P21" i="10"/>
  <c r="V21" i="10"/>
  <c r="U21" i="10"/>
  <c r="G21" i="10"/>
  <c r="J33" i="10"/>
  <c r="R19" i="10"/>
  <c r="V19" i="10"/>
  <c r="P19" i="10"/>
  <c r="U19" i="10"/>
  <c r="P11" i="10"/>
  <c r="R22" i="10"/>
  <c r="P22" i="10"/>
  <c r="V22" i="10"/>
  <c r="U22" i="10"/>
  <c r="U18" i="10"/>
  <c r="P18" i="10"/>
  <c r="V18" i="10"/>
  <c r="G22" i="10"/>
  <c r="K22" i="10"/>
  <c r="V17" i="10"/>
  <c r="P17" i="10"/>
  <c r="U17" i="10"/>
  <c r="P16" i="10"/>
  <c r="V16" i="10"/>
  <c r="U16" i="10"/>
  <c r="G20" i="10"/>
  <c r="P15" i="10"/>
  <c r="V15" i="10"/>
  <c r="U15" i="10"/>
  <c r="P7" i="10"/>
  <c r="O38" i="10" l="1"/>
  <c r="V26" i="10" s="1"/>
  <c r="S29" i="10" s="1"/>
  <c r="J38" i="10"/>
  <c r="V27" i="10"/>
  <c r="V20" i="10"/>
  <c r="U14" i="10"/>
  <c r="J7" i="7"/>
  <c r="J8" i="7"/>
  <c r="J9" i="7"/>
  <c r="J10" i="7"/>
  <c r="J11" i="7"/>
  <c r="J5" i="6"/>
  <c r="J6" i="5"/>
  <c r="J7" i="5"/>
  <c r="J8" i="5"/>
  <c r="J9" i="5"/>
  <c r="J10" i="5"/>
  <c r="J11" i="5"/>
  <c r="J12" i="5"/>
  <c r="J5" i="5"/>
  <c r="S30" i="10" l="1"/>
  <c r="J39" i="10"/>
  <c r="J8" i="4"/>
  <c r="J10" i="4"/>
  <c r="J11" i="4"/>
  <c r="J12" i="4"/>
  <c r="J13" i="4"/>
  <c r="J14" i="4"/>
  <c r="J15" i="4"/>
  <c r="J16" i="4"/>
  <c r="J17" i="4"/>
  <c r="J18" i="4"/>
  <c r="J19" i="4"/>
  <c r="J20" i="4"/>
  <c r="J21" i="4"/>
  <c r="G5" i="7" l="1"/>
  <c r="M8" i="7" l="1"/>
  <c r="M7" i="7"/>
  <c r="M6" i="7"/>
  <c r="M9" i="7"/>
  <c r="M10" i="7"/>
  <c r="M11" i="7"/>
  <c r="J30" i="7" s="1"/>
  <c r="M12" i="7"/>
  <c r="M13" i="7"/>
  <c r="M14" i="7"/>
  <c r="M15" i="7"/>
  <c r="M16" i="7"/>
  <c r="R16" i="7" s="1"/>
  <c r="M17" i="7"/>
  <c r="M18" i="7"/>
  <c r="M6" i="6"/>
  <c r="M7" i="6"/>
  <c r="M8" i="6"/>
  <c r="M9" i="6"/>
  <c r="M10" i="6"/>
  <c r="M11" i="6"/>
  <c r="J32" i="6" s="1"/>
  <c r="M12" i="6"/>
  <c r="M13" i="6"/>
  <c r="M14" i="6"/>
  <c r="M15" i="6"/>
  <c r="M16" i="6"/>
  <c r="M17" i="6"/>
  <c r="M18" i="6"/>
  <c r="R18" i="6" s="1"/>
  <c r="M19" i="6"/>
  <c r="R19" i="6" s="1"/>
  <c r="M20" i="6"/>
  <c r="R20" i="6" s="1"/>
  <c r="R21" i="6"/>
  <c r="M5" i="6"/>
  <c r="M6" i="5"/>
  <c r="M7" i="5"/>
  <c r="M8" i="5"/>
  <c r="M9" i="5"/>
  <c r="M10" i="5"/>
  <c r="M11" i="5"/>
  <c r="J32" i="5" s="1"/>
  <c r="M12" i="5"/>
  <c r="M13" i="5"/>
  <c r="M14" i="5"/>
  <c r="M15" i="5"/>
  <c r="M16" i="5"/>
  <c r="M17" i="5"/>
  <c r="M18" i="5"/>
  <c r="R18" i="5" s="1"/>
  <c r="M19" i="5"/>
  <c r="R19" i="5" s="1"/>
  <c r="M20" i="5"/>
  <c r="R20" i="5" s="1"/>
  <c r="M21" i="5"/>
  <c r="R21" i="5" s="1"/>
  <c r="M5" i="5"/>
  <c r="M8" i="4"/>
  <c r="M9" i="4"/>
  <c r="M10" i="4"/>
  <c r="M11" i="4"/>
  <c r="M12" i="4"/>
  <c r="M13" i="4"/>
  <c r="J32" i="4" s="1"/>
  <c r="M14" i="4"/>
  <c r="M15" i="4"/>
  <c r="M16" i="4"/>
  <c r="M17" i="4"/>
  <c r="M18" i="4"/>
  <c r="M19" i="4"/>
  <c r="M20" i="4"/>
  <c r="R20" i="4" s="1"/>
  <c r="M21" i="4"/>
  <c r="M22" i="4"/>
  <c r="M7" i="4"/>
  <c r="I7" i="7"/>
  <c r="I8" i="7"/>
  <c r="I9" i="7"/>
  <c r="I10" i="7"/>
  <c r="I11" i="7"/>
  <c r="I5" i="7"/>
  <c r="O5" i="7" s="1"/>
  <c r="I5" i="6"/>
  <c r="I6" i="5"/>
  <c r="I7" i="5"/>
  <c r="I8" i="5"/>
  <c r="I9" i="5"/>
  <c r="I10" i="5"/>
  <c r="I11" i="5"/>
  <c r="I12" i="5"/>
  <c r="I5" i="5"/>
  <c r="I20" i="4"/>
  <c r="Q20" i="4" s="1"/>
  <c r="I21" i="4"/>
  <c r="I8" i="4"/>
  <c r="I9" i="4"/>
  <c r="I10" i="4"/>
  <c r="I11" i="4"/>
  <c r="I12" i="4"/>
  <c r="I13" i="4"/>
  <c r="I14" i="4"/>
  <c r="I15" i="4"/>
  <c r="I16" i="4"/>
  <c r="I17" i="4"/>
  <c r="I18" i="4"/>
  <c r="I19" i="4"/>
  <c r="O27" i="7" l="1"/>
  <c r="R19" i="4"/>
  <c r="J33" i="4"/>
  <c r="R17" i="5"/>
  <c r="J33" i="5"/>
  <c r="J33" i="6"/>
  <c r="R17" i="6"/>
  <c r="J31" i="4"/>
  <c r="Q19" i="4"/>
  <c r="O10" i="7"/>
  <c r="N29" i="6"/>
  <c r="N29" i="5"/>
  <c r="O10" i="5"/>
  <c r="O5" i="6"/>
  <c r="O9" i="5"/>
  <c r="O8" i="5"/>
  <c r="O7" i="5"/>
  <c r="O5" i="5"/>
  <c r="O6" i="5"/>
  <c r="O12" i="5"/>
  <c r="O11" i="5"/>
  <c r="O8" i="4"/>
  <c r="O17" i="4"/>
  <c r="Q21" i="4"/>
  <c r="O21" i="4"/>
  <c r="O14" i="4"/>
  <c r="O20" i="4"/>
  <c r="O9" i="4"/>
  <c r="O16" i="4"/>
  <c r="N26" i="4" s="1"/>
  <c r="J30" i="4"/>
  <c r="N36" i="4" s="1"/>
  <c r="O13" i="4"/>
  <c r="N31" i="4"/>
  <c r="O7" i="4"/>
  <c r="O12" i="4"/>
  <c r="N29" i="4"/>
  <c r="N28" i="4"/>
  <c r="R26" i="4" s="1"/>
  <c r="O15" i="4"/>
  <c r="O19" i="4"/>
  <c r="O11" i="4"/>
  <c r="R22" i="4"/>
  <c r="O18" i="4"/>
  <c r="O10" i="4"/>
  <c r="R21" i="4"/>
  <c r="J30" i="5"/>
  <c r="N36" i="5" s="1"/>
  <c r="R18" i="7"/>
  <c r="R17" i="7"/>
  <c r="J31" i="7"/>
  <c r="R15" i="7"/>
  <c r="O6" i="7"/>
  <c r="J28" i="7"/>
  <c r="O34" i="7" s="1"/>
  <c r="O11" i="7"/>
  <c r="O7" i="7"/>
  <c r="O9" i="7"/>
  <c r="O8" i="7"/>
  <c r="F18" i="7"/>
  <c r="J18" i="7" s="1"/>
  <c r="E18" i="7"/>
  <c r="D18" i="7"/>
  <c r="F17" i="7"/>
  <c r="J17" i="7" s="1"/>
  <c r="E17" i="7"/>
  <c r="D17" i="7"/>
  <c r="F16" i="7"/>
  <c r="J16" i="7" s="1"/>
  <c r="E16" i="7"/>
  <c r="D16" i="7"/>
  <c r="F15" i="7"/>
  <c r="J15" i="7" s="1"/>
  <c r="E15" i="7"/>
  <c r="D15" i="7"/>
  <c r="F14" i="7"/>
  <c r="J14" i="7" s="1"/>
  <c r="E14" i="7"/>
  <c r="D14" i="7"/>
  <c r="F13" i="7"/>
  <c r="J13" i="7" s="1"/>
  <c r="E13" i="7"/>
  <c r="D13" i="7"/>
  <c r="F12" i="7"/>
  <c r="J12" i="7" s="1"/>
  <c r="E12" i="7"/>
  <c r="D12" i="7"/>
  <c r="G11" i="7"/>
  <c r="G10" i="7"/>
  <c r="G9" i="7"/>
  <c r="G8" i="7"/>
  <c r="G7" i="7"/>
  <c r="G6" i="7"/>
  <c r="F12" i="6"/>
  <c r="E12" i="6"/>
  <c r="E17" i="6" s="1"/>
  <c r="D12" i="6"/>
  <c r="D19" i="6" s="1"/>
  <c r="F11" i="6"/>
  <c r="E11" i="6"/>
  <c r="D11" i="6"/>
  <c r="F10" i="6"/>
  <c r="E10" i="6"/>
  <c r="D10" i="6"/>
  <c r="F9" i="6"/>
  <c r="E9" i="6"/>
  <c r="D9" i="6"/>
  <c r="F8" i="6"/>
  <c r="E8" i="6"/>
  <c r="D8" i="6"/>
  <c r="F7" i="6"/>
  <c r="E7" i="6"/>
  <c r="D7" i="6"/>
  <c r="F6" i="6"/>
  <c r="E6" i="6"/>
  <c r="D6" i="6"/>
  <c r="G5" i="6"/>
  <c r="F21" i="5"/>
  <c r="E21" i="5"/>
  <c r="D21" i="5"/>
  <c r="F20" i="5"/>
  <c r="E20" i="5"/>
  <c r="D20" i="5"/>
  <c r="F19" i="5"/>
  <c r="E19" i="5"/>
  <c r="D19" i="5"/>
  <c r="F18" i="5"/>
  <c r="E18" i="5"/>
  <c r="D18" i="5"/>
  <c r="F17" i="5"/>
  <c r="E17" i="5"/>
  <c r="D17" i="5"/>
  <c r="F16" i="5"/>
  <c r="E16" i="5"/>
  <c r="D16" i="5"/>
  <c r="F15" i="5"/>
  <c r="E15" i="5"/>
  <c r="D15" i="5"/>
  <c r="F14" i="5"/>
  <c r="E14" i="5"/>
  <c r="D14" i="5"/>
  <c r="F13" i="5"/>
  <c r="E13" i="5"/>
  <c r="D13" i="5"/>
  <c r="G12" i="5"/>
  <c r="G11" i="5"/>
  <c r="G10" i="5"/>
  <c r="G9" i="5"/>
  <c r="G8" i="5"/>
  <c r="G7" i="5"/>
  <c r="G6" i="5"/>
  <c r="G5" i="5"/>
  <c r="D22" i="4"/>
  <c r="F22" i="4" s="1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13" i="3"/>
  <c r="G12" i="3"/>
  <c r="G11" i="3"/>
  <c r="G10" i="3"/>
  <c r="G9" i="3"/>
  <c r="G8" i="3"/>
  <c r="G7" i="3"/>
  <c r="G6" i="3"/>
  <c r="D30" i="2"/>
  <c r="D33" i="2" s="1"/>
  <c r="G13" i="5" l="1"/>
  <c r="I13" i="5"/>
  <c r="J13" i="5"/>
  <c r="G21" i="5"/>
  <c r="J21" i="5"/>
  <c r="I21" i="5"/>
  <c r="G10" i="6"/>
  <c r="J10" i="6"/>
  <c r="I10" i="6"/>
  <c r="G19" i="5"/>
  <c r="J19" i="5"/>
  <c r="I19" i="5"/>
  <c r="G8" i="6"/>
  <c r="J8" i="6"/>
  <c r="I8" i="6"/>
  <c r="O8" i="6" s="1"/>
  <c r="G14" i="5"/>
  <c r="J14" i="5"/>
  <c r="I14" i="5"/>
  <c r="G11" i="6"/>
  <c r="J11" i="6"/>
  <c r="I11" i="6"/>
  <c r="G16" i="5"/>
  <c r="J16" i="5"/>
  <c r="I16" i="5"/>
  <c r="G17" i="5"/>
  <c r="J17" i="5"/>
  <c r="I17" i="5"/>
  <c r="G6" i="6"/>
  <c r="J6" i="6"/>
  <c r="I6" i="6"/>
  <c r="O6" i="6" s="1"/>
  <c r="G20" i="5"/>
  <c r="J20" i="5"/>
  <c r="I20" i="5"/>
  <c r="G9" i="6"/>
  <c r="J9" i="6"/>
  <c r="I9" i="6"/>
  <c r="G15" i="5"/>
  <c r="J15" i="5"/>
  <c r="I15" i="5"/>
  <c r="O15" i="5" s="1"/>
  <c r="G12" i="6"/>
  <c r="J12" i="6"/>
  <c r="I12" i="6"/>
  <c r="I22" i="4"/>
  <c r="J22" i="4"/>
  <c r="G18" i="5"/>
  <c r="J18" i="5"/>
  <c r="I18" i="5"/>
  <c r="G7" i="6"/>
  <c r="J7" i="6"/>
  <c r="I7" i="6"/>
  <c r="O7" i="6" s="1"/>
  <c r="J36" i="4"/>
  <c r="J37" i="4" s="1"/>
  <c r="U18" i="4"/>
  <c r="T16" i="4"/>
  <c r="U16" i="4"/>
  <c r="T17" i="4"/>
  <c r="U17" i="4"/>
  <c r="T15" i="4"/>
  <c r="T18" i="4"/>
  <c r="U19" i="4"/>
  <c r="T19" i="4"/>
  <c r="T20" i="4"/>
  <c r="U22" i="4"/>
  <c r="U20" i="4"/>
  <c r="T21" i="4"/>
  <c r="U21" i="4"/>
  <c r="U26" i="4"/>
  <c r="R29" i="4" s="1"/>
  <c r="T22" i="4"/>
  <c r="U15" i="4"/>
  <c r="Q22" i="4"/>
  <c r="O22" i="4"/>
  <c r="N33" i="4"/>
  <c r="G16" i="7"/>
  <c r="I16" i="7"/>
  <c r="G12" i="7"/>
  <c r="I12" i="7"/>
  <c r="G17" i="7"/>
  <c r="I17" i="7"/>
  <c r="G15" i="7"/>
  <c r="I15" i="7"/>
  <c r="Q15" i="7" s="1"/>
  <c r="G14" i="7"/>
  <c r="I14" i="7"/>
  <c r="G18" i="7"/>
  <c r="I18" i="7"/>
  <c r="G13" i="7"/>
  <c r="I13" i="7"/>
  <c r="F20" i="6"/>
  <c r="D14" i="6"/>
  <c r="D16" i="6"/>
  <c r="D18" i="6"/>
  <c r="D20" i="6"/>
  <c r="D21" i="6" s="1"/>
  <c r="E14" i="6"/>
  <c r="E16" i="6"/>
  <c r="E18" i="6"/>
  <c r="E20" i="6"/>
  <c r="E21" i="6" s="1"/>
  <c r="F14" i="6"/>
  <c r="F18" i="6"/>
  <c r="D17" i="6"/>
  <c r="E15" i="6"/>
  <c r="E19" i="6"/>
  <c r="F13" i="6"/>
  <c r="F15" i="6"/>
  <c r="F17" i="6"/>
  <c r="F19" i="6"/>
  <c r="F16" i="6"/>
  <c r="D13" i="6"/>
  <c r="D15" i="6"/>
  <c r="E13" i="6"/>
  <c r="E22" i="4"/>
  <c r="G22" i="4" s="1"/>
  <c r="G15" i="6" l="1"/>
  <c r="J15" i="6"/>
  <c r="I15" i="6"/>
  <c r="O26" i="7"/>
  <c r="U13" i="7"/>
  <c r="Q18" i="5"/>
  <c r="O18" i="5"/>
  <c r="O16" i="5"/>
  <c r="O21" i="5"/>
  <c r="Q21" i="5"/>
  <c r="J30" i="6"/>
  <c r="O11" i="6"/>
  <c r="O9" i="6"/>
  <c r="Q19" i="5"/>
  <c r="O19" i="5"/>
  <c r="U14" i="7"/>
  <c r="O29" i="7"/>
  <c r="J16" i="6"/>
  <c r="I16" i="6"/>
  <c r="Q17" i="5"/>
  <c r="J31" i="5"/>
  <c r="J36" i="5" s="1"/>
  <c r="J37" i="5" s="1"/>
  <c r="O17" i="5"/>
  <c r="G13" i="6"/>
  <c r="J13" i="6"/>
  <c r="I13" i="6"/>
  <c r="J14" i="6"/>
  <c r="I14" i="6"/>
  <c r="O12" i="6"/>
  <c r="N31" i="5"/>
  <c r="N33" i="5" s="1"/>
  <c r="O14" i="5"/>
  <c r="N26" i="5" s="1"/>
  <c r="O13" i="5"/>
  <c r="N28" i="5"/>
  <c r="U15" i="5" s="1"/>
  <c r="J18" i="6"/>
  <c r="I18" i="6"/>
  <c r="J19" i="6"/>
  <c r="I19" i="6"/>
  <c r="G17" i="6"/>
  <c r="J17" i="6"/>
  <c r="I17" i="6"/>
  <c r="J20" i="6"/>
  <c r="I20" i="6"/>
  <c r="O20" i="5"/>
  <c r="Q20" i="5"/>
  <c r="O10" i="6"/>
  <c r="R30" i="4"/>
  <c r="U27" i="4"/>
  <c r="Q18" i="7"/>
  <c r="U18" i="7"/>
  <c r="T17" i="7"/>
  <c r="Q17" i="7"/>
  <c r="Q16" i="7"/>
  <c r="U16" i="7"/>
  <c r="T15" i="7"/>
  <c r="U15" i="7"/>
  <c r="O12" i="7"/>
  <c r="J29" i="7"/>
  <c r="J34" i="7" s="1"/>
  <c r="O15" i="7"/>
  <c r="O17" i="7"/>
  <c r="O18" i="7"/>
  <c r="T18" i="7"/>
  <c r="O13" i="7"/>
  <c r="O14" i="7"/>
  <c r="O24" i="7" s="1"/>
  <c r="O16" i="7"/>
  <c r="G18" i="6"/>
  <c r="G16" i="6"/>
  <c r="G19" i="6"/>
  <c r="G14" i="6"/>
  <c r="F21" i="6"/>
  <c r="G20" i="6"/>
  <c r="O19" i="6" l="1"/>
  <c r="Q19" i="6"/>
  <c r="T15" i="5"/>
  <c r="O14" i="6"/>
  <c r="N26" i="6" s="1"/>
  <c r="N31" i="6"/>
  <c r="U14" i="6"/>
  <c r="O16" i="6"/>
  <c r="O18" i="6"/>
  <c r="Q18" i="6"/>
  <c r="U18" i="6"/>
  <c r="T18" i="6"/>
  <c r="N36" i="6"/>
  <c r="R22" i="7"/>
  <c r="U23" i="7" s="1"/>
  <c r="U22" i="7"/>
  <c r="Q20" i="6"/>
  <c r="O20" i="6"/>
  <c r="T20" i="6"/>
  <c r="U20" i="6"/>
  <c r="N28" i="6"/>
  <c r="U19" i="6" s="1"/>
  <c r="O13" i="6"/>
  <c r="U13" i="6"/>
  <c r="T13" i="6"/>
  <c r="T13" i="7"/>
  <c r="G21" i="6"/>
  <c r="J21" i="6"/>
  <c r="I21" i="6"/>
  <c r="R25" i="5"/>
  <c r="U17" i="5"/>
  <c r="U13" i="5"/>
  <c r="U21" i="5"/>
  <c r="T18" i="5"/>
  <c r="U25" i="5"/>
  <c r="U18" i="5"/>
  <c r="T17" i="5"/>
  <c r="T19" i="5"/>
  <c r="T13" i="5"/>
  <c r="T20" i="5"/>
  <c r="T21" i="5"/>
  <c r="U14" i="5"/>
  <c r="U19" i="5"/>
  <c r="U16" i="5"/>
  <c r="T14" i="5"/>
  <c r="T16" i="5"/>
  <c r="U20" i="5"/>
  <c r="O15" i="6"/>
  <c r="T15" i="6"/>
  <c r="U15" i="6"/>
  <c r="Q17" i="6"/>
  <c r="J31" i="6"/>
  <c r="J36" i="6" s="1"/>
  <c r="J37" i="6" s="1"/>
  <c r="O17" i="6"/>
  <c r="U17" i="6"/>
  <c r="T17" i="6"/>
  <c r="T14" i="7"/>
  <c r="J35" i="7"/>
  <c r="T16" i="7"/>
  <c r="U17" i="7"/>
  <c r="O31" i="7"/>
  <c r="N33" i="6" l="1"/>
  <c r="Q21" i="6"/>
  <c r="O21" i="6"/>
  <c r="U21" i="6"/>
  <c r="T21" i="6"/>
  <c r="T16" i="6"/>
  <c r="T19" i="6"/>
  <c r="U16" i="6"/>
  <c r="R28" i="5"/>
  <c r="R29" i="5" s="1"/>
  <c r="U26" i="5"/>
  <c r="R25" i="6"/>
  <c r="U25" i="6"/>
  <c r="T14" i="6"/>
  <c r="R25" i="7"/>
  <c r="R26" i="7" s="1"/>
  <c r="U26" i="6" l="1"/>
  <c r="R28" i="6"/>
  <c r="R29" i="6" s="1"/>
</calcChain>
</file>

<file path=xl/sharedStrings.xml><?xml version="1.0" encoding="utf-8"?>
<sst xmlns="http://schemas.openxmlformats.org/spreadsheetml/2006/main" count="494" uniqueCount="69">
  <si>
    <t>Pression</t>
  </si>
  <si>
    <t>V15</t>
  </si>
  <si>
    <t xml:space="preserve">V30 </t>
  </si>
  <si>
    <t>V60</t>
  </si>
  <si>
    <t>(cm3)</t>
  </si>
  <si>
    <t xml:space="preserve">Nouvelle membrane par rapport à l'étalonnage du 6 mars </t>
  </si>
  <si>
    <t>J'ai refait un étalonnage à la suite du précédent après avoir repurgé le GDS</t>
  </si>
  <si>
    <t xml:space="preserve">Volume sonde corrigé = Volume de la sonde - Volume corrigé </t>
  </si>
  <si>
    <t>Vs =</t>
  </si>
  <si>
    <t>cm3</t>
  </si>
  <si>
    <t>Vc =</t>
  </si>
  <si>
    <t>Vsc =</t>
  </si>
  <si>
    <t>DV30-60</t>
  </si>
  <si>
    <t>Dans le modele théorique je remplace x par le volume a une pression donnée sur un essai</t>
  </si>
  <si>
    <t xml:space="preserve">Ensuite je retranche la pression calculée à lapression expérimentale </t>
  </si>
  <si>
    <t xml:space="preserve">Puis je retrace la courbe pressio colume en fonction de la pression calculée </t>
  </si>
  <si>
    <t>16h45</t>
  </si>
  <si>
    <t>17h30</t>
  </si>
  <si>
    <t xml:space="preserve">Membrane abimée ? </t>
  </si>
  <si>
    <t>P membrane</t>
  </si>
  <si>
    <t xml:space="preserve">α = </t>
  </si>
  <si>
    <t>cm3/kPa</t>
  </si>
  <si>
    <t>V corrigé</t>
  </si>
  <si>
    <t>P corrigée</t>
  </si>
  <si>
    <t>P corrigé</t>
  </si>
  <si>
    <t>ν</t>
  </si>
  <si>
    <t>V1</t>
  </si>
  <si>
    <t>V2</t>
  </si>
  <si>
    <t>P1</t>
  </si>
  <si>
    <t>P2</t>
  </si>
  <si>
    <t>kPa</t>
  </si>
  <si>
    <t>1/V</t>
  </si>
  <si>
    <t>A</t>
  </si>
  <si>
    <t>B</t>
  </si>
  <si>
    <t>C</t>
  </si>
  <si>
    <t>D</t>
  </si>
  <si>
    <t>mi</t>
  </si>
  <si>
    <t xml:space="preserve">me = </t>
  </si>
  <si>
    <t>VE =</t>
  </si>
  <si>
    <t xml:space="preserve">PE = </t>
  </si>
  <si>
    <t xml:space="preserve">β = </t>
  </si>
  <si>
    <t>intermédiaire pour</t>
  </si>
  <si>
    <t>calcul P membrane</t>
  </si>
  <si>
    <t xml:space="preserve">β * me = </t>
  </si>
  <si>
    <t>Vl</t>
  </si>
  <si>
    <t>VE et PE sont les paliers juste avant le me</t>
  </si>
  <si>
    <t>méthode de la courbe inverse</t>
  </si>
  <si>
    <t>jusqu'au P2,V2</t>
  </si>
  <si>
    <t xml:space="preserve">P </t>
  </si>
  <si>
    <t>méthode extrapolation</t>
  </si>
  <si>
    <t>hyperbolique</t>
  </si>
  <si>
    <t>jusqu'à PE,VE</t>
  </si>
  <si>
    <t>X</t>
  </si>
  <si>
    <t>Y</t>
  </si>
  <si>
    <t>Pli</t>
  </si>
  <si>
    <t>me est la valeur du mi le plus faible</t>
  </si>
  <si>
    <t>Plh</t>
  </si>
  <si>
    <t xml:space="preserve">xxx </t>
  </si>
  <si>
    <t xml:space="preserve">Pl = </t>
  </si>
  <si>
    <t>Em=</t>
  </si>
  <si>
    <t>Mpa</t>
  </si>
  <si>
    <t>Em/Pl =</t>
  </si>
  <si>
    <t>DV60-30</t>
  </si>
  <si>
    <t xml:space="preserve">Pf = </t>
  </si>
  <si>
    <t>Em =</t>
  </si>
  <si>
    <t>ATTENTION Pf doit être &gt; P2</t>
  </si>
  <si>
    <t>Même membrane que l'étalonnage du 03/06/2020</t>
  </si>
  <si>
    <t>α=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</si>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</sst>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 applyAlignment="1">
      <alignment horizontal="right"/>
    </xf>
    <xf numFmtId="164" fontId="1" fillId="2" borderId="0" xfId="0" applyNumberFormat="1" applyFont="1" applyFill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/>
    <xf numFmtId="0" fontId="0" fillId="6" borderId="0" xfId="0" applyFill="1"/>
    <xf numFmtId="0" fontId="2" fillId="5" borderId="0" xfId="0" applyFont="1" applyFill="1" applyAlignment="1">
      <alignment horizontal="left"/>
    </xf>
    <xf numFmtId="0" fontId="0" fillId="7" borderId="0" xfId="0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0" fontId="1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7" borderId="0" xfId="0" applyFont="1" applyFill="1"/>
    <xf numFmtId="0" fontId="2" fillId="2" borderId="0" xfId="0" applyFont="1" applyFill="1" applyAlignment="1">
      <alignment horizontal="right"/>
    </xf>
    <xf numFmtId="165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4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V15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EtalonnageTube2_09032020!$C$3:$C$23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49</c:v>
                </c:pt>
                <c:pt idx="4">
                  <c:v>73</c:v>
                </c:pt>
                <c:pt idx="5">
                  <c:v>98</c:v>
                </c:pt>
                <c:pt idx="6">
                  <c:v>149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  <c:pt idx="16">
                  <c:v>1100</c:v>
                </c:pt>
                <c:pt idx="17">
                  <c:v>1200</c:v>
                </c:pt>
                <c:pt idx="18">
                  <c:v>1300</c:v>
                </c:pt>
                <c:pt idx="19">
                  <c:v>1400</c:v>
                </c:pt>
                <c:pt idx="20">
                  <c:v>1500</c:v>
                </c:pt>
              </c:numCache>
            </c:numRef>
          </c:xVal>
          <c:yVal>
            <c:numRef>
              <c:f>EtalonnageTube2_09032020!$D$3:$D$23</c:f>
              <c:numCache>
                <c:formatCode>General</c:formatCode>
                <c:ptCount val="21"/>
                <c:pt idx="0">
                  <c:v>0.62</c:v>
                </c:pt>
                <c:pt idx="1">
                  <c:v>2.58</c:v>
                </c:pt>
                <c:pt idx="2">
                  <c:v>5.0599999999999996</c:v>
                </c:pt>
                <c:pt idx="3">
                  <c:v>11.26</c:v>
                </c:pt>
                <c:pt idx="4">
                  <c:v>22.67</c:v>
                </c:pt>
                <c:pt idx="5">
                  <c:v>42.02</c:v>
                </c:pt>
                <c:pt idx="6">
                  <c:v>81.69</c:v>
                </c:pt>
                <c:pt idx="7">
                  <c:v>82.5</c:v>
                </c:pt>
                <c:pt idx="8">
                  <c:v>82.99</c:v>
                </c:pt>
                <c:pt idx="9">
                  <c:v>83.26</c:v>
                </c:pt>
                <c:pt idx="10">
                  <c:v>83.44</c:v>
                </c:pt>
                <c:pt idx="11">
                  <c:v>83.59</c:v>
                </c:pt>
                <c:pt idx="12">
                  <c:v>83.72</c:v>
                </c:pt>
                <c:pt idx="13">
                  <c:v>83.83</c:v>
                </c:pt>
                <c:pt idx="14">
                  <c:v>83.92</c:v>
                </c:pt>
                <c:pt idx="15">
                  <c:v>84.03</c:v>
                </c:pt>
                <c:pt idx="16">
                  <c:v>84.12</c:v>
                </c:pt>
                <c:pt idx="17">
                  <c:v>84.21</c:v>
                </c:pt>
                <c:pt idx="18">
                  <c:v>84.29</c:v>
                </c:pt>
                <c:pt idx="19">
                  <c:v>84.37</c:v>
                </c:pt>
                <c:pt idx="20">
                  <c:v>84.45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17-4727-9DFD-F59D40B9C9F7}"/>
            </c:ext>
          </c:extLst>
        </c:ser>
        <c:ser>
          <c:idx val="1"/>
          <c:order val="1"/>
          <c:tx>
            <c:v>V30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EtalonnageTube2_09032020!$C$3:$C$23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49</c:v>
                </c:pt>
                <c:pt idx="4">
                  <c:v>73</c:v>
                </c:pt>
                <c:pt idx="5">
                  <c:v>98</c:v>
                </c:pt>
                <c:pt idx="6">
                  <c:v>149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  <c:pt idx="16">
                  <c:v>1100</c:v>
                </c:pt>
                <c:pt idx="17">
                  <c:v>1200</c:v>
                </c:pt>
                <c:pt idx="18">
                  <c:v>1300</c:v>
                </c:pt>
                <c:pt idx="19">
                  <c:v>1400</c:v>
                </c:pt>
                <c:pt idx="20">
                  <c:v>1500</c:v>
                </c:pt>
              </c:numCache>
            </c:numRef>
          </c:xVal>
          <c:yVal>
            <c:numRef>
              <c:f>EtalonnageTube2_09032020!$E$3:$E$23</c:f>
              <c:numCache>
                <c:formatCode>General</c:formatCode>
                <c:ptCount val="21"/>
                <c:pt idx="0">
                  <c:v>0.65</c:v>
                </c:pt>
                <c:pt idx="1">
                  <c:v>2.68</c:v>
                </c:pt>
                <c:pt idx="2">
                  <c:v>5.2</c:v>
                </c:pt>
                <c:pt idx="3">
                  <c:v>11.57</c:v>
                </c:pt>
                <c:pt idx="4">
                  <c:v>23.24</c:v>
                </c:pt>
                <c:pt idx="5">
                  <c:v>43.68</c:v>
                </c:pt>
                <c:pt idx="6">
                  <c:v>81.78</c:v>
                </c:pt>
                <c:pt idx="7">
                  <c:v>82.52</c:v>
                </c:pt>
                <c:pt idx="8">
                  <c:v>83</c:v>
                </c:pt>
                <c:pt idx="9">
                  <c:v>83.27</c:v>
                </c:pt>
                <c:pt idx="10">
                  <c:v>83.45</c:v>
                </c:pt>
                <c:pt idx="11">
                  <c:v>83.6</c:v>
                </c:pt>
                <c:pt idx="12">
                  <c:v>83.72</c:v>
                </c:pt>
                <c:pt idx="13">
                  <c:v>83.83</c:v>
                </c:pt>
                <c:pt idx="14">
                  <c:v>83.93</c:v>
                </c:pt>
                <c:pt idx="15">
                  <c:v>84.03</c:v>
                </c:pt>
                <c:pt idx="16">
                  <c:v>84.12</c:v>
                </c:pt>
                <c:pt idx="17">
                  <c:v>84.21</c:v>
                </c:pt>
                <c:pt idx="18">
                  <c:v>84.29</c:v>
                </c:pt>
                <c:pt idx="19">
                  <c:v>84.37</c:v>
                </c:pt>
                <c:pt idx="20">
                  <c:v>84.46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17-4727-9DFD-F59D40B9C9F7}"/>
            </c:ext>
          </c:extLst>
        </c:ser>
        <c:ser>
          <c:idx val="2"/>
          <c:order val="2"/>
          <c:tx>
            <c:v>V60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EtalonnageTube2_09032020!$C$3:$C$23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49</c:v>
                </c:pt>
                <c:pt idx="4">
                  <c:v>73</c:v>
                </c:pt>
                <c:pt idx="5">
                  <c:v>98</c:v>
                </c:pt>
                <c:pt idx="6">
                  <c:v>149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  <c:pt idx="16">
                  <c:v>1100</c:v>
                </c:pt>
                <c:pt idx="17">
                  <c:v>1200</c:v>
                </c:pt>
                <c:pt idx="18">
                  <c:v>1300</c:v>
                </c:pt>
                <c:pt idx="19">
                  <c:v>1400</c:v>
                </c:pt>
                <c:pt idx="20">
                  <c:v>1500</c:v>
                </c:pt>
              </c:numCache>
            </c:numRef>
          </c:xVal>
          <c:yVal>
            <c:numRef>
              <c:f>EtalonnageTube2_09032020!$F$3:$F$23</c:f>
              <c:numCache>
                <c:formatCode>General</c:formatCode>
                <c:ptCount val="21"/>
                <c:pt idx="0">
                  <c:v>0.68</c:v>
                </c:pt>
                <c:pt idx="1">
                  <c:v>2.81</c:v>
                </c:pt>
                <c:pt idx="2">
                  <c:v>5.37</c:v>
                </c:pt>
                <c:pt idx="3">
                  <c:v>11.89</c:v>
                </c:pt>
                <c:pt idx="4">
                  <c:v>24.02</c:v>
                </c:pt>
                <c:pt idx="5">
                  <c:v>46.09</c:v>
                </c:pt>
                <c:pt idx="6">
                  <c:v>81.86</c:v>
                </c:pt>
                <c:pt idx="7">
                  <c:v>82.55</c:v>
                </c:pt>
                <c:pt idx="8">
                  <c:v>83.02</c:v>
                </c:pt>
                <c:pt idx="9">
                  <c:v>83.28</c:v>
                </c:pt>
                <c:pt idx="10">
                  <c:v>83.46</c:v>
                </c:pt>
                <c:pt idx="11">
                  <c:v>83.61</c:v>
                </c:pt>
                <c:pt idx="12">
                  <c:v>83.73</c:v>
                </c:pt>
                <c:pt idx="13">
                  <c:v>83.84</c:v>
                </c:pt>
                <c:pt idx="14">
                  <c:v>83.94</c:v>
                </c:pt>
                <c:pt idx="15">
                  <c:v>84.04</c:v>
                </c:pt>
                <c:pt idx="16">
                  <c:v>84.13</c:v>
                </c:pt>
                <c:pt idx="17">
                  <c:v>84.22</c:v>
                </c:pt>
                <c:pt idx="18">
                  <c:v>84.3</c:v>
                </c:pt>
                <c:pt idx="19">
                  <c:v>84.38</c:v>
                </c:pt>
                <c:pt idx="20">
                  <c:v>84.46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17-4727-9DFD-F59D40B9C9F7}"/>
            </c:ext>
          </c:extLst>
        </c:ser>
        <c:ser>
          <c:idx val="3"/>
          <c:order val="3"/>
          <c:tx>
            <c:v>Vc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backward val="300"/>
            <c:dispRSqr val="0"/>
            <c:dispEq val="1"/>
            <c:trendlineLbl>
              <c:layout>
                <c:manualLayout>
                  <c:x val="-0.33727841712093681"/>
                  <c:y val="6.39678327471223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EtalonnageTube2_09032020!$C$10:$C$23</c:f>
              <c:numCache>
                <c:formatCode>General</c:formatCode>
                <c:ptCount val="1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</c:numCache>
            </c:numRef>
          </c:xVal>
          <c:yVal>
            <c:numRef>
              <c:f>EtalonnageTube2_09032020!$F$10:$F$23</c:f>
              <c:numCache>
                <c:formatCode>General</c:formatCode>
                <c:ptCount val="14"/>
                <c:pt idx="0">
                  <c:v>82.55</c:v>
                </c:pt>
                <c:pt idx="1">
                  <c:v>83.02</c:v>
                </c:pt>
                <c:pt idx="2">
                  <c:v>83.28</c:v>
                </c:pt>
                <c:pt idx="3">
                  <c:v>83.46</c:v>
                </c:pt>
                <c:pt idx="4">
                  <c:v>83.61</c:v>
                </c:pt>
                <c:pt idx="5">
                  <c:v>83.73</c:v>
                </c:pt>
                <c:pt idx="6">
                  <c:v>83.84</c:v>
                </c:pt>
                <c:pt idx="7">
                  <c:v>83.94</c:v>
                </c:pt>
                <c:pt idx="8">
                  <c:v>84.04</c:v>
                </c:pt>
                <c:pt idx="9">
                  <c:v>84.13</c:v>
                </c:pt>
                <c:pt idx="10">
                  <c:v>84.22</c:v>
                </c:pt>
                <c:pt idx="11">
                  <c:v>84.3</c:v>
                </c:pt>
                <c:pt idx="12">
                  <c:v>84.38</c:v>
                </c:pt>
                <c:pt idx="13">
                  <c:v>84.46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17-4727-9DFD-F59D40B9C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Volume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Détermination Pf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partie1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00"/>
            <c:dispRSqr val="0"/>
            <c:dispEq val="0"/>
          </c:trendline>
          <c:xVal>
            <c:numRef>
              <c:f>'Cuve2%_1_09032020'!$M$5:$M$17</c:f>
              <c:numCache>
                <c:formatCode>General</c:formatCode>
                <c:ptCount val="13"/>
                <c:pt idx="0">
                  <c:v>0</c:v>
                </c:pt>
                <c:pt idx="1">
                  <c:v>3.2250402710096715</c:v>
                </c:pt>
                <c:pt idx="2">
                  <c:v>0</c:v>
                </c:pt>
                <c:pt idx="3">
                  <c:v>0</c:v>
                </c:pt>
                <c:pt idx="4">
                  <c:v>3.1739468946965275</c:v>
                </c:pt>
                <c:pt idx="5">
                  <c:v>14.430635814227855</c:v>
                </c:pt>
                <c:pt idx="6">
                  <c:v>64.568987978838464</c:v>
                </c:pt>
                <c:pt idx="7">
                  <c:v>113.93838134707786</c:v>
                </c:pt>
                <c:pt idx="8">
                  <c:v>212.97581532951546</c:v>
                </c:pt>
                <c:pt idx="9">
                  <c:v>312.09038593784771</c:v>
                </c:pt>
                <c:pt idx="10">
                  <c:v>411.20324990779363</c:v>
                </c:pt>
                <c:pt idx="11">
                  <c:v>510.24217314628265</c:v>
                </c:pt>
                <c:pt idx="12">
                  <c:v>609.09015286331214</c:v>
                </c:pt>
              </c:numCache>
            </c:numRef>
          </c:xVal>
          <c:yVal>
            <c:numRef>
              <c:f>'Cuve2%_1_09032020'!$G$5:$G$17</c:f>
              <c:numCache>
                <c:formatCode>General</c:formatCode>
                <c:ptCount val="13"/>
                <c:pt idx="0">
                  <c:v>0.12000000000000011</c:v>
                </c:pt>
                <c:pt idx="1">
                  <c:v>0.25</c:v>
                </c:pt>
                <c:pt idx="2">
                  <c:v>0.27999999999999936</c:v>
                </c:pt>
                <c:pt idx="3">
                  <c:v>0.58000000000000185</c:v>
                </c:pt>
                <c:pt idx="4">
                  <c:v>1.8600000000000065</c:v>
                </c:pt>
                <c:pt idx="5">
                  <c:v>2.3499999999999943</c:v>
                </c:pt>
                <c:pt idx="6">
                  <c:v>0.14000000000000057</c:v>
                </c:pt>
                <c:pt idx="7">
                  <c:v>0.14000000000000057</c:v>
                </c:pt>
                <c:pt idx="8">
                  <c:v>0.31000000000000227</c:v>
                </c:pt>
                <c:pt idx="9">
                  <c:v>0.34000000000000341</c:v>
                </c:pt>
                <c:pt idx="10">
                  <c:v>0.39000000000000057</c:v>
                </c:pt>
                <c:pt idx="11">
                  <c:v>0.46000000000000796</c:v>
                </c:pt>
                <c:pt idx="12">
                  <c:v>0.64000000000000057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3-46EA-ADC8-FCD72A1A76F8}"/>
            </c:ext>
          </c:extLst>
        </c:ser>
        <c:ser>
          <c:idx val="0"/>
          <c:order val="1"/>
          <c:tx>
            <c:v>partie2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30"/>
            <c:dispRSqr val="0"/>
            <c:dispEq val="0"/>
          </c:trendline>
          <c:xVal>
            <c:numRef>
              <c:f>'Cuve2%_1_09032020'!$M$18:$M$20</c:f>
              <c:numCache>
                <c:formatCode>General</c:formatCode>
                <c:ptCount val="3"/>
                <c:pt idx="0">
                  <c:v>707.54647640271753</c:v>
                </c:pt>
                <c:pt idx="1">
                  <c:v>805.12035422511099</c:v>
                </c:pt>
                <c:pt idx="2">
                  <c:v>899.55096657791273</c:v>
                </c:pt>
              </c:numCache>
            </c:numRef>
          </c:xVal>
          <c:yVal>
            <c:numRef>
              <c:f>'Cuve2%_1_09032020'!$G$18:$G$20</c:f>
              <c:numCache>
                <c:formatCode>General</c:formatCode>
                <c:ptCount val="3"/>
                <c:pt idx="0">
                  <c:v>0.93999999999999773</c:v>
                </c:pt>
                <c:pt idx="1">
                  <c:v>1.6800000000000068</c:v>
                </c:pt>
                <c:pt idx="2">
                  <c:v>4.2400000000000091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3-46EA-ADC8-FCD72A1A7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D60-30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V60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'Cuve2%_2_09032020'!$C$5:$C$21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49</c:v>
                </c:pt>
                <c:pt idx="4">
                  <c:v>70</c:v>
                </c:pt>
                <c:pt idx="5">
                  <c:v>98</c:v>
                </c:pt>
                <c:pt idx="6">
                  <c:v>150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  <c:pt idx="16">
                  <c:v>1037</c:v>
                </c:pt>
              </c:numCache>
            </c:numRef>
          </c:xVal>
          <c:yVal>
            <c:numRef>
              <c:f>'Cuve2%_2_09032020'!$F$5:$F$21</c:f>
              <c:numCache>
                <c:formatCode>General</c:formatCode>
                <c:ptCount val="17"/>
                <c:pt idx="0">
                  <c:v>1.86</c:v>
                </c:pt>
                <c:pt idx="1">
                  <c:v>4.63</c:v>
                </c:pt>
                <c:pt idx="2">
                  <c:v>8.07</c:v>
                </c:pt>
                <c:pt idx="3">
                  <c:v>17.66</c:v>
                </c:pt>
                <c:pt idx="4">
                  <c:v>39.119999999999997</c:v>
                </c:pt>
                <c:pt idx="5">
                  <c:v>81.929999999999993</c:v>
                </c:pt>
                <c:pt idx="6">
                  <c:v>87.1</c:v>
                </c:pt>
                <c:pt idx="7">
                  <c:v>89.58</c:v>
                </c:pt>
                <c:pt idx="8">
                  <c:v>93.759999999999991</c:v>
                </c:pt>
                <c:pt idx="9">
                  <c:v>97.59</c:v>
                </c:pt>
                <c:pt idx="10">
                  <c:v>101.77</c:v>
                </c:pt>
                <c:pt idx="11">
                  <c:v>106.75</c:v>
                </c:pt>
                <c:pt idx="12">
                  <c:v>113.22999999999999</c:v>
                </c:pt>
                <c:pt idx="13">
                  <c:v>123.19</c:v>
                </c:pt>
                <c:pt idx="14">
                  <c:v>146.22999999999999</c:v>
                </c:pt>
                <c:pt idx="15">
                  <c:v>229.04000000000002</c:v>
                </c:pt>
                <c:pt idx="16">
                  <c:v>265.8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29-4575-8B51-7ACB0956A062}"/>
            </c:ext>
          </c:extLst>
        </c:ser>
        <c:ser>
          <c:idx val="3"/>
          <c:order val="3"/>
          <c:tx>
            <c:v>V60_corrigé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'Cuve2%_2_09032020'!$M$5:$M$21</c:f>
              <c:numCache>
                <c:formatCode>General</c:formatCode>
                <c:ptCount val="17"/>
                <c:pt idx="0">
                  <c:v>0</c:v>
                </c:pt>
                <c:pt idx="1">
                  <c:v>2.8148623736548757</c:v>
                </c:pt>
                <c:pt idx="2">
                  <c:v>0</c:v>
                </c:pt>
                <c:pt idx="3">
                  <c:v>0</c:v>
                </c:pt>
                <c:pt idx="4">
                  <c:v>1.1787131962457522</c:v>
                </c:pt>
                <c:pt idx="5">
                  <c:v>14.498915407549987</c:v>
                </c:pt>
                <c:pt idx="6">
                  <c:v>65.170590240313118</c:v>
                </c:pt>
                <c:pt idx="7">
                  <c:v>114.55422688607389</c:v>
                </c:pt>
                <c:pt idx="8">
                  <c:v>213.54347478087462</c:v>
                </c:pt>
                <c:pt idx="9">
                  <c:v>312.6462494254622</c:v>
                </c:pt>
                <c:pt idx="10">
                  <c:v>411.69620015375665</c:v>
                </c:pt>
                <c:pt idx="11">
                  <c:v>510.60103941106178</c:v>
                </c:pt>
                <c:pt idx="12">
                  <c:v>609.23061742145126</c:v>
                </c:pt>
                <c:pt idx="13">
                  <c:v>707.23146618598969</c:v>
                </c:pt>
                <c:pt idx="14">
                  <c:v>803.01831171048502</c:v>
                </c:pt>
                <c:pt idx="15">
                  <c:v>890.95126433805854</c:v>
                </c:pt>
                <c:pt idx="16">
                  <c:v>923.57814964029944</c:v>
                </c:pt>
              </c:numCache>
            </c:numRef>
          </c:xVal>
          <c:yVal>
            <c:numRef>
              <c:f>'Cuve2%_2_09032020'!$I$5:$I$21</c:f>
              <c:numCache>
                <c:formatCode>General</c:formatCode>
                <c:ptCount val="17"/>
                <c:pt idx="0">
                  <c:v>1.8470000000000002</c:v>
                </c:pt>
                <c:pt idx="1">
                  <c:v>4.6040000000000001</c:v>
                </c:pt>
                <c:pt idx="2">
                  <c:v>8.0323000000000011</c:v>
                </c:pt>
                <c:pt idx="3">
                  <c:v>17.596299999999999</c:v>
                </c:pt>
                <c:pt idx="4">
                  <c:v>39.028999999999996</c:v>
                </c:pt>
                <c:pt idx="5">
                  <c:v>81.802599999999998</c:v>
                </c:pt>
                <c:pt idx="6">
                  <c:v>86.905000000000001</c:v>
                </c:pt>
                <c:pt idx="7">
                  <c:v>89.32</c:v>
                </c:pt>
                <c:pt idx="8">
                  <c:v>93.36999999999999</c:v>
                </c:pt>
                <c:pt idx="9">
                  <c:v>97.070000000000007</c:v>
                </c:pt>
                <c:pt idx="10">
                  <c:v>101.11999999999999</c:v>
                </c:pt>
                <c:pt idx="11">
                  <c:v>105.97</c:v>
                </c:pt>
                <c:pt idx="12">
                  <c:v>112.32</c:v>
                </c:pt>
                <c:pt idx="13">
                  <c:v>122.14999999999999</c:v>
                </c:pt>
                <c:pt idx="14">
                  <c:v>145.06</c:v>
                </c:pt>
                <c:pt idx="15">
                  <c:v>227.74</c:v>
                </c:pt>
                <c:pt idx="16">
                  <c:v>264.45190000000002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29-4575-8B51-7ACB0956A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V15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'Cuve2%_2_09032020'!$C$5:$C$20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29</c:v>
                      </c:pt>
                      <c:pt idx="3">
                        <c:v>49</c:v>
                      </c:pt>
                      <c:pt idx="4">
                        <c:v>70</c:v>
                      </c:pt>
                      <c:pt idx="5">
                        <c:v>98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300</c:v>
                      </c:pt>
                      <c:pt idx="9">
                        <c:v>400</c:v>
                      </c:pt>
                      <c:pt idx="10">
                        <c:v>500</c:v>
                      </c:pt>
                      <c:pt idx="11">
                        <c:v>600</c:v>
                      </c:pt>
                      <c:pt idx="12">
                        <c:v>700</c:v>
                      </c:pt>
                      <c:pt idx="13">
                        <c:v>800</c:v>
                      </c:pt>
                      <c:pt idx="14">
                        <c:v>900</c:v>
                      </c:pt>
                      <c:pt idx="15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'Cuve2%_2_09032020'!$D$5:$D$20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1.56</c:v>
                      </c:pt>
                      <c:pt idx="1">
                        <c:v>4.0199999999999996</c:v>
                      </c:pt>
                      <c:pt idx="2">
                        <c:v>6.83</c:v>
                      </c:pt>
                      <c:pt idx="3">
                        <c:v>16</c:v>
                      </c:pt>
                      <c:pt idx="4">
                        <c:v>35.880000000000003</c:v>
                      </c:pt>
                      <c:pt idx="5">
                        <c:v>80.05</c:v>
                      </c:pt>
                      <c:pt idx="6">
                        <c:v>86.570000000000007</c:v>
                      </c:pt>
                      <c:pt idx="7">
                        <c:v>88.98</c:v>
                      </c:pt>
                      <c:pt idx="8">
                        <c:v>92.92</c:v>
                      </c:pt>
                      <c:pt idx="9">
                        <c:v>96.59</c:v>
                      </c:pt>
                      <c:pt idx="10">
                        <c:v>100.62</c:v>
                      </c:pt>
                      <c:pt idx="11">
                        <c:v>105.46000000000001</c:v>
                      </c:pt>
                      <c:pt idx="12">
                        <c:v>111.52000000000001</c:v>
                      </c:pt>
                      <c:pt idx="13">
                        <c:v>120.69</c:v>
                      </c:pt>
                      <c:pt idx="14">
                        <c:v>139.9</c:v>
                      </c:pt>
                      <c:pt idx="15">
                        <c:v>215.22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8E29-4575-8B51-7ACB0956A06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V30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'Cuve2%_2_09032020'!$C$5:$C$20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29</c:v>
                      </c:pt>
                      <c:pt idx="3">
                        <c:v>49</c:v>
                      </c:pt>
                      <c:pt idx="4">
                        <c:v>70</c:v>
                      </c:pt>
                      <c:pt idx="5">
                        <c:v>98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300</c:v>
                      </c:pt>
                      <c:pt idx="9">
                        <c:v>400</c:v>
                      </c:pt>
                      <c:pt idx="10">
                        <c:v>500</c:v>
                      </c:pt>
                      <c:pt idx="11">
                        <c:v>600</c:v>
                      </c:pt>
                      <c:pt idx="12">
                        <c:v>700</c:v>
                      </c:pt>
                      <c:pt idx="13">
                        <c:v>800</c:v>
                      </c:pt>
                      <c:pt idx="14">
                        <c:v>900</c:v>
                      </c:pt>
                      <c:pt idx="15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'Cuve2%_2_09032020'!$E$5:$E$20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1.71</c:v>
                      </c:pt>
                      <c:pt idx="1">
                        <c:v>4.32</c:v>
                      </c:pt>
                      <c:pt idx="2">
                        <c:v>7.52</c:v>
                      </c:pt>
                      <c:pt idx="3">
                        <c:v>16.75</c:v>
                      </c:pt>
                      <c:pt idx="4">
                        <c:v>37</c:v>
                      </c:pt>
                      <c:pt idx="5">
                        <c:v>81</c:v>
                      </c:pt>
                      <c:pt idx="6">
                        <c:v>86.85</c:v>
                      </c:pt>
                      <c:pt idx="7">
                        <c:v>89.289999999999992</c:v>
                      </c:pt>
                      <c:pt idx="8">
                        <c:v>93.339999999999989</c:v>
                      </c:pt>
                      <c:pt idx="9">
                        <c:v>97.089999999999989</c:v>
                      </c:pt>
                      <c:pt idx="10">
                        <c:v>101.19999999999999</c:v>
                      </c:pt>
                      <c:pt idx="11">
                        <c:v>106.13999999999999</c:v>
                      </c:pt>
                      <c:pt idx="12">
                        <c:v>112.41999999999999</c:v>
                      </c:pt>
                      <c:pt idx="13">
                        <c:v>121.75</c:v>
                      </c:pt>
                      <c:pt idx="14">
                        <c:v>142.81</c:v>
                      </c:pt>
                      <c:pt idx="15">
                        <c:v>221.14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E29-4575-8B51-7ACB0956A062}"/>
                  </c:ext>
                </c:extLst>
              </c15:ser>
            </c15:filteredScatterSeries>
          </c:ext>
        </c:extLst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Volume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Méthode de la courbe inverse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219793330029545E-2"/>
                  <c:y val="-6.47940211876672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'Cuve2%_2_09032020'!$R$17:$R$21</c:f>
              <c:numCache>
                <c:formatCode>General</c:formatCode>
                <c:ptCount val="5"/>
                <c:pt idx="0">
                  <c:v>0.60923061742145124</c:v>
                </c:pt>
                <c:pt idx="1">
                  <c:v>0.70723146618598964</c:v>
                </c:pt>
                <c:pt idx="2">
                  <c:v>0.80301831171048499</c:v>
                </c:pt>
                <c:pt idx="3">
                  <c:v>0.89095126433805849</c:v>
                </c:pt>
                <c:pt idx="4">
                  <c:v>0.9235781496402995</c:v>
                </c:pt>
              </c:numCache>
            </c:numRef>
          </c:xVal>
          <c:yVal>
            <c:numRef>
              <c:f>'Cuve2%_2_09032020'!$Q$17:$Q$21</c:f>
              <c:numCache>
                <c:formatCode>General</c:formatCode>
                <c:ptCount val="5"/>
                <c:pt idx="0">
                  <c:v>8.9031339031339041</c:v>
                </c:pt>
                <c:pt idx="1">
                  <c:v>8.1866557511256648</c:v>
                </c:pt>
                <c:pt idx="2">
                  <c:v>6.8936991589687029</c:v>
                </c:pt>
                <c:pt idx="3">
                  <c:v>4.3909721612364976</c:v>
                </c:pt>
                <c:pt idx="4">
                  <c:v>3.7814059948141794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CC-4966-A95C-31308BC63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1/V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Méthode extrapolation hyperbolique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219793330029545E-2"/>
                  <c:y val="-6.47940211876672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'Cuve2%_2_09032020'!$U$14:$U$21</c:f>
              <c:numCache>
                <c:formatCode>General</c:formatCode>
                <c:ptCount val="8"/>
                <c:pt idx="0">
                  <c:v>1.0940894675760818E-2</c:v>
                </c:pt>
                <c:pt idx="1">
                  <c:v>1.1849625425292871E-2</c:v>
                </c:pt>
                <c:pt idx="2">
                  <c:v>1.3035195757959075E-2</c:v>
                </c:pt>
                <c:pt idx="3">
                  <c:v>1.4719351385852975E-2</c:v>
                </c:pt>
                <c:pt idx="4">
                  <c:v>1.7603569600572466E-2</c:v>
                </c:pt>
                <c:pt idx="5">
                  <c:v>2.5507064359359857E-2</c:v>
                </c:pt>
                <c:pt idx="6">
                  <c:v>6.5467178627115E-2</c:v>
                </c:pt>
                <c:pt idx="7">
                  <c:v>8.834582230722178E-2</c:v>
                </c:pt>
              </c:numCache>
            </c:numRef>
          </c:xVal>
          <c:yVal>
            <c:numRef>
              <c:f>'Cuve2%_2_09032020'!$T$14:$T$21</c:f>
              <c:numCache>
                <c:formatCode>General</c:formatCode>
                <c:ptCount val="8"/>
                <c:pt idx="0">
                  <c:v>7.1100733811642579E-3</c:v>
                </c:pt>
                <c:pt idx="1">
                  <c:v>7.6067462466821003E-3</c:v>
                </c:pt>
                <c:pt idx="2">
                  <c:v>8.4552096935381696E-3</c:v>
                </c:pt>
                <c:pt idx="3">
                  <c:v>9.8507762319196661E-3</c:v>
                </c:pt>
                <c:pt idx="4">
                  <c:v>1.2563938576561731E-2</c:v>
                </c:pt>
                <c:pt idx="5">
                  <c:v>2.090750262419034E-2</c:v>
                </c:pt>
                <c:pt idx="6">
                  <c:v>6.3695090852446817E-2</c:v>
                </c:pt>
                <c:pt idx="7">
                  <c:v>8.6216705579526723E-2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CF-4171-BEDB-969BCE9E5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1/V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Détermination Pf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partie1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40"/>
            <c:dispRSqr val="0"/>
            <c:dispEq val="0"/>
          </c:trendline>
          <c:xVal>
            <c:numRef>
              <c:f>'Cuve2%_2_09032020'!$M$5:$M$17</c:f>
              <c:numCache>
                <c:formatCode>General</c:formatCode>
                <c:ptCount val="13"/>
                <c:pt idx="0">
                  <c:v>0</c:v>
                </c:pt>
                <c:pt idx="1">
                  <c:v>2.8148623736548757</c:v>
                </c:pt>
                <c:pt idx="2">
                  <c:v>0</c:v>
                </c:pt>
                <c:pt idx="3">
                  <c:v>0</c:v>
                </c:pt>
                <c:pt idx="4">
                  <c:v>1.1787131962457522</c:v>
                </c:pt>
                <c:pt idx="5">
                  <c:v>14.498915407549987</c:v>
                </c:pt>
                <c:pt idx="6">
                  <c:v>65.170590240313118</c:v>
                </c:pt>
                <c:pt idx="7">
                  <c:v>114.55422688607389</c:v>
                </c:pt>
                <c:pt idx="8">
                  <c:v>213.54347478087462</c:v>
                </c:pt>
                <c:pt idx="9">
                  <c:v>312.6462494254622</c:v>
                </c:pt>
                <c:pt idx="10">
                  <c:v>411.69620015375665</c:v>
                </c:pt>
                <c:pt idx="11">
                  <c:v>510.60103941106178</c:v>
                </c:pt>
                <c:pt idx="12">
                  <c:v>609.23061742145126</c:v>
                </c:pt>
              </c:numCache>
            </c:numRef>
          </c:xVal>
          <c:yVal>
            <c:numRef>
              <c:f>'Cuve2%_2_09032020'!$G$5:$G$17</c:f>
              <c:numCache>
                <c:formatCode>General</c:formatCode>
                <c:ptCount val="13"/>
                <c:pt idx="0">
                  <c:v>0.15000000000000013</c:v>
                </c:pt>
                <c:pt idx="1">
                  <c:v>0.30999999999999961</c:v>
                </c:pt>
                <c:pt idx="2">
                  <c:v>0.55000000000000071</c:v>
                </c:pt>
                <c:pt idx="3">
                  <c:v>0.91000000000000014</c:v>
                </c:pt>
                <c:pt idx="4">
                  <c:v>2.1199999999999974</c:v>
                </c:pt>
                <c:pt idx="5">
                  <c:v>0.92999999999999261</c:v>
                </c:pt>
                <c:pt idx="6">
                  <c:v>0.25</c:v>
                </c:pt>
                <c:pt idx="7">
                  <c:v>0.29000000000000625</c:v>
                </c:pt>
                <c:pt idx="8">
                  <c:v>0.42000000000000171</c:v>
                </c:pt>
                <c:pt idx="9">
                  <c:v>0.50000000000001421</c:v>
                </c:pt>
                <c:pt idx="10">
                  <c:v>0.57000000000000739</c:v>
                </c:pt>
                <c:pt idx="11">
                  <c:v>0.61000000000001364</c:v>
                </c:pt>
                <c:pt idx="12">
                  <c:v>0.81000000000000227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5-48FC-8417-98801923F1ED}"/>
            </c:ext>
          </c:extLst>
        </c:ser>
        <c:ser>
          <c:idx val="0"/>
          <c:order val="1"/>
          <c:tx>
            <c:v>partie2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50"/>
            <c:dispRSqr val="0"/>
            <c:dispEq val="0"/>
          </c:trendline>
          <c:xVal>
            <c:numRef>
              <c:f>'Cuve2%_2_09032020'!$M$18:$M$21</c:f>
              <c:numCache>
                <c:formatCode>General</c:formatCode>
                <c:ptCount val="4"/>
                <c:pt idx="0">
                  <c:v>707.23146618598969</c:v>
                </c:pt>
                <c:pt idx="1">
                  <c:v>803.01831171048502</c:v>
                </c:pt>
                <c:pt idx="2">
                  <c:v>890.95126433805854</c:v>
                </c:pt>
                <c:pt idx="3">
                  <c:v>923.57814964029944</c:v>
                </c:pt>
              </c:numCache>
            </c:numRef>
          </c:xVal>
          <c:yVal>
            <c:numRef>
              <c:f>'Cuve2%_2_09032020'!$G$18:$G$21</c:f>
              <c:numCache>
                <c:formatCode>General</c:formatCode>
                <c:ptCount val="4"/>
                <c:pt idx="0">
                  <c:v>1.4399999999999977</c:v>
                </c:pt>
                <c:pt idx="1">
                  <c:v>3.4199999999999875</c:v>
                </c:pt>
                <c:pt idx="2">
                  <c:v>7.9000000000000341</c:v>
                </c:pt>
                <c:pt idx="3">
                  <c:v>7.9000000000000341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F5-48FC-8417-98801923F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D60-30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V60_BeforeCorrections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'Cuve2%_11032020'!$C$5:$C$21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49</c:v>
                </c:pt>
                <c:pt idx="4">
                  <c:v>70</c:v>
                </c:pt>
                <c:pt idx="5">
                  <c:v>98</c:v>
                </c:pt>
                <c:pt idx="6">
                  <c:v>149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798</c:v>
                </c:pt>
              </c:numCache>
            </c:numRef>
          </c:xVal>
          <c:yVal>
            <c:numRef>
              <c:f>'Cuve2%_11032020'!$F$5:$F$21</c:f>
              <c:numCache>
                <c:formatCode>General</c:formatCode>
                <c:ptCount val="17"/>
                <c:pt idx="0">
                  <c:v>2.0699999999999998</c:v>
                </c:pt>
                <c:pt idx="1">
                  <c:v>4.46</c:v>
                </c:pt>
                <c:pt idx="2">
                  <c:v>7.42</c:v>
                </c:pt>
                <c:pt idx="3">
                  <c:v>15.23</c:v>
                </c:pt>
                <c:pt idx="4">
                  <c:v>33.090000000000003</c:v>
                </c:pt>
                <c:pt idx="5">
                  <c:v>73.819999999999993</c:v>
                </c:pt>
                <c:pt idx="6">
                  <c:v>87.61</c:v>
                </c:pt>
                <c:pt idx="7">
                  <c:v>95.2</c:v>
                </c:pt>
                <c:pt idx="8">
                  <c:v>107.39</c:v>
                </c:pt>
                <c:pt idx="9">
                  <c:v>119.34</c:v>
                </c:pt>
                <c:pt idx="10">
                  <c:v>133.67000000000002</c:v>
                </c:pt>
                <c:pt idx="11">
                  <c:v>152.84</c:v>
                </c:pt>
                <c:pt idx="12">
                  <c:v>184.28</c:v>
                </c:pt>
                <c:pt idx="13">
                  <c:v>232.58999999999997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B-4D5A-A85B-B805EACD342A}"/>
            </c:ext>
          </c:extLst>
        </c:ser>
        <c:ser>
          <c:idx val="3"/>
          <c:order val="3"/>
          <c:tx>
            <c:v>V60_AfterCorrections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'Cuve2%_11032020'!$M$5:$M$18</c:f>
              <c:numCache>
                <c:formatCode>General</c:formatCode>
                <c:ptCount val="14"/>
                <c:pt idx="0">
                  <c:v>0</c:v>
                </c:pt>
                <c:pt idx="1">
                  <c:v>3.3914630795542351</c:v>
                </c:pt>
                <c:pt idx="2">
                  <c:v>0</c:v>
                </c:pt>
                <c:pt idx="3">
                  <c:v>0</c:v>
                </c:pt>
                <c:pt idx="4">
                  <c:v>4.239483606986596</c:v>
                </c:pt>
                <c:pt idx="5">
                  <c:v>16.715774551119097</c:v>
                </c:pt>
                <c:pt idx="6">
                  <c:v>64.042779814058775</c:v>
                </c:pt>
                <c:pt idx="7">
                  <c:v>113.20301313960439</c:v>
                </c:pt>
                <c:pt idx="8">
                  <c:v>210.46302789531433</c:v>
                </c:pt>
                <c:pt idx="9">
                  <c:v>307.98981621172129</c:v>
                </c:pt>
                <c:pt idx="10">
                  <c:v>405.25045898607345</c:v>
                </c:pt>
                <c:pt idx="11">
                  <c:v>501.89832486318721</c:v>
                </c:pt>
                <c:pt idx="12">
                  <c:v>596.9977795305158</c:v>
                </c:pt>
                <c:pt idx="13">
                  <c:v>688.50846960975684</c:v>
                </c:pt>
              </c:numCache>
            </c:numRef>
          </c:xVal>
          <c:yVal>
            <c:numRef>
              <c:f>'Cuve2%_11032020'!$I$5:$I$18</c:f>
              <c:numCache>
                <c:formatCode>General</c:formatCode>
                <c:ptCount val="14"/>
                <c:pt idx="0">
                  <c:v>2.0569999999999999</c:v>
                </c:pt>
                <c:pt idx="1">
                  <c:v>4.4340000000000002</c:v>
                </c:pt>
                <c:pt idx="2">
                  <c:v>7.3822999999999999</c:v>
                </c:pt>
                <c:pt idx="3">
                  <c:v>15.1663</c:v>
                </c:pt>
                <c:pt idx="4">
                  <c:v>32.999000000000002</c:v>
                </c:pt>
                <c:pt idx="5">
                  <c:v>73.692599999999999</c:v>
                </c:pt>
                <c:pt idx="6">
                  <c:v>87.416299999999993</c:v>
                </c:pt>
                <c:pt idx="7">
                  <c:v>94.94</c:v>
                </c:pt>
                <c:pt idx="8">
                  <c:v>107</c:v>
                </c:pt>
                <c:pt idx="9">
                  <c:v>118.82000000000001</c:v>
                </c:pt>
                <c:pt idx="10">
                  <c:v>133.02000000000001</c:v>
                </c:pt>
                <c:pt idx="11">
                  <c:v>152.06</c:v>
                </c:pt>
                <c:pt idx="12">
                  <c:v>183.37</c:v>
                </c:pt>
                <c:pt idx="13">
                  <c:v>231.55259999999998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1B-4D5A-A85B-B805EACD3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V15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'Cuve2%_11032020'!$C$5:$C$20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29</c:v>
                      </c:pt>
                      <c:pt idx="3">
                        <c:v>49</c:v>
                      </c:pt>
                      <c:pt idx="4">
                        <c:v>70</c:v>
                      </c:pt>
                      <c:pt idx="5">
                        <c:v>98</c:v>
                      </c:pt>
                      <c:pt idx="6">
                        <c:v>149</c:v>
                      </c:pt>
                      <c:pt idx="7">
                        <c:v>200</c:v>
                      </c:pt>
                      <c:pt idx="8">
                        <c:v>300</c:v>
                      </c:pt>
                      <c:pt idx="9">
                        <c:v>400</c:v>
                      </c:pt>
                      <c:pt idx="10">
                        <c:v>500</c:v>
                      </c:pt>
                      <c:pt idx="11">
                        <c:v>600</c:v>
                      </c:pt>
                      <c:pt idx="12">
                        <c:v>700</c:v>
                      </c:pt>
                      <c:pt idx="13">
                        <c:v>798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'Cuve2%_11032020'!$D$5:$D$20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1.8</c:v>
                      </c:pt>
                      <c:pt idx="1">
                        <c:v>4.07</c:v>
                      </c:pt>
                      <c:pt idx="2">
                        <c:v>6.92</c:v>
                      </c:pt>
                      <c:pt idx="3">
                        <c:v>14.07</c:v>
                      </c:pt>
                      <c:pt idx="4">
                        <c:v>29.34</c:v>
                      </c:pt>
                      <c:pt idx="5">
                        <c:v>71.38</c:v>
                      </c:pt>
                      <c:pt idx="6">
                        <c:v>86.96</c:v>
                      </c:pt>
                      <c:pt idx="7">
                        <c:v>93.97999999999999</c:v>
                      </c:pt>
                      <c:pt idx="8">
                        <c:v>105.86999999999999</c:v>
                      </c:pt>
                      <c:pt idx="9">
                        <c:v>117.57</c:v>
                      </c:pt>
                      <c:pt idx="10">
                        <c:v>131.79</c:v>
                      </c:pt>
                      <c:pt idx="11">
                        <c:v>149.76</c:v>
                      </c:pt>
                      <c:pt idx="12">
                        <c:v>179.1</c:v>
                      </c:pt>
                      <c:pt idx="13">
                        <c:v>231.94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E1B-4D5A-A85B-B805EACD342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V30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'Cuve2%_11032020'!$C$5:$C$20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29</c:v>
                      </c:pt>
                      <c:pt idx="3">
                        <c:v>49</c:v>
                      </c:pt>
                      <c:pt idx="4">
                        <c:v>70</c:v>
                      </c:pt>
                      <c:pt idx="5">
                        <c:v>98</c:v>
                      </c:pt>
                      <c:pt idx="6">
                        <c:v>149</c:v>
                      </c:pt>
                      <c:pt idx="7">
                        <c:v>200</c:v>
                      </c:pt>
                      <c:pt idx="8">
                        <c:v>300</c:v>
                      </c:pt>
                      <c:pt idx="9">
                        <c:v>400</c:v>
                      </c:pt>
                      <c:pt idx="10">
                        <c:v>500</c:v>
                      </c:pt>
                      <c:pt idx="11">
                        <c:v>600</c:v>
                      </c:pt>
                      <c:pt idx="12">
                        <c:v>700</c:v>
                      </c:pt>
                      <c:pt idx="13">
                        <c:v>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'Cuve2%_11032020'!$E$5:$E$20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1.94</c:v>
                      </c:pt>
                      <c:pt idx="1">
                        <c:v>4.25</c:v>
                      </c:pt>
                      <c:pt idx="2">
                        <c:v>7.16</c:v>
                      </c:pt>
                      <c:pt idx="3">
                        <c:v>14.65</c:v>
                      </c:pt>
                      <c:pt idx="4">
                        <c:v>31.44</c:v>
                      </c:pt>
                      <c:pt idx="5">
                        <c:v>72.209999999999994</c:v>
                      </c:pt>
                      <c:pt idx="6">
                        <c:v>87.26</c:v>
                      </c:pt>
                      <c:pt idx="7">
                        <c:v>94.59</c:v>
                      </c:pt>
                      <c:pt idx="8">
                        <c:v>106.57000000000001</c:v>
                      </c:pt>
                      <c:pt idx="9">
                        <c:v>118.4</c:v>
                      </c:pt>
                      <c:pt idx="10">
                        <c:v>132.62</c:v>
                      </c:pt>
                      <c:pt idx="11">
                        <c:v>151.77000000000001</c:v>
                      </c:pt>
                      <c:pt idx="12">
                        <c:v>181.48000000000002</c:v>
                      </c:pt>
                      <c:pt idx="13">
                        <c:v>232.24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1B-4D5A-A85B-B805EACD342A}"/>
                  </c:ext>
                </c:extLst>
              </c15:ser>
            </c15:filteredScatterSeries>
          </c:ext>
        </c:extLst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Pressure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Volume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Méthode</a:t>
            </a:r>
            <a:r>
              <a:rPr lang="en-US" baseline="0"/>
              <a:t> la courbe inverse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1/V en fct de la pression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08782312620868E-2"/>
                  <c:y val="2.1318582774185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'Cuve2%_11032020'!$R$15:$R$18</c:f>
              <c:numCache>
                <c:formatCode>General</c:formatCode>
                <c:ptCount val="4"/>
                <c:pt idx="0">
                  <c:v>0.40525045898607348</c:v>
                </c:pt>
                <c:pt idx="1">
                  <c:v>0.5018983248631872</c:v>
                </c:pt>
                <c:pt idx="2">
                  <c:v>0.5969977795305158</c:v>
                </c:pt>
                <c:pt idx="3">
                  <c:v>0.68850846960975687</c:v>
                </c:pt>
              </c:numCache>
            </c:numRef>
          </c:xVal>
          <c:yVal>
            <c:numRef>
              <c:f>'Cuve2%_11032020'!$Q$15:$Q$18</c:f>
              <c:numCache>
                <c:formatCode>General</c:formatCode>
                <c:ptCount val="4"/>
                <c:pt idx="0">
                  <c:v>7.5176665163133363</c:v>
                </c:pt>
                <c:pt idx="1">
                  <c:v>6.5763514402209653</c:v>
                </c:pt>
                <c:pt idx="2">
                  <c:v>5.4534547635927355</c:v>
                </c:pt>
                <c:pt idx="3">
                  <c:v>4.3186731654060457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E9-4CDD-A273-8556F7C84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1/</a:t>
                </a:r>
              </a:p>
              <a:p>
                <a:pPr>
                  <a:defRPr/>
                </a:pPr>
                <a:r>
                  <a:rPr lang="fr-FR"/>
                  <a:t>Volume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409147003744164E-2"/>
              <c:y val="0.41851561201334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Méthode extrapolation hyperbolique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X en fct de 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08782312620868E-2"/>
                  <c:y val="2.1318582774185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'Cuve2%_11032020'!$U$14:$U$18</c:f>
              <c:numCache>
                <c:formatCode>General</c:formatCode>
                <c:ptCount val="5"/>
                <c:pt idx="0">
                  <c:v>1.9878315584992191E-2</c:v>
                </c:pt>
                <c:pt idx="1">
                  <c:v>2.4442235469263073E-2</c:v>
                </c:pt>
                <c:pt idx="2">
                  <c:v>3.1552197757839816E-2</c:v>
                </c:pt>
                <c:pt idx="3">
                  <c:v>4.5698852498765513E-2</c:v>
                </c:pt>
                <c:pt idx="4">
                  <c:v>7.2181206043560167E-2</c:v>
                </c:pt>
              </c:numCache>
            </c:numRef>
          </c:xVal>
          <c:yVal>
            <c:numRef>
              <c:f>'Cuve2%_11032020'!$T$14:$T$18</c:f>
              <c:numCache>
                <c:formatCode>General</c:formatCode>
                <c:ptCount val="5"/>
                <c:pt idx="0">
                  <c:v>2.7368812672681479E-2</c:v>
                </c:pt>
                <c:pt idx="1">
                  <c:v>3.2062235047856144E-2</c:v>
                </c:pt>
                <c:pt idx="2">
                  <c:v>4.0054323280157907E-2</c:v>
                </c:pt>
                <c:pt idx="3">
                  <c:v>5.7370150565216327E-2</c:v>
                </c:pt>
                <c:pt idx="4">
                  <c:v>8.8208364492571717E-2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3F-41CC-AE14-B9211F35D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partie1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50"/>
            <c:dispRSqr val="0"/>
            <c:dispEq val="0"/>
          </c:trendline>
          <c:xVal>
            <c:numRef>
              <c:f>'Cuve2%_11032020'!$M$5:$M$14</c:f>
              <c:numCache>
                <c:formatCode>General</c:formatCode>
                <c:ptCount val="10"/>
                <c:pt idx="0">
                  <c:v>0</c:v>
                </c:pt>
                <c:pt idx="1">
                  <c:v>3.3914630795542351</c:v>
                </c:pt>
                <c:pt idx="2">
                  <c:v>0</c:v>
                </c:pt>
                <c:pt idx="3">
                  <c:v>0</c:v>
                </c:pt>
                <c:pt idx="4">
                  <c:v>4.239483606986596</c:v>
                </c:pt>
                <c:pt idx="5">
                  <c:v>16.715774551119097</c:v>
                </c:pt>
                <c:pt idx="6">
                  <c:v>64.042779814058775</c:v>
                </c:pt>
                <c:pt idx="7">
                  <c:v>113.20301313960439</c:v>
                </c:pt>
                <c:pt idx="8">
                  <c:v>210.46302789531433</c:v>
                </c:pt>
                <c:pt idx="9">
                  <c:v>307.98981621172129</c:v>
                </c:pt>
              </c:numCache>
            </c:numRef>
          </c:xVal>
          <c:yVal>
            <c:numRef>
              <c:f>'Cuve2%_11032020'!$G$5:$G$14</c:f>
              <c:numCache>
                <c:formatCode>General</c:formatCode>
                <c:ptCount val="10"/>
                <c:pt idx="0">
                  <c:v>0.12999999999999989</c:v>
                </c:pt>
                <c:pt idx="1">
                  <c:v>0.20999999999999996</c:v>
                </c:pt>
                <c:pt idx="2">
                  <c:v>0.25999999999999979</c:v>
                </c:pt>
                <c:pt idx="3">
                  <c:v>0.58000000000000007</c:v>
                </c:pt>
                <c:pt idx="4">
                  <c:v>1.6500000000000021</c:v>
                </c:pt>
                <c:pt idx="5">
                  <c:v>1.6099999999999994</c:v>
                </c:pt>
                <c:pt idx="6">
                  <c:v>0.34999999999999432</c:v>
                </c:pt>
                <c:pt idx="7">
                  <c:v>0.60999999999999943</c:v>
                </c:pt>
                <c:pt idx="8">
                  <c:v>0.81999999999999318</c:v>
                </c:pt>
                <c:pt idx="9">
                  <c:v>0.93999999999999773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54-44A4-BD94-FC2B77A99C91}"/>
            </c:ext>
          </c:extLst>
        </c:ser>
        <c:ser>
          <c:idx val="0"/>
          <c:order val="1"/>
          <c:tx>
            <c:v>partie2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'Cuve2%_11032020'!$M$15:$M$17</c:f>
              <c:numCache>
                <c:formatCode>General</c:formatCode>
                <c:ptCount val="3"/>
                <c:pt idx="0">
                  <c:v>405.25045898607345</c:v>
                </c:pt>
                <c:pt idx="1">
                  <c:v>501.89832486318721</c:v>
                </c:pt>
                <c:pt idx="2">
                  <c:v>596.9977795305158</c:v>
                </c:pt>
              </c:numCache>
            </c:numRef>
          </c:xVal>
          <c:yVal>
            <c:numRef>
              <c:f>'Cuve2%_11032020'!$G$15:$G$17</c:f>
              <c:numCache>
                <c:formatCode>General</c:formatCode>
                <c:ptCount val="3"/>
                <c:pt idx="0">
                  <c:v>1.0500000000000114</c:v>
                </c:pt>
                <c:pt idx="1">
                  <c:v>1.0699999999999932</c:v>
                </c:pt>
                <c:pt idx="2">
                  <c:v>2.7999999999999829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54-44A4-BD94-FC2B77A99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Pressure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DV60-30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Before_Corrections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'Cuve2%_04062020 (2)'!$C$5:$C$22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49</c:v>
                </c:pt>
                <c:pt idx="4">
                  <c:v>71</c:v>
                </c:pt>
                <c:pt idx="5">
                  <c:v>96</c:v>
                </c:pt>
                <c:pt idx="6">
                  <c:v>149</c:v>
                </c:pt>
                <c:pt idx="7">
                  <c:v>199</c:v>
                </c:pt>
                <c:pt idx="8">
                  <c:v>299</c:v>
                </c:pt>
                <c:pt idx="9">
                  <c:v>399</c:v>
                </c:pt>
                <c:pt idx="10">
                  <c:v>499</c:v>
                </c:pt>
                <c:pt idx="11">
                  <c:v>599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998</c:v>
                </c:pt>
                <c:pt idx="16">
                  <c:v>1098</c:v>
                </c:pt>
                <c:pt idx="17">
                  <c:v>1178</c:v>
                </c:pt>
              </c:numCache>
            </c:numRef>
          </c:xVal>
          <c:yVal>
            <c:numRef>
              <c:f>'Cuve2%_04062020 (2)'!$F$5:$F$22</c:f>
              <c:numCache>
                <c:formatCode>General</c:formatCode>
                <c:ptCount val="18"/>
                <c:pt idx="0">
                  <c:v>1.22</c:v>
                </c:pt>
                <c:pt idx="1">
                  <c:v>3.55</c:v>
                </c:pt>
                <c:pt idx="2">
                  <c:v>6.33</c:v>
                </c:pt>
                <c:pt idx="3">
                  <c:v>13.79</c:v>
                </c:pt>
                <c:pt idx="4">
                  <c:v>27.21</c:v>
                </c:pt>
                <c:pt idx="5">
                  <c:v>54.17</c:v>
                </c:pt>
                <c:pt idx="6">
                  <c:v>79.709999999999994</c:v>
                </c:pt>
                <c:pt idx="7">
                  <c:v>83.67</c:v>
                </c:pt>
                <c:pt idx="8">
                  <c:v>89.99</c:v>
                </c:pt>
                <c:pt idx="9">
                  <c:v>95.71</c:v>
                </c:pt>
                <c:pt idx="10">
                  <c:v>101.61</c:v>
                </c:pt>
                <c:pt idx="11">
                  <c:v>107.96</c:v>
                </c:pt>
                <c:pt idx="12">
                  <c:v>114.95</c:v>
                </c:pt>
                <c:pt idx="13">
                  <c:v>123.26</c:v>
                </c:pt>
                <c:pt idx="14">
                  <c:v>133.86000000000001</c:v>
                </c:pt>
                <c:pt idx="15">
                  <c:v>149</c:v>
                </c:pt>
                <c:pt idx="16">
                  <c:v>174.93</c:v>
                </c:pt>
                <c:pt idx="17">
                  <c:v>262.08000000000004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4C-4F4C-8084-630961128DD7}"/>
            </c:ext>
          </c:extLst>
        </c:ser>
        <c:ser>
          <c:idx val="0"/>
          <c:order val="1"/>
          <c:tx>
            <c:v>After_Corrections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'Cuve2%_04062020 (2)'!$N$5:$N$22</c:f>
              <c:numCache>
                <c:formatCode>General</c:formatCode>
                <c:ptCount val="18"/>
                <c:pt idx="0">
                  <c:v>0.9169647019907643</c:v>
                </c:pt>
                <c:pt idx="1">
                  <c:v>6.0470611932836391</c:v>
                </c:pt>
                <c:pt idx="2">
                  <c:v>3.491117559770565</c:v>
                </c:pt>
                <c:pt idx="3">
                  <c:v>0</c:v>
                </c:pt>
                <c:pt idx="4">
                  <c:v>8.7488133222825866</c:v>
                </c:pt>
                <c:pt idx="5">
                  <c:v>20.990301606003527</c:v>
                </c:pt>
                <c:pt idx="6">
                  <c:v>66.088653560797255</c:v>
                </c:pt>
                <c:pt idx="7">
                  <c:v>115.0450244413647</c:v>
                </c:pt>
                <c:pt idx="8">
                  <c:v>213.45355573768748</c:v>
                </c:pt>
                <c:pt idx="9">
                  <c:v>312.0833464516337</c:v>
                </c:pt>
                <c:pt idx="10">
                  <c:v>410.73203206127477</c:v>
                </c:pt>
                <c:pt idx="11">
                  <c:v>509.34061691890531</c:v>
                </c:pt>
                <c:pt idx="12">
                  <c:v>608.87650029646579</c:v>
                </c:pt>
                <c:pt idx="13">
                  <c:v>707.21783783031617</c:v>
                </c:pt>
                <c:pt idx="14">
                  <c:v>805.21559362260371</c:v>
                </c:pt>
                <c:pt idx="15">
                  <c:v>900.54465642296122</c:v>
                </c:pt>
                <c:pt idx="16">
                  <c:v>996.388818948976</c:v>
                </c:pt>
                <c:pt idx="17">
                  <c:v>1065.0007763335959</c:v>
                </c:pt>
              </c:numCache>
            </c:numRef>
          </c:xVal>
          <c:yVal>
            <c:numRef>
              <c:f>'Cuve2%_04062020 (2)'!$I$5:$I$22</c:f>
              <c:numCache>
                <c:formatCode>General</c:formatCode>
                <c:ptCount val="18"/>
                <c:pt idx="0">
                  <c:v>1.206</c:v>
                </c:pt>
                <c:pt idx="1">
                  <c:v>3.5219999999999998</c:v>
                </c:pt>
                <c:pt idx="2">
                  <c:v>6.2893999999999997</c:v>
                </c:pt>
                <c:pt idx="3">
                  <c:v>13.721399999999999</c:v>
                </c:pt>
                <c:pt idx="4">
                  <c:v>27.110600000000002</c:v>
                </c:pt>
                <c:pt idx="5">
                  <c:v>54.035600000000002</c:v>
                </c:pt>
                <c:pt idx="6">
                  <c:v>79.50139999999999</c:v>
                </c:pt>
                <c:pt idx="7">
                  <c:v>83.391400000000004</c:v>
                </c:pt>
                <c:pt idx="8">
                  <c:v>89.571399999999997</c:v>
                </c:pt>
                <c:pt idx="9">
                  <c:v>95.151399999999995</c:v>
                </c:pt>
                <c:pt idx="10">
                  <c:v>100.9114</c:v>
                </c:pt>
                <c:pt idx="11">
                  <c:v>107.12139999999999</c:v>
                </c:pt>
                <c:pt idx="12">
                  <c:v>113.97</c:v>
                </c:pt>
                <c:pt idx="13">
                  <c:v>122.14</c:v>
                </c:pt>
                <c:pt idx="14">
                  <c:v>132.60000000000002</c:v>
                </c:pt>
                <c:pt idx="15">
                  <c:v>147.6028</c:v>
                </c:pt>
                <c:pt idx="16">
                  <c:v>173.39279999999999</c:v>
                </c:pt>
                <c:pt idx="17">
                  <c:v>260.43080000000003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4C-4F4C-8084-630961128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Volume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EtalonnageAir_10032020!$C$6:$C$13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49</c:v>
                </c:pt>
                <c:pt idx="4">
                  <c:v>73</c:v>
                </c:pt>
                <c:pt idx="5">
                  <c:v>96</c:v>
                </c:pt>
                <c:pt idx="6">
                  <c:v>106</c:v>
                </c:pt>
                <c:pt idx="7">
                  <c:v>110</c:v>
                </c:pt>
              </c:numCache>
            </c:numRef>
          </c:xVal>
          <c:yVal>
            <c:numRef>
              <c:f>EtalonnageAir_10032020!$F$6:$F$13</c:f>
              <c:numCache>
                <c:formatCode>General</c:formatCode>
                <c:ptCount val="8"/>
                <c:pt idx="0">
                  <c:v>1.66</c:v>
                </c:pt>
                <c:pt idx="1">
                  <c:v>4.0199999999999996</c:v>
                </c:pt>
                <c:pt idx="2">
                  <c:v>6.86</c:v>
                </c:pt>
                <c:pt idx="3">
                  <c:v>14.36</c:v>
                </c:pt>
                <c:pt idx="4">
                  <c:v>30.38</c:v>
                </c:pt>
                <c:pt idx="5">
                  <c:v>124.2</c:v>
                </c:pt>
                <c:pt idx="6">
                  <c:v>177.98</c:v>
                </c:pt>
                <c:pt idx="7">
                  <c:v>196.49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F7-4A6A-9E38-8D3749CA4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Méthode</a:t>
            </a:r>
            <a:r>
              <a:rPr lang="en-US" baseline="0"/>
              <a:t> la courbe inverse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1/V en fct de la pression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'Cuve2%_04062020 (2)'!$S$19:$S$22</c:f>
              <c:numCache>
                <c:formatCode>General</c:formatCode>
                <c:ptCount val="4"/>
                <c:pt idx="0">
                  <c:v>0.80521559362260375</c:v>
                </c:pt>
                <c:pt idx="1">
                  <c:v>0.90054465642296122</c:v>
                </c:pt>
                <c:pt idx="2">
                  <c:v>0.99638881894897602</c:v>
                </c:pt>
                <c:pt idx="3">
                  <c:v>1.065000776333596</c:v>
                </c:pt>
              </c:numCache>
            </c:numRef>
          </c:xVal>
          <c:yVal>
            <c:numRef>
              <c:f>'Cuve2%_04062020 (2)'!$R$19:$R$22</c:f>
              <c:numCache>
                <c:formatCode>General</c:formatCode>
                <c:ptCount val="4"/>
                <c:pt idx="0">
                  <c:v>7.5414781297134228</c:v>
                </c:pt>
                <c:pt idx="1">
                  <c:v>6.7749392287951178</c:v>
                </c:pt>
                <c:pt idx="2">
                  <c:v>5.7672521581057579</c:v>
                </c:pt>
                <c:pt idx="3">
                  <c:v>3.8397916068299138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8D-46D4-8515-DE283775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1/</a:t>
                </a:r>
              </a:p>
              <a:p>
                <a:pPr>
                  <a:defRPr/>
                </a:pPr>
                <a:r>
                  <a:rPr lang="fr-FR"/>
                  <a:t>Volume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409147003744164E-2"/>
              <c:y val="0.41851561201334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Méthode extrapolation hyperbolique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X en fct de 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08782312620868E-2"/>
                  <c:y val="2.1318582774185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'Cuve2%_04062020 (2)'!$V$14:$V$22</c:f>
              <c:numCache>
                <c:formatCode>General</c:formatCode>
                <c:ptCount val="9"/>
                <c:pt idx="0">
                  <c:v>1.1284534208533694E-2</c:v>
                </c:pt>
                <c:pt idx="1">
                  <c:v>1.2520292524824202E-2</c:v>
                </c:pt>
                <c:pt idx="2">
                  <c:v>1.3965244648419348E-2</c:v>
                </c:pt>
                <c:pt idx="3">
                  <c:v>1.5669928663228291E-2</c:v>
                </c:pt>
                <c:pt idx="4">
                  <c:v>1.7898939927530874E-2</c:v>
                </c:pt>
                <c:pt idx="5">
                  <c:v>2.1031033146137953E-2</c:v>
                </c:pt>
                <c:pt idx="6">
                  <c:v>2.6062408027064721E-2</c:v>
                </c:pt>
                <c:pt idx="7">
                  <c:v>3.6074434931337142E-2</c:v>
                </c:pt>
                <c:pt idx="8">
                  <c:v>8.2814293961547117E-2</c:v>
                </c:pt>
              </c:numCache>
            </c:numRef>
          </c:xVal>
          <c:yVal>
            <c:numRef>
              <c:f>'Cuve2%_04062020 (2)'!$U$14:$U$22</c:f>
              <c:numCache>
                <c:formatCode>General</c:formatCode>
                <c:ptCount val="9"/>
                <c:pt idx="0">
                  <c:v>1.0450729100596714E-2</c:v>
                </c:pt>
                <c:pt idx="1">
                  <c:v>1.0949369603082924E-2</c:v>
                </c:pt>
                <c:pt idx="2">
                  <c:v>1.1666473776242036E-2</c:v>
                </c:pt>
                <c:pt idx="3">
                  <c:v>1.2559021347588505E-2</c:v>
                </c:pt>
                <c:pt idx="4">
                  <c:v>1.3964444477064245E-2</c:v>
                </c:pt>
                <c:pt idx="5">
                  <c:v>1.6154676525396091E-2</c:v>
                </c:pt>
                <c:pt idx="6">
                  <c:v>2.0031624418003456E-2</c:v>
                </c:pt>
                <c:pt idx="7">
                  <c:v>2.8153065048408196E-2</c:v>
                </c:pt>
                <c:pt idx="8">
                  <c:v>7.0226482389116898E-2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4-4BD5-908D-C69CB28B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partie1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50"/>
            <c:dispRSqr val="0"/>
            <c:dispEq val="0"/>
          </c:trendline>
          <c:xVal>
            <c:numRef>
              <c:f>'Cuve2%_04062020 (2)'!$N$5:$N$18</c:f>
              <c:numCache>
                <c:formatCode>General</c:formatCode>
                <c:ptCount val="14"/>
                <c:pt idx="0">
                  <c:v>0.9169647019907643</c:v>
                </c:pt>
                <c:pt idx="1">
                  <c:v>6.0470611932836391</c:v>
                </c:pt>
                <c:pt idx="2">
                  <c:v>3.491117559770565</c:v>
                </c:pt>
                <c:pt idx="3">
                  <c:v>0</c:v>
                </c:pt>
                <c:pt idx="4">
                  <c:v>8.7488133222825866</c:v>
                </c:pt>
                <c:pt idx="5">
                  <c:v>20.990301606003527</c:v>
                </c:pt>
                <c:pt idx="6">
                  <c:v>66.088653560797255</c:v>
                </c:pt>
                <c:pt idx="7">
                  <c:v>115.0450244413647</c:v>
                </c:pt>
                <c:pt idx="8">
                  <c:v>213.45355573768748</c:v>
                </c:pt>
                <c:pt idx="9">
                  <c:v>312.0833464516337</c:v>
                </c:pt>
                <c:pt idx="10">
                  <c:v>410.73203206127477</c:v>
                </c:pt>
                <c:pt idx="11">
                  <c:v>509.34061691890531</c:v>
                </c:pt>
                <c:pt idx="12">
                  <c:v>608.87650029646579</c:v>
                </c:pt>
                <c:pt idx="13">
                  <c:v>707.21783783031617</c:v>
                </c:pt>
              </c:numCache>
            </c:numRef>
          </c:xVal>
          <c:yVal>
            <c:numRef>
              <c:f>'Cuve2%_04062020 (2)'!$G$5:$G$18</c:f>
              <c:numCache>
                <c:formatCode>General</c:formatCode>
                <c:ptCount val="14"/>
                <c:pt idx="0">
                  <c:v>4.0000000000000036E-2</c:v>
                </c:pt>
                <c:pt idx="1">
                  <c:v>0.12999999999999989</c:v>
                </c:pt>
                <c:pt idx="2">
                  <c:v>0.20999999999999996</c:v>
                </c:pt>
                <c:pt idx="3">
                  <c:v>0.27999999999999936</c:v>
                </c:pt>
                <c:pt idx="4">
                  <c:v>1.370000000000001</c:v>
                </c:pt>
                <c:pt idx="5">
                  <c:v>2.7100000000000009</c:v>
                </c:pt>
                <c:pt idx="6">
                  <c:v>0.40999999999999659</c:v>
                </c:pt>
                <c:pt idx="7">
                  <c:v>0.26000000000000512</c:v>
                </c:pt>
                <c:pt idx="8">
                  <c:v>0.31999999999999318</c:v>
                </c:pt>
                <c:pt idx="9">
                  <c:v>0.36999999999999034</c:v>
                </c:pt>
                <c:pt idx="10">
                  <c:v>0.35999999999999943</c:v>
                </c:pt>
                <c:pt idx="11">
                  <c:v>0.42999999999999261</c:v>
                </c:pt>
                <c:pt idx="12">
                  <c:v>0.60999999999999943</c:v>
                </c:pt>
                <c:pt idx="13">
                  <c:v>0.87000000000000455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AB-4C8A-8D87-2D6E6A30B078}"/>
            </c:ext>
          </c:extLst>
        </c:ser>
        <c:ser>
          <c:idx val="0"/>
          <c:order val="1"/>
          <c:tx>
            <c:v>partie2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'Cuve2%_04062020 (2)'!$N$19:$N$22</c:f>
              <c:numCache>
                <c:formatCode>General</c:formatCode>
                <c:ptCount val="4"/>
                <c:pt idx="0">
                  <c:v>805.21559362260371</c:v>
                </c:pt>
                <c:pt idx="1">
                  <c:v>900.54465642296122</c:v>
                </c:pt>
                <c:pt idx="2">
                  <c:v>996.388818948976</c:v>
                </c:pt>
                <c:pt idx="3">
                  <c:v>1065.0007763335959</c:v>
                </c:pt>
              </c:numCache>
            </c:numRef>
          </c:xVal>
          <c:yVal>
            <c:numRef>
              <c:f>'Cuve2%_04062020 (2)'!$G$19:$G$22</c:f>
              <c:numCache>
                <c:formatCode>General</c:formatCode>
                <c:ptCount val="4"/>
                <c:pt idx="0">
                  <c:v>1.1700000000000159</c:v>
                </c:pt>
                <c:pt idx="1">
                  <c:v>2.960000000000008</c:v>
                </c:pt>
                <c:pt idx="2">
                  <c:v>4.3799999999999955</c:v>
                </c:pt>
                <c:pt idx="3">
                  <c:v>15.690000000000055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AB-4C8A-8D87-2D6E6A30B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Pressure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DV60-30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Before_Corrections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'Cuve2%_05062020 (2)'!$C$5:$C$19</c:f>
              <c:numCache>
                <c:formatCode>General</c:formatCode>
                <c:ptCount val="15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48</c:v>
                </c:pt>
                <c:pt idx="4">
                  <c:v>71</c:v>
                </c:pt>
                <c:pt idx="5">
                  <c:v>98</c:v>
                </c:pt>
                <c:pt idx="6">
                  <c:v>149</c:v>
                </c:pt>
                <c:pt idx="7">
                  <c:v>199</c:v>
                </c:pt>
                <c:pt idx="8">
                  <c:v>298</c:v>
                </c:pt>
                <c:pt idx="9">
                  <c:v>398</c:v>
                </c:pt>
                <c:pt idx="10">
                  <c:v>499</c:v>
                </c:pt>
                <c:pt idx="11">
                  <c:v>597</c:v>
                </c:pt>
                <c:pt idx="12">
                  <c:v>698</c:v>
                </c:pt>
                <c:pt idx="13">
                  <c:v>797</c:v>
                </c:pt>
                <c:pt idx="14">
                  <c:v>888</c:v>
                </c:pt>
              </c:numCache>
            </c:numRef>
          </c:xVal>
          <c:yVal>
            <c:numRef>
              <c:f>'Cuve2%_05062020 (2)'!$F$5:$F$19</c:f>
              <c:numCache>
                <c:formatCode>General</c:formatCode>
                <c:ptCount val="15"/>
                <c:pt idx="0">
                  <c:v>1.47</c:v>
                </c:pt>
                <c:pt idx="1">
                  <c:v>4.1100000000000003</c:v>
                </c:pt>
                <c:pt idx="2">
                  <c:v>7.51</c:v>
                </c:pt>
                <c:pt idx="3">
                  <c:v>16.21</c:v>
                </c:pt>
                <c:pt idx="4">
                  <c:v>34.83</c:v>
                </c:pt>
                <c:pt idx="5">
                  <c:v>72.069999999999993</c:v>
                </c:pt>
                <c:pt idx="6">
                  <c:v>87.16</c:v>
                </c:pt>
                <c:pt idx="7">
                  <c:v>90.8</c:v>
                </c:pt>
                <c:pt idx="8">
                  <c:v>96.41</c:v>
                </c:pt>
                <c:pt idx="9">
                  <c:v>101.89</c:v>
                </c:pt>
                <c:pt idx="10">
                  <c:v>108.43</c:v>
                </c:pt>
                <c:pt idx="11">
                  <c:v>116.98</c:v>
                </c:pt>
                <c:pt idx="12">
                  <c:v>128.96</c:v>
                </c:pt>
                <c:pt idx="13">
                  <c:v>147.71</c:v>
                </c:pt>
                <c:pt idx="14">
                  <c:v>240.79000000000002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5-43F8-8DF9-E33ED69D17D1}"/>
            </c:ext>
          </c:extLst>
        </c:ser>
        <c:ser>
          <c:idx val="0"/>
          <c:order val="1"/>
          <c:tx>
            <c:v>After_Corrections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'Cuve2%_05062020 (2)'!$N$5:$N$19</c:f>
              <c:numCache>
                <c:formatCode>General</c:formatCode>
                <c:ptCount val="15"/>
                <c:pt idx="0">
                  <c:v>0</c:v>
                </c:pt>
                <c:pt idx="1">
                  <c:v>3.4900760548186653</c:v>
                </c:pt>
                <c:pt idx="2">
                  <c:v>0</c:v>
                </c:pt>
                <c:pt idx="3">
                  <c:v>0</c:v>
                </c:pt>
                <c:pt idx="4">
                  <c:v>4.3093920147002365</c:v>
                </c:pt>
                <c:pt idx="5">
                  <c:v>17.218156019689005</c:v>
                </c:pt>
                <c:pt idx="6">
                  <c:v>64.155524794109766</c:v>
                </c:pt>
                <c:pt idx="7">
                  <c:v>113.25566683076516</c:v>
                </c:pt>
                <c:pt idx="8">
                  <c:v>210.9198629036963</c:v>
                </c:pt>
                <c:pt idx="9">
                  <c:v>309.66935337888151</c:v>
                </c:pt>
                <c:pt idx="10">
                  <c:v>409.24003645716209</c:v>
                </c:pt>
                <c:pt idx="11">
                  <c:v>505.46348288376504</c:v>
                </c:pt>
                <c:pt idx="12">
                  <c:v>604.12638603100913</c:v>
                </c:pt>
                <c:pt idx="13">
                  <c:v>699.76444987034324</c:v>
                </c:pt>
                <c:pt idx="14">
                  <c:v>777.50341189955986</c:v>
                </c:pt>
              </c:numCache>
            </c:numRef>
          </c:xVal>
          <c:yVal>
            <c:numRef>
              <c:f>'Cuve2%_05062020 (2)'!$I$5:$I$19</c:f>
              <c:numCache>
                <c:formatCode>General</c:formatCode>
                <c:ptCount val="15"/>
                <c:pt idx="0">
                  <c:v>1.4538</c:v>
                </c:pt>
                <c:pt idx="1">
                  <c:v>4.0758000000000001</c:v>
                </c:pt>
                <c:pt idx="2">
                  <c:v>7.4577999999999998</c:v>
                </c:pt>
                <c:pt idx="3">
                  <c:v>16.1236</c:v>
                </c:pt>
                <c:pt idx="4">
                  <c:v>34.702199999999998</c:v>
                </c:pt>
                <c:pt idx="5">
                  <c:v>71.893599999999992</c:v>
                </c:pt>
                <c:pt idx="6">
                  <c:v>86.891800000000003</c:v>
                </c:pt>
                <c:pt idx="7">
                  <c:v>90.441800000000001</c:v>
                </c:pt>
                <c:pt idx="8">
                  <c:v>95.873599999999996</c:v>
                </c:pt>
                <c:pt idx="9">
                  <c:v>101.17360000000001</c:v>
                </c:pt>
                <c:pt idx="10">
                  <c:v>107.5318</c:v>
                </c:pt>
                <c:pt idx="11">
                  <c:v>115.9054</c:v>
                </c:pt>
                <c:pt idx="12">
                  <c:v>127.70360000000001</c:v>
                </c:pt>
                <c:pt idx="13">
                  <c:v>146.27540000000002</c:v>
                </c:pt>
                <c:pt idx="14">
                  <c:v>239.19160000000002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95-43F8-8DF9-E33ED69D1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Volume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Méthode</a:t>
            </a:r>
            <a:r>
              <a:rPr lang="en-US" baseline="0"/>
              <a:t> la courbe inverse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1/V en fct de la pression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'Cuve2%_05062020 (2)'!$S$16:$S$19</c:f>
              <c:numCache>
                <c:formatCode>General</c:formatCode>
                <c:ptCount val="4"/>
                <c:pt idx="0">
                  <c:v>0.50546348288376508</c:v>
                </c:pt>
                <c:pt idx="1">
                  <c:v>0.6041263860310091</c:v>
                </c:pt>
                <c:pt idx="2">
                  <c:v>0.69976444987034325</c:v>
                </c:pt>
                <c:pt idx="3">
                  <c:v>0.77750341189955985</c:v>
                </c:pt>
              </c:numCache>
            </c:numRef>
          </c:xVal>
          <c:yVal>
            <c:numRef>
              <c:f>'Cuve2%_05062020 (2)'!$R$16:$R$19</c:f>
              <c:numCache>
                <c:formatCode>General</c:formatCode>
                <c:ptCount val="4"/>
                <c:pt idx="0">
                  <c:v>8.6277257142462727</c:v>
                </c:pt>
                <c:pt idx="1">
                  <c:v>7.8306328090985691</c:v>
                </c:pt>
                <c:pt idx="2">
                  <c:v>6.8364195209857561</c:v>
                </c:pt>
                <c:pt idx="3">
                  <c:v>4.1807488222830562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7B-4DA9-ACEB-C2F28367A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1/</a:t>
                </a:r>
              </a:p>
              <a:p>
                <a:pPr>
                  <a:defRPr/>
                </a:pPr>
                <a:r>
                  <a:rPr lang="fr-FR"/>
                  <a:t>Volume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409147003744164E-2"/>
              <c:y val="0.41851561201334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Méthode extrapolation hyperbolique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X en fct de 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08782312620868E-2"/>
                  <c:y val="2.1318582774185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'Cuve2%_05062020 (2)'!$V$14:$V$19</c:f>
              <c:numCache>
                <c:formatCode>General</c:formatCode>
                <c:ptCount val="6"/>
                <c:pt idx="0">
                  <c:v>1.2466733581366822E-2</c:v>
                </c:pt>
                <c:pt idx="1">
                  <c:v>1.4085085015893868E-2</c:v>
                </c:pt>
                <c:pt idx="2">
                  <c:v>1.6471942549373318E-2</c:v>
                </c:pt>
                <c:pt idx="3">
                  <c:v>2.0125550110676533E-2</c:v>
                </c:pt>
                <c:pt idx="4">
                  <c:v>2.6662426460446156E-2</c:v>
                </c:pt>
                <c:pt idx="5">
                  <c:v>7.5089166371258911E-2</c:v>
                </c:pt>
              </c:numCache>
            </c:numRef>
          </c:xVal>
          <c:yVal>
            <c:numRef>
              <c:f>'Cuve2%_05062020 (2)'!$U$14:$U$19</c:f>
              <c:numCache>
                <c:formatCode>General</c:formatCode>
                <c:ptCount val="6"/>
                <c:pt idx="0">
                  <c:v>1.0575752390969946E-2</c:v>
                </c:pt>
                <c:pt idx="1">
                  <c:v>1.19571337186265E-2</c:v>
                </c:pt>
                <c:pt idx="2">
                  <c:v>1.4403009552497095E-2</c:v>
                </c:pt>
                <c:pt idx="3">
                  <c:v>1.8098535648392148E-2</c:v>
                </c:pt>
                <c:pt idx="4">
                  <c:v>2.4966514498876349E-2</c:v>
                </c:pt>
                <c:pt idx="5">
                  <c:v>8.4755151148856622E-2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43-447D-8A27-CE15BFFBA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partie1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50"/>
            <c:dispRSqr val="0"/>
            <c:dispEq val="0"/>
          </c:trendline>
          <c:xVal>
            <c:numRef>
              <c:f>'Cuve2%_05062020 (2)'!$N$5:$N$15</c:f>
              <c:numCache>
                <c:formatCode>General</c:formatCode>
                <c:ptCount val="11"/>
                <c:pt idx="0">
                  <c:v>0</c:v>
                </c:pt>
                <c:pt idx="1">
                  <c:v>3.4900760548186653</c:v>
                </c:pt>
                <c:pt idx="2">
                  <c:v>0</c:v>
                </c:pt>
                <c:pt idx="3">
                  <c:v>0</c:v>
                </c:pt>
                <c:pt idx="4">
                  <c:v>4.3093920147002365</c:v>
                </c:pt>
                <c:pt idx="5">
                  <c:v>17.218156019689005</c:v>
                </c:pt>
                <c:pt idx="6">
                  <c:v>64.155524794109766</c:v>
                </c:pt>
                <c:pt idx="7">
                  <c:v>113.25566683076516</c:v>
                </c:pt>
                <c:pt idx="8">
                  <c:v>210.9198629036963</c:v>
                </c:pt>
                <c:pt idx="9">
                  <c:v>309.66935337888151</c:v>
                </c:pt>
                <c:pt idx="10">
                  <c:v>409.24003645716209</c:v>
                </c:pt>
              </c:numCache>
            </c:numRef>
          </c:xVal>
          <c:yVal>
            <c:numRef>
              <c:f>'Cuve2%_05062020 (2)'!$G$5:$G$15</c:f>
              <c:numCache>
                <c:formatCode>General</c:formatCode>
                <c:ptCount val="11"/>
                <c:pt idx="0">
                  <c:v>0.11999999999999988</c:v>
                </c:pt>
                <c:pt idx="1">
                  <c:v>0.20000000000000018</c:v>
                </c:pt>
                <c:pt idx="2">
                  <c:v>0.29000000000000004</c:v>
                </c:pt>
                <c:pt idx="3">
                  <c:v>0.57000000000000028</c:v>
                </c:pt>
                <c:pt idx="4">
                  <c:v>1.8900000000000006</c:v>
                </c:pt>
                <c:pt idx="5">
                  <c:v>3.3399999999999892</c:v>
                </c:pt>
                <c:pt idx="6">
                  <c:v>0.21999999999999886</c:v>
                </c:pt>
                <c:pt idx="7">
                  <c:v>0.20000000000000284</c:v>
                </c:pt>
                <c:pt idx="8">
                  <c:v>0.25</c:v>
                </c:pt>
                <c:pt idx="9">
                  <c:v>0.32999999999999829</c:v>
                </c:pt>
                <c:pt idx="10">
                  <c:v>0.42000000000000171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30-4B12-98D7-6CCBE8D8BBE6}"/>
            </c:ext>
          </c:extLst>
        </c:ser>
        <c:ser>
          <c:idx val="0"/>
          <c:order val="1"/>
          <c:tx>
            <c:v>partie2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00"/>
            <c:dispRSqr val="0"/>
            <c:dispEq val="0"/>
          </c:trendline>
          <c:xVal>
            <c:numRef>
              <c:f>'Cuve2%_05062020 (2)'!$N$16:$N$18</c:f>
              <c:numCache>
                <c:formatCode>General</c:formatCode>
                <c:ptCount val="3"/>
                <c:pt idx="0">
                  <c:v>505.46348288376504</c:v>
                </c:pt>
                <c:pt idx="1">
                  <c:v>604.12638603100913</c:v>
                </c:pt>
                <c:pt idx="2">
                  <c:v>699.76444987034324</c:v>
                </c:pt>
              </c:numCache>
            </c:numRef>
          </c:xVal>
          <c:yVal>
            <c:numRef>
              <c:f>'Cuve2%_05062020 (2)'!$G$16:$G$18</c:f>
              <c:numCache>
                <c:formatCode>General</c:formatCode>
                <c:ptCount val="3"/>
                <c:pt idx="0">
                  <c:v>0.68999999999999773</c:v>
                </c:pt>
                <c:pt idx="1">
                  <c:v>1.0200000000000102</c:v>
                </c:pt>
                <c:pt idx="2">
                  <c:v>2.9500000000000171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30-4B12-98D7-6CCBE8D8B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Pressure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DV60-30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EtalonnageTube_04062020!$C$3:$C$17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49</c:v>
                </c:pt>
                <c:pt idx="4">
                  <c:v>72</c:v>
                </c:pt>
                <c:pt idx="5">
                  <c:v>93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</c:numCache>
            </c:numRef>
          </c:xVal>
          <c:yVal>
            <c:numRef>
              <c:f>EtalonnageTube_04062020!$F$3:$F$17</c:f>
              <c:numCache>
                <c:formatCode>General</c:formatCode>
                <c:ptCount val="15"/>
                <c:pt idx="0">
                  <c:v>1.56</c:v>
                </c:pt>
                <c:pt idx="1">
                  <c:v>3.93</c:v>
                </c:pt>
                <c:pt idx="2">
                  <c:v>6.79</c:v>
                </c:pt>
                <c:pt idx="3">
                  <c:v>14.26</c:v>
                </c:pt>
                <c:pt idx="4">
                  <c:v>28.72</c:v>
                </c:pt>
                <c:pt idx="5">
                  <c:v>54.68</c:v>
                </c:pt>
                <c:pt idx="6">
                  <c:v>77.17</c:v>
                </c:pt>
                <c:pt idx="7">
                  <c:v>77.45</c:v>
                </c:pt>
                <c:pt idx="8">
                  <c:v>77.64</c:v>
                </c:pt>
                <c:pt idx="9">
                  <c:v>77.81</c:v>
                </c:pt>
                <c:pt idx="10">
                  <c:v>77.95</c:v>
                </c:pt>
                <c:pt idx="11">
                  <c:v>78.099999999999994</c:v>
                </c:pt>
                <c:pt idx="12">
                  <c:v>78.239999999999995</c:v>
                </c:pt>
                <c:pt idx="13">
                  <c:v>78.34</c:v>
                </c:pt>
                <c:pt idx="14">
                  <c:v>78.430000000000007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D4-4636-A42B-5E36BE34BC3C}"/>
            </c:ext>
          </c:extLst>
        </c:ser>
        <c:ser>
          <c:idx val="1"/>
          <c:order val="1"/>
          <c:tx>
            <c:v>Vc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300"/>
            <c:dispRSqr val="0"/>
            <c:dispEq val="1"/>
            <c:trendlineLbl>
              <c:layout>
                <c:manualLayout>
                  <c:x val="2.3726055222118215E-4"/>
                  <c:y val="4.55641362885752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EtalonnageTube_04062020!$C$10:$C$17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xVal>
          <c:yVal>
            <c:numRef>
              <c:f>EtalonnageTube_04062020!$F$10:$F$17</c:f>
              <c:numCache>
                <c:formatCode>General</c:formatCode>
                <c:ptCount val="8"/>
                <c:pt idx="0">
                  <c:v>77.45</c:v>
                </c:pt>
                <c:pt idx="1">
                  <c:v>77.64</c:v>
                </c:pt>
                <c:pt idx="2">
                  <c:v>77.81</c:v>
                </c:pt>
                <c:pt idx="3">
                  <c:v>77.95</c:v>
                </c:pt>
                <c:pt idx="4">
                  <c:v>78.099999999999994</c:v>
                </c:pt>
                <c:pt idx="5">
                  <c:v>78.239999999999995</c:v>
                </c:pt>
                <c:pt idx="6">
                  <c:v>78.34</c:v>
                </c:pt>
                <c:pt idx="7">
                  <c:v>78.430000000000007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D4-4636-A42B-5E36BE34B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Volume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564310580058615E-2"/>
          <c:y val="1.112127410213907E-2"/>
          <c:w val="0.92794229392654592"/>
          <c:h val="0.93075522148243373"/>
        </c:manualLayout>
      </c:layout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1299255425239677"/>
                  <c:y val="5.802417743147434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EtalonnageAir_04062020!$C$6:$C$14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49</c:v>
                </c:pt>
                <c:pt idx="4">
                  <c:v>73</c:v>
                </c:pt>
                <c:pt idx="5">
                  <c:v>94</c:v>
                </c:pt>
                <c:pt idx="6">
                  <c:v>106</c:v>
                </c:pt>
                <c:pt idx="7">
                  <c:v>117</c:v>
                </c:pt>
                <c:pt idx="8">
                  <c:v>127</c:v>
                </c:pt>
              </c:numCache>
            </c:numRef>
          </c:xVal>
          <c:yVal>
            <c:numRef>
              <c:f>EtalonnageAir_04062020!$F$6:$F$14</c:f>
              <c:numCache>
                <c:formatCode>General</c:formatCode>
                <c:ptCount val="9"/>
                <c:pt idx="0">
                  <c:v>1.41</c:v>
                </c:pt>
                <c:pt idx="1">
                  <c:v>3.66</c:v>
                </c:pt>
                <c:pt idx="2">
                  <c:v>6.58</c:v>
                </c:pt>
                <c:pt idx="3">
                  <c:v>13.7</c:v>
                </c:pt>
                <c:pt idx="4">
                  <c:v>27.42</c:v>
                </c:pt>
                <c:pt idx="5">
                  <c:v>49.74</c:v>
                </c:pt>
                <c:pt idx="6">
                  <c:v>68.790000000000006</c:v>
                </c:pt>
                <c:pt idx="7">
                  <c:v>84.57</c:v>
                </c:pt>
                <c:pt idx="8">
                  <c:v>94.4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83-4D4B-96B2-FB8A5A296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Volume (cm3)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Before_Corrections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'Cuve2%_04062020'!$C$5:$C$22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49</c:v>
                </c:pt>
                <c:pt idx="4">
                  <c:v>71</c:v>
                </c:pt>
                <c:pt idx="5">
                  <c:v>96</c:v>
                </c:pt>
                <c:pt idx="6">
                  <c:v>149</c:v>
                </c:pt>
                <c:pt idx="7">
                  <c:v>199</c:v>
                </c:pt>
                <c:pt idx="8">
                  <c:v>299</c:v>
                </c:pt>
                <c:pt idx="9">
                  <c:v>399</c:v>
                </c:pt>
                <c:pt idx="10">
                  <c:v>499</c:v>
                </c:pt>
                <c:pt idx="11">
                  <c:v>599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998</c:v>
                </c:pt>
                <c:pt idx="16">
                  <c:v>1098</c:v>
                </c:pt>
                <c:pt idx="17">
                  <c:v>1178</c:v>
                </c:pt>
              </c:numCache>
            </c:numRef>
          </c:xVal>
          <c:yVal>
            <c:numRef>
              <c:f>'Cuve2%_04062020'!$F$5:$F$22</c:f>
              <c:numCache>
                <c:formatCode>General</c:formatCode>
                <c:ptCount val="18"/>
                <c:pt idx="0">
                  <c:v>1.22</c:v>
                </c:pt>
                <c:pt idx="1">
                  <c:v>3.55</c:v>
                </c:pt>
                <c:pt idx="2">
                  <c:v>6.33</c:v>
                </c:pt>
                <c:pt idx="3">
                  <c:v>13.79</c:v>
                </c:pt>
                <c:pt idx="4">
                  <c:v>27.21</c:v>
                </c:pt>
                <c:pt idx="5">
                  <c:v>54.17</c:v>
                </c:pt>
                <c:pt idx="6">
                  <c:v>79.709999999999994</c:v>
                </c:pt>
                <c:pt idx="7">
                  <c:v>83.67</c:v>
                </c:pt>
                <c:pt idx="8">
                  <c:v>89.99</c:v>
                </c:pt>
                <c:pt idx="9">
                  <c:v>95.71</c:v>
                </c:pt>
                <c:pt idx="10">
                  <c:v>101.61</c:v>
                </c:pt>
                <c:pt idx="11">
                  <c:v>107.96</c:v>
                </c:pt>
                <c:pt idx="12">
                  <c:v>114.95</c:v>
                </c:pt>
                <c:pt idx="13">
                  <c:v>123.26</c:v>
                </c:pt>
                <c:pt idx="14">
                  <c:v>133.86000000000001</c:v>
                </c:pt>
                <c:pt idx="15">
                  <c:v>149</c:v>
                </c:pt>
                <c:pt idx="16">
                  <c:v>174.93</c:v>
                </c:pt>
                <c:pt idx="17">
                  <c:v>262.08000000000004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C-4B25-A5E8-5C30547B8368}"/>
            </c:ext>
          </c:extLst>
        </c:ser>
        <c:ser>
          <c:idx val="0"/>
          <c:order val="1"/>
          <c:tx>
            <c:v>After_Corrections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'Cuve2%_04062020'!$N$5:$N$22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1.6616118366428054</c:v>
                </c:pt>
                <c:pt idx="5">
                  <c:v>0.23375650837783724</c:v>
                </c:pt>
                <c:pt idx="6">
                  <c:v>34.060232069523863</c:v>
                </c:pt>
                <c:pt idx="7">
                  <c:v>81.383452210903002</c:v>
                </c:pt>
                <c:pt idx="8">
                  <c:v>177.23927420901759</c:v>
                </c:pt>
                <c:pt idx="9">
                  <c:v>273.61183810274156</c:v>
                </c:pt>
                <c:pt idx="10">
                  <c:v>369.98133623379545</c:v>
                </c:pt>
                <c:pt idx="11">
                  <c:v>466.18871116952869</c:v>
                </c:pt>
                <c:pt idx="12">
                  <c:v>563.13907624840863</c:v>
                </c:pt>
                <c:pt idx="13">
                  <c:v>658.47935455181232</c:v>
                </c:pt>
                <c:pt idx="14">
                  <c:v>752.75389026068297</c:v>
                </c:pt>
                <c:pt idx="15">
                  <c:v>842.94775825360739</c:v>
                </c:pt>
                <c:pt idx="16">
                  <c:v>930.42616767008781</c:v>
                </c:pt>
                <c:pt idx="17">
                  <c:v>973.84608444206901</c:v>
                </c:pt>
              </c:numCache>
            </c:numRef>
          </c:xVal>
          <c:yVal>
            <c:numRef>
              <c:f>'Cuve2%_04062020'!$I$5:$I$22</c:f>
              <c:numCache>
                <c:formatCode>General</c:formatCode>
                <c:ptCount val="18"/>
                <c:pt idx="0">
                  <c:v>1.206</c:v>
                </c:pt>
                <c:pt idx="1">
                  <c:v>3.5219999999999998</c:v>
                </c:pt>
                <c:pt idx="2">
                  <c:v>6.2893999999999997</c:v>
                </c:pt>
                <c:pt idx="3">
                  <c:v>13.721399999999999</c:v>
                </c:pt>
                <c:pt idx="4">
                  <c:v>27.110600000000002</c:v>
                </c:pt>
                <c:pt idx="5">
                  <c:v>54.035600000000002</c:v>
                </c:pt>
                <c:pt idx="6">
                  <c:v>79.50139999999999</c:v>
                </c:pt>
                <c:pt idx="7">
                  <c:v>83.391400000000004</c:v>
                </c:pt>
                <c:pt idx="8">
                  <c:v>89.571399999999997</c:v>
                </c:pt>
                <c:pt idx="9">
                  <c:v>95.151399999999995</c:v>
                </c:pt>
                <c:pt idx="10">
                  <c:v>100.9114</c:v>
                </c:pt>
                <c:pt idx="11">
                  <c:v>107.12139999999999</c:v>
                </c:pt>
                <c:pt idx="12">
                  <c:v>113.97</c:v>
                </c:pt>
                <c:pt idx="13">
                  <c:v>122.14</c:v>
                </c:pt>
                <c:pt idx="14">
                  <c:v>132.60000000000002</c:v>
                </c:pt>
                <c:pt idx="15">
                  <c:v>147.6028</c:v>
                </c:pt>
                <c:pt idx="16">
                  <c:v>173.39279999999999</c:v>
                </c:pt>
                <c:pt idx="17">
                  <c:v>260.43080000000003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88-41B2-8AF5-ED315ECC7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Volume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V60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'Cuve2%_06032020'!$C$7:$C$22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49</c:v>
                </c:pt>
                <c:pt idx="4">
                  <c:v>70</c:v>
                </c:pt>
                <c:pt idx="5">
                  <c:v>96</c:v>
                </c:pt>
                <c:pt idx="6">
                  <c:v>150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945</c:v>
                </c:pt>
              </c:numCache>
            </c:numRef>
          </c:xVal>
          <c:yVal>
            <c:numRef>
              <c:f>'Cuve2%_06032020'!$F$7:$F$22</c:f>
              <c:numCache>
                <c:formatCode>General</c:formatCode>
                <c:ptCount val="16"/>
                <c:pt idx="0">
                  <c:v>0.65</c:v>
                </c:pt>
                <c:pt idx="1">
                  <c:v>3.24</c:v>
                </c:pt>
                <c:pt idx="2">
                  <c:v>6.8</c:v>
                </c:pt>
                <c:pt idx="3">
                  <c:v>17.100000000000001</c:v>
                </c:pt>
                <c:pt idx="4">
                  <c:v>39.99</c:v>
                </c:pt>
                <c:pt idx="5">
                  <c:v>75.53</c:v>
                </c:pt>
                <c:pt idx="6">
                  <c:v>83.44</c:v>
                </c:pt>
                <c:pt idx="7">
                  <c:v>86.61</c:v>
                </c:pt>
                <c:pt idx="8">
                  <c:v>91.61</c:v>
                </c:pt>
                <c:pt idx="9">
                  <c:v>96.23</c:v>
                </c:pt>
                <c:pt idx="10">
                  <c:v>100.99</c:v>
                </c:pt>
                <c:pt idx="11">
                  <c:v>106.5</c:v>
                </c:pt>
                <c:pt idx="12">
                  <c:v>113.73</c:v>
                </c:pt>
                <c:pt idx="13">
                  <c:v>124.43</c:v>
                </c:pt>
                <c:pt idx="14">
                  <c:v>149.97999999999999</c:v>
                </c:pt>
                <c:pt idx="15">
                  <c:v>237.94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33-4A20-B96A-8A4CD65A1533}"/>
            </c:ext>
          </c:extLst>
        </c:ser>
        <c:ser>
          <c:idx val="3"/>
          <c:order val="3"/>
          <c:tx>
            <c:v>V60_corrigé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'Cuve2%_06032020'!$M$7:$M$22</c:f>
              <c:numCache>
                <c:formatCode>General</c:formatCode>
                <c:ptCount val="16"/>
                <c:pt idx="0">
                  <c:v>1.8621309025002191</c:v>
                </c:pt>
                <c:pt idx="1">
                  <c:v>6.8240351745247096</c:v>
                </c:pt>
                <c:pt idx="2">
                  <c:v>1.1962474326284323</c:v>
                </c:pt>
                <c:pt idx="3">
                  <c:v>0</c:v>
                </c:pt>
                <c:pt idx="4">
                  <c:v>0.77126928180176435</c:v>
                </c:pt>
                <c:pt idx="5">
                  <c:v>14.23354950955553</c:v>
                </c:pt>
                <c:pt idx="6">
                  <c:v>66.104613077858417</c:v>
                </c:pt>
                <c:pt idx="7">
                  <c:v>115.29391548939577</c:v>
                </c:pt>
                <c:pt idx="8">
                  <c:v>214.05908499017181</c:v>
                </c:pt>
                <c:pt idx="9">
                  <c:v>312.9618175628467</c:v>
                </c:pt>
                <c:pt idx="10">
                  <c:v>411.87127366661628</c:v>
                </c:pt>
                <c:pt idx="11">
                  <c:v>510.65511459644313</c:v>
                </c:pt>
                <c:pt idx="12">
                  <c:v>609.12727512884976</c:v>
                </c:pt>
                <c:pt idx="13">
                  <c:v>706.99087377625744</c:v>
                </c:pt>
                <c:pt idx="14">
                  <c:v>802.37858802368294</c:v>
                </c:pt>
                <c:pt idx="15">
                  <c:v>834.84998517570216</c:v>
                </c:pt>
              </c:numCache>
            </c:numRef>
          </c:xVal>
          <c:yVal>
            <c:numRef>
              <c:f>'Cuve2%_06032020'!$I$7:$I$22</c:f>
              <c:numCache>
                <c:formatCode>General</c:formatCode>
                <c:ptCount val="16"/>
                <c:pt idx="0">
                  <c:v>0.63700000000000001</c:v>
                </c:pt>
                <c:pt idx="1">
                  <c:v>3.2140000000000004</c:v>
                </c:pt>
                <c:pt idx="2">
                  <c:v>6.7610000000000001</c:v>
                </c:pt>
                <c:pt idx="3">
                  <c:v>17.036300000000001</c:v>
                </c:pt>
                <c:pt idx="4">
                  <c:v>39.899000000000001</c:v>
                </c:pt>
                <c:pt idx="5">
                  <c:v>75.405200000000008</c:v>
                </c:pt>
                <c:pt idx="6">
                  <c:v>83.245000000000005</c:v>
                </c:pt>
                <c:pt idx="7">
                  <c:v>86.35</c:v>
                </c:pt>
                <c:pt idx="8">
                  <c:v>91.22</c:v>
                </c:pt>
                <c:pt idx="9">
                  <c:v>95.710000000000008</c:v>
                </c:pt>
                <c:pt idx="10">
                  <c:v>100.33999999999999</c:v>
                </c:pt>
                <c:pt idx="11">
                  <c:v>105.72</c:v>
                </c:pt>
                <c:pt idx="12">
                  <c:v>112.82000000000001</c:v>
                </c:pt>
                <c:pt idx="13">
                  <c:v>123.39</c:v>
                </c:pt>
                <c:pt idx="14">
                  <c:v>148.81</c:v>
                </c:pt>
                <c:pt idx="15">
                  <c:v>236.7115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33-4A20-B96A-8A4CD65A1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V15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'Cuve2%_06032020'!$C$7:$C$22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49</c:v>
                      </c:pt>
                      <c:pt idx="4">
                        <c:v>70</c:v>
                      </c:pt>
                      <c:pt idx="5">
                        <c:v>96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300</c:v>
                      </c:pt>
                      <c:pt idx="9">
                        <c:v>400</c:v>
                      </c:pt>
                      <c:pt idx="10">
                        <c:v>500</c:v>
                      </c:pt>
                      <c:pt idx="11">
                        <c:v>600</c:v>
                      </c:pt>
                      <c:pt idx="12">
                        <c:v>700</c:v>
                      </c:pt>
                      <c:pt idx="13">
                        <c:v>800</c:v>
                      </c:pt>
                      <c:pt idx="14">
                        <c:v>900</c:v>
                      </c:pt>
                      <c:pt idx="15">
                        <c:v>945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'Cuve2%_06032020'!$D$7:$D$22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0.59</c:v>
                      </c:pt>
                      <c:pt idx="1">
                        <c:v>3.09</c:v>
                      </c:pt>
                      <c:pt idx="2">
                        <c:v>6.49</c:v>
                      </c:pt>
                      <c:pt idx="3">
                        <c:v>16.28</c:v>
                      </c:pt>
                      <c:pt idx="4">
                        <c:v>37.770000000000003</c:v>
                      </c:pt>
                      <c:pt idx="5">
                        <c:v>74.319999999999993</c:v>
                      </c:pt>
                      <c:pt idx="6">
                        <c:v>83.27</c:v>
                      </c:pt>
                      <c:pt idx="7">
                        <c:v>86.29</c:v>
                      </c:pt>
                      <c:pt idx="8">
                        <c:v>91.23</c:v>
                      </c:pt>
                      <c:pt idx="9">
                        <c:v>95.82</c:v>
                      </c:pt>
                      <c:pt idx="10">
                        <c:v>100.5</c:v>
                      </c:pt>
                      <c:pt idx="11">
                        <c:v>105.89</c:v>
                      </c:pt>
                      <c:pt idx="12">
                        <c:v>112.88</c:v>
                      </c:pt>
                      <c:pt idx="13">
                        <c:v>122.86</c:v>
                      </c:pt>
                      <c:pt idx="14">
                        <c:v>147.05000000000001</c:v>
                      </c:pt>
                      <c:pt idx="15">
                        <c:v>237.94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DD33-4A20-B96A-8A4CD65A153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V30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'Cuve2%_06032020'!$C$7:$C$22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49</c:v>
                      </c:pt>
                      <c:pt idx="4">
                        <c:v>70</c:v>
                      </c:pt>
                      <c:pt idx="5">
                        <c:v>96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300</c:v>
                      </c:pt>
                      <c:pt idx="9">
                        <c:v>400</c:v>
                      </c:pt>
                      <c:pt idx="10">
                        <c:v>500</c:v>
                      </c:pt>
                      <c:pt idx="11">
                        <c:v>600</c:v>
                      </c:pt>
                      <c:pt idx="12">
                        <c:v>700</c:v>
                      </c:pt>
                      <c:pt idx="13">
                        <c:v>800</c:v>
                      </c:pt>
                      <c:pt idx="14">
                        <c:v>900</c:v>
                      </c:pt>
                      <c:pt idx="15">
                        <c:v>945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'Cuve2%_06032020'!$E$7:$E$22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0.63</c:v>
                      </c:pt>
                      <c:pt idx="1">
                        <c:v>3.16</c:v>
                      </c:pt>
                      <c:pt idx="2">
                        <c:v>6.64</c:v>
                      </c:pt>
                      <c:pt idx="3">
                        <c:v>16.62</c:v>
                      </c:pt>
                      <c:pt idx="4">
                        <c:v>38.590000000000003</c:v>
                      </c:pt>
                      <c:pt idx="5">
                        <c:v>74.81</c:v>
                      </c:pt>
                      <c:pt idx="6">
                        <c:v>83.32</c:v>
                      </c:pt>
                      <c:pt idx="7">
                        <c:v>86.41</c:v>
                      </c:pt>
                      <c:pt idx="8">
                        <c:v>91.38</c:v>
                      </c:pt>
                      <c:pt idx="9">
                        <c:v>96.03</c:v>
                      </c:pt>
                      <c:pt idx="10">
                        <c:v>100.72</c:v>
                      </c:pt>
                      <c:pt idx="11">
                        <c:v>106.18</c:v>
                      </c:pt>
                      <c:pt idx="12">
                        <c:v>113.33</c:v>
                      </c:pt>
                      <c:pt idx="13">
                        <c:v>123.54</c:v>
                      </c:pt>
                      <c:pt idx="14">
                        <c:v>148.41</c:v>
                      </c:pt>
                      <c:pt idx="15">
                        <c:v>237.94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33-4A20-B96A-8A4CD65A1533}"/>
                  </c:ext>
                </c:extLst>
              </c15:ser>
            </c15:filteredScatterSeries>
          </c:ext>
        </c:extLst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Volume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Méthode</a:t>
            </a:r>
            <a:r>
              <a:rPr lang="en-US" baseline="0"/>
              <a:t> la courbe inverse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1/V en fct de la pression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'Cuve2%_04062020'!$S$19:$S$22</c:f>
              <c:numCache>
                <c:formatCode>General</c:formatCode>
                <c:ptCount val="4"/>
                <c:pt idx="0">
                  <c:v>0.75275389026068296</c:v>
                </c:pt>
                <c:pt idx="1">
                  <c:v>0.84294775825360735</c:v>
                </c:pt>
                <c:pt idx="2">
                  <c:v>0.93042616767008779</c:v>
                </c:pt>
                <c:pt idx="3">
                  <c:v>0.97384608444206899</c:v>
                </c:pt>
              </c:numCache>
            </c:numRef>
          </c:xVal>
          <c:yVal>
            <c:numRef>
              <c:f>'Cuve2%_04062020'!$R$19:$R$22</c:f>
              <c:numCache>
                <c:formatCode>General</c:formatCode>
                <c:ptCount val="4"/>
                <c:pt idx="0">
                  <c:v>7.5414781297134228</c:v>
                </c:pt>
                <c:pt idx="1">
                  <c:v>6.7749392287951178</c:v>
                </c:pt>
                <c:pt idx="2">
                  <c:v>5.7672521581057579</c:v>
                </c:pt>
                <c:pt idx="3">
                  <c:v>3.8397916068299138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AC-4E72-A60A-9015A5E9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1/</a:t>
                </a:r>
              </a:p>
              <a:p>
                <a:pPr>
                  <a:defRPr/>
                </a:pPr>
                <a:r>
                  <a:rPr lang="fr-FR"/>
                  <a:t>Volume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409147003744164E-2"/>
              <c:y val="0.41851561201334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Méthode extrapolation hyperbolique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X en fct de 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08782312620868E-2"/>
                  <c:y val="2.1318582774185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'Cuve2%_04062020'!$V$14:$V$22</c:f>
              <c:numCache>
                <c:formatCode>General</c:formatCode>
                <c:ptCount val="9"/>
                <c:pt idx="0">
                  <c:v>1.0949452437894146E-2</c:v>
                </c:pt>
                <c:pt idx="1">
                  <c:v>1.2169444679531303E-2</c:v>
                </c:pt>
                <c:pt idx="2">
                  <c:v>1.3592398166079454E-2</c:v>
                </c:pt>
                <c:pt idx="3">
                  <c:v>1.5270044232380759E-2</c:v>
                </c:pt>
                <c:pt idx="4">
                  <c:v>1.745764036123541E-2</c:v>
                </c:pt>
                <c:pt idx="5">
                  <c:v>2.0526835701423673E-2</c:v>
                </c:pt>
                <c:pt idx="6">
                  <c:v>2.5451016006827035E-2</c:v>
                </c:pt>
                <c:pt idx="7">
                  <c:v>3.5251973500535924E-2</c:v>
                </c:pt>
                <c:pt idx="8">
                  <c:v>8.1129530018127519E-2</c:v>
                </c:pt>
              </c:numCache>
            </c:numRef>
          </c:xVal>
          <c:yVal>
            <c:numRef>
              <c:f>'Cuve2%_04062020'!$U$14:$U$22</c:f>
              <c:numCache>
                <c:formatCode>General</c:formatCode>
                <c:ptCount val="9"/>
                <c:pt idx="0">
                  <c:v>1.069550484447708E-2</c:v>
                </c:pt>
                <c:pt idx="1">
                  <c:v>1.1207076075186504E-2</c:v>
                </c:pt>
                <c:pt idx="2">
                  <c:v>1.1946583721745608E-2</c:v>
                </c:pt>
                <c:pt idx="3">
                  <c:v>1.2868949856401017E-2</c:v>
                </c:pt>
                <c:pt idx="4">
                  <c:v>1.4327867074430883E-2</c:v>
                </c:pt>
                <c:pt idx="5">
                  <c:v>1.661074112700173E-2</c:v>
                </c:pt>
                <c:pt idx="6">
                  <c:v>2.0675042003758071E-2</c:v>
                </c:pt>
                <c:pt idx="7">
                  <c:v>2.9265017202558741E-2</c:v>
                </c:pt>
                <c:pt idx="8">
                  <c:v>7.5069865236508423E-2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03-42B6-AE1B-13540AC7C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partie1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50"/>
            <c:dispRSqr val="0"/>
            <c:dispEq val="0"/>
          </c:trendline>
          <c:xVal>
            <c:numRef>
              <c:f>'Cuve2%_04062020'!$N$5:$N$18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1.6616118366428054</c:v>
                </c:pt>
                <c:pt idx="5">
                  <c:v>0.23375650837783724</c:v>
                </c:pt>
                <c:pt idx="6">
                  <c:v>34.060232069523863</c:v>
                </c:pt>
                <c:pt idx="7">
                  <c:v>81.383452210903002</c:v>
                </c:pt>
                <c:pt idx="8">
                  <c:v>177.23927420901759</c:v>
                </c:pt>
                <c:pt idx="9">
                  <c:v>273.61183810274156</c:v>
                </c:pt>
                <c:pt idx="10">
                  <c:v>369.98133623379545</c:v>
                </c:pt>
                <c:pt idx="11">
                  <c:v>466.18871116952869</c:v>
                </c:pt>
                <c:pt idx="12">
                  <c:v>563.13907624840863</c:v>
                </c:pt>
                <c:pt idx="13">
                  <c:v>658.47935455181232</c:v>
                </c:pt>
              </c:numCache>
            </c:numRef>
          </c:xVal>
          <c:yVal>
            <c:numRef>
              <c:f>'Cuve2%_04062020'!$G$5:$G$18</c:f>
              <c:numCache>
                <c:formatCode>General</c:formatCode>
                <c:ptCount val="14"/>
                <c:pt idx="0">
                  <c:v>4.0000000000000036E-2</c:v>
                </c:pt>
                <c:pt idx="1">
                  <c:v>0.12999999999999989</c:v>
                </c:pt>
                <c:pt idx="2">
                  <c:v>0.20999999999999996</c:v>
                </c:pt>
                <c:pt idx="3">
                  <c:v>0.27999999999999936</c:v>
                </c:pt>
                <c:pt idx="4">
                  <c:v>1.370000000000001</c:v>
                </c:pt>
                <c:pt idx="5">
                  <c:v>2.7100000000000009</c:v>
                </c:pt>
                <c:pt idx="6">
                  <c:v>0.40999999999999659</c:v>
                </c:pt>
                <c:pt idx="7">
                  <c:v>0.26000000000000512</c:v>
                </c:pt>
                <c:pt idx="8">
                  <c:v>0.31999999999999318</c:v>
                </c:pt>
                <c:pt idx="9">
                  <c:v>0.36999999999999034</c:v>
                </c:pt>
                <c:pt idx="10">
                  <c:v>0.35999999999999943</c:v>
                </c:pt>
                <c:pt idx="11">
                  <c:v>0.42999999999999261</c:v>
                </c:pt>
                <c:pt idx="12">
                  <c:v>0.60999999999999943</c:v>
                </c:pt>
                <c:pt idx="13">
                  <c:v>0.87000000000000455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1F-478F-8F9C-603290EB12B2}"/>
            </c:ext>
          </c:extLst>
        </c:ser>
        <c:ser>
          <c:idx val="0"/>
          <c:order val="1"/>
          <c:tx>
            <c:v>partie2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'Cuve2%_04062020'!$N$19:$N$22</c:f>
              <c:numCache>
                <c:formatCode>General</c:formatCode>
                <c:ptCount val="4"/>
                <c:pt idx="0">
                  <c:v>752.75389026068297</c:v>
                </c:pt>
                <c:pt idx="1">
                  <c:v>842.94775825360739</c:v>
                </c:pt>
                <c:pt idx="2">
                  <c:v>930.42616767008781</c:v>
                </c:pt>
                <c:pt idx="3">
                  <c:v>973.84608444206901</c:v>
                </c:pt>
              </c:numCache>
            </c:numRef>
          </c:xVal>
          <c:yVal>
            <c:numRef>
              <c:f>'Cuve2%_04062020'!$G$19:$G$22</c:f>
              <c:numCache>
                <c:formatCode>General</c:formatCode>
                <c:ptCount val="4"/>
                <c:pt idx="0">
                  <c:v>1.1700000000000159</c:v>
                </c:pt>
                <c:pt idx="1">
                  <c:v>2.960000000000008</c:v>
                </c:pt>
                <c:pt idx="2">
                  <c:v>4.3799999999999955</c:v>
                </c:pt>
                <c:pt idx="3">
                  <c:v>15.690000000000055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1F-478F-8F9C-603290EB1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Pressure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DV60-30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V15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EtalonnageTube_05062020!$C$3:$C$23</c:f>
              <c:numCache>
                <c:formatCode>General</c:formatCode>
                <c:ptCount val="21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49</c:v>
                </c:pt>
                <c:pt idx="4">
                  <c:v>71</c:v>
                </c:pt>
                <c:pt idx="5">
                  <c:v>97</c:v>
                </c:pt>
                <c:pt idx="6">
                  <c:v>149</c:v>
                </c:pt>
                <c:pt idx="7">
                  <c:v>199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EtalonnageTube_05062020!$D$3:$D$23</c:f>
              <c:numCache>
                <c:formatCode>General</c:formatCode>
                <c:ptCount val="21"/>
                <c:pt idx="0">
                  <c:v>1.49</c:v>
                </c:pt>
                <c:pt idx="1">
                  <c:v>3.76</c:v>
                </c:pt>
                <c:pt idx="2">
                  <c:v>6.73</c:v>
                </c:pt>
                <c:pt idx="3">
                  <c:v>14.99</c:v>
                </c:pt>
                <c:pt idx="4">
                  <c:v>30.2</c:v>
                </c:pt>
                <c:pt idx="5">
                  <c:v>56.87</c:v>
                </c:pt>
                <c:pt idx="6">
                  <c:v>71.75</c:v>
                </c:pt>
                <c:pt idx="7">
                  <c:v>72.2</c:v>
                </c:pt>
                <c:pt idx="8">
                  <c:v>72.73</c:v>
                </c:pt>
                <c:pt idx="9">
                  <c:v>73.040000000000006</c:v>
                </c:pt>
                <c:pt idx="10">
                  <c:v>73.25</c:v>
                </c:pt>
                <c:pt idx="11">
                  <c:v>73.42</c:v>
                </c:pt>
                <c:pt idx="12">
                  <c:v>73.56</c:v>
                </c:pt>
                <c:pt idx="13">
                  <c:v>73.67</c:v>
                </c:pt>
                <c:pt idx="14">
                  <c:v>73.78</c:v>
                </c:pt>
                <c:pt idx="15">
                  <c:v>73.88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25-49C4-9109-626BF3672884}"/>
            </c:ext>
          </c:extLst>
        </c:ser>
        <c:ser>
          <c:idx val="1"/>
          <c:order val="1"/>
          <c:tx>
            <c:v>V30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EtalonnageTube_05062020!$C$3:$C$23</c:f>
              <c:numCache>
                <c:formatCode>General</c:formatCode>
                <c:ptCount val="21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49</c:v>
                </c:pt>
                <c:pt idx="4">
                  <c:v>71</c:v>
                </c:pt>
                <c:pt idx="5">
                  <c:v>97</c:v>
                </c:pt>
                <c:pt idx="6">
                  <c:v>149</c:v>
                </c:pt>
                <c:pt idx="7">
                  <c:v>199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EtalonnageTube_05062020!$E$3:$E$23</c:f>
              <c:numCache>
                <c:formatCode>General</c:formatCode>
                <c:ptCount val="21"/>
                <c:pt idx="0">
                  <c:v>1.59</c:v>
                </c:pt>
                <c:pt idx="1">
                  <c:v>3.92</c:v>
                </c:pt>
                <c:pt idx="2">
                  <c:v>6.93</c:v>
                </c:pt>
                <c:pt idx="3">
                  <c:v>15.14</c:v>
                </c:pt>
                <c:pt idx="4">
                  <c:v>31</c:v>
                </c:pt>
                <c:pt idx="5">
                  <c:v>58.98</c:v>
                </c:pt>
                <c:pt idx="6">
                  <c:v>71.78</c:v>
                </c:pt>
                <c:pt idx="7">
                  <c:v>72.239999999999995</c:v>
                </c:pt>
                <c:pt idx="8">
                  <c:v>72.75</c:v>
                </c:pt>
                <c:pt idx="9">
                  <c:v>73.06</c:v>
                </c:pt>
                <c:pt idx="10">
                  <c:v>73.27</c:v>
                </c:pt>
                <c:pt idx="11">
                  <c:v>73.430000000000007</c:v>
                </c:pt>
                <c:pt idx="12">
                  <c:v>73.569999999999993</c:v>
                </c:pt>
                <c:pt idx="13">
                  <c:v>73.680000000000007</c:v>
                </c:pt>
                <c:pt idx="14">
                  <c:v>73.790000000000006</c:v>
                </c:pt>
                <c:pt idx="15">
                  <c:v>73.89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25-49C4-9109-626BF3672884}"/>
            </c:ext>
          </c:extLst>
        </c:ser>
        <c:ser>
          <c:idx val="2"/>
          <c:order val="2"/>
          <c:tx>
            <c:v>V60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EtalonnageTube_05062020!$C$3:$C$23</c:f>
              <c:numCache>
                <c:formatCode>General</c:formatCode>
                <c:ptCount val="21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49</c:v>
                </c:pt>
                <c:pt idx="4">
                  <c:v>71</c:v>
                </c:pt>
                <c:pt idx="5">
                  <c:v>97</c:v>
                </c:pt>
                <c:pt idx="6">
                  <c:v>149</c:v>
                </c:pt>
                <c:pt idx="7">
                  <c:v>199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EtalonnageTube_05062020!$F$3:$F$23</c:f>
              <c:numCache>
                <c:formatCode>General</c:formatCode>
                <c:ptCount val="21"/>
                <c:pt idx="0">
                  <c:v>1.71</c:v>
                </c:pt>
                <c:pt idx="1">
                  <c:v>4.1100000000000003</c:v>
                </c:pt>
                <c:pt idx="2">
                  <c:v>7.19</c:v>
                </c:pt>
                <c:pt idx="3">
                  <c:v>15.52</c:v>
                </c:pt>
                <c:pt idx="4">
                  <c:v>32.33</c:v>
                </c:pt>
                <c:pt idx="5">
                  <c:v>62.06</c:v>
                </c:pt>
                <c:pt idx="6">
                  <c:v>71.819999999999993</c:v>
                </c:pt>
                <c:pt idx="7">
                  <c:v>72.28</c:v>
                </c:pt>
                <c:pt idx="8">
                  <c:v>72.78</c:v>
                </c:pt>
                <c:pt idx="9">
                  <c:v>73.08</c:v>
                </c:pt>
                <c:pt idx="10">
                  <c:v>73.28</c:v>
                </c:pt>
                <c:pt idx="11">
                  <c:v>73.44</c:v>
                </c:pt>
                <c:pt idx="12">
                  <c:v>73.58</c:v>
                </c:pt>
                <c:pt idx="13">
                  <c:v>73.7</c:v>
                </c:pt>
                <c:pt idx="14">
                  <c:v>73.8</c:v>
                </c:pt>
                <c:pt idx="15">
                  <c:v>73.900000000000006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25-49C4-9109-626BF3672884}"/>
            </c:ext>
          </c:extLst>
        </c:ser>
        <c:ser>
          <c:idx val="3"/>
          <c:order val="3"/>
          <c:tx>
            <c:v>Vc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backward val="300"/>
            <c:dispRSqr val="0"/>
            <c:dispEq val="1"/>
            <c:trendlineLbl>
              <c:layout>
                <c:manualLayout>
                  <c:x val="-0.33727841712093681"/>
                  <c:y val="6.39678327471223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EtalonnageTube_05062020!$C$10:$C$23</c:f>
              <c:numCache>
                <c:formatCode>General</c:formatCode>
                <c:ptCount val="14"/>
                <c:pt idx="0">
                  <c:v>199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</c:numCache>
            </c:numRef>
          </c:xVal>
          <c:yVal>
            <c:numRef>
              <c:f>EtalonnageTube_05062020!$F$10:$F$23</c:f>
              <c:numCache>
                <c:formatCode>General</c:formatCode>
                <c:ptCount val="14"/>
                <c:pt idx="0">
                  <c:v>72.28</c:v>
                </c:pt>
                <c:pt idx="1">
                  <c:v>72.78</c:v>
                </c:pt>
                <c:pt idx="2">
                  <c:v>73.08</c:v>
                </c:pt>
                <c:pt idx="3">
                  <c:v>73.28</c:v>
                </c:pt>
                <c:pt idx="4">
                  <c:v>73.44</c:v>
                </c:pt>
                <c:pt idx="5">
                  <c:v>73.58</c:v>
                </c:pt>
                <c:pt idx="6">
                  <c:v>73.7</c:v>
                </c:pt>
                <c:pt idx="7">
                  <c:v>73.8</c:v>
                </c:pt>
                <c:pt idx="8">
                  <c:v>73.900000000000006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25-49C4-9109-626BF3672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Volume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Before_Corrections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'Cuve2%_05062020'!$C$5:$C$19</c:f>
              <c:numCache>
                <c:formatCode>General</c:formatCode>
                <c:ptCount val="15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48</c:v>
                </c:pt>
                <c:pt idx="4">
                  <c:v>71</c:v>
                </c:pt>
                <c:pt idx="5">
                  <c:v>98</c:v>
                </c:pt>
                <c:pt idx="6">
                  <c:v>149</c:v>
                </c:pt>
                <c:pt idx="7">
                  <c:v>199</c:v>
                </c:pt>
                <c:pt idx="8">
                  <c:v>298</c:v>
                </c:pt>
                <c:pt idx="9">
                  <c:v>398</c:v>
                </c:pt>
                <c:pt idx="10">
                  <c:v>499</c:v>
                </c:pt>
                <c:pt idx="11">
                  <c:v>597</c:v>
                </c:pt>
                <c:pt idx="12">
                  <c:v>698</c:v>
                </c:pt>
                <c:pt idx="13">
                  <c:v>797</c:v>
                </c:pt>
                <c:pt idx="14">
                  <c:v>888</c:v>
                </c:pt>
              </c:numCache>
            </c:numRef>
          </c:xVal>
          <c:yVal>
            <c:numRef>
              <c:f>'Cuve2%_05062020'!$F$5:$F$19</c:f>
              <c:numCache>
                <c:formatCode>General</c:formatCode>
                <c:ptCount val="15"/>
                <c:pt idx="0">
                  <c:v>1.47</c:v>
                </c:pt>
                <c:pt idx="1">
                  <c:v>4.1100000000000003</c:v>
                </c:pt>
                <c:pt idx="2">
                  <c:v>7.51</c:v>
                </c:pt>
                <c:pt idx="3">
                  <c:v>16.21</c:v>
                </c:pt>
                <c:pt idx="4">
                  <c:v>34.83</c:v>
                </c:pt>
                <c:pt idx="5">
                  <c:v>72.069999999999993</c:v>
                </c:pt>
                <c:pt idx="6">
                  <c:v>87.16</c:v>
                </c:pt>
                <c:pt idx="7">
                  <c:v>90.8</c:v>
                </c:pt>
                <c:pt idx="8">
                  <c:v>96.41</c:v>
                </c:pt>
                <c:pt idx="9">
                  <c:v>101.89</c:v>
                </c:pt>
                <c:pt idx="10">
                  <c:v>108.43</c:v>
                </c:pt>
                <c:pt idx="11">
                  <c:v>116.98</c:v>
                </c:pt>
                <c:pt idx="12">
                  <c:v>128.96</c:v>
                </c:pt>
                <c:pt idx="13">
                  <c:v>147.71</c:v>
                </c:pt>
                <c:pt idx="14">
                  <c:v>240.79000000000002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C6-4325-BEE7-6005961AA7C0}"/>
            </c:ext>
          </c:extLst>
        </c:ser>
        <c:ser>
          <c:idx val="0"/>
          <c:order val="1"/>
          <c:tx>
            <c:v>After_Corrections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'Cuve2%_05062020'!$N$5:$N$19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29.076405308137282</c:v>
                </c:pt>
                <c:pt idx="7">
                  <c:v>76.71876741082292</c:v>
                </c:pt>
                <c:pt idx="8">
                  <c:v>172.17540532539556</c:v>
                </c:pt>
                <c:pt idx="9">
                  <c:v>268.81167272831794</c:v>
                </c:pt>
                <c:pt idx="10">
                  <c:v>365.91243530336374</c:v>
                </c:pt>
                <c:pt idx="11">
                  <c:v>458.98589003585425</c:v>
                </c:pt>
                <c:pt idx="12">
                  <c:v>553.37185891799641</c:v>
                </c:pt>
                <c:pt idx="13">
                  <c:v>642.59733039057141</c:v>
                </c:pt>
                <c:pt idx="14">
                  <c:v>692.16410812140293</c:v>
                </c:pt>
              </c:numCache>
            </c:numRef>
          </c:xVal>
          <c:yVal>
            <c:numRef>
              <c:f>'Cuve2%_05062020'!$I$5:$I$19</c:f>
              <c:numCache>
                <c:formatCode>General</c:formatCode>
                <c:ptCount val="15"/>
                <c:pt idx="0">
                  <c:v>1.4538</c:v>
                </c:pt>
                <c:pt idx="1">
                  <c:v>4.0758000000000001</c:v>
                </c:pt>
                <c:pt idx="2">
                  <c:v>7.4577999999999998</c:v>
                </c:pt>
                <c:pt idx="3">
                  <c:v>16.1236</c:v>
                </c:pt>
                <c:pt idx="4">
                  <c:v>34.702199999999998</c:v>
                </c:pt>
                <c:pt idx="5">
                  <c:v>71.893599999999992</c:v>
                </c:pt>
                <c:pt idx="6">
                  <c:v>86.891800000000003</c:v>
                </c:pt>
                <c:pt idx="7">
                  <c:v>90.441800000000001</c:v>
                </c:pt>
                <c:pt idx="8">
                  <c:v>95.873599999999996</c:v>
                </c:pt>
                <c:pt idx="9">
                  <c:v>101.17360000000001</c:v>
                </c:pt>
                <c:pt idx="10">
                  <c:v>107.5318</c:v>
                </c:pt>
                <c:pt idx="11">
                  <c:v>115.9054</c:v>
                </c:pt>
                <c:pt idx="12">
                  <c:v>127.70360000000001</c:v>
                </c:pt>
                <c:pt idx="13">
                  <c:v>146.27540000000002</c:v>
                </c:pt>
                <c:pt idx="14">
                  <c:v>239.19160000000002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C6-4325-BEE7-6005961AA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Volume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Méthode</a:t>
            </a:r>
            <a:r>
              <a:rPr lang="en-US" baseline="0"/>
              <a:t> la courbe inverse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1/V en fct de la pression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'Cuve2%_05062020'!$S$16:$S$19</c:f>
              <c:numCache>
                <c:formatCode>General</c:formatCode>
                <c:ptCount val="4"/>
                <c:pt idx="0">
                  <c:v>0.45898589003585427</c:v>
                </c:pt>
                <c:pt idx="1">
                  <c:v>0.55337185891799645</c:v>
                </c:pt>
                <c:pt idx="2">
                  <c:v>0.64259733039057143</c:v>
                </c:pt>
                <c:pt idx="3">
                  <c:v>0.69216410812140294</c:v>
                </c:pt>
              </c:numCache>
            </c:numRef>
          </c:xVal>
          <c:yVal>
            <c:numRef>
              <c:f>'Cuve2%_05062020'!$R$16:$R$19</c:f>
              <c:numCache>
                <c:formatCode>General</c:formatCode>
                <c:ptCount val="4"/>
                <c:pt idx="0">
                  <c:v>8.6277257142462727</c:v>
                </c:pt>
                <c:pt idx="1">
                  <c:v>7.8306328090985691</c:v>
                </c:pt>
                <c:pt idx="2">
                  <c:v>6.8364195209857561</c:v>
                </c:pt>
                <c:pt idx="3">
                  <c:v>4.1807488222830562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DE-4C7B-B9B8-9008190ED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1/</a:t>
                </a:r>
              </a:p>
              <a:p>
                <a:pPr>
                  <a:defRPr/>
                </a:pPr>
                <a:r>
                  <a:rPr lang="fr-FR"/>
                  <a:t>Volume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409147003744164E-2"/>
              <c:y val="0.41851561201334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Méthode extrapolation hyperbolique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X en fct de 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08782312620868E-2"/>
                  <c:y val="2.1318582774185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'Cuve2%_05062020'!$V$14:$V$19</c:f>
              <c:numCache>
                <c:formatCode>General</c:formatCode>
                <c:ptCount val="6"/>
                <c:pt idx="0">
                  <c:v>1.2096800538066922E-2</c:v>
                </c:pt>
                <c:pt idx="1">
                  <c:v>1.3670514605697718E-2</c:v>
                </c:pt>
                <c:pt idx="2">
                  <c:v>1.5980768616322635E-2</c:v>
                </c:pt>
                <c:pt idx="3">
                  <c:v>1.9522509495118027E-2</c:v>
                </c:pt>
                <c:pt idx="4">
                  <c:v>2.5863454931387381E-2</c:v>
                </c:pt>
                <c:pt idx="5">
                  <c:v>7.3112992918650047E-2</c:v>
                </c:pt>
              </c:numCache>
            </c:numRef>
          </c:xVal>
          <c:yVal>
            <c:numRef>
              <c:f>'Cuve2%_05062020'!$U$14:$U$19</c:f>
              <c:numCache>
                <c:formatCode>General</c:formatCode>
                <c:ptCount val="6"/>
                <c:pt idx="0">
                  <c:v>1.0807020884256767E-2</c:v>
                </c:pt>
                <c:pt idx="1">
                  <c:v>1.2239997870049287E-2</c:v>
                </c:pt>
                <c:pt idx="2">
                  <c:v>1.4791351077986955E-2</c:v>
                </c:pt>
                <c:pt idx="3">
                  <c:v>1.8668752578704827E-2</c:v>
                </c:pt>
                <c:pt idx="4">
                  <c:v>2.5944253058590057E-2</c:v>
                </c:pt>
                <c:pt idx="5">
                  <c:v>9.2349841593459978E-2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B9-4668-8139-E6018D093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partie1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50"/>
            <c:dispRSqr val="0"/>
            <c:dispEq val="0"/>
          </c:trendline>
          <c:xVal>
            <c:numRef>
              <c:f>'Cuve2%_05062020'!$N$5:$N$15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29.076405308137282</c:v>
                </c:pt>
                <c:pt idx="7">
                  <c:v>76.71876741082292</c:v>
                </c:pt>
                <c:pt idx="8">
                  <c:v>172.17540532539556</c:v>
                </c:pt>
                <c:pt idx="9">
                  <c:v>268.81167272831794</c:v>
                </c:pt>
                <c:pt idx="10">
                  <c:v>365.91243530336374</c:v>
                </c:pt>
              </c:numCache>
            </c:numRef>
          </c:xVal>
          <c:yVal>
            <c:numRef>
              <c:f>'Cuve2%_05062020'!$G$5:$G$15</c:f>
              <c:numCache>
                <c:formatCode>General</c:formatCode>
                <c:ptCount val="11"/>
                <c:pt idx="0">
                  <c:v>0.11999999999999988</c:v>
                </c:pt>
                <c:pt idx="1">
                  <c:v>0.20000000000000018</c:v>
                </c:pt>
                <c:pt idx="2">
                  <c:v>0.29000000000000004</c:v>
                </c:pt>
                <c:pt idx="3">
                  <c:v>0.57000000000000028</c:v>
                </c:pt>
                <c:pt idx="4">
                  <c:v>1.8900000000000006</c:v>
                </c:pt>
                <c:pt idx="5">
                  <c:v>3.3399999999999892</c:v>
                </c:pt>
                <c:pt idx="6">
                  <c:v>0.21999999999999886</c:v>
                </c:pt>
                <c:pt idx="7">
                  <c:v>0.20000000000000284</c:v>
                </c:pt>
                <c:pt idx="8">
                  <c:v>0.25</c:v>
                </c:pt>
                <c:pt idx="9">
                  <c:v>0.32999999999999829</c:v>
                </c:pt>
                <c:pt idx="10">
                  <c:v>0.42000000000000171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0-445A-93E1-2BF5A28ED70F}"/>
            </c:ext>
          </c:extLst>
        </c:ser>
        <c:ser>
          <c:idx val="0"/>
          <c:order val="1"/>
          <c:tx>
            <c:v>partie2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00"/>
            <c:dispRSqr val="0"/>
            <c:dispEq val="0"/>
          </c:trendline>
          <c:xVal>
            <c:numRef>
              <c:f>'Cuve2%_05062020'!$N$16:$N$18</c:f>
              <c:numCache>
                <c:formatCode>General</c:formatCode>
                <c:ptCount val="3"/>
                <c:pt idx="0">
                  <c:v>458.98589003585425</c:v>
                </c:pt>
                <c:pt idx="1">
                  <c:v>553.37185891799641</c:v>
                </c:pt>
                <c:pt idx="2">
                  <c:v>642.59733039057141</c:v>
                </c:pt>
              </c:numCache>
            </c:numRef>
          </c:xVal>
          <c:yVal>
            <c:numRef>
              <c:f>'Cuve2%_05062020'!$G$16:$G$18</c:f>
              <c:numCache>
                <c:formatCode>General</c:formatCode>
                <c:ptCount val="3"/>
                <c:pt idx="0">
                  <c:v>0.68999999999999773</c:v>
                </c:pt>
                <c:pt idx="1">
                  <c:v>1.0200000000000102</c:v>
                </c:pt>
                <c:pt idx="2">
                  <c:v>2.9500000000000171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E0-445A-93E1-2BF5A28ED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Pressure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DV60-30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Méthode de la courbe inverse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008289508814074"/>
                  <c:y val="-0.113683679292672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'Cuve2%_06032020'!$R$19:$R$22</c:f>
              <c:numCache>
                <c:formatCode>General</c:formatCode>
                <c:ptCount val="4"/>
                <c:pt idx="0">
                  <c:v>0.60912727512884979</c:v>
                </c:pt>
                <c:pt idx="1">
                  <c:v>0.70699087377625747</c:v>
                </c:pt>
                <c:pt idx="2">
                  <c:v>0.80237858802368289</c:v>
                </c:pt>
                <c:pt idx="3">
                  <c:v>0.83484998517570219</c:v>
                </c:pt>
              </c:numCache>
            </c:numRef>
          </c:xVal>
          <c:yVal>
            <c:numRef>
              <c:f>'Cuve2%_06032020'!$Q$19:$Q$22</c:f>
              <c:numCache>
                <c:formatCode>General</c:formatCode>
                <c:ptCount val="4"/>
                <c:pt idx="0">
                  <c:v>8.8636766530756947</c:v>
                </c:pt>
                <c:pt idx="1">
                  <c:v>8.1043844719993512</c:v>
                </c:pt>
                <c:pt idx="2">
                  <c:v>6.7199784960688129</c:v>
                </c:pt>
                <c:pt idx="3">
                  <c:v>4.2245518278579617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F5-4BE5-BACB-779E49BDB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1/V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Méthode extrapolation hyperbolique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Méthode extrapolation hyperbolique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008289508814074"/>
                  <c:y val="-0.113683679292672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'Cuve2%_06032020'!$U$16:$U$22</c:f>
              <c:numCache>
                <c:formatCode>General</c:formatCode>
                <c:ptCount val="7"/>
                <c:pt idx="0">
                  <c:v>1.0976968173473576E-2</c:v>
                </c:pt>
                <c:pt idx="1">
                  <c:v>1.1958631277457202E-2</c:v>
                </c:pt>
                <c:pt idx="2">
                  <c:v>1.3237681743581989E-2</c:v>
                </c:pt>
                <c:pt idx="3">
                  <c:v>1.5116332304985427E-2</c:v>
                </c:pt>
                <c:pt idx="4">
                  <c:v>1.8223204107404131E-2</c:v>
                </c:pt>
                <c:pt idx="5">
                  <c:v>2.7174011181794779E-2</c:v>
                </c:pt>
                <c:pt idx="6">
                  <c:v>7.2483969756450342E-2</c:v>
                </c:pt>
              </c:numCache>
            </c:numRef>
          </c:xVal>
          <c:yVal>
            <c:numRef>
              <c:f>'Cuve2%_06032020'!$T$16:$T$22</c:f>
              <c:numCache>
                <c:formatCode>General</c:formatCode>
                <c:ptCount val="7"/>
                <c:pt idx="0">
                  <c:v>8.4862741217312885E-3</c:v>
                </c:pt>
                <c:pt idx="1">
                  <c:v>8.8317469802508368E-3</c:v>
                </c:pt>
                <c:pt idx="2">
                  <c:v>9.6280115542707167E-3</c:v>
                </c:pt>
                <c:pt idx="3">
                  <c:v>1.1155704534077902E-2</c:v>
                </c:pt>
                <c:pt idx="4">
                  <c:v>1.4006002163102703E-2</c:v>
                </c:pt>
                <c:pt idx="5">
                  <c:v>2.3496293474419481E-2</c:v>
                </c:pt>
                <c:pt idx="6">
                  <c:v>7.6855581835994932E-2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AA-4281-9B79-95CC7D890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Détermination Pf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partie1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xVal>
            <c:numRef>
              <c:f>'Cuve2%_06032020'!$M$7:$M$19</c:f>
              <c:numCache>
                <c:formatCode>General</c:formatCode>
                <c:ptCount val="13"/>
                <c:pt idx="0">
                  <c:v>1.8621309025002191</c:v>
                </c:pt>
                <c:pt idx="1">
                  <c:v>6.8240351745247096</c:v>
                </c:pt>
                <c:pt idx="2">
                  <c:v>1.1962474326284323</c:v>
                </c:pt>
                <c:pt idx="3">
                  <c:v>0</c:v>
                </c:pt>
                <c:pt idx="4">
                  <c:v>0.77126928180176435</c:v>
                </c:pt>
                <c:pt idx="5">
                  <c:v>14.23354950955553</c:v>
                </c:pt>
                <c:pt idx="6">
                  <c:v>66.104613077858417</c:v>
                </c:pt>
                <c:pt idx="7">
                  <c:v>115.29391548939577</c:v>
                </c:pt>
                <c:pt idx="8">
                  <c:v>214.05908499017181</c:v>
                </c:pt>
                <c:pt idx="9">
                  <c:v>312.9618175628467</c:v>
                </c:pt>
                <c:pt idx="10">
                  <c:v>411.87127366661628</c:v>
                </c:pt>
                <c:pt idx="11">
                  <c:v>510.65511459644313</c:v>
                </c:pt>
                <c:pt idx="12">
                  <c:v>609.12727512884976</c:v>
                </c:pt>
              </c:numCache>
            </c:numRef>
          </c:xVal>
          <c:yVal>
            <c:numRef>
              <c:f>'Cuve2%_06032020'!$G$7:$G$19</c:f>
              <c:numCache>
                <c:formatCode>General</c:formatCode>
                <c:ptCount val="13"/>
                <c:pt idx="0">
                  <c:v>2.0000000000000018E-2</c:v>
                </c:pt>
                <c:pt idx="1">
                  <c:v>8.0000000000000071E-2</c:v>
                </c:pt>
                <c:pt idx="2">
                  <c:v>0.16000000000000014</c:v>
                </c:pt>
                <c:pt idx="3">
                  <c:v>0.48000000000000043</c:v>
                </c:pt>
                <c:pt idx="4">
                  <c:v>1.3999999999999986</c:v>
                </c:pt>
                <c:pt idx="5">
                  <c:v>0.71999999999999886</c:v>
                </c:pt>
                <c:pt idx="6">
                  <c:v>0.12000000000000455</c:v>
                </c:pt>
                <c:pt idx="7">
                  <c:v>0.20000000000000284</c:v>
                </c:pt>
                <c:pt idx="8">
                  <c:v>0.23000000000000398</c:v>
                </c:pt>
                <c:pt idx="9">
                  <c:v>0.20000000000000284</c:v>
                </c:pt>
                <c:pt idx="10">
                  <c:v>0.26999999999999602</c:v>
                </c:pt>
                <c:pt idx="11">
                  <c:v>0.31999999999999318</c:v>
                </c:pt>
                <c:pt idx="12">
                  <c:v>0.40000000000000568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D-41F0-88A2-B89DD376A3AB}"/>
            </c:ext>
          </c:extLst>
        </c:ser>
        <c:ser>
          <c:idx val="0"/>
          <c:order val="1"/>
          <c:tx>
            <c:v>partie2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50"/>
            <c:dispRSqr val="0"/>
            <c:dispEq val="0"/>
          </c:trendline>
          <c:xVal>
            <c:numRef>
              <c:f>'Cuve2%_06032020'!$M$20:$M$21</c:f>
              <c:numCache>
                <c:formatCode>General</c:formatCode>
                <c:ptCount val="2"/>
                <c:pt idx="0">
                  <c:v>706.99087377625744</c:v>
                </c:pt>
                <c:pt idx="1">
                  <c:v>802.37858802368294</c:v>
                </c:pt>
              </c:numCache>
            </c:numRef>
          </c:xVal>
          <c:yVal>
            <c:numRef>
              <c:f>'Cuve2%_06032020'!$G$20:$G$21</c:f>
              <c:numCache>
                <c:formatCode>General</c:formatCode>
                <c:ptCount val="2"/>
                <c:pt idx="0">
                  <c:v>0.89000000000000057</c:v>
                </c:pt>
                <c:pt idx="1">
                  <c:v>1.5699999999999932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3D-41F0-88A2-B89DD376A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D60-30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70976267826658E-2"/>
          <c:y val="7.2141211701613986E-2"/>
          <c:w val="0.89144650624965582"/>
          <c:h val="0.82955649594511893"/>
        </c:manualLayout>
      </c:layout>
      <c:scatterChart>
        <c:scatterStyle val="smoothMarker"/>
        <c:varyColors val="0"/>
        <c:ser>
          <c:idx val="2"/>
          <c:order val="2"/>
          <c:tx>
            <c:v>V60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'Cuve2%_1_09032020'!$C$5:$C$21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49</c:v>
                </c:pt>
                <c:pt idx="4">
                  <c:v>70</c:v>
                </c:pt>
                <c:pt idx="5">
                  <c:v>98</c:v>
                </c:pt>
                <c:pt idx="6">
                  <c:v>150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  <c:pt idx="16">
                  <c:v>1035</c:v>
                </c:pt>
              </c:numCache>
            </c:numRef>
          </c:xVal>
          <c:yVal>
            <c:numRef>
              <c:f>'Cuve2%_1_09032020'!$F$5:$F$21</c:f>
              <c:numCache>
                <c:formatCode>General</c:formatCode>
                <c:ptCount val="17"/>
                <c:pt idx="0">
                  <c:v>1.83</c:v>
                </c:pt>
                <c:pt idx="1">
                  <c:v>4.51</c:v>
                </c:pt>
                <c:pt idx="2">
                  <c:v>7.81</c:v>
                </c:pt>
                <c:pt idx="3">
                  <c:v>16.8</c:v>
                </c:pt>
                <c:pt idx="4">
                  <c:v>35.090000000000003</c:v>
                </c:pt>
                <c:pt idx="5">
                  <c:v>82.19</c:v>
                </c:pt>
                <c:pt idx="6">
                  <c:v>89.52</c:v>
                </c:pt>
                <c:pt idx="7">
                  <c:v>92.11</c:v>
                </c:pt>
                <c:pt idx="8">
                  <c:v>96.17</c:v>
                </c:pt>
                <c:pt idx="9">
                  <c:v>100.02</c:v>
                </c:pt>
                <c:pt idx="10">
                  <c:v>103.99</c:v>
                </c:pt>
                <c:pt idx="11">
                  <c:v>108.42</c:v>
                </c:pt>
                <c:pt idx="12">
                  <c:v>113.91</c:v>
                </c:pt>
                <c:pt idx="13">
                  <c:v>121.58</c:v>
                </c:pt>
                <c:pt idx="14">
                  <c:v>134.38</c:v>
                </c:pt>
                <c:pt idx="15">
                  <c:v>167.38</c:v>
                </c:pt>
                <c:pt idx="16">
                  <c:v>201.93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02-4C29-8245-16F269445890}"/>
            </c:ext>
          </c:extLst>
        </c:ser>
        <c:ser>
          <c:idx val="3"/>
          <c:order val="3"/>
          <c:tx>
            <c:v>V60_corrigé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'Cuve2%_1_09032020'!$M$5:$M$21</c:f>
              <c:numCache>
                <c:formatCode>General</c:formatCode>
                <c:ptCount val="17"/>
                <c:pt idx="0">
                  <c:v>0</c:v>
                </c:pt>
                <c:pt idx="1">
                  <c:v>3.2250402710096715</c:v>
                </c:pt>
                <c:pt idx="2">
                  <c:v>0</c:v>
                </c:pt>
                <c:pt idx="3">
                  <c:v>0</c:v>
                </c:pt>
                <c:pt idx="4">
                  <c:v>3.1739468946965275</c:v>
                </c:pt>
                <c:pt idx="5">
                  <c:v>14.430635814227855</c:v>
                </c:pt>
                <c:pt idx="6">
                  <c:v>64.568987978838464</c:v>
                </c:pt>
                <c:pt idx="7">
                  <c:v>113.93838134707786</c:v>
                </c:pt>
                <c:pt idx="8">
                  <c:v>212.97581532951546</c:v>
                </c:pt>
                <c:pt idx="9">
                  <c:v>312.09038593784771</c:v>
                </c:pt>
                <c:pt idx="10">
                  <c:v>411.20324990779363</c:v>
                </c:pt>
                <c:pt idx="11">
                  <c:v>510.24217314628265</c:v>
                </c:pt>
                <c:pt idx="12">
                  <c:v>609.09015286331214</c:v>
                </c:pt>
                <c:pt idx="13">
                  <c:v>707.54647640271753</c:v>
                </c:pt>
                <c:pt idx="14">
                  <c:v>805.12035422511099</c:v>
                </c:pt>
                <c:pt idx="15">
                  <c:v>899.55096657791273</c:v>
                </c:pt>
                <c:pt idx="16">
                  <c:v>929.50200999486867</c:v>
                </c:pt>
              </c:numCache>
            </c:numRef>
          </c:xVal>
          <c:yVal>
            <c:numRef>
              <c:f>'Cuve2%_1_09032020'!$I$5:$I$21</c:f>
              <c:numCache>
                <c:formatCode>General</c:formatCode>
                <c:ptCount val="17"/>
                <c:pt idx="0">
                  <c:v>1.8170000000000002</c:v>
                </c:pt>
                <c:pt idx="1">
                  <c:v>4.484</c:v>
                </c:pt>
                <c:pt idx="2">
                  <c:v>7.7722999999999995</c:v>
                </c:pt>
                <c:pt idx="3">
                  <c:v>16.7363</c:v>
                </c:pt>
                <c:pt idx="4">
                  <c:v>34.999000000000002</c:v>
                </c:pt>
                <c:pt idx="5">
                  <c:v>82.062600000000003</c:v>
                </c:pt>
                <c:pt idx="6">
                  <c:v>89.325000000000003</c:v>
                </c:pt>
                <c:pt idx="7">
                  <c:v>91.85</c:v>
                </c:pt>
                <c:pt idx="8">
                  <c:v>95.78</c:v>
                </c:pt>
                <c:pt idx="9">
                  <c:v>99.5</c:v>
                </c:pt>
                <c:pt idx="10">
                  <c:v>103.33999999999999</c:v>
                </c:pt>
                <c:pt idx="11">
                  <c:v>107.64</c:v>
                </c:pt>
                <c:pt idx="12">
                  <c:v>113</c:v>
                </c:pt>
                <c:pt idx="13">
                  <c:v>120.53999999999999</c:v>
                </c:pt>
                <c:pt idx="14">
                  <c:v>133.21</c:v>
                </c:pt>
                <c:pt idx="15">
                  <c:v>166.07999999999998</c:v>
                </c:pt>
                <c:pt idx="16">
                  <c:v>200.58450000000002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02-4C29-8245-16F269445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V15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'Cuve2%_1_09032020'!$C$5:$C$20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29</c:v>
                      </c:pt>
                      <c:pt idx="3">
                        <c:v>49</c:v>
                      </c:pt>
                      <c:pt idx="4">
                        <c:v>70</c:v>
                      </c:pt>
                      <c:pt idx="5">
                        <c:v>98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300</c:v>
                      </c:pt>
                      <c:pt idx="9">
                        <c:v>400</c:v>
                      </c:pt>
                      <c:pt idx="10">
                        <c:v>500</c:v>
                      </c:pt>
                      <c:pt idx="11">
                        <c:v>600</c:v>
                      </c:pt>
                      <c:pt idx="12">
                        <c:v>700</c:v>
                      </c:pt>
                      <c:pt idx="13">
                        <c:v>800</c:v>
                      </c:pt>
                      <c:pt idx="14">
                        <c:v>900</c:v>
                      </c:pt>
                      <c:pt idx="15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'Cuve2%_1_09032020'!$D$5:$D$20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1.56</c:v>
                      </c:pt>
                      <c:pt idx="1">
                        <c:v>4.12</c:v>
                      </c:pt>
                      <c:pt idx="2">
                        <c:v>7.33</c:v>
                      </c:pt>
                      <c:pt idx="3">
                        <c:v>15.87</c:v>
                      </c:pt>
                      <c:pt idx="4">
                        <c:v>32.369999999999997</c:v>
                      </c:pt>
                      <c:pt idx="5">
                        <c:v>78.31</c:v>
                      </c:pt>
                      <c:pt idx="6">
                        <c:v>89.08</c:v>
                      </c:pt>
                      <c:pt idx="7">
                        <c:v>91.86</c:v>
                      </c:pt>
                      <c:pt idx="8">
                        <c:v>95.58</c:v>
                      </c:pt>
                      <c:pt idx="9">
                        <c:v>99.4</c:v>
                      </c:pt>
                      <c:pt idx="10">
                        <c:v>103.28999999999999</c:v>
                      </c:pt>
                      <c:pt idx="11">
                        <c:v>107.53</c:v>
                      </c:pt>
                      <c:pt idx="12">
                        <c:v>112.74</c:v>
                      </c:pt>
                      <c:pt idx="13">
                        <c:v>119.82</c:v>
                      </c:pt>
                      <c:pt idx="14">
                        <c:v>131.25</c:v>
                      </c:pt>
                      <c:pt idx="15">
                        <c:v>160.38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902-4C29-8245-16F26944589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V30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'Cuve2%_1_09032020'!$C$5:$C$20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29</c:v>
                      </c:pt>
                      <c:pt idx="3">
                        <c:v>49</c:v>
                      </c:pt>
                      <c:pt idx="4">
                        <c:v>70</c:v>
                      </c:pt>
                      <c:pt idx="5">
                        <c:v>98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300</c:v>
                      </c:pt>
                      <c:pt idx="9">
                        <c:v>400</c:v>
                      </c:pt>
                      <c:pt idx="10">
                        <c:v>500</c:v>
                      </c:pt>
                      <c:pt idx="11">
                        <c:v>600</c:v>
                      </c:pt>
                      <c:pt idx="12">
                        <c:v>700</c:v>
                      </c:pt>
                      <c:pt idx="13">
                        <c:v>800</c:v>
                      </c:pt>
                      <c:pt idx="14">
                        <c:v>900</c:v>
                      </c:pt>
                      <c:pt idx="15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'Cuve2%_1_09032020'!$E$5:$E$20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1.71</c:v>
                      </c:pt>
                      <c:pt idx="1">
                        <c:v>4.26</c:v>
                      </c:pt>
                      <c:pt idx="2">
                        <c:v>7.53</c:v>
                      </c:pt>
                      <c:pt idx="3">
                        <c:v>16.22</c:v>
                      </c:pt>
                      <c:pt idx="4">
                        <c:v>33.229999999999997</c:v>
                      </c:pt>
                      <c:pt idx="5">
                        <c:v>79.84</c:v>
                      </c:pt>
                      <c:pt idx="6">
                        <c:v>89.38</c:v>
                      </c:pt>
                      <c:pt idx="7">
                        <c:v>91.97</c:v>
                      </c:pt>
                      <c:pt idx="8">
                        <c:v>95.86</c:v>
                      </c:pt>
                      <c:pt idx="9">
                        <c:v>99.679999999999993</c:v>
                      </c:pt>
                      <c:pt idx="10">
                        <c:v>103.6</c:v>
                      </c:pt>
                      <c:pt idx="11">
                        <c:v>107.96</c:v>
                      </c:pt>
                      <c:pt idx="12">
                        <c:v>113.27</c:v>
                      </c:pt>
                      <c:pt idx="13">
                        <c:v>120.64</c:v>
                      </c:pt>
                      <c:pt idx="14">
                        <c:v>132.69999999999999</c:v>
                      </c:pt>
                      <c:pt idx="15">
                        <c:v>163.13999999999999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902-4C29-8245-16F269445890}"/>
                  </c:ext>
                </c:extLst>
              </c15:ser>
            </c15:filteredScatterSeries>
          </c:ext>
        </c:extLst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Volume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1070976267826658E-2"/>
          <c:y val="7.2141211701613986E-2"/>
          <c:w val="0.89144650624965582"/>
          <c:h val="0.82955649594511893"/>
        </c:manualLayout>
      </c:layout>
      <c:scatterChart>
        <c:scatterStyle val="smoothMarker"/>
        <c:varyColors val="0"/>
        <c:ser>
          <c:idx val="3"/>
          <c:order val="0"/>
          <c:tx>
            <c:v>Méthode de la courbe inverse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136850026613806"/>
                  <c:y val="-6.0243939982320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'Cuve2%_1_09032020'!$R$17:$R$21</c:f>
              <c:numCache>
                <c:formatCode>General</c:formatCode>
                <c:ptCount val="5"/>
                <c:pt idx="0">
                  <c:v>0.60909015286331214</c:v>
                </c:pt>
                <c:pt idx="1">
                  <c:v>0.70754647640271751</c:v>
                </c:pt>
                <c:pt idx="2">
                  <c:v>0.80512035422511097</c:v>
                </c:pt>
                <c:pt idx="3">
                  <c:v>0.89955096657791278</c:v>
                </c:pt>
                <c:pt idx="4">
                  <c:v>0.92950200999486865</c:v>
                </c:pt>
              </c:numCache>
            </c:numRef>
          </c:xVal>
          <c:yVal>
            <c:numRef>
              <c:f>'Cuve2%_1_09032020'!$Q$17:$Q$21</c:f>
              <c:numCache>
                <c:formatCode>General</c:formatCode>
                <c:ptCount val="5"/>
                <c:pt idx="0">
                  <c:v>8.8495575221238933</c:v>
                </c:pt>
                <c:pt idx="1">
                  <c:v>8.2960013273602122</c:v>
                </c:pt>
                <c:pt idx="2">
                  <c:v>7.506943923128893</c:v>
                </c:pt>
                <c:pt idx="3">
                  <c:v>6.0211946050096348</c:v>
                </c:pt>
                <c:pt idx="4">
                  <c:v>4.9854300805894765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CB-45EB-AFC1-2B5C3A298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1/V</a:t>
                </a:r>
                <a:r>
                  <a:rPr lang="fr-FR" baseline="0"/>
                  <a:t> (cm3)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1070976267826658E-2"/>
          <c:y val="7.2141211701613986E-2"/>
          <c:w val="0.89144650624965582"/>
          <c:h val="0.82955649594511893"/>
        </c:manualLayout>
      </c:layout>
      <c:scatterChart>
        <c:scatterStyle val="smoothMarker"/>
        <c:varyColors val="0"/>
        <c:ser>
          <c:idx val="3"/>
          <c:order val="0"/>
          <c:tx>
            <c:v>Méthode extrapolation hyperbolique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136850026613806"/>
                  <c:y val="-6.0243939982320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'Cuve2%_1_09032020'!$U$14:$U$21</c:f>
              <c:numCache>
                <c:formatCode>General</c:formatCode>
                <c:ptCount val="8"/>
                <c:pt idx="0">
                  <c:v>1.1461216173789502E-2</c:v>
                </c:pt>
                <c:pt idx="1">
                  <c:v>1.2296502603234304E-2</c:v>
                </c:pt>
                <c:pt idx="2">
                  <c:v>1.3314843660690943E-2</c:v>
                </c:pt>
                <c:pt idx="3">
                  <c:v>1.4701999615825561E-2</c:v>
                </c:pt>
                <c:pt idx="4">
                  <c:v>1.6836369270991247E-2</c:v>
                </c:pt>
                <c:pt idx="5">
                  <c:v>2.0827658351824076E-2</c:v>
                </c:pt>
                <c:pt idx="6">
                  <c:v>3.3292968585579952E-2</c:v>
                </c:pt>
                <c:pt idx="7">
                  <c:v>4.9466323025242107E-2</c:v>
                </c:pt>
              </c:numCache>
            </c:numRef>
          </c:xVal>
          <c:yVal>
            <c:numRef>
              <c:f>'Cuve2%_1_09032020'!$T$14:$T$21</c:f>
              <c:numCache>
                <c:formatCode>General</c:formatCode>
                <c:ptCount val="8"/>
                <c:pt idx="0">
                  <c:v>7.3293118816067484E-3</c:v>
                </c:pt>
                <c:pt idx="1">
                  <c:v>7.5940406695095925E-3</c:v>
                </c:pt>
                <c:pt idx="2">
                  <c:v>8.1158231887346142E-3</c:v>
                </c:pt>
                <c:pt idx="3">
                  <c:v>9.0761461006022212E-3</c:v>
                </c:pt>
                <c:pt idx="4">
                  <c:v>1.0829763311025111E-2</c:v>
                </c:pt>
                <c:pt idx="5">
                  <c:v>1.447466815447777E-2</c:v>
                </c:pt>
                <c:pt idx="6">
                  <c:v>2.6812444299109006E-2</c:v>
                </c:pt>
                <c:pt idx="7">
                  <c:v>4.3348496498102837E-2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D7-41E5-B41F-5A86B39C6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22399"/>
        <c:axId val="1029013551"/>
        <c:extLst/>
      </c:scatterChart>
      <c:valAx>
        <c:axId val="8513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13551"/>
        <c:crosses val="autoZero"/>
        <c:crossBetween val="midCat"/>
      </c:valAx>
      <c:valAx>
        <c:axId val="1029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32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704850</xdr:colOff>
      <xdr:row>1</xdr:row>
      <xdr:rowOff>128586</xdr:rowOff>
    </xdr:from>
    <xdr:to>
      <xdr:col>20</xdr:col>
      <xdr:colOff>495300</xdr:colOff>
      <xdr:row>33</xdr:row>
      <xdr:rowOff>104774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617B7DD-F4B2-410B-8356-16DB32F6C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721894</xdr:colOff>
      <xdr:row>1</xdr:row>
      <xdr:rowOff>17545</xdr:rowOff>
    </xdr:from>
    <xdr:to>
      <xdr:col>34</xdr:col>
      <xdr:colOff>512344</xdr:colOff>
      <xdr:row>33</xdr:row>
      <xdr:rowOff>174207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96449D6-BECE-4CDF-84CC-D94390790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24</xdr:row>
      <xdr:rowOff>9525</xdr:rowOff>
    </xdr:from>
    <xdr:to>
      <xdr:col>6</xdr:col>
      <xdr:colOff>38100</xdr:colOff>
      <xdr:row>39</xdr:row>
      <xdr:rowOff>95250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6732ACF-6C37-4B76-B7ED-327797512952}"/>
            </a:ext>
          </a:extLst>
        </xdr:cNvPr>
        <xdr:cNvSpPr/>
      </xdr:nvSpPr>
      <xdr:spPr>
        <a:xfrm>
          <a:off x="1524000" y="4591050"/>
          <a:ext cx="3086100" cy="2943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228600</xdr:colOff>
      <xdr:row>24</xdr:row>
      <xdr:rowOff>133350</xdr:rowOff>
    </xdr:from>
    <xdr:to>
      <xdr:col>5</xdr:col>
      <xdr:colOff>590550</xdr:colOff>
      <xdr:row>38</xdr:row>
      <xdr:rowOff>114300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1A40EE70-077B-4BF0-9B92-DBB61292941D}"/>
            </a:ext>
          </a:extLst>
        </xdr:cNvPr>
        <xdr:cNvSpPr/>
      </xdr:nvSpPr>
      <xdr:spPr>
        <a:xfrm>
          <a:off x="1752600" y="4714875"/>
          <a:ext cx="2647950" cy="2647950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676275</xdr:colOff>
      <xdr:row>34</xdr:row>
      <xdr:rowOff>104775</xdr:rowOff>
    </xdr:from>
    <xdr:to>
      <xdr:col>4</xdr:col>
      <xdr:colOff>180975</xdr:colOff>
      <xdr:row>36</xdr:row>
      <xdr:rowOff>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6FBE162A-859C-4F30-83C2-D711B9E52F12}"/>
            </a:ext>
          </a:extLst>
        </xdr:cNvPr>
        <xdr:cNvSpPr/>
      </xdr:nvSpPr>
      <xdr:spPr>
        <a:xfrm>
          <a:off x="2962275" y="65913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619125</xdr:colOff>
      <xdr:row>28</xdr:row>
      <xdr:rowOff>66675</xdr:rowOff>
    </xdr:from>
    <xdr:to>
      <xdr:col>5</xdr:col>
      <xdr:colOff>123825</xdr:colOff>
      <xdr:row>29</xdr:row>
      <xdr:rowOff>152400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D4156230-DAED-40DF-933F-BCC54C6EADDB}"/>
            </a:ext>
          </a:extLst>
        </xdr:cNvPr>
        <xdr:cNvSpPr/>
      </xdr:nvSpPr>
      <xdr:spPr>
        <a:xfrm>
          <a:off x="3667125" y="54102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628650</xdr:colOff>
      <xdr:row>32</xdr:row>
      <xdr:rowOff>142875</xdr:rowOff>
    </xdr:from>
    <xdr:to>
      <xdr:col>5</xdr:col>
      <xdr:colOff>133350</xdr:colOff>
      <xdr:row>34</xdr:row>
      <xdr:rowOff>38100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3A649F8F-3A70-4AD6-B675-28EAA5DD81DC}"/>
            </a:ext>
          </a:extLst>
        </xdr:cNvPr>
        <xdr:cNvSpPr/>
      </xdr:nvSpPr>
      <xdr:spPr>
        <a:xfrm>
          <a:off x="3676650" y="6248400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15040</xdr:colOff>
      <xdr:row>32</xdr:row>
      <xdr:rowOff>163931</xdr:rowOff>
    </xdr:from>
    <xdr:to>
      <xdr:col>3</xdr:col>
      <xdr:colOff>281740</xdr:colOff>
      <xdr:row>34</xdr:row>
      <xdr:rowOff>59156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C055832E-E983-4794-9CC5-D60B1A03BE06}"/>
            </a:ext>
          </a:extLst>
        </xdr:cNvPr>
        <xdr:cNvSpPr/>
      </xdr:nvSpPr>
      <xdr:spPr>
        <a:xfrm>
          <a:off x="2301040" y="6269456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0</xdr:colOff>
      <xdr:row>28</xdr:row>
      <xdr:rowOff>104775</xdr:rowOff>
    </xdr:from>
    <xdr:to>
      <xdr:col>3</xdr:col>
      <xdr:colOff>266700</xdr:colOff>
      <xdr:row>30</xdr:row>
      <xdr:rowOff>0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B5E2C051-D071-42B9-89AC-714D0232CA37}"/>
            </a:ext>
          </a:extLst>
        </xdr:cNvPr>
        <xdr:cNvSpPr/>
      </xdr:nvSpPr>
      <xdr:spPr>
        <a:xfrm>
          <a:off x="2286000" y="54483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660735</xdr:colOff>
      <xdr:row>26</xdr:row>
      <xdr:rowOff>92242</xdr:rowOff>
    </xdr:from>
    <xdr:to>
      <xdr:col>4</xdr:col>
      <xdr:colOff>165435</xdr:colOff>
      <xdr:row>27</xdr:row>
      <xdr:rowOff>177967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64A64A4A-13D9-429D-BD9B-54CC47F05184}"/>
            </a:ext>
          </a:extLst>
        </xdr:cNvPr>
        <xdr:cNvSpPr/>
      </xdr:nvSpPr>
      <xdr:spPr>
        <a:xfrm>
          <a:off x="2946735" y="5054767"/>
          <a:ext cx="266700" cy="2762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7</xdr:col>
      <xdr:colOff>20053</xdr:colOff>
      <xdr:row>40</xdr:row>
      <xdr:rowOff>130342</xdr:rowOff>
    </xdr:from>
    <xdr:ext cx="573105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4560AEDF-3C8C-4A9C-9FD5-17971D94A044}"/>
                </a:ext>
              </a:extLst>
            </xdr:cNvPr>
            <xdr:cNvSpPr txBox="1"/>
          </xdr:nvSpPr>
          <xdr:spPr>
            <a:xfrm>
              <a:off x="5354053" y="7759867"/>
              <a:ext cx="573105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𝑎𝑝𝑟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è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𝑙𝑎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𝑛𝑜𝑟𝑚𝑒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𝐴𝑆𝑇𝑀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4719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𝑚𝑜𝑑𝑢𝑙𝑒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𝑝𝑟𝑒𝑠𝑠𝑖𝑜𝑚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𝑡𝑟𝑖𝑞𝑢𝑒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=2 </m:t>
                    </m:r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4560AEDF-3C8C-4A9C-9FD5-17971D94A044}"/>
                </a:ext>
              </a:extLst>
            </xdr:cNvPr>
            <xdr:cNvSpPr txBox="1"/>
          </xdr:nvSpPr>
          <xdr:spPr>
            <a:xfrm>
              <a:off x="5354053" y="7759867"/>
              <a:ext cx="573105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𝐷^′ 𝑎𝑝𝑟è𝑠 𝑙𝑎 𝑛𝑜𝑟𝑚𝑒 𝐴𝑆𝑇𝑀 𝐷 4719 𝑙𝑒 𝑚𝑜𝑑𝑢𝑙𝑒 𝑝𝑟𝑒𝑠𝑠𝑖𝑜𝑚é𝑡𝑟𝑖𝑞𝑢𝑒 𝐸=𝐸〗_𝑝=2 (1+𝑣)(𝑉_0+𝑉_𝑚 ) 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∆𝑃/∆𝑉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24</xdr:col>
      <xdr:colOff>0</xdr:colOff>
      <xdr:row>36</xdr:row>
      <xdr:rowOff>0</xdr:rowOff>
    </xdr:from>
    <xdr:to>
      <xdr:col>34</xdr:col>
      <xdr:colOff>581527</xdr:colOff>
      <xdr:row>63</xdr:row>
      <xdr:rowOff>30080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15A2C97-525A-4247-A055-7846FFB03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641684</xdr:colOff>
      <xdr:row>43</xdr:row>
      <xdr:rowOff>110289</xdr:rowOff>
    </xdr:from>
    <xdr:to>
      <xdr:col>23</xdr:col>
      <xdr:colOff>290764</xdr:colOff>
      <xdr:row>70</xdr:row>
      <xdr:rowOff>140369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F844A4BD-3549-4C42-900B-89C8AF19C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60158</xdr:colOff>
      <xdr:row>1</xdr:row>
      <xdr:rowOff>0</xdr:rowOff>
    </xdr:from>
    <xdr:to>
      <xdr:col>45</xdr:col>
      <xdr:colOff>612608</xdr:colOff>
      <xdr:row>34</xdr:row>
      <xdr:rowOff>156662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44680486-C7AA-44FA-8E47-C2EE5ED87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0.57416</cdr:x>
      <cdr:y>0.74578</cdr:y>
    </cdr:from>
    <cdr:to>
      <cdr:x>0.57539</cdr:x>
      <cdr:y>0.94776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E2A74ACA-9532-42E0-9675-865F09E32A25}"/>
            </a:ext>
          </a:extLst>
        </cdr:cNvPr>
        <cdr:cNvCxnSpPr/>
      </cdr:nvCxnSpPr>
      <cdr:spPr>
        <a:xfrm xmlns:a="http://schemas.openxmlformats.org/drawingml/2006/main" flipH="1">
          <a:off x="4692277" y="4812642"/>
          <a:ext cx="10052" cy="130341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721894</xdr:colOff>
      <xdr:row>1</xdr:row>
      <xdr:rowOff>17545</xdr:rowOff>
    </xdr:from>
    <xdr:to>
      <xdr:col>34</xdr:col>
      <xdr:colOff>512344</xdr:colOff>
      <xdr:row>33</xdr:row>
      <xdr:rowOff>174207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02BB0F3-7676-440B-AD41-CF0973F9D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24</xdr:row>
      <xdr:rowOff>9525</xdr:rowOff>
    </xdr:from>
    <xdr:to>
      <xdr:col>6</xdr:col>
      <xdr:colOff>38100</xdr:colOff>
      <xdr:row>39</xdr:row>
      <xdr:rowOff>95250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B0998B2-51A7-4818-96C6-3F18C2CB426F}"/>
            </a:ext>
          </a:extLst>
        </xdr:cNvPr>
        <xdr:cNvSpPr/>
      </xdr:nvSpPr>
      <xdr:spPr>
        <a:xfrm>
          <a:off x="1524000" y="4591050"/>
          <a:ext cx="3086100" cy="2943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228600</xdr:colOff>
      <xdr:row>24</xdr:row>
      <xdr:rowOff>133350</xdr:rowOff>
    </xdr:from>
    <xdr:to>
      <xdr:col>5</xdr:col>
      <xdr:colOff>590550</xdr:colOff>
      <xdr:row>38</xdr:row>
      <xdr:rowOff>114300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2D374E23-0522-45F7-B741-280D76D476AA}"/>
            </a:ext>
          </a:extLst>
        </xdr:cNvPr>
        <xdr:cNvSpPr/>
      </xdr:nvSpPr>
      <xdr:spPr>
        <a:xfrm>
          <a:off x="1752600" y="4714875"/>
          <a:ext cx="2647950" cy="2647950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676275</xdr:colOff>
      <xdr:row>34</xdr:row>
      <xdr:rowOff>104775</xdr:rowOff>
    </xdr:from>
    <xdr:to>
      <xdr:col>4</xdr:col>
      <xdr:colOff>180975</xdr:colOff>
      <xdr:row>36</xdr:row>
      <xdr:rowOff>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D733BFE8-EED9-4C2C-BD08-1297EC31DC9D}"/>
            </a:ext>
          </a:extLst>
        </xdr:cNvPr>
        <xdr:cNvSpPr/>
      </xdr:nvSpPr>
      <xdr:spPr>
        <a:xfrm>
          <a:off x="2962275" y="65913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619125</xdr:colOff>
      <xdr:row>28</xdr:row>
      <xdr:rowOff>66675</xdr:rowOff>
    </xdr:from>
    <xdr:to>
      <xdr:col>5</xdr:col>
      <xdr:colOff>123825</xdr:colOff>
      <xdr:row>29</xdr:row>
      <xdr:rowOff>152400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83DFEA50-7F4C-4F17-BBE7-BCD8DF96B4BE}"/>
            </a:ext>
          </a:extLst>
        </xdr:cNvPr>
        <xdr:cNvSpPr/>
      </xdr:nvSpPr>
      <xdr:spPr>
        <a:xfrm>
          <a:off x="3667125" y="54102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668756</xdr:colOff>
      <xdr:row>26</xdr:row>
      <xdr:rowOff>92744</xdr:rowOff>
    </xdr:from>
    <xdr:to>
      <xdr:col>4</xdr:col>
      <xdr:colOff>173456</xdr:colOff>
      <xdr:row>27</xdr:row>
      <xdr:rowOff>178469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D35B03EE-7F5E-4092-BB61-4417927BA55F}"/>
            </a:ext>
          </a:extLst>
        </xdr:cNvPr>
        <xdr:cNvSpPr/>
      </xdr:nvSpPr>
      <xdr:spPr>
        <a:xfrm>
          <a:off x="2954756" y="5055269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15040</xdr:colOff>
      <xdr:row>32</xdr:row>
      <xdr:rowOff>163931</xdr:rowOff>
    </xdr:from>
    <xdr:to>
      <xdr:col>3</xdr:col>
      <xdr:colOff>281740</xdr:colOff>
      <xdr:row>34</xdr:row>
      <xdr:rowOff>59156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F64E02FF-B3D7-4422-B99F-B6812BA7D822}"/>
            </a:ext>
          </a:extLst>
        </xdr:cNvPr>
        <xdr:cNvSpPr/>
      </xdr:nvSpPr>
      <xdr:spPr>
        <a:xfrm>
          <a:off x="2301040" y="6269456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0</xdr:colOff>
      <xdr:row>28</xdr:row>
      <xdr:rowOff>104775</xdr:rowOff>
    </xdr:from>
    <xdr:to>
      <xdr:col>3</xdr:col>
      <xdr:colOff>266700</xdr:colOff>
      <xdr:row>30</xdr:row>
      <xdr:rowOff>0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7673418E-932D-401E-A021-8B1DD8B8A431}"/>
            </a:ext>
          </a:extLst>
        </xdr:cNvPr>
        <xdr:cNvSpPr/>
      </xdr:nvSpPr>
      <xdr:spPr>
        <a:xfrm>
          <a:off x="2286000" y="54483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580525</xdr:colOff>
      <xdr:row>32</xdr:row>
      <xdr:rowOff>142374</xdr:rowOff>
    </xdr:from>
    <xdr:to>
      <xdr:col>5</xdr:col>
      <xdr:colOff>85225</xdr:colOff>
      <xdr:row>34</xdr:row>
      <xdr:rowOff>37599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178299D4-002E-4F4B-8965-869F74054A32}"/>
            </a:ext>
          </a:extLst>
        </xdr:cNvPr>
        <xdr:cNvSpPr/>
      </xdr:nvSpPr>
      <xdr:spPr>
        <a:xfrm>
          <a:off x="3628525" y="6247899"/>
          <a:ext cx="266700" cy="2762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7</xdr:col>
      <xdr:colOff>20053</xdr:colOff>
      <xdr:row>40</xdr:row>
      <xdr:rowOff>130342</xdr:rowOff>
    </xdr:from>
    <xdr:ext cx="573105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2E546DB9-5899-4EE2-A359-0CAFF81740B3}"/>
                </a:ext>
              </a:extLst>
            </xdr:cNvPr>
            <xdr:cNvSpPr txBox="1"/>
          </xdr:nvSpPr>
          <xdr:spPr>
            <a:xfrm>
              <a:off x="5354053" y="7759867"/>
              <a:ext cx="573105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𝑎𝑝𝑟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è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𝑙𝑎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𝑛𝑜𝑟𝑚𝑒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𝐴𝑆𝑇𝑀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4719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𝑚𝑜𝑑𝑢𝑙𝑒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𝑝𝑟𝑒𝑠𝑠𝑖𝑜𝑚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𝑡𝑟𝑖𝑞𝑢𝑒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=2 </m:t>
                    </m:r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2E546DB9-5899-4EE2-A359-0CAFF81740B3}"/>
                </a:ext>
              </a:extLst>
            </xdr:cNvPr>
            <xdr:cNvSpPr txBox="1"/>
          </xdr:nvSpPr>
          <xdr:spPr>
            <a:xfrm>
              <a:off x="5354053" y="7759867"/>
              <a:ext cx="573105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𝐷^′ 𝑎𝑝𝑟è𝑠 𝑙𝑎 𝑛𝑜𝑟𝑚𝑒 𝐴𝑆𝑇𝑀 𝐷 4719 𝑙𝑒 𝑚𝑜𝑑𝑢𝑙𝑒 𝑝𝑟𝑒𝑠𝑠𝑖𝑜𝑚é𝑡𝑟𝑖𝑞𝑢𝑒 𝐸=𝐸〗_𝑝=2 (1+𝑣)(𝑉_0+𝑉_𝑚 ) 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∆𝑃/∆𝑉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24</xdr:col>
      <xdr:colOff>0</xdr:colOff>
      <xdr:row>36</xdr:row>
      <xdr:rowOff>0</xdr:rowOff>
    </xdr:from>
    <xdr:to>
      <xdr:col>34</xdr:col>
      <xdr:colOff>581527</xdr:colOff>
      <xdr:row>63</xdr:row>
      <xdr:rowOff>30080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1037C325-D80B-41B6-B98D-13F3071FD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641684</xdr:colOff>
      <xdr:row>43</xdr:row>
      <xdr:rowOff>110289</xdr:rowOff>
    </xdr:from>
    <xdr:to>
      <xdr:col>23</xdr:col>
      <xdr:colOff>290764</xdr:colOff>
      <xdr:row>70</xdr:row>
      <xdr:rowOff>140369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6F9FDCE3-9AF7-411E-8C8A-B8736BC0C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60158</xdr:colOff>
      <xdr:row>1</xdr:row>
      <xdr:rowOff>0</xdr:rowOff>
    </xdr:from>
    <xdr:to>
      <xdr:col>45</xdr:col>
      <xdr:colOff>612608</xdr:colOff>
      <xdr:row>34</xdr:row>
      <xdr:rowOff>156662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7ABA8B89-9138-4928-89C0-B66FD2EE7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0.51037</cdr:x>
      <cdr:y>0.65722</cdr:y>
    </cdr:from>
    <cdr:to>
      <cdr:x>0.51159</cdr:x>
      <cdr:y>0.79238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E2A74ACA-9532-42E0-9675-865F09E32A25}"/>
            </a:ext>
          </a:extLst>
        </cdr:cNvPr>
        <cdr:cNvCxnSpPr/>
      </cdr:nvCxnSpPr>
      <cdr:spPr>
        <a:xfrm xmlns:a="http://schemas.openxmlformats.org/drawingml/2006/main">
          <a:off x="4170948" y="4241132"/>
          <a:ext cx="10009" cy="87227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704850</xdr:colOff>
      <xdr:row>1</xdr:row>
      <xdr:rowOff>128586</xdr:rowOff>
    </xdr:from>
    <xdr:to>
      <xdr:col>20</xdr:col>
      <xdr:colOff>495300</xdr:colOff>
      <xdr:row>33</xdr:row>
      <xdr:rowOff>104774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6C51406-D949-49B3-ACDE-BA9BEFA88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123825</xdr:rowOff>
    </xdr:from>
    <xdr:to>
      <xdr:col>19</xdr:col>
      <xdr:colOff>19050</xdr:colOff>
      <xdr:row>34</xdr:row>
      <xdr:rowOff>100013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025C23A-D21D-46E5-8C12-A0DE9A2F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721894</xdr:colOff>
      <xdr:row>1</xdr:row>
      <xdr:rowOff>17545</xdr:rowOff>
    </xdr:from>
    <xdr:to>
      <xdr:col>34</xdr:col>
      <xdr:colOff>512344</xdr:colOff>
      <xdr:row>33</xdr:row>
      <xdr:rowOff>174207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32C6CEA-C1C4-41E5-81A4-14C4E60D7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24</xdr:row>
      <xdr:rowOff>9525</xdr:rowOff>
    </xdr:from>
    <xdr:to>
      <xdr:col>6</xdr:col>
      <xdr:colOff>38100</xdr:colOff>
      <xdr:row>39</xdr:row>
      <xdr:rowOff>95250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85BF977-E4EF-4E7D-92AC-5445E5B9FE9E}"/>
            </a:ext>
          </a:extLst>
        </xdr:cNvPr>
        <xdr:cNvSpPr/>
      </xdr:nvSpPr>
      <xdr:spPr>
        <a:xfrm>
          <a:off x="1524000" y="4210050"/>
          <a:ext cx="3086100" cy="2943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228600</xdr:colOff>
      <xdr:row>24</xdr:row>
      <xdr:rowOff>133350</xdr:rowOff>
    </xdr:from>
    <xdr:to>
      <xdr:col>5</xdr:col>
      <xdr:colOff>590550</xdr:colOff>
      <xdr:row>38</xdr:row>
      <xdr:rowOff>114300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B0B7BE7B-E714-4684-BFF3-8570CBB84AFD}"/>
            </a:ext>
          </a:extLst>
        </xdr:cNvPr>
        <xdr:cNvSpPr/>
      </xdr:nvSpPr>
      <xdr:spPr>
        <a:xfrm>
          <a:off x="1752600" y="4333875"/>
          <a:ext cx="2647950" cy="2647950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676275</xdr:colOff>
      <xdr:row>34</xdr:row>
      <xdr:rowOff>104775</xdr:rowOff>
    </xdr:from>
    <xdr:to>
      <xdr:col>4</xdr:col>
      <xdr:colOff>180975</xdr:colOff>
      <xdr:row>36</xdr:row>
      <xdr:rowOff>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5A75E9B5-8E3B-4316-8FBB-0D315BA908A4}"/>
            </a:ext>
          </a:extLst>
        </xdr:cNvPr>
        <xdr:cNvSpPr/>
      </xdr:nvSpPr>
      <xdr:spPr>
        <a:xfrm>
          <a:off x="2962275" y="62103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619125</xdr:colOff>
      <xdr:row>28</xdr:row>
      <xdr:rowOff>66675</xdr:rowOff>
    </xdr:from>
    <xdr:to>
      <xdr:col>5</xdr:col>
      <xdr:colOff>123825</xdr:colOff>
      <xdr:row>29</xdr:row>
      <xdr:rowOff>152400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AF5F858F-6CCC-4F31-AE61-46A089101A1E}"/>
            </a:ext>
          </a:extLst>
        </xdr:cNvPr>
        <xdr:cNvSpPr/>
      </xdr:nvSpPr>
      <xdr:spPr>
        <a:xfrm>
          <a:off x="3667125" y="50292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628650</xdr:colOff>
      <xdr:row>32</xdr:row>
      <xdr:rowOff>142875</xdr:rowOff>
    </xdr:from>
    <xdr:to>
      <xdr:col>5</xdr:col>
      <xdr:colOff>133350</xdr:colOff>
      <xdr:row>34</xdr:row>
      <xdr:rowOff>38100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6F2F019C-A8CB-4D36-9C00-91DBE5213509}"/>
            </a:ext>
          </a:extLst>
        </xdr:cNvPr>
        <xdr:cNvSpPr/>
      </xdr:nvSpPr>
      <xdr:spPr>
        <a:xfrm>
          <a:off x="3676650" y="5867400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15040</xdr:colOff>
      <xdr:row>32</xdr:row>
      <xdr:rowOff>163931</xdr:rowOff>
    </xdr:from>
    <xdr:to>
      <xdr:col>3</xdr:col>
      <xdr:colOff>281740</xdr:colOff>
      <xdr:row>34</xdr:row>
      <xdr:rowOff>59156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17C51861-21FD-4557-AC32-064EDE457980}"/>
            </a:ext>
          </a:extLst>
        </xdr:cNvPr>
        <xdr:cNvSpPr/>
      </xdr:nvSpPr>
      <xdr:spPr>
        <a:xfrm>
          <a:off x="2301040" y="5888456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0</xdr:colOff>
      <xdr:row>28</xdr:row>
      <xdr:rowOff>104775</xdr:rowOff>
    </xdr:from>
    <xdr:to>
      <xdr:col>3</xdr:col>
      <xdr:colOff>266700</xdr:colOff>
      <xdr:row>30</xdr:row>
      <xdr:rowOff>0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D89E224C-C02B-42A4-8846-28DEA2ED77F0}"/>
            </a:ext>
          </a:extLst>
        </xdr:cNvPr>
        <xdr:cNvSpPr/>
      </xdr:nvSpPr>
      <xdr:spPr>
        <a:xfrm>
          <a:off x="2286000" y="50673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660735</xdr:colOff>
      <xdr:row>26</xdr:row>
      <xdr:rowOff>92242</xdr:rowOff>
    </xdr:from>
    <xdr:to>
      <xdr:col>4</xdr:col>
      <xdr:colOff>165435</xdr:colOff>
      <xdr:row>27</xdr:row>
      <xdr:rowOff>177967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FFBD9ABC-5CC1-4C08-9A7A-C4B8451DBDB0}"/>
            </a:ext>
          </a:extLst>
        </xdr:cNvPr>
        <xdr:cNvSpPr/>
      </xdr:nvSpPr>
      <xdr:spPr>
        <a:xfrm>
          <a:off x="2946735" y="4673767"/>
          <a:ext cx="266700" cy="2762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7</xdr:col>
      <xdr:colOff>20053</xdr:colOff>
      <xdr:row>40</xdr:row>
      <xdr:rowOff>130342</xdr:rowOff>
    </xdr:from>
    <xdr:ext cx="573105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B1BB2367-F339-45AA-9CAB-BBC790356742}"/>
                </a:ext>
              </a:extLst>
            </xdr:cNvPr>
            <xdr:cNvSpPr txBox="1"/>
          </xdr:nvSpPr>
          <xdr:spPr>
            <a:xfrm>
              <a:off x="5354053" y="7760368"/>
              <a:ext cx="573105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𝑎𝑝𝑟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è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𝑙𝑎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𝑛𝑜𝑟𝑚𝑒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𝐴𝑆𝑇𝑀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4719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𝑚𝑜𝑑𝑢𝑙𝑒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𝑝𝑟𝑒𝑠𝑠𝑖𝑜𝑚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𝑡𝑟𝑖𝑞𝑢𝑒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=2 </m:t>
                    </m:r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B1BB2367-F339-45AA-9CAB-BBC790356742}"/>
                </a:ext>
              </a:extLst>
            </xdr:cNvPr>
            <xdr:cNvSpPr txBox="1"/>
          </xdr:nvSpPr>
          <xdr:spPr>
            <a:xfrm>
              <a:off x="5354053" y="7760368"/>
              <a:ext cx="573105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𝐷^′ 𝑎𝑝𝑟è𝑠 𝑙𝑎 𝑛𝑜𝑟𝑚𝑒 𝐴𝑆𝑇𝑀 𝐷 4719 𝑙𝑒 𝑚𝑜𝑑𝑢𝑙𝑒 𝑝𝑟𝑒𝑠𝑠𝑖𝑜𝑚é𝑡𝑟𝑖𝑞𝑢𝑒 𝐸=𝐸〗_𝑝=2 (1+𝑣)(𝑉_0+𝑉_𝑚 ) 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∆𝑃/∆𝑉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24</xdr:col>
      <xdr:colOff>0</xdr:colOff>
      <xdr:row>36</xdr:row>
      <xdr:rowOff>0</xdr:rowOff>
    </xdr:from>
    <xdr:to>
      <xdr:col>34</xdr:col>
      <xdr:colOff>581527</xdr:colOff>
      <xdr:row>63</xdr:row>
      <xdr:rowOff>30080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B14C687-4F5E-43D7-A2DF-78EAAAB89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641684</xdr:colOff>
      <xdr:row>43</xdr:row>
      <xdr:rowOff>110289</xdr:rowOff>
    </xdr:from>
    <xdr:to>
      <xdr:col>23</xdr:col>
      <xdr:colOff>290764</xdr:colOff>
      <xdr:row>70</xdr:row>
      <xdr:rowOff>140369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54A0C555-B21F-4794-89B0-6155873D0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60158</xdr:colOff>
      <xdr:row>1</xdr:row>
      <xdr:rowOff>0</xdr:rowOff>
    </xdr:from>
    <xdr:to>
      <xdr:col>45</xdr:col>
      <xdr:colOff>612608</xdr:colOff>
      <xdr:row>34</xdr:row>
      <xdr:rowOff>156662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6575A0D3-9E7B-477A-93B5-1AAD52AA5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0.54226</cdr:x>
      <cdr:y>0.74267</cdr:y>
    </cdr:from>
    <cdr:to>
      <cdr:x>0.54349</cdr:x>
      <cdr:y>0.94465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E2A74ACA-9532-42E0-9675-865F09E32A25}"/>
            </a:ext>
          </a:extLst>
        </cdr:cNvPr>
        <cdr:cNvCxnSpPr/>
      </cdr:nvCxnSpPr>
      <cdr:spPr>
        <a:xfrm xmlns:a="http://schemas.openxmlformats.org/drawingml/2006/main" flipH="1">
          <a:off x="4431632" y="4792579"/>
          <a:ext cx="10026" cy="130342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704850</xdr:colOff>
      <xdr:row>1</xdr:row>
      <xdr:rowOff>128586</xdr:rowOff>
    </xdr:from>
    <xdr:to>
      <xdr:col>20</xdr:col>
      <xdr:colOff>495300</xdr:colOff>
      <xdr:row>33</xdr:row>
      <xdr:rowOff>104774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C8B42FC-BDEA-4B37-8537-D5EBAB09C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721894</xdr:colOff>
      <xdr:row>1</xdr:row>
      <xdr:rowOff>17545</xdr:rowOff>
    </xdr:from>
    <xdr:to>
      <xdr:col>34</xdr:col>
      <xdr:colOff>512344</xdr:colOff>
      <xdr:row>33</xdr:row>
      <xdr:rowOff>174207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D86E20F-5099-47E2-86BC-D5433A91E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24</xdr:row>
      <xdr:rowOff>9525</xdr:rowOff>
    </xdr:from>
    <xdr:to>
      <xdr:col>6</xdr:col>
      <xdr:colOff>38100</xdr:colOff>
      <xdr:row>39</xdr:row>
      <xdr:rowOff>95250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0DF3C6A-85A9-4607-AE97-FA358F39E17D}"/>
            </a:ext>
          </a:extLst>
        </xdr:cNvPr>
        <xdr:cNvSpPr/>
      </xdr:nvSpPr>
      <xdr:spPr>
        <a:xfrm>
          <a:off x="1524000" y="4591050"/>
          <a:ext cx="3086100" cy="2943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228600</xdr:colOff>
      <xdr:row>24</xdr:row>
      <xdr:rowOff>133350</xdr:rowOff>
    </xdr:from>
    <xdr:to>
      <xdr:col>5</xdr:col>
      <xdr:colOff>590550</xdr:colOff>
      <xdr:row>38</xdr:row>
      <xdr:rowOff>114300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596E0480-5D01-4CA1-A915-156725D183C6}"/>
            </a:ext>
          </a:extLst>
        </xdr:cNvPr>
        <xdr:cNvSpPr/>
      </xdr:nvSpPr>
      <xdr:spPr>
        <a:xfrm>
          <a:off x="1752600" y="4714875"/>
          <a:ext cx="2647950" cy="2647950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676275</xdr:colOff>
      <xdr:row>34</xdr:row>
      <xdr:rowOff>104775</xdr:rowOff>
    </xdr:from>
    <xdr:to>
      <xdr:col>4</xdr:col>
      <xdr:colOff>180975</xdr:colOff>
      <xdr:row>36</xdr:row>
      <xdr:rowOff>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A5BDB3EE-3117-46EE-A3F7-5414C5DEAD71}"/>
            </a:ext>
          </a:extLst>
        </xdr:cNvPr>
        <xdr:cNvSpPr/>
      </xdr:nvSpPr>
      <xdr:spPr>
        <a:xfrm>
          <a:off x="2962275" y="65913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619125</xdr:colOff>
      <xdr:row>28</xdr:row>
      <xdr:rowOff>66675</xdr:rowOff>
    </xdr:from>
    <xdr:to>
      <xdr:col>5</xdr:col>
      <xdr:colOff>123825</xdr:colOff>
      <xdr:row>29</xdr:row>
      <xdr:rowOff>152400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09D034A4-A387-4800-A2C7-5628171504A7}"/>
            </a:ext>
          </a:extLst>
        </xdr:cNvPr>
        <xdr:cNvSpPr/>
      </xdr:nvSpPr>
      <xdr:spPr>
        <a:xfrm>
          <a:off x="3667125" y="54102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668756</xdr:colOff>
      <xdr:row>26</xdr:row>
      <xdr:rowOff>92744</xdr:rowOff>
    </xdr:from>
    <xdr:to>
      <xdr:col>4</xdr:col>
      <xdr:colOff>173456</xdr:colOff>
      <xdr:row>27</xdr:row>
      <xdr:rowOff>178469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A9585486-D8B5-42BE-9840-8274619E8BBC}"/>
            </a:ext>
          </a:extLst>
        </xdr:cNvPr>
        <xdr:cNvSpPr/>
      </xdr:nvSpPr>
      <xdr:spPr>
        <a:xfrm>
          <a:off x="2954756" y="5055770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15040</xdr:colOff>
      <xdr:row>32</xdr:row>
      <xdr:rowOff>163931</xdr:rowOff>
    </xdr:from>
    <xdr:to>
      <xdr:col>3</xdr:col>
      <xdr:colOff>281740</xdr:colOff>
      <xdr:row>34</xdr:row>
      <xdr:rowOff>59156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398E1A9C-B46E-4F8D-A2F7-597DE5C6203F}"/>
            </a:ext>
          </a:extLst>
        </xdr:cNvPr>
        <xdr:cNvSpPr/>
      </xdr:nvSpPr>
      <xdr:spPr>
        <a:xfrm>
          <a:off x="2301040" y="6269456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0</xdr:colOff>
      <xdr:row>28</xdr:row>
      <xdr:rowOff>104775</xdr:rowOff>
    </xdr:from>
    <xdr:to>
      <xdr:col>3</xdr:col>
      <xdr:colOff>266700</xdr:colOff>
      <xdr:row>30</xdr:row>
      <xdr:rowOff>0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A2D98E52-C5E5-45A7-B93B-6543C6C035F6}"/>
            </a:ext>
          </a:extLst>
        </xdr:cNvPr>
        <xdr:cNvSpPr/>
      </xdr:nvSpPr>
      <xdr:spPr>
        <a:xfrm>
          <a:off x="2286000" y="54483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580525</xdr:colOff>
      <xdr:row>32</xdr:row>
      <xdr:rowOff>142374</xdr:rowOff>
    </xdr:from>
    <xdr:to>
      <xdr:col>5</xdr:col>
      <xdr:colOff>85225</xdr:colOff>
      <xdr:row>34</xdr:row>
      <xdr:rowOff>37599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0CC4B770-3323-4CFE-BD26-FEE7D78651AD}"/>
            </a:ext>
          </a:extLst>
        </xdr:cNvPr>
        <xdr:cNvSpPr/>
      </xdr:nvSpPr>
      <xdr:spPr>
        <a:xfrm>
          <a:off x="3628525" y="6248400"/>
          <a:ext cx="266700" cy="2762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7</xdr:col>
      <xdr:colOff>20053</xdr:colOff>
      <xdr:row>40</xdr:row>
      <xdr:rowOff>130342</xdr:rowOff>
    </xdr:from>
    <xdr:ext cx="573105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9B7C9DEF-2E21-41EB-B447-4F4C51C1DDFF}"/>
                </a:ext>
              </a:extLst>
            </xdr:cNvPr>
            <xdr:cNvSpPr txBox="1"/>
          </xdr:nvSpPr>
          <xdr:spPr>
            <a:xfrm>
              <a:off x="5354053" y="7759867"/>
              <a:ext cx="573105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𝑎𝑝𝑟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è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𝑙𝑎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𝑛𝑜𝑟𝑚𝑒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𝐴𝑆𝑇𝑀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4719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𝑚𝑜𝑑𝑢𝑙𝑒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𝑝𝑟𝑒𝑠𝑠𝑖𝑜𝑚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𝑡𝑟𝑖𝑞𝑢𝑒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=2 </m:t>
                    </m:r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9B7C9DEF-2E21-41EB-B447-4F4C51C1DDFF}"/>
                </a:ext>
              </a:extLst>
            </xdr:cNvPr>
            <xdr:cNvSpPr txBox="1"/>
          </xdr:nvSpPr>
          <xdr:spPr>
            <a:xfrm>
              <a:off x="5354053" y="7759867"/>
              <a:ext cx="573105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𝐷^′ 𝑎𝑝𝑟è𝑠 𝑙𝑎 𝑛𝑜𝑟𝑚𝑒 𝐴𝑆𝑇𝑀 𝐷 4719 𝑙𝑒 𝑚𝑜𝑑𝑢𝑙𝑒 𝑝𝑟𝑒𝑠𝑠𝑖𝑜𝑚é𝑡𝑟𝑖𝑞𝑢𝑒 𝐸=𝐸〗_𝑝=2 (1+𝑣)(𝑉_0+𝑉_𝑚 ) 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∆𝑃/∆𝑉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24</xdr:col>
      <xdr:colOff>0</xdr:colOff>
      <xdr:row>36</xdr:row>
      <xdr:rowOff>0</xdr:rowOff>
    </xdr:from>
    <xdr:to>
      <xdr:col>34</xdr:col>
      <xdr:colOff>581527</xdr:colOff>
      <xdr:row>63</xdr:row>
      <xdr:rowOff>30080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7CDEC688-B648-4E02-92DD-C6A47ABC8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641684</xdr:colOff>
      <xdr:row>43</xdr:row>
      <xdr:rowOff>110289</xdr:rowOff>
    </xdr:from>
    <xdr:to>
      <xdr:col>23</xdr:col>
      <xdr:colOff>290764</xdr:colOff>
      <xdr:row>70</xdr:row>
      <xdr:rowOff>140369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AB2A740C-D296-490C-93CC-A18025370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60158</xdr:colOff>
      <xdr:row>1</xdr:row>
      <xdr:rowOff>0</xdr:rowOff>
    </xdr:from>
    <xdr:to>
      <xdr:col>45</xdr:col>
      <xdr:colOff>612608</xdr:colOff>
      <xdr:row>34</xdr:row>
      <xdr:rowOff>156662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4102EA7-AF4A-4714-A377-170890030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</xdr:row>
      <xdr:rowOff>66675</xdr:rowOff>
    </xdr:from>
    <xdr:to>
      <xdr:col>22</xdr:col>
      <xdr:colOff>323850</xdr:colOff>
      <xdr:row>34</xdr:row>
      <xdr:rowOff>42863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3C9F2D8-88F5-46C3-A0F1-0F977FB65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0.51895</cdr:x>
      <cdr:y>0.60905</cdr:y>
    </cdr:from>
    <cdr:to>
      <cdr:x>0.52386</cdr:x>
      <cdr:y>0.74422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E2A74ACA-9532-42E0-9675-865F09E32A25}"/>
            </a:ext>
          </a:extLst>
        </cdr:cNvPr>
        <cdr:cNvCxnSpPr/>
      </cdr:nvCxnSpPr>
      <cdr:spPr>
        <a:xfrm xmlns:a="http://schemas.openxmlformats.org/drawingml/2006/main">
          <a:off x="4241119" y="3930326"/>
          <a:ext cx="40118" cy="87227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592597</xdr:colOff>
      <xdr:row>1</xdr:row>
      <xdr:rowOff>98834</xdr:rowOff>
    </xdr:from>
    <xdr:to>
      <xdr:col>33</xdr:col>
      <xdr:colOff>387144</xdr:colOff>
      <xdr:row>34</xdr:row>
      <xdr:rowOff>75022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B97687D-D9BD-401A-BC3A-947249AB0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23</xdr:row>
      <xdr:rowOff>9525</xdr:rowOff>
    </xdr:from>
    <xdr:to>
      <xdr:col>6</xdr:col>
      <xdr:colOff>38100</xdr:colOff>
      <xdr:row>38</xdr:row>
      <xdr:rowOff>95250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872C8CD-279F-433B-B638-9E1894B6BFC6}"/>
            </a:ext>
          </a:extLst>
        </xdr:cNvPr>
        <xdr:cNvSpPr/>
      </xdr:nvSpPr>
      <xdr:spPr>
        <a:xfrm>
          <a:off x="1524000" y="4210050"/>
          <a:ext cx="3086100" cy="2943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228600</xdr:colOff>
      <xdr:row>23</xdr:row>
      <xdr:rowOff>133350</xdr:rowOff>
    </xdr:from>
    <xdr:to>
      <xdr:col>5</xdr:col>
      <xdr:colOff>590550</xdr:colOff>
      <xdr:row>37</xdr:row>
      <xdr:rowOff>114300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4147EBA3-4B22-4CAE-8B7C-10E80F2A6339}"/>
            </a:ext>
          </a:extLst>
        </xdr:cNvPr>
        <xdr:cNvSpPr/>
      </xdr:nvSpPr>
      <xdr:spPr>
        <a:xfrm>
          <a:off x="1752600" y="4333875"/>
          <a:ext cx="2647950" cy="2647950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676275</xdr:colOff>
      <xdr:row>33</xdr:row>
      <xdr:rowOff>104775</xdr:rowOff>
    </xdr:from>
    <xdr:to>
      <xdr:col>4</xdr:col>
      <xdr:colOff>180975</xdr:colOff>
      <xdr:row>35</xdr:row>
      <xdr:rowOff>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A0D0F07A-30EB-4959-A9F1-BD6EDDB4AB70}"/>
            </a:ext>
          </a:extLst>
        </xdr:cNvPr>
        <xdr:cNvSpPr/>
      </xdr:nvSpPr>
      <xdr:spPr>
        <a:xfrm>
          <a:off x="2962275" y="6210300"/>
          <a:ext cx="266700" cy="2762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619125</xdr:colOff>
      <xdr:row>27</xdr:row>
      <xdr:rowOff>66675</xdr:rowOff>
    </xdr:from>
    <xdr:to>
      <xdr:col>5</xdr:col>
      <xdr:colOff>123825</xdr:colOff>
      <xdr:row>28</xdr:row>
      <xdr:rowOff>152400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7A1C8EBA-4544-432B-AD26-0EE4ED7D595F}"/>
            </a:ext>
          </a:extLst>
        </xdr:cNvPr>
        <xdr:cNvSpPr/>
      </xdr:nvSpPr>
      <xdr:spPr>
        <a:xfrm>
          <a:off x="3667125" y="5029200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628650</xdr:colOff>
      <xdr:row>31</xdr:row>
      <xdr:rowOff>142875</xdr:rowOff>
    </xdr:from>
    <xdr:to>
      <xdr:col>5</xdr:col>
      <xdr:colOff>133350</xdr:colOff>
      <xdr:row>33</xdr:row>
      <xdr:rowOff>38100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3C28B4DF-3381-473F-B8B8-F6B95B77E685}"/>
            </a:ext>
          </a:extLst>
        </xdr:cNvPr>
        <xdr:cNvSpPr/>
      </xdr:nvSpPr>
      <xdr:spPr>
        <a:xfrm>
          <a:off x="3676650" y="5867400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666750</xdr:colOff>
      <xdr:row>25</xdr:row>
      <xdr:rowOff>123825</xdr:rowOff>
    </xdr:from>
    <xdr:to>
      <xdr:col>4</xdr:col>
      <xdr:colOff>171450</xdr:colOff>
      <xdr:row>27</xdr:row>
      <xdr:rowOff>19050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4AC5084B-26EE-412C-81A4-6E60C4DDF4B0}"/>
            </a:ext>
          </a:extLst>
        </xdr:cNvPr>
        <xdr:cNvSpPr/>
      </xdr:nvSpPr>
      <xdr:spPr>
        <a:xfrm>
          <a:off x="2952750" y="4705350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0</xdr:colOff>
      <xdr:row>27</xdr:row>
      <xdr:rowOff>104775</xdr:rowOff>
    </xdr:from>
    <xdr:to>
      <xdr:col>3</xdr:col>
      <xdr:colOff>266700</xdr:colOff>
      <xdr:row>29</xdr:row>
      <xdr:rowOff>0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D59A60FA-7E07-447C-B2CF-4C5E2B4E1A71}"/>
            </a:ext>
          </a:extLst>
        </xdr:cNvPr>
        <xdr:cNvSpPr/>
      </xdr:nvSpPr>
      <xdr:spPr>
        <a:xfrm>
          <a:off x="2286000" y="5067300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19050</xdr:colOff>
      <xdr:row>31</xdr:row>
      <xdr:rowOff>152400</xdr:rowOff>
    </xdr:from>
    <xdr:to>
      <xdr:col>3</xdr:col>
      <xdr:colOff>285750</xdr:colOff>
      <xdr:row>33</xdr:row>
      <xdr:rowOff>47625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BD456B9F-0FC1-43BC-BF02-C3C41AB9AE86}"/>
            </a:ext>
          </a:extLst>
        </xdr:cNvPr>
        <xdr:cNvSpPr/>
      </xdr:nvSpPr>
      <xdr:spPr>
        <a:xfrm>
          <a:off x="2305050" y="5876925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5</xdr:col>
      <xdr:colOff>727178</xdr:colOff>
      <xdr:row>39</xdr:row>
      <xdr:rowOff>133145</xdr:rowOff>
    </xdr:from>
    <xdr:ext cx="573105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5FD14586-55F8-464C-BF81-24C683525490}"/>
                </a:ext>
              </a:extLst>
            </xdr:cNvPr>
            <xdr:cNvSpPr txBox="1"/>
          </xdr:nvSpPr>
          <xdr:spPr>
            <a:xfrm>
              <a:off x="4516694" y="7732661"/>
              <a:ext cx="573105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𝑎𝑝𝑟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è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𝑙𝑎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𝑛𝑜𝑟𝑚𝑒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𝐴𝑆𝑇𝑀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4719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𝑚𝑜𝑑𝑢𝑙𝑒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𝑝𝑟𝑒𝑠𝑠𝑖𝑜𝑚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𝑡𝑟𝑖𝑞𝑢𝑒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=2 </m:t>
                    </m:r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5FD14586-55F8-464C-BF81-24C683525490}"/>
                </a:ext>
              </a:extLst>
            </xdr:cNvPr>
            <xdr:cNvSpPr txBox="1"/>
          </xdr:nvSpPr>
          <xdr:spPr>
            <a:xfrm>
              <a:off x="4516694" y="7732661"/>
              <a:ext cx="573105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𝐷^′ 𝑎𝑝𝑟è𝑠 𝑙𝑎 𝑛𝑜𝑟𝑚𝑒 𝐴𝑆𝑇𝑀 𝐷 4719 𝑙𝑒 𝑚𝑜𝑑𝑢𝑙𝑒 𝑝𝑟𝑒𝑠𝑠𝑖𝑜𝑚é𝑡𝑟𝑖𝑞𝑢𝑒 𝐸=𝐸〗_𝑝=2 (1+𝑣)(𝑉_0+𝑉_𝑚 ) 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∆𝑃/∆𝑉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16</xdr:col>
      <xdr:colOff>0</xdr:colOff>
      <xdr:row>35</xdr:row>
      <xdr:rowOff>0</xdr:rowOff>
    </xdr:from>
    <xdr:to>
      <xdr:col>26</xdr:col>
      <xdr:colOff>101806</xdr:colOff>
      <xdr:row>67</xdr:row>
      <xdr:rowOff>181026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028486E-163D-4A06-85BF-96F8832AE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317500</xdr:colOff>
      <xdr:row>35</xdr:row>
      <xdr:rowOff>71694</xdr:rowOff>
    </xdr:from>
    <xdr:to>
      <xdr:col>37</xdr:col>
      <xdr:colOff>112047</xdr:colOff>
      <xdr:row>68</xdr:row>
      <xdr:rowOff>58123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60B95914-CE26-444F-ACD1-E426D884E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61453</xdr:colOff>
      <xdr:row>1</xdr:row>
      <xdr:rowOff>174113</xdr:rowOff>
    </xdr:from>
    <xdr:to>
      <xdr:col>44</xdr:col>
      <xdr:colOff>613904</xdr:colOff>
      <xdr:row>34</xdr:row>
      <xdr:rowOff>150301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1924D000-FD64-43F3-894E-9851AC01A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204839</xdr:colOff>
      <xdr:row>23</xdr:row>
      <xdr:rowOff>81935</xdr:rowOff>
    </xdr:from>
    <xdr:to>
      <xdr:col>40</xdr:col>
      <xdr:colOff>215081</xdr:colOff>
      <xdr:row>29</xdr:row>
      <xdr:rowOff>61452</xdr:rowOff>
    </xdr:to>
    <xdr:cxnSp macro="">
      <xdr:nvCxnSpPr>
        <xdr:cNvPr id="19" name="Connecteur droit 18">
          <a:extLst>
            <a:ext uri="{FF2B5EF4-FFF2-40B4-BE49-F238E27FC236}">
              <a16:creationId xmlns:a16="http://schemas.microsoft.com/office/drawing/2014/main" id="{A6D08C52-AA80-4885-BF9E-F80BF76DA914}"/>
            </a:ext>
          </a:extLst>
        </xdr:cNvPr>
        <xdr:cNvCxnSpPr/>
      </xdr:nvCxnSpPr>
      <xdr:spPr>
        <a:xfrm>
          <a:off x="31412016" y="4567903"/>
          <a:ext cx="10242" cy="114709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552450</xdr:colOff>
      <xdr:row>2</xdr:row>
      <xdr:rowOff>66675</xdr:rowOff>
    </xdr:from>
    <xdr:to>
      <xdr:col>32</xdr:col>
      <xdr:colOff>342900</xdr:colOff>
      <xdr:row>35</xdr:row>
      <xdr:rowOff>33338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6889FB9-7248-4F8F-9162-AEC50F4B7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24</xdr:row>
      <xdr:rowOff>9525</xdr:rowOff>
    </xdr:from>
    <xdr:to>
      <xdr:col>6</xdr:col>
      <xdr:colOff>38100</xdr:colOff>
      <xdr:row>39</xdr:row>
      <xdr:rowOff>95250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FFA3700-F54C-4CA3-AFD5-BB38580E9B81}"/>
            </a:ext>
          </a:extLst>
        </xdr:cNvPr>
        <xdr:cNvSpPr/>
      </xdr:nvSpPr>
      <xdr:spPr>
        <a:xfrm>
          <a:off x="1524000" y="4210050"/>
          <a:ext cx="3086100" cy="2943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228600</xdr:colOff>
      <xdr:row>24</xdr:row>
      <xdr:rowOff>133350</xdr:rowOff>
    </xdr:from>
    <xdr:to>
      <xdr:col>5</xdr:col>
      <xdr:colOff>590550</xdr:colOff>
      <xdr:row>38</xdr:row>
      <xdr:rowOff>114300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A619EEAF-87B5-4C4E-A1DE-F0CEB3E1F6F0}"/>
            </a:ext>
          </a:extLst>
        </xdr:cNvPr>
        <xdr:cNvSpPr/>
      </xdr:nvSpPr>
      <xdr:spPr>
        <a:xfrm>
          <a:off x="1752600" y="4333875"/>
          <a:ext cx="2647950" cy="2647950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676275</xdr:colOff>
      <xdr:row>34</xdr:row>
      <xdr:rowOff>104775</xdr:rowOff>
    </xdr:from>
    <xdr:to>
      <xdr:col>4</xdr:col>
      <xdr:colOff>180975</xdr:colOff>
      <xdr:row>36</xdr:row>
      <xdr:rowOff>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CFC87212-2342-43EE-982E-904A6A1CBB57}"/>
            </a:ext>
          </a:extLst>
        </xdr:cNvPr>
        <xdr:cNvSpPr/>
      </xdr:nvSpPr>
      <xdr:spPr>
        <a:xfrm>
          <a:off x="2962275" y="62103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619125</xdr:colOff>
      <xdr:row>28</xdr:row>
      <xdr:rowOff>66675</xdr:rowOff>
    </xdr:from>
    <xdr:to>
      <xdr:col>5</xdr:col>
      <xdr:colOff>123825</xdr:colOff>
      <xdr:row>29</xdr:row>
      <xdr:rowOff>152400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A7C30510-8446-42D8-BD30-DA65371B68D9}"/>
            </a:ext>
          </a:extLst>
        </xdr:cNvPr>
        <xdr:cNvSpPr/>
      </xdr:nvSpPr>
      <xdr:spPr>
        <a:xfrm>
          <a:off x="3667125" y="5029200"/>
          <a:ext cx="266700" cy="2762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628650</xdr:colOff>
      <xdr:row>32</xdr:row>
      <xdr:rowOff>142875</xdr:rowOff>
    </xdr:from>
    <xdr:to>
      <xdr:col>5</xdr:col>
      <xdr:colOff>133350</xdr:colOff>
      <xdr:row>34</xdr:row>
      <xdr:rowOff>38100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A5B05C0B-F23D-4B92-8ACE-0B4F7D7CC937}"/>
            </a:ext>
          </a:extLst>
        </xdr:cNvPr>
        <xdr:cNvSpPr/>
      </xdr:nvSpPr>
      <xdr:spPr>
        <a:xfrm>
          <a:off x="3676650" y="5867400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666750</xdr:colOff>
      <xdr:row>26</xdr:row>
      <xdr:rowOff>123825</xdr:rowOff>
    </xdr:from>
    <xdr:to>
      <xdr:col>4</xdr:col>
      <xdr:colOff>171450</xdr:colOff>
      <xdr:row>28</xdr:row>
      <xdr:rowOff>19050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C603249F-EB30-4161-B86E-A0BC57657987}"/>
            </a:ext>
          </a:extLst>
        </xdr:cNvPr>
        <xdr:cNvSpPr/>
      </xdr:nvSpPr>
      <xdr:spPr>
        <a:xfrm>
          <a:off x="2952750" y="4705350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0</xdr:colOff>
      <xdr:row>28</xdr:row>
      <xdr:rowOff>104775</xdr:rowOff>
    </xdr:from>
    <xdr:to>
      <xdr:col>3</xdr:col>
      <xdr:colOff>266700</xdr:colOff>
      <xdr:row>30</xdr:row>
      <xdr:rowOff>0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B48257A8-1FAB-4088-B7B4-CF692B6118BE}"/>
            </a:ext>
          </a:extLst>
        </xdr:cNvPr>
        <xdr:cNvSpPr/>
      </xdr:nvSpPr>
      <xdr:spPr>
        <a:xfrm>
          <a:off x="2286000" y="5067300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19050</xdr:colOff>
      <xdr:row>32</xdr:row>
      <xdr:rowOff>152400</xdr:rowOff>
    </xdr:from>
    <xdr:to>
      <xdr:col>3</xdr:col>
      <xdr:colOff>285750</xdr:colOff>
      <xdr:row>34</xdr:row>
      <xdr:rowOff>47625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E29111C8-4701-4FD0-B593-3F6F0C9186E8}"/>
            </a:ext>
          </a:extLst>
        </xdr:cNvPr>
        <xdr:cNvSpPr/>
      </xdr:nvSpPr>
      <xdr:spPr>
        <a:xfrm>
          <a:off x="2305050" y="5876925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5</xdr:col>
      <xdr:colOff>723900</xdr:colOff>
      <xdr:row>42</xdr:row>
      <xdr:rowOff>123825</xdr:rowOff>
    </xdr:from>
    <xdr:ext cx="573105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D74630C4-96A3-435D-A310-B6C83523A7A5}"/>
                </a:ext>
              </a:extLst>
            </xdr:cNvPr>
            <xdr:cNvSpPr txBox="1"/>
          </xdr:nvSpPr>
          <xdr:spPr>
            <a:xfrm>
              <a:off x="4533900" y="8134350"/>
              <a:ext cx="573105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𝑎𝑝𝑟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è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𝑙𝑎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𝑛𝑜𝑟𝑚𝑒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𝐴𝑆𝑇𝑀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4719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𝑚𝑜𝑑𝑢𝑙𝑒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𝑝𝑟𝑒𝑠𝑠𝑖𝑜𝑚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𝑡𝑟𝑖𝑞𝑢𝑒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=2 </m:t>
                    </m:r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D74630C4-96A3-435D-A310-B6C83523A7A5}"/>
                </a:ext>
              </a:extLst>
            </xdr:cNvPr>
            <xdr:cNvSpPr txBox="1"/>
          </xdr:nvSpPr>
          <xdr:spPr>
            <a:xfrm>
              <a:off x="4533900" y="8134350"/>
              <a:ext cx="573105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𝐷^′ 𝑎𝑝𝑟è𝑠 𝑙𝑎 𝑛𝑜𝑟𝑚𝑒 𝐴𝑆𝑇𝑀 𝐷 4719 𝑙𝑒 𝑚𝑜𝑑𝑢𝑙𝑒 𝑝𝑟𝑒𝑠𝑠𝑖𝑜𝑚é𝑡𝑟𝑖𝑞𝑢𝑒 𝐸=𝐸〗_𝑝=2 (1+𝑣)(𝑉_0+𝑉_𝑚 ) 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∆𝑃/∆𝑉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14</xdr:col>
      <xdr:colOff>419100</xdr:colOff>
      <xdr:row>37</xdr:row>
      <xdr:rowOff>142875</xdr:rowOff>
    </xdr:from>
    <xdr:to>
      <xdr:col>24</xdr:col>
      <xdr:colOff>666750</xdr:colOff>
      <xdr:row>70</xdr:row>
      <xdr:rowOff>119063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67311EDD-F859-431E-ACB5-978BB6ECC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38</xdr:row>
      <xdr:rowOff>0</xdr:rowOff>
    </xdr:from>
    <xdr:to>
      <xdr:col>36</xdr:col>
      <xdr:colOff>552450</xdr:colOff>
      <xdr:row>70</xdr:row>
      <xdr:rowOff>166688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AAF64508-BE6A-44E1-92DA-92A671EBB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2</xdr:row>
      <xdr:rowOff>0</xdr:rowOff>
    </xdr:from>
    <xdr:to>
      <xdr:col>44</xdr:col>
      <xdr:colOff>511483</xdr:colOff>
      <xdr:row>35</xdr:row>
      <xdr:rowOff>112098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582CAADE-364E-47E5-B31F-282E63C94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0.5728</cdr:x>
      <cdr:y>0.62726</cdr:y>
    </cdr:from>
    <cdr:to>
      <cdr:x>0.57397</cdr:x>
      <cdr:y>0.75509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8A17E691-6A6F-4696-93F4-41ED80512373}"/>
            </a:ext>
          </a:extLst>
        </cdr:cNvPr>
        <cdr:cNvCxnSpPr/>
      </cdr:nvCxnSpPr>
      <cdr:spPr>
        <a:xfrm xmlns:a="http://schemas.openxmlformats.org/drawingml/2006/main">
          <a:off x="4657725" y="4019550"/>
          <a:ext cx="9525" cy="8191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495300</xdr:colOff>
      <xdr:row>0</xdr:row>
      <xdr:rowOff>152400</xdr:rowOff>
    </xdr:from>
    <xdr:to>
      <xdr:col>32</xdr:col>
      <xdr:colOff>285750</xdr:colOff>
      <xdr:row>34</xdr:row>
      <xdr:rowOff>119063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43F0ED2-649D-46FC-8632-D41B9CB1F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24</xdr:row>
      <xdr:rowOff>9525</xdr:rowOff>
    </xdr:from>
    <xdr:to>
      <xdr:col>6</xdr:col>
      <xdr:colOff>38100</xdr:colOff>
      <xdr:row>39</xdr:row>
      <xdr:rowOff>95250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2FDE86B-A11F-4145-9778-016F85BADC86}"/>
            </a:ext>
          </a:extLst>
        </xdr:cNvPr>
        <xdr:cNvSpPr/>
      </xdr:nvSpPr>
      <xdr:spPr>
        <a:xfrm>
          <a:off x="1524000" y="4210050"/>
          <a:ext cx="3086100" cy="2943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228600</xdr:colOff>
      <xdr:row>24</xdr:row>
      <xdr:rowOff>133350</xdr:rowOff>
    </xdr:from>
    <xdr:to>
      <xdr:col>5</xdr:col>
      <xdr:colOff>590550</xdr:colOff>
      <xdr:row>38</xdr:row>
      <xdr:rowOff>114300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572A2FEF-0D74-4642-8EF8-91C1F05F60C7}"/>
            </a:ext>
          </a:extLst>
        </xdr:cNvPr>
        <xdr:cNvSpPr/>
      </xdr:nvSpPr>
      <xdr:spPr>
        <a:xfrm>
          <a:off x="1752600" y="4333875"/>
          <a:ext cx="2647950" cy="2647950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676275</xdr:colOff>
      <xdr:row>34</xdr:row>
      <xdr:rowOff>104775</xdr:rowOff>
    </xdr:from>
    <xdr:to>
      <xdr:col>4</xdr:col>
      <xdr:colOff>180975</xdr:colOff>
      <xdr:row>36</xdr:row>
      <xdr:rowOff>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AB747430-E5AC-48C2-877E-4870518197A0}"/>
            </a:ext>
          </a:extLst>
        </xdr:cNvPr>
        <xdr:cNvSpPr/>
      </xdr:nvSpPr>
      <xdr:spPr>
        <a:xfrm>
          <a:off x="2962275" y="62103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619125</xdr:colOff>
      <xdr:row>28</xdr:row>
      <xdr:rowOff>66675</xdr:rowOff>
    </xdr:from>
    <xdr:to>
      <xdr:col>5</xdr:col>
      <xdr:colOff>123825</xdr:colOff>
      <xdr:row>29</xdr:row>
      <xdr:rowOff>152400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946D3182-5209-4CEA-90CE-B5A04AE749AA}"/>
            </a:ext>
          </a:extLst>
        </xdr:cNvPr>
        <xdr:cNvSpPr/>
      </xdr:nvSpPr>
      <xdr:spPr>
        <a:xfrm>
          <a:off x="3667125" y="50292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628650</xdr:colOff>
      <xdr:row>32</xdr:row>
      <xdr:rowOff>142875</xdr:rowOff>
    </xdr:from>
    <xdr:to>
      <xdr:col>5</xdr:col>
      <xdr:colOff>133350</xdr:colOff>
      <xdr:row>34</xdr:row>
      <xdr:rowOff>38100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A64F4F98-CADA-4180-9213-1C787EC9CD07}"/>
            </a:ext>
          </a:extLst>
        </xdr:cNvPr>
        <xdr:cNvSpPr/>
      </xdr:nvSpPr>
      <xdr:spPr>
        <a:xfrm>
          <a:off x="3676650" y="5867400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666750</xdr:colOff>
      <xdr:row>26</xdr:row>
      <xdr:rowOff>123825</xdr:rowOff>
    </xdr:from>
    <xdr:to>
      <xdr:col>4</xdr:col>
      <xdr:colOff>171450</xdr:colOff>
      <xdr:row>28</xdr:row>
      <xdr:rowOff>19050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CD0C4771-F3A6-4168-90C5-29825C456FDF}"/>
            </a:ext>
          </a:extLst>
        </xdr:cNvPr>
        <xdr:cNvSpPr/>
      </xdr:nvSpPr>
      <xdr:spPr>
        <a:xfrm>
          <a:off x="2952750" y="4705350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0</xdr:colOff>
      <xdr:row>28</xdr:row>
      <xdr:rowOff>104775</xdr:rowOff>
    </xdr:from>
    <xdr:to>
      <xdr:col>3</xdr:col>
      <xdr:colOff>266700</xdr:colOff>
      <xdr:row>30</xdr:row>
      <xdr:rowOff>0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53A4F4E9-99EC-47CC-A9FD-976D239599E4}"/>
            </a:ext>
          </a:extLst>
        </xdr:cNvPr>
        <xdr:cNvSpPr/>
      </xdr:nvSpPr>
      <xdr:spPr>
        <a:xfrm>
          <a:off x="2286000" y="5067300"/>
          <a:ext cx="266700" cy="2762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19050</xdr:colOff>
      <xdr:row>32</xdr:row>
      <xdr:rowOff>152400</xdr:rowOff>
    </xdr:from>
    <xdr:to>
      <xdr:col>3</xdr:col>
      <xdr:colOff>285750</xdr:colOff>
      <xdr:row>34</xdr:row>
      <xdr:rowOff>47625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D6744E20-2F78-43D5-B1B5-753E790C91A0}"/>
            </a:ext>
          </a:extLst>
        </xdr:cNvPr>
        <xdr:cNvSpPr/>
      </xdr:nvSpPr>
      <xdr:spPr>
        <a:xfrm>
          <a:off x="2305050" y="5876925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5</xdr:col>
      <xdr:colOff>723900</xdr:colOff>
      <xdr:row>39</xdr:row>
      <xdr:rowOff>104775</xdr:rowOff>
    </xdr:from>
    <xdr:ext cx="573105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04206897-C11E-4DE1-B209-147AA1A69723}"/>
                </a:ext>
              </a:extLst>
            </xdr:cNvPr>
            <xdr:cNvSpPr txBox="1"/>
          </xdr:nvSpPr>
          <xdr:spPr>
            <a:xfrm>
              <a:off x="4533900" y="7543800"/>
              <a:ext cx="573105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𝑎𝑝𝑟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è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𝑙𝑎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𝑛𝑜𝑟𝑚𝑒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𝐴𝑆𝑇𝑀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4719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𝑚𝑜𝑑𝑢𝑙𝑒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𝑝𝑟𝑒𝑠𝑠𝑖𝑜𝑚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𝑡𝑟𝑖𝑞𝑢𝑒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=2 </m:t>
                    </m:r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04206897-C11E-4DE1-B209-147AA1A69723}"/>
                </a:ext>
              </a:extLst>
            </xdr:cNvPr>
            <xdr:cNvSpPr txBox="1"/>
          </xdr:nvSpPr>
          <xdr:spPr>
            <a:xfrm>
              <a:off x="4533900" y="7543800"/>
              <a:ext cx="573105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𝐷^′ 𝑎𝑝𝑟è𝑠 𝑙𝑎 𝑛𝑜𝑟𝑚𝑒 𝐴𝑆𝑇𝑀 𝐷 4719 𝑙𝑒 𝑚𝑜𝑑𝑢𝑙𝑒 𝑝𝑟𝑒𝑠𝑠𝑖𝑜𝑚é𝑡𝑟𝑖𝑞𝑢𝑒 𝐸=𝐸〗_𝑝=2 (1+𝑣)(𝑉_0+𝑉_𝑚 ) 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∆𝑃/∆𝑉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16</xdr:col>
      <xdr:colOff>0</xdr:colOff>
      <xdr:row>38</xdr:row>
      <xdr:rowOff>0</xdr:rowOff>
    </xdr:from>
    <xdr:to>
      <xdr:col>26</xdr:col>
      <xdr:colOff>104775</xdr:colOff>
      <xdr:row>71</xdr:row>
      <xdr:rowOff>166688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41DF61F7-BAA2-41F8-8636-4A4D3BF12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38</xdr:row>
      <xdr:rowOff>0</xdr:rowOff>
    </xdr:from>
    <xdr:to>
      <xdr:col>37</xdr:col>
      <xdr:colOff>552450</xdr:colOff>
      <xdr:row>71</xdr:row>
      <xdr:rowOff>166688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5E91C8E2-07F3-4AAD-A527-DC1B141BB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44</xdr:col>
      <xdr:colOff>511483</xdr:colOff>
      <xdr:row>34</xdr:row>
      <xdr:rowOff>112098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B39A2A39-20EF-4ADE-A1CF-D90071273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0.57749</cdr:x>
      <cdr:y>0.56334</cdr:y>
    </cdr:from>
    <cdr:to>
      <cdr:x>0.57866</cdr:x>
      <cdr:y>0.64064</cdr:y>
    </cdr:to>
    <cdr:cxnSp macro="">
      <cdr:nvCxnSpPr>
        <cdr:cNvPr id="5" name="Connecteur droit 4">
          <a:extLst xmlns:a="http://schemas.openxmlformats.org/drawingml/2006/main">
            <a:ext uri="{FF2B5EF4-FFF2-40B4-BE49-F238E27FC236}">
              <a16:creationId xmlns:a16="http://schemas.microsoft.com/office/drawing/2014/main" id="{B4B38A06-64CD-41A4-9625-7616FCC53537}"/>
            </a:ext>
          </a:extLst>
        </cdr:cNvPr>
        <cdr:cNvCxnSpPr/>
      </cdr:nvCxnSpPr>
      <cdr:spPr>
        <a:xfrm xmlns:a="http://schemas.openxmlformats.org/drawingml/2006/main" flipH="1">
          <a:off x="4695825" y="3609975"/>
          <a:ext cx="9525" cy="4953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451182</xdr:colOff>
      <xdr:row>0</xdr:row>
      <xdr:rowOff>67676</xdr:rowOff>
    </xdr:from>
    <xdr:to>
      <xdr:col>32</xdr:col>
      <xdr:colOff>241632</xdr:colOff>
      <xdr:row>34</xdr:row>
      <xdr:rowOff>33838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7ED644D-06A2-4543-9D4D-01D592364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24</xdr:row>
      <xdr:rowOff>9525</xdr:rowOff>
    </xdr:from>
    <xdr:to>
      <xdr:col>6</xdr:col>
      <xdr:colOff>38100</xdr:colOff>
      <xdr:row>39</xdr:row>
      <xdr:rowOff>95250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1C855EF-8819-46EE-A3F4-449319A92E6B}"/>
            </a:ext>
          </a:extLst>
        </xdr:cNvPr>
        <xdr:cNvSpPr/>
      </xdr:nvSpPr>
      <xdr:spPr>
        <a:xfrm>
          <a:off x="1524000" y="4210050"/>
          <a:ext cx="3086100" cy="29432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228600</xdr:colOff>
      <xdr:row>24</xdr:row>
      <xdr:rowOff>133350</xdr:rowOff>
    </xdr:from>
    <xdr:to>
      <xdr:col>5</xdr:col>
      <xdr:colOff>590550</xdr:colOff>
      <xdr:row>38</xdr:row>
      <xdr:rowOff>114300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3F4F2EF1-3384-44AF-99D9-F21850A9C80F}"/>
            </a:ext>
          </a:extLst>
        </xdr:cNvPr>
        <xdr:cNvSpPr/>
      </xdr:nvSpPr>
      <xdr:spPr>
        <a:xfrm>
          <a:off x="1752600" y="4333875"/>
          <a:ext cx="2647950" cy="2647950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676275</xdr:colOff>
      <xdr:row>34</xdr:row>
      <xdr:rowOff>104775</xdr:rowOff>
    </xdr:from>
    <xdr:to>
      <xdr:col>4</xdr:col>
      <xdr:colOff>180975</xdr:colOff>
      <xdr:row>36</xdr:row>
      <xdr:rowOff>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669CB0FA-6860-4FF3-9733-4DFA4F32CB4D}"/>
            </a:ext>
          </a:extLst>
        </xdr:cNvPr>
        <xdr:cNvSpPr/>
      </xdr:nvSpPr>
      <xdr:spPr>
        <a:xfrm>
          <a:off x="2962275" y="62103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619125</xdr:colOff>
      <xdr:row>28</xdr:row>
      <xdr:rowOff>66675</xdr:rowOff>
    </xdr:from>
    <xdr:to>
      <xdr:col>5</xdr:col>
      <xdr:colOff>123825</xdr:colOff>
      <xdr:row>29</xdr:row>
      <xdr:rowOff>152400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D905C573-0A0F-42D9-B761-3FE50FBC302D}"/>
            </a:ext>
          </a:extLst>
        </xdr:cNvPr>
        <xdr:cNvSpPr/>
      </xdr:nvSpPr>
      <xdr:spPr>
        <a:xfrm>
          <a:off x="3667125" y="50292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628650</xdr:colOff>
      <xdr:row>32</xdr:row>
      <xdr:rowOff>142875</xdr:rowOff>
    </xdr:from>
    <xdr:to>
      <xdr:col>5</xdr:col>
      <xdr:colOff>133350</xdr:colOff>
      <xdr:row>34</xdr:row>
      <xdr:rowOff>38100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2B6FE460-947E-479F-99D1-C97DF8E69452}"/>
            </a:ext>
          </a:extLst>
        </xdr:cNvPr>
        <xdr:cNvSpPr/>
      </xdr:nvSpPr>
      <xdr:spPr>
        <a:xfrm>
          <a:off x="3676650" y="5867400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666750</xdr:colOff>
      <xdr:row>26</xdr:row>
      <xdr:rowOff>123825</xdr:rowOff>
    </xdr:from>
    <xdr:to>
      <xdr:col>4</xdr:col>
      <xdr:colOff>171450</xdr:colOff>
      <xdr:row>28</xdr:row>
      <xdr:rowOff>19050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90092478-033F-4F40-8E1F-A5458A3DD179}"/>
            </a:ext>
          </a:extLst>
        </xdr:cNvPr>
        <xdr:cNvSpPr/>
      </xdr:nvSpPr>
      <xdr:spPr>
        <a:xfrm>
          <a:off x="2952750" y="4705350"/>
          <a:ext cx="266700" cy="2762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0</xdr:colOff>
      <xdr:row>28</xdr:row>
      <xdr:rowOff>104775</xdr:rowOff>
    </xdr:from>
    <xdr:to>
      <xdr:col>3</xdr:col>
      <xdr:colOff>266700</xdr:colOff>
      <xdr:row>30</xdr:row>
      <xdr:rowOff>0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191C27F6-68FE-46CA-AF02-2EEC9B604AB2}"/>
            </a:ext>
          </a:extLst>
        </xdr:cNvPr>
        <xdr:cNvSpPr/>
      </xdr:nvSpPr>
      <xdr:spPr>
        <a:xfrm>
          <a:off x="2286000" y="5067300"/>
          <a:ext cx="266700" cy="2762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19050</xdr:colOff>
      <xdr:row>32</xdr:row>
      <xdr:rowOff>152400</xdr:rowOff>
    </xdr:from>
    <xdr:to>
      <xdr:col>3</xdr:col>
      <xdr:colOff>285750</xdr:colOff>
      <xdr:row>34</xdr:row>
      <xdr:rowOff>47625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22938B23-85A8-40C5-8ED3-7F4FCE10250E}"/>
            </a:ext>
          </a:extLst>
        </xdr:cNvPr>
        <xdr:cNvSpPr/>
      </xdr:nvSpPr>
      <xdr:spPr>
        <a:xfrm>
          <a:off x="2305050" y="5876925"/>
          <a:ext cx="266700" cy="2762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6</xdr:col>
      <xdr:colOff>210553</xdr:colOff>
      <xdr:row>36</xdr:row>
      <xdr:rowOff>130342</xdr:rowOff>
    </xdr:from>
    <xdr:ext cx="573105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362612D7-9827-47E8-993E-D49E154C06C9}"/>
                </a:ext>
              </a:extLst>
            </xdr:cNvPr>
            <xdr:cNvSpPr txBox="1"/>
          </xdr:nvSpPr>
          <xdr:spPr>
            <a:xfrm>
              <a:off x="4782553" y="6617368"/>
              <a:ext cx="573105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𝑎𝑝𝑟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è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𝑙𝑎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𝑛𝑜𝑟𝑚𝑒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𝐴𝑆𝑇𝑀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4719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𝑙𝑒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𝑚𝑜𝑑𝑢𝑙𝑒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𝑝𝑟𝑒𝑠𝑠𝑖𝑜𝑚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𝑡𝑟𝑖𝑞𝑢𝑒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=2 </m:t>
                    </m:r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362612D7-9827-47E8-993E-D49E154C06C9}"/>
                </a:ext>
              </a:extLst>
            </xdr:cNvPr>
            <xdr:cNvSpPr txBox="1"/>
          </xdr:nvSpPr>
          <xdr:spPr>
            <a:xfrm>
              <a:off x="4782553" y="6617368"/>
              <a:ext cx="573105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i="0">
                  <a:latin typeface="Cambria Math" panose="02040503050406030204" pitchFamily="18" charset="0"/>
                </a:rPr>
                <a:t>〖</a:t>
              </a:r>
              <a:r>
                <a:rPr lang="fr-FR" sz="1100" b="0" i="0">
                  <a:latin typeface="Cambria Math" panose="02040503050406030204" pitchFamily="18" charset="0"/>
                </a:rPr>
                <a:t>𝐷^′ 𝑎𝑝𝑟è𝑠 𝑙𝑎 𝑛𝑜𝑟𝑚𝑒 𝐴𝑆𝑇𝑀 𝐷 4719 𝑙𝑒 𝑚𝑜𝑑𝑢𝑙𝑒 𝑝𝑟𝑒𝑠𝑠𝑖𝑜𝑚é𝑡𝑟𝑖𝑞𝑢𝑒 𝐸=𝐸〗_𝑝=2 (1+𝑣)(𝑉_0+𝑉_𝑚 ) </a:t>
              </a:r>
              <a:r>
                <a:rPr lang="fr-F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∆𝑃/∆𝑉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18</xdr:col>
      <xdr:colOff>441158</xdr:colOff>
      <xdr:row>35</xdr:row>
      <xdr:rowOff>50132</xdr:rowOff>
    </xdr:from>
    <xdr:to>
      <xdr:col>29</xdr:col>
      <xdr:colOff>170448</xdr:colOff>
      <xdr:row>62</xdr:row>
      <xdr:rowOff>80212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2CC1786E-B08B-4D19-9CCE-7E1CAE28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110290</xdr:colOff>
      <xdr:row>42</xdr:row>
      <xdr:rowOff>30079</xdr:rowOff>
    </xdr:from>
    <xdr:to>
      <xdr:col>17</xdr:col>
      <xdr:colOff>240633</xdr:colOff>
      <xdr:row>69</xdr:row>
      <xdr:rowOff>60159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D7451DC2-2449-44C8-8194-A10C069F2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541421</xdr:colOff>
      <xdr:row>0</xdr:row>
      <xdr:rowOff>120315</xdr:rowOff>
    </xdr:from>
    <xdr:to>
      <xdr:col>43</xdr:col>
      <xdr:colOff>331871</xdr:colOff>
      <xdr:row>34</xdr:row>
      <xdr:rowOff>86477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D6195684-4909-4752-8279-8AE1CAAC2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220579</xdr:colOff>
      <xdr:row>19</xdr:row>
      <xdr:rowOff>130342</xdr:rowOff>
    </xdr:from>
    <xdr:to>
      <xdr:col>38</xdr:col>
      <xdr:colOff>230606</xdr:colOff>
      <xdr:row>33</xdr:row>
      <xdr:rowOff>80211</xdr:rowOff>
    </xdr:to>
    <xdr:cxnSp macro="">
      <xdr:nvCxnSpPr>
        <xdr:cNvPr id="18" name="Connecteur droit 17">
          <a:extLst>
            <a:ext uri="{FF2B5EF4-FFF2-40B4-BE49-F238E27FC236}">
              <a16:creationId xmlns:a16="http://schemas.microsoft.com/office/drawing/2014/main" id="{E2A74ACA-9532-42E0-9675-865F09E32A25}"/>
            </a:ext>
          </a:extLst>
        </xdr:cNvPr>
        <xdr:cNvCxnSpPr/>
      </xdr:nvCxnSpPr>
      <xdr:spPr>
        <a:xfrm>
          <a:off x="29537526" y="3759868"/>
          <a:ext cx="10027" cy="261686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0.16072</cdr:x>
      <cdr:y>0.60478</cdr:y>
    </cdr:from>
    <cdr:to>
      <cdr:x>0.16194</cdr:x>
      <cdr:y>0.92484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56CCD137-D0B7-4440-9C98-1650CCE6001E}"/>
            </a:ext>
          </a:extLst>
        </cdr:cNvPr>
        <cdr:cNvCxnSpPr/>
      </cdr:nvCxnSpPr>
      <cdr:spPr>
        <a:xfrm xmlns:a="http://schemas.openxmlformats.org/drawingml/2006/main" flipH="1">
          <a:off x="1313449" y="3902745"/>
          <a:ext cx="10027" cy="206542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lgDash"/>
        </a:ln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0.41598</cdr:x>
      <cdr:y>0.44135</cdr:y>
    </cdr:from>
    <cdr:to>
      <cdr:x>0.41713</cdr:x>
      <cdr:y>0.9295</cdr:y>
    </cdr:to>
    <cdr:cxnSp macro="">
      <cdr:nvCxnSpPr>
        <cdr:cNvPr id="5" name="Connecteur droit 4">
          <a:extLst xmlns:a="http://schemas.openxmlformats.org/drawingml/2006/main">
            <a:ext uri="{FF2B5EF4-FFF2-40B4-BE49-F238E27FC236}">
              <a16:creationId xmlns:a16="http://schemas.microsoft.com/office/drawing/2014/main" id="{23F2DD7A-F00D-41CA-B92F-A23C1DCD8669}"/>
            </a:ext>
          </a:extLst>
        </cdr:cNvPr>
        <cdr:cNvCxnSpPr/>
      </cdr:nvCxnSpPr>
      <cdr:spPr>
        <a:xfrm xmlns:a="http://schemas.openxmlformats.org/drawingml/2006/main">
          <a:off x="3399591" y="2848142"/>
          <a:ext cx="9358" cy="315010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lgDash"/>
        </a:ln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0.14231</cdr:x>
      <cdr:y>0.94504</cdr:y>
    </cdr:from>
    <cdr:to>
      <cdr:x>0.18893</cdr:x>
      <cdr:y>0.98077</cdr:y>
    </cdr:to>
    <cdr:sp macro="" textlink="">
      <cdr:nvSpPr>
        <cdr:cNvPr id="7" name="ZoneTexte 6">
          <a:extLst xmlns:a="http://schemas.openxmlformats.org/drawingml/2006/main">
            <a:ext uri="{FF2B5EF4-FFF2-40B4-BE49-F238E27FC236}">
              <a16:creationId xmlns:a16="http://schemas.microsoft.com/office/drawing/2014/main" id="{45315B53-CA46-4F6D-A464-A00FDEE731C6}"/>
            </a:ext>
          </a:extLst>
        </cdr:cNvPr>
        <cdr:cNvSpPr txBox="1"/>
      </cdr:nvSpPr>
      <cdr:spPr>
        <a:xfrm xmlns:a="http://schemas.openxmlformats.org/drawingml/2006/main">
          <a:off x="1163055" y="6098508"/>
          <a:ext cx="381000" cy="2306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>
              <a:solidFill>
                <a:srgbClr val="FF0000"/>
              </a:solidFill>
            </a:rPr>
            <a:t>P1</a:t>
          </a:r>
        </a:p>
      </cdr:txBody>
    </cdr:sp>
  </cdr:relSizeAnchor>
  <cdr:relSizeAnchor xmlns:cdr="http://schemas.openxmlformats.org/drawingml/2006/chartDrawing">
    <cdr:from>
      <cdr:x>0.41844</cdr:x>
      <cdr:y>0.90746</cdr:y>
    </cdr:from>
    <cdr:to>
      <cdr:x>0.46506</cdr:x>
      <cdr:y>0.9432</cdr:y>
    </cdr:to>
    <cdr:sp macro="" textlink="">
      <cdr:nvSpPr>
        <cdr:cNvPr id="8" name="ZoneTexte 1">
          <a:extLst xmlns:a="http://schemas.openxmlformats.org/drawingml/2006/main">
            <a:ext uri="{FF2B5EF4-FFF2-40B4-BE49-F238E27FC236}">
              <a16:creationId xmlns:a16="http://schemas.microsoft.com/office/drawing/2014/main" id="{C6E85ED0-A175-4C3A-A036-0684822F8DC6}"/>
            </a:ext>
          </a:extLst>
        </cdr:cNvPr>
        <cdr:cNvSpPr txBox="1"/>
      </cdr:nvSpPr>
      <cdr:spPr>
        <a:xfrm xmlns:a="http://schemas.openxmlformats.org/drawingml/2006/main">
          <a:off x="3419642" y="5856037"/>
          <a:ext cx="381000" cy="2306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solidFill>
                <a:srgbClr val="FF0000"/>
              </a:solidFill>
            </a:rPr>
            <a:t>P2</a:t>
          </a:r>
        </a:p>
      </cdr:txBody>
    </cdr:sp>
  </cdr:relSizeAnchor>
  <cdr:relSizeAnchor xmlns:cdr="http://schemas.openxmlformats.org/drawingml/2006/chartDrawing">
    <cdr:from>
      <cdr:x>0.07124</cdr:x>
      <cdr:y>0.57808</cdr:y>
    </cdr:from>
    <cdr:to>
      <cdr:x>0.11786</cdr:x>
      <cdr:y>0.61381</cdr:y>
    </cdr:to>
    <cdr:sp macro="" textlink="">
      <cdr:nvSpPr>
        <cdr:cNvPr id="9" name="ZoneTexte 1">
          <a:extLst xmlns:a="http://schemas.openxmlformats.org/drawingml/2006/main">
            <a:ext uri="{FF2B5EF4-FFF2-40B4-BE49-F238E27FC236}">
              <a16:creationId xmlns:a16="http://schemas.microsoft.com/office/drawing/2014/main" id="{C6E85ED0-A175-4C3A-A036-0684822F8DC6}"/>
            </a:ext>
          </a:extLst>
        </cdr:cNvPr>
        <cdr:cNvSpPr txBox="1"/>
      </cdr:nvSpPr>
      <cdr:spPr>
        <a:xfrm xmlns:a="http://schemas.openxmlformats.org/drawingml/2006/main">
          <a:off x="582195" y="3730458"/>
          <a:ext cx="381000" cy="2306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solidFill>
                <a:srgbClr val="FF0000"/>
              </a:solidFill>
            </a:rPr>
            <a:t>V1</a:t>
          </a:r>
        </a:p>
      </cdr:txBody>
    </cdr:sp>
  </cdr:relSizeAnchor>
  <cdr:relSizeAnchor xmlns:cdr="http://schemas.openxmlformats.org/drawingml/2006/chartDrawing">
    <cdr:from>
      <cdr:x>0.07492</cdr:x>
      <cdr:y>0.4165</cdr:y>
    </cdr:from>
    <cdr:to>
      <cdr:x>0.12154</cdr:x>
      <cdr:y>0.45223</cdr:y>
    </cdr:to>
    <cdr:sp macro="" textlink="">
      <cdr:nvSpPr>
        <cdr:cNvPr id="10" name="ZoneTexte 1">
          <a:extLst xmlns:a="http://schemas.openxmlformats.org/drawingml/2006/main">
            <a:ext uri="{FF2B5EF4-FFF2-40B4-BE49-F238E27FC236}">
              <a16:creationId xmlns:a16="http://schemas.microsoft.com/office/drawing/2014/main" id="{C6E85ED0-A175-4C3A-A036-0684822F8DC6}"/>
            </a:ext>
          </a:extLst>
        </cdr:cNvPr>
        <cdr:cNvSpPr txBox="1"/>
      </cdr:nvSpPr>
      <cdr:spPr>
        <a:xfrm xmlns:a="http://schemas.openxmlformats.org/drawingml/2006/main">
          <a:off x="612274" y="2687721"/>
          <a:ext cx="381000" cy="2306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solidFill>
                <a:srgbClr val="FF0000"/>
              </a:solidFill>
            </a:rPr>
            <a:t>V2</a:t>
          </a:r>
        </a:p>
      </cdr:txBody>
    </cdr:sp>
  </cdr:relSizeAnchor>
  <cdr:relSizeAnchor xmlns:cdr="http://schemas.openxmlformats.org/drawingml/2006/chartDrawing">
    <cdr:from>
      <cdr:x>0.11655</cdr:x>
      <cdr:y>0.43387</cdr:y>
    </cdr:from>
    <cdr:to>
      <cdr:x>0.41353</cdr:x>
      <cdr:y>0.43514</cdr:y>
    </cdr:to>
    <cdr:cxnSp macro="">
      <cdr:nvCxnSpPr>
        <cdr:cNvPr id="11" name="Connecteur droit 10">
          <a:extLst xmlns:a="http://schemas.openxmlformats.org/drawingml/2006/main">
            <a:ext uri="{FF2B5EF4-FFF2-40B4-BE49-F238E27FC236}">
              <a16:creationId xmlns:a16="http://schemas.microsoft.com/office/drawing/2014/main" id="{546FC740-3D32-43E2-B90A-7787F0A0D513}"/>
            </a:ext>
          </a:extLst>
        </cdr:cNvPr>
        <cdr:cNvCxnSpPr/>
      </cdr:nvCxnSpPr>
      <cdr:spPr>
        <a:xfrm xmlns:a="http://schemas.openxmlformats.org/drawingml/2006/main" flipH="1" flipV="1">
          <a:off x="952502" y="2799850"/>
          <a:ext cx="2427038" cy="818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lgDash"/>
        </a:ln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0.10682</cdr:x>
      <cdr:y>0.59672</cdr:y>
    </cdr:from>
    <cdr:to>
      <cdr:x>0.16072</cdr:x>
      <cdr:y>0.59856</cdr:y>
    </cdr:to>
    <cdr:cxnSp macro="">
      <cdr:nvCxnSpPr>
        <cdr:cNvPr id="14" name="Connecteur droit 13">
          <a:extLst xmlns:a="http://schemas.openxmlformats.org/drawingml/2006/main">
            <a:ext uri="{FF2B5EF4-FFF2-40B4-BE49-F238E27FC236}">
              <a16:creationId xmlns:a16="http://schemas.microsoft.com/office/drawing/2014/main" id="{26284963-6687-4460-94F0-F91A684DBAF7}"/>
            </a:ext>
          </a:extLst>
        </cdr:cNvPr>
        <cdr:cNvCxnSpPr/>
      </cdr:nvCxnSpPr>
      <cdr:spPr>
        <a:xfrm xmlns:a="http://schemas.openxmlformats.org/drawingml/2006/main" flipH="1" flipV="1">
          <a:off x="872958" y="3850774"/>
          <a:ext cx="440491" cy="1186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lgDash"/>
        </a:ln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5DA5D-E879-4332-ADBF-063F354ECAA1}">
  <dimension ref="A2:I33"/>
  <sheetViews>
    <sheetView workbookViewId="0">
      <selection activeCell="D33" sqref="D33"/>
    </sheetView>
  </sheetViews>
  <sheetFormatPr baseColWidth="10" defaultRowHeight="14.4" x14ac:dyDescent="0.3"/>
  <sheetData>
    <row r="2" spans="3:8" ht="15" thickBot="1" x14ac:dyDescent="0.35">
      <c r="C2" s="1" t="s">
        <v>0</v>
      </c>
      <c r="D2" s="2" t="s">
        <v>1</v>
      </c>
      <c r="E2" s="2" t="s">
        <v>2</v>
      </c>
      <c r="F2" s="2" t="s">
        <v>3</v>
      </c>
      <c r="G2" s="3"/>
      <c r="H2" s="3" t="s">
        <v>4</v>
      </c>
    </row>
    <row r="3" spans="3:8" x14ac:dyDescent="0.3">
      <c r="C3" s="4">
        <v>10</v>
      </c>
      <c r="D3" s="5">
        <v>0.62</v>
      </c>
      <c r="E3" s="6">
        <v>0.65</v>
      </c>
      <c r="F3" s="6">
        <v>0.68</v>
      </c>
      <c r="G3" s="3"/>
      <c r="H3" s="3"/>
    </row>
    <row r="4" spans="3:8" x14ac:dyDescent="0.3">
      <c r="C4" s="4">
        <v>20</v>
      </c>
      <c r="D4" s="7">
        <v>2.58</v>
      </c>
      <c r="E4" s="1">
        <v>2.68</v>
      </c>
      <c r="F4" s="1">
        <v>2.81</v>
      </c>
      <c r="G4" s="3"/>
      <c r="H4" s="3"/>
    </row>
    <row r="5" spans="3:8" x14ac:dyDescent="0.3">
      <c r="C5" s="4">
        <v>29</v>
      </c>
      <c r="D5" s="7">
        <v>5.0599999999999996</v>
      </c>
      <c r="E5" s="1">
        <v>5.2</v>
      </c>
      <c r="F5" s="1">
        <v>5.37</v>
      </c>
      <c r="G5" s="3"/>
      <c r="H5" s="3"/>
    </row>
    <row r="6" spans="3:8" x14ac:dyDescent="0.3">
      <c r="C6" s="4">
        <v>49</v>
      </c>
      <c r="D6" s="7">
        <v>11.26</v>
      </c>
      <c r="E6" s="1">
        <v>11.57</v>
      </c>
      <c r="F6" s="1">
        <v>11.89</v>
      </c>
      <c r="G6" s="3"/>
      <c r="H6" s="3"/>
    </row>
    <row r="7" spans="3:8" x14ac:dyDescent="0.3">
      <c r="C7" s="4">
        <v>73</v>
      </c>
      <c r="D7" s="7">
        <v>22.67</v>
      </c>
      <c r="E7" s="1">
        <v>23.24</v>
      </c>
      <c r="F7" s="1">
        <v>24.02</v>
      </c>
      <c r="G7" s="3"/>
      <c r="H7" s="3"/>
    </row>
    <row r="8" spans="3:8" x14ac:dyDescent="0.3">
      <c r="C8" s="4">
        <v>98</v>
      </c>
      <c r="D8" s="7">
        <v>42.02</v>
      </c>
      <c r="E8" s="1">
        <v>43.68</v>
      </c>
      <c r="F8" s="1">
        <v>46.09</v>
      </c>
      <c r="G8" s="3"/>
      <c r="H8" s="3"/>
    </row>
    <row r="9" spans="3:8" x14ac:dyDescent="0.3">
      <c r="C9" s="4">
        <v>149</v>
      </c>
      <c r="D9" s="7">
        <v>81.69</v>
      </c>
      <c r="E9" s="1">
        <v>81.78</v>
      </c>
      <c r="F9" s="1">
        <v>81.86</v>
      </c>
      <c r="G9" s="3"/>
      <c r="H9" s="3"/>
    </row>
    <row r="10" spans="3:8" x14ac:dyDescent="0.3">
      <c r="C10" s="4">
        <v>200</v>
      </c>
      <c r="D10" s="7">
        <v>82.5</v>
      </c>
      <c r="E10" s="1">
        <v>82.52</v>
      </c>
      <c r="F10" s="1">
        <v>82.55</v>
      </c>
      <c r="G10" s="3"/>
      <c r="H10" s="3"/>
    </row>
    <row r="11" spans="3:8" x14ac:dyDescent="0.3">
      <c r="C11" s="4">
        <v>300</v>
      </c>
      <c r="D11" s="7">
        <v>82.99</v>
      </c>
      <c r="E11" s="1">
        <v>83</v>
      </c>
      <c r="F11" s="1">
        <v>83.02</v>
      </c>
      <c r="G11" s="3"/>
      <c r="H11" s="3"/>
    </row>
    <row r="12" spans="3:8" x14ac:dyDescent="0.3">
      <c r="C12" s="4">
        <v>400</v>
      </c>
      <c r="D12" s="7">
        <v>83.26</v>
      </c>
      <c r="E12" s="1">
        <v>83.27</v>
      </c>
      <c r="F12" s="1">
        <v>83.28</v>
      </c>
      <c r="G12" s="3"/>
      <c r="H12" s="3"/>
    </row>
    <row r="13" spans="3:8" x14ac:dyDescent="0.3">
      <c r="C13" s="4">
        <v>500</v>
      </c>
      <c r="D13" s="7">
        <v>83.44</v>
      </c>
      <c r="E13" s="1">
        <v>83.45</v>
      </c>
      <c r="F13" s="1">
        <v>83.46</v>
      </c>
      <c r="G13" s="3"/>
      <c r="H13" s="3"/>
    </row>
    <row r="14" spans="3:8" x14ac:dyDescent="0.3">
      <c r="C14" s="4">
        <v>600</v>
      </c>
      <c r="D14" s="7">
        <v>83.59</v>
      </c>
      <c r="E14" s="1">
        <v>83.6</v>
      </c>
      <c r="F14" s="1">
        <v>83.61</v>
      </c>
      <c r="G14" s="3"/>
      <c r="H14" s="3"/>
    </row>
    <row r="15" spans="3:8" x14ac:dyDescent="0.3">
      <c r="C15" s="4">
        <v>700</v>
      </c>
      <c r="D15" s="7">
        <v>83.72</v>
      </c>
      <c r="E15" s="1">
        <v>83.72</v>
      </c>
      <c r="F15" s="1">
        <v>83.73</v>
      </c>
      <c r="G15" s="3"/>
      <c r="H15" s="3"/>
    </row>
    <row r="16" spans="3:8" x14ac:dyDescent="0.3">
      <c r="C16" s="4">
        <v>800</v>
      </c>
      <c r="D16" s="7">
        <v>83.83</v>
      </c>
      <c r="E16" s="1">
        <v>83.83</v>
      </c>
      <c r="F16" s="1">
        <v>83.84</v>
      </c>
      <c r="G16" s="3"/>
      <c r="H16" s="3"/>
    </row>
    <row r="17" spans="1:8" x14ac:dyDescent="0.3">
      <c r="C17" s="4">
        <v>900</v>
      </c>
      <c r="D17" s="7">
        <v>83.92</v>
      </c>
      <c r="E17" s="1">
        <v>83.93</v>
      </c>
      <c r="F17" s="1">
        <v>83.94</v>
      </c>
      <c r="G17" s="3"/>
      <c r="H17" s="3"/>
    </row>
    <row r="18" spans="1:8" x14ac:dyDescent="0.3">
      <c r="C18" s="4">
        <v>1000</v>
      </c>
      <c r="D18" s="7">
        <v>84.03</v>
      </c>
      <c r="E18" s="1">
        <v>84.03</v>
      </c>
      <c r="F18" s="1">
        <v>84.04</v>
      </c>
      <c r="G18" s="3"/>
      <c r="H18" s="3"/>
    </row>
    <row r="19" spans="1:8" x14ac:dyDescent="0.3">
      <c r="C19" s="4">
        <v>1100</v>
      </c>
      <c r="D19" s="7">
        <v>84.12</v>
      </c>
      <c r="E19" s="1">
        <v>84.12</v>
      </c>
      <c r="F19" s="1">
        <v>84.13</v>
      </c>
      <c r="G19" s="3"/>
      <c r="H19" s="3"/>
    </row>
    <row r="20" spans="1:8" x14ac:dyDescent="0.3">
      <c r="C20" s="4">
        <v>1200</v>
      </c>
      <c r="D20" s="7">
        <v>84.21</v>
      </c>
      <c r="E20" s="1">
        <v>84.21</v>
      </c>
      <c r="F20" s="1">
        <v>84.22</v>
      </c>
      <c r="G20" s="3"/>
      <c r="H20" s="3"/>
    </row>
    <row r="21" spans="1:8" x14ac:dyDescent="0.3">
      <c r="C21" s="4">
        <v>1300</v>
      </c>
      <c r="D21" s="7">
        <v>84.29</v>
      </c>
      <c r="E21" s="1">
        <v>84.29</v>
      </c>
      <c r="F21" s="1">
        <v>84.3</v>
      </c>
      <c r="G21" s="3"/>
      <c r="H21" s="3"/>
    </row>
    <row r="22" spans="1:8" x14ac:dyDescent="0.3">
      <c r="C22" s="4">
        <v>1400</v>
      </c>
      <c r="D22" s="7">
        <v>84.37</v>
      </c>
      <c r="E22" s="1">
        <v>84.37</v>
      </c>
      <c r="F22" s="1">
        <v>84.38</v>
      </c>
      <c r="G22" s="3"/>
      <c r="H22" s="3"/>
    </row>
    <row r="23" spans="1:8" x14ac:dyDescent="0.3">
      <c r="C23" s="4">
        <v>1500</v>
      </c>
      <c r="D23" s="7">
        <v>84.45</v>
      </c>
      <c r="E23" s="1">
        <v>84.46</v>
      </c>
      <c r="F23" s="1">
        <v>84.46</v>
      </c>
      <c r="G23" s="3"/>
      <c r="H23" s="3"/>
    </row>
    <row r="24" spans="1:8" x14ac:dyDescent="0.3">
      <c r="A24" t="s">
        <v>5</v>
      </c>
    </row>
    <row r="25" spans="1:8" x14ac:dyDescent="0.3">
      <c r="A25" t="s">
        <v>6</v>
      </c>
    </row>
    <row r="28" spans="1:8" x14ac:dyDescent="0.3">
      <c r="C28" t="s">
        <v>7</v>
      </c>
    </row>
    <row r="30" spans="1:8" x14ac:dyDescent="0.3">
      <c r="C30" s="8" t="s">
        <v>8</v>
      </c>
      <c r="D30" s="9">
        <f>(PI()/4)*1.97*1.97*30.3</f>
        <v>92.355967489573459</v>
      </c>
      <c r="E30" t="s">
        <v>9</v>
      </c>
      <c r="F30" s="3"/>
    </row>
    <row r="31" spans="1:8" x14ac:dyDescent="0.3">
      <c r="C31" s="8" t="s">
        <v>10</v>
      </c>
      <c r="D31">
        <v>82.700999999999993</v>
      </c>
      <c r="E31" t="s">
        <v>9</v>
      </c>
      <c r="F31" s="3"/>
    </row>
    <row r="32" spans="1:8" x14ac:dyDescent="0.3">
      <c r="C32" s="8"/>
    </row>
    <row r="33" spans="3:9" x14ac:dyDescent="0.3">
      <c r="C33" s="10" t="s">
        <v>11</v>
      </c>
      <c r="D33" s="11">
        <f>D30-D31</f>
        <v>9.6549674895734654</v>
      </c>
      <c r="E33" t="s">
        <v>9</v>
      </c>
      <c r="F33" s="3"/>
      <c r="G33" s="40" t="s">
        <v>20</v>
      </c>
      <c r="H33" s="41">
        <v>1.2999999999999999E-3</v>
      </c>
      <c r="I33" t="s"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7AC4-3D03-436E-8CFC-2856D60931B1}">
  <dimension ref="A1:H20"/>
  <sheetViews>
    <sheetView workbookViewId="0">
      <selection activeCell="V12" sqref="V12"/>
    </sheetView>
  </sheetViews>
  <sheetFormatPr baseColWidth="10" defaultRowHeight="14.4" x14ac:dyDescent="0.3"/>
  <sheetData>
    <row r="1" spans="1:8" x14ac:dyDescent="0.3">
      <c r="A1" t="s">
        <v>66</v>
      </c>
    </row>
    <row r="4" spans="1:8" ht="15" thickBot="1" x14ac:dyDescent="0.35">
      <c r="C4" s="1" t="s">
        <v>0</v>
      </c>
      <c r="D4" s="2" t="s">
        <v>1</v>
      </c>
      <c r="E4" s="2" t="s">
        <v>2</v>
      </c>
      <c r="F4" s="2" t="s">
        <v>3</v>
      </c>
      <c r="G4" s="3" t="s">
        <v>12</v>
      </c>
      <c r="H4" s="3" t="s">
        <v>4</v>
      </c>
    </row>
    <row r="5" spans="1:8" x14ac:dyDescent="0.3">
      <c r="C5" s="12"/>
      <c r="D5" s="13"/>
      <c r="E5" s="14"/>
      <c r="F5" s="14"/>
      <c r="G5" s="3"/>
      <c r="H5" s="3"/>
    </row>
    <row r="6" spans="1:8" x14ac:dyDescent="0.3">
      <c r="C6" s="4">
        <v>10</v>
      </c>
      <c r="D6" s="5">
        <v>1.27</v>
      </c>
      <c r="E6" s="6">
        <v>1.34</v>
      </c>
      <c r="F6" s="6">
        <v>1.41</v>
      </c>
      <c r="G6" s="3">
        <f>F6-E6</f>
        <v>6.999999999999984E-2</v>
      </c>
      <c r="H6" s="3"/>
    </row>
    <row r="7" spans="1:8" x14ac:dyDescent="0.3">
      <c r="C7" s="4">
        <v>20</v>
      </c>
      <c r="D7" s="7">
        <v>3.43</v>
      </c>
      <c r="E7" s="1">
        <v>3.54</v>
      </c>
      <c r="F7" s="1">
        <v>3.66</v>
      </c>
      <c r="G7" s="3">
        <f t="shared" ref="G7:G14" si="0">F7-E7</f>
        <v>0.12000000000000011</v>
      </c>
      <c r="H7" s="3"/>
    </row>
    <row r="8" spans="1:8" x14ac:dyDescent="0.3">
      <c r="C8" s="4">
        <v>30</v>
      </c>
      <c r="D8" s="7">
        <v>6.24</v>
      </c>
      <c r="E8" s="1">
        <v>6.39</v>
      </c>
      <c r="F8" s="1">
        <v>6.58</v>
      </c>
      <c r="G8" s="3">
        <f t="shared" si="0"/>
        <v>0.19000000000000039</v>
      </c>
      <c r="H8" s="3"/>
    </row>
    <row r="9" spans="1:8" x14ac:dyDescent="0.3">
      <c r="C9" s="4">
        <v>49</v>
      </c>
      <c r="D9" s="7">
        <v>13.12</v>
      </c>
      <c r="E9" s="1">
        <v>13.3</v>
      </c>
      <c r="F9" s="1">
        <v>13.7</v>
      </c>
      <c r="G9" s="3">
        <f t="shared" si="0"/>
        <v>0.39999999999999858</v>
      </c>
      <c r="H9" s="3"/>
    </row>
    <row r="10" spans="1:8" x14ac:dyDescent="0.3">
      <c r="C10" s="4">
        <v>73</v>
      </c>
      <c r="D10" s="7">
        <v>26.08</v>
      </c>
      <c r="E10" s="1">
        <v>26.69</v>
      </c>
      <c r="F10" s="1">
        <v>27.42</v>
      </c>
      <c r="G10" s="3">
        <f t="shared" si="0"/>
        <v>0.73000000000000043</v>
      </c>
      <c r="H10" s="3"/>
    </row>
    <row r="11" spans="1:8" x14ac:dyDescent="0.3">
      <c r="C11" s="4">
        <v>94</v>
      </c>
      <c r="D11" s="7">
        <v>46.43</v>
      </c>
      <c r="E11" s="1">
        <v>47.45</v>
      </c>
      <c r="F11" s="1">
        <v>49.74</v>
      </c>
      <c r="G11" s="3">
        <f t="shared" si="0"/>
        <v>2.2899999999999991</v>
      </c>
      <c r="H11" s="3"/>
    </row>
    <row r="12" spans="1:8" x14ac:dyDescent="0.3">
      <c r="C12" s="4">
        <v>106</v>
      </c>
      <c r="D12" s="7">
        <v>64.05</v>
      </c>
      <c r="E12" s="1">
        <v>65.8</v>
      </c>
      <c r="F12" s="1">
        <v>68.790000000000006</v>
      </c>
      <c r="G12" s="3">
        <f t="shared" si="0"/>
        <v>2.9900000000000091</v>
      </c>
      <c r="H12" s="3"/>
    </row>
    <row r="13" spans="1:8" x14ac:dyDescent="0.3">
      <c r="C13" s="15">
        <v>117</v>
      </c>
      <c r="D13" s="16">
        <v>78.98</v>
      </c>
      <c r="E13" s="7">
        <v>81.67</v>
      </c>
      <c r="F13" s="7">
        <v>84.57</v>
      </c>
      <c r="G13" s="3">
        <f t="shared" si="0"/>
        <v>2.8999999999999915</v>
      </c>
      <c r="H13" s="3"/>
    </row>
    <row r="14" spans="1:8" x14ac:dyDescent="0.3">
      <c r="C14" s="15">
        <v>127</v>
      </c>
      <c r="D14" s="16">
        <v>91.57</v>
      </c>
      <c r="E14" s="7">
        <v>92.72</v>
      </c>
      <c r="F14" s="7">
        <v>94.4</v>
      </c>
      <c r="G14" s="3">
        <f t="shared" si="0"/>
        <v>1.6800000000000068</v>
      </c>
      <c r="H14" s="3"/>
    </row>
    <row r="15" spans="1:8" x14ac:dyDescent="0.3">
      <c r="C15" s="15"/>
      <c r="D15" s="16"/>
      <c r="E15" s="7"/>
      <c r="F15" s="7"/>
      <c r="G15" s="3"/>
      <c r="H15" s="3"/>
    </row>
    <row r="18" spans="2:2" x14ac:dyDescent="0.3">
      <c r="B18" t="s">
        <v>13</v>
      </c>
    </row>
    <row r="19" spans="2:2" x14ac:dyDescent="0.3">
      <c r="B19" t="s">
        <v>14</v>
      </c>
    </row>
    <row r="20" spans="2:2" x14ac:dyDescent="0.3">
      <c r="B20" t="s">
        <v>15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4BB8-9219-47AD-9A16-DFA97C64696C}">
  <dimension ref="A1:V44"/>
  <sheetViews>
    <sheetView zoomScale="95" workbookViewId="0">
      <selection activeCell="Q35" sqref="Q35"/>
    </sheetView>
  </sheetViews>
  <sheetFormatPr baseColWidth="10" defaultRowHeight="14.4" x14ac:dyDescent="0.3"/>
  <cols>
    <col min="11" max="11" width="18" bestFit="1" customWidth="1"/>
    <col min="19" max="19" width="12.5546875" bestFit="1" customWidth="1"/>
  </cols>
  <sheetData>
    <row r="1" spans="1:22" x14ac:dyDescent="0.3">
      <c r="A1" t="s">
        <v>66</v>
      </c>
      <c r="R1" s="32" t="s">
        <v>46</v>
      </c>
      <c r="S1" s="32"/>
      <c r="U1" s="33" t="s">
        <v>49</v>
      </c>
      <c r="V1" s="33"/>
    </row>
    <row r="2" spans="1:22" x14ac:dyDescent="0.3">
      <c r="K2" s="35" t="s">
        <v>41</v>
      </c>
      <c r="R2" s="32" t="s">
        <v>47</v>
      </c>
      <c r="S2" s="32"/>
      <c r="U2" s="33" t="s">
        <v>50</v>
      </c>
      <c r="V2" s="33" t="s">
        <v>51</v>
      </c>
    </row>
    <row r="3" spans="1:22" ht="15" thickBot="1" x14ac:dyDescent="0.35">
      <c r="C3" s="1" t="s">
        <v>0</v>
      </c>
      <c r="D3" s="2" t="s">
        <v>1</v>
      </c>
      <c r="E3" s="2" t="s">
        <v>2</v>
      </c>
      <c r="F3" s="2" t="s">
        <v>3</v>
      </c>
      <c r="G3" s="3" t="s">
        <v>12</v>
      </c>
      <c r="H3" s="3" t="s">
        <v>4</v>
      </c>
      <c r="I3" s="35" t="s">
        <v>22</v>
      </c>
      <c r="K3" s="35" t="s">
        <v>42</v>
      </c>
      <c r="L3" s="34"/>
      <c r="M3" s="35" t="s">
        <v>19</v>
      </c>
      <c r="N3" s="35" t="s">
        <v>24</v>
      </c>
      <c r="O3" s="35"/>
      <c r="P3" s="34" t="s">
        <v>36</v>
      </c>
      <c r="R3" s="32" t="s">
        <v>31</v>
      </c>
      <c r="S3" s="32" t="s">
        <v>48</v>
      </c>
      <c r="U3" s="33" t="s">
        <v>52</v>
      </c>
      <c r="V3" s="33" t="s">
        <v>53</v>
      </c>
    </row>
    <row r="4" spans="1:22" x14ac:dyDescent="0.3">
      <c r="C4" s="12"/>
      <c r="D4" s="13"/>
      <c r="E4" s="14"/>
      <c r="F4" s="14"/>
      <c r="G4" s="3"/>
      <c r="H4" s="3"/>
      <c r="I4" s="43">
        <v>0</v>
      </c>
      <c r="J4" s="44"/>
      <c r="K4" s="43"/>
      <c r="L4" s="44"/>
      <c r="M4" s="43"/>
      <c r="N4" s="43">
        <v>0</v>
      </c>
      <c r="O4" s="35"/>
      <c r="R4" s="20"/>
      <c r="S4" s="20"/>
      <c r="U4" s="21"/>
      <c r="V4" s="21"/>
    </row>
    <row r="5" spans="1:22" x14ac:dyDescent="0.3">
      <c r="C5" s="4">
        <v>10</v>
      </c>
      <c r="D5" s="5">
        <v>1.1399999999999999</v>
      </c>
      <c r="E5" s="6">
        <v>1.18</v>
      </c>
      <c r="F5" s="6">
        <v>1.22</v>
      </c>
      <c r="G5" s="3">
        <f>F5-E5</f>
        <v>4.0000000000000036E-2</v>
      </c>
      <c r="H5" s="3"/>
      <c r="I5">
        <f>F5-C5*EtalonnageTube_04062020!$H$33</f>
        <v>1.206</v>
      </c>
      <c r="K5">
        <f>3.4208-F5</f>
        <v>2.2008000000000001</v>
      </c>
      <c r="M5">
        <v>10.861175510544399</v>
      </c>
      <c r="N5">
        <f>IF((C5-M5)&gt;0,C5-M5,0)</f>
        <v>0</v>
      </c>
      <c r="P5" t="e">
        <f>(I5-I4)/(N5-N4)</f>
        <v>#DIV/0!</v>
      </c>
      <c r="R5" s="20"/>
      <c r="S5" s="20"/>
      <c r="U5" s="21"/>
      <c r="V5" s="21"/>
    </row>
    <row r="6" spans="1:22" x14ac:dyDescent="0.3">
      <c r="C6" s="4">
        <v>20</v>
      </c>
      <c r="D6" s="7">
        <v>3.33</v>
      </c>
      <c r="E6" s="1">
        <v>3.42</v>
      </c>
      <c r="F6" s="1">
        <v>3.55</v>
      </c>
      <c r="G6" s="3">
        <f t="shared" ref="G6:G22" si="0">F6-E6</f>
        <v>0.12999999999999989</v>
      </c>
      <c r="H6" s="3"/>
      <c r="I6">
        <f>F6-C6*EtalonnageTube_04062020!$H$33</f>
        <v>3.5219999999999998</v>
      </c>
      <c r="K6">
        <f>3.4208-F6</f>
        <v>-0.12919999999999998</v>
      </c>
      <c r="M6">
        <v>22.5865569986811</v>
      </c>
      <c r="N6">
        <f>IF((C6-M6)&gt;0,C6-M6,0)</f>
        <v>0</v>
      </c>
      <c r="P6" t="e">
        <f t="shared" ref="P6:P22" si="1">(I6-I5)/(N6-N5)</f>
        <v>#DIV/0!</v>
      </c>
      <c r="R6" s="20"/>
      <c r="S6" s="20"/>
      <c r="U6" s="21"/>
      <c r="V6" s="21"/>
    </row>
    <row r="7" spans="1:22" x14ac:dyDescent="0.3">
      <c r="C7" s="4">
        <v>29</v>
      </c>
      <c r="D7" s="7">
        <v>5.95</v>
      </c>
      <c r="E7" s="1">
        <v>6.12</v>
      </c>
      <c r="F7" s="1">
        <v>6.33</v>
      </c>
      <c r="G7" s="3">
        <f t="shared" si="0"/>
        <v>0.20999999999999996</v>
      </c>
      <c r="H7" s="3"/>
      <c r="I7">
        <f>F7-C7*EtalonnageTube_04062020!$H$33</f>
        <v>6.2893999999999997</v>
      </c>
      <c r="K7">
        <f>3.4208-F7</f>
        <v>-2.9092000000000002</v>
      </c>
      <c r="M7">
        <v>33.661117366456438</v>
      </c>
      <c r="N7">
        <f t="shared" ref="N7:N21" si="2">IF((C7-M7)&gt;0,C7-M7,0)</f>
        <v>0</v>
      </c>
      <c r="P7" t="e">
        <f t="shared" si="1"/>
        <v>#DIV/0!</v>
      </c>
      <c r="R7" s="20"/>
      <c r="S7" s="20"/>
      <c r="U7" s="21"/>
      <c r="V7" s="21"/>
    </row>
    <row r="8" spans="1:22" x14ac:dyDescent="0.3">
      <c r="C8" s="4">
        <v>49</v>
      </c>
      <c r="D8" s="7">
        <v>13.24</v>
      </c>
      <c r="E8" s="1">
        <v>13.51</v>
      </c>
      <c r="F8" s="1">
        <v>13.79</v>
      </c>
      <c r="G8" s="3">
        <f t="shared" si="0"/>
        <v>0.27999999999999936</v>
      </c>
      <c r="H8" s="3"/>
      <c r="I8">
        <f>F8-C8*EtalonnageTube_04062020!$H$33</f>
        <v>13.721399999999999</v>
      </c>
      <c r="K8">
        <f t="shared" ref="K8:K21" si="3">3.4208-F8</f>
        <v>-10.369199999999999</v>
      </c>
      <c r="M8">
        <v>50.245786594477067</v>
      </c>
      <c r="N8">
        <f t="shared" si="2"/>
        <v>0</v>
      </c>
      <c r="P8" t="e">
        <f t="shared" si="1"/>
        <v>#DIV/0!</v>
      </c>
      <c r="R8" s="20"/>
      <c r="S8" s="20"/>
      <c r="U8" s="21"/>
      <c r="V8" s="21"/>
    </row>
    <row r="9" spans="1:22" x14ac:dyDescent="0.3">
      <c r="C9" s="4">
        <v>71</v>
      </c>
      <c r="D9" s="7">
        <v>25.13</v>
      </c>
      <c r="E9" s="1">
        <v>25.84</v>
      </c>
      <c r="F9" s="1">
        <v>27.21</v>
      </c>
      <c r="G9" s="3">
        <f t="shared" si="0"/>
        <v>1.370000000000001</v>
      </c>
      <c r="H9" s="3"/>
      <c r="I9">
        <f>F9-C9*EtalonnageTube_04062020!$H$33</f>
        <v>27.110600000000002</v>
      </c>
      <c r="K9">
        <f t="shared" si="3"/>
        <v>-23.789200000000001</v>
      </c>
      <c r="M9">
        <v>69.338388163357195</v>
      </c>
      <c r="N9">
        <f>IF((C9-M9)&gt;0,C9-M9,0)</f>
        <v>1.6616118366428054</v>
      </c>
      <c r="P9">
        <f t="shared" si="1"/>
        <v>8.0579589677527448</v>
      </c>
      <c r="R9" s="20"/>
      <c r="S9" s="20"/>
      <c r="U9" s="21"/>
      <c r="V9" s="21"/>
    </row>
    <row r="10" spans="1:22" x14ac:dyDescent="0.3">
      <c r="C10" s="4">
        <v>96</v>
      </c>
      <c r="D10" s="7">
        <v>50.15</v>
      </c>
      <c r="E10" s="1">
        <v>51.46</v>
      </c>
      <c r="F10" s="1">
        <v>54.17</v>
      </c>
      <c r="G10" s="3">
        <f t="shared" si="0"/>
        <v>2.7100000000000009</v>
      </c>
      <c r="H10" s="3"/>
      <c r="I10">
        <f>F10-C10*EtalonnageTube_04062020!$H$33</f>
        <v>54.035600000000002</v>
      </c>
      <c r="K10">
        <f t="shared" si="3"/>
        <v>-50.749200000000002</v>
      </c>
      <c r="M10">
        <v>95.766243491622163</v>
      </c>
      <c r="N10">
        <f t="shared" si="2"/>
        <v>0.23375650837783724</v>
      </c>
      <c r="P10">
        <f t="shared" si="1"/>
        <v>-18.856952428589114</v>
      </c>
      <c r="R10" s="20"/>
      <c r="S10" s="20"/>
      <c r="U10" s="21"/>
      <c r="V10" s="21"/>
    </row>
    <row r="11" spans="1:22" x14ac:dyDescent="0.3">
      <c r="C11" s="4">
        <v>149</v>
      </c>
      <c r="D11" s="7">
        <v>79.040000000000006</v>
      </c>
      <c r="E11" s="1">
        <v>79.3</v>
      </c>
      <c r="F11" s="1">
        <v>79.709999999999994</v>
      </c>
      <c r="G11" s="3">
        <f t="shared" si="0"/>
        <v>0.40999999999999659</v>
      </c>
      <c r="H11" s="3"/>
      <c r="I11">
        <f>F11-C11*EtalonnageTube_04062020!$H$33</f>
        <v>79.50139999999999</v>
      </c>
      <c r="K11">
        <f t="shared" si="3"/>
        <v>-76.289199999999994</v>
      </c>
      <c r="M11">
        <v>114.93976793047614</v>
      </c>
      <c r="N11">
        <f t="shared" si="2"/>
        <v>34.060232069523863</v>
      </c>
      <c r="P11">
        <f t="shared" si="1"/>
        <v>0.75283633832815477</v>
      </c>
      <c r="R11" s="20"/>
      <c r="S11" s="20"/>
      <c r="U11" s="21"/>
      <c r="V11" s="21"/>
    </row>
    <row r="12" spans="1:22" x14ac:dyDescent="0.3">
      <c r="C12" s="4">
        <v>199</v>
      </c>
      <c r="D12" s="7">
        <v>83.2</v>
      </c>
      <c r="E12" s="1">
        <v>83.41</v>
      </c>
      <c r="F12" s="1">
        <v>83.67</v>
      </c>
      <c r="G12" s="3">
        <f t="shared" si="0"/>
        <v>0.26000000000000512</v>
      </c>
      <c r="H12" s="3"/>
      <c r="I12">
        <f>F12-C12*EtalonnageTube_04062020!$H$33</f>
        <v>83.391400000000004</v>
      </c>
      <c r="K12">
        <f t="shared" si="3"/>
        <v>-80.249200000000002</v>
      </c>
      <c r="M12">
        <v>117.616547789097</v>
      </c>
      <c r="N12">
        <f t="shared" si="2"/>
        <v>81.383452210903002</v>
      </c>
      <c r="P12">
        <f t="shared" si="1"/>
        <v>8.2200661501448044E-2</v>
      </c>
      <c r="R12" s="20"/>
      <c r="S12" s="20"/>
      <c r="U12" s="21"/>
      <c r="V12" s="21"/>
    </row>
    <row r="13" spans="1:22" x14ac:dyDescent="0.3">
      <c r="C13" s="4">
        <v>299</v>
      </c>
      <c r="D13" s="7">
        <v>89.44</v>
      </c>
      <c r="E13" s="1">
        <v>89.67</v>
      </c>
      <c r="F13" s="1">
        <v>89.99</v>
      </c>
      <c r="G13" s="3">
        <f t="shared" si="0"/>
        <v>0.31999999999999318</v>
      </c>
      <c r="H13" s="3"/>
      <c r="I13">
        <f>F13-C13*EtalonnageTube_04062020!$H$33</f>
        <v>89.571399999999997</v>
      </c>
      <c r="K13">
        <f t="shared" si="3"/>
        <v>-86.569199999999995</v>
      </c>
      <c r="M13">
        <v>121.76072579098241</v>
      </c>
      <c r="N13">
        <f t="shared" si="2"/>
        <v>177.23927420901759</v>
      </c>
      <c r="P13">
        <f t="shared" si="1"/>
        <v>6.4471827283704777E-2</v>
      </c>
      <c r="R13" s="20"/>
      <c r="S13" s="20"/>
      <c r="U13" s="21" t="e">
        <f>((I13/1000)^2-($O$30/1000)^2)/((N13/1000)-($O$31/1000))</f>
        <v>#DIV/0!</v>
      </c>
      <c r="V13" s="21" t="e">
        <f>((N13/1000)*(I13/1000)^2-($O$31/1000)*($O$30/1000)^2)/(N13/1000-$O$31/1000)</f>
        <v>#DIV/0!</v>
      </c>
    </row>
    <row r="14" spans="1:22" x14ac:dyDescent="0.3">
      <c r="C14" s="4">
        <v>399</v>
      </c>
      <c r="D14" s="7">
        <v>95.01</v>
      </c>
      <c r="E14" s="1">
        <v>95.34</v>
      </c>
      <c r="F14" s="1">
        <v>95.71</v>
      </c>
      <c r="G14" s="3">
        <f t="shared" si="0"/>
        <v>0.36999999999999034</v>
      </c>
      <c r="H14" s="3"/>
      <c r="I14">
        <f>F14-C14*EtalonnageTube_04062020!$H$33</f>
        <v>95.151399999999995</v>
      </c>
      <c r="K14">
        <f t="shared" si="3"/>
        <v>-92.289199999999994</v>
      </c>
      <c r="M14">
        <v>125.38816189725844</v>
      </c>
      <c r="N14">
        <f t="shared" si="2"/>
        <v>273.61183810274156</v>
      </c>
      <c r="P14" s="31">
        <f>(I14-I13)/(N14-N13)</f>
        <v>5.7900296251881526E-2</v>
      </c>
      <c r="R14" s="20"/>
      <c r="S14" s="20"/>
      <c r="U14" s="21">
        <f>((I14/1000)^2-($O$30/1000)^2)/((N14/1000)-($O$31/1000))</f>
        <v>1.069550484447708E-2</v>
      </c>
      <c r="V14" s="21">
        <f>((N14/1000)*(I14/1000)^2-($O$31/1000)*($O$30/1000)^2)/(N14/1000-$O$31/1000)</f>
        <v>1.0949452437894146E-2</v>
      </c>
    </row>
    <row r="15" spans="1:22" x14ac:dyDescent="0.3">
      <c r="C15" s="4">
        <v>499</v>
      </c>
      <c r="D15" s="7">
        <v>100.95</v>
      </c>
      <c r="E15" s="1">
        <v>101.25</v>
      </c>
      <c r="F15" s="1">
        <v>101.61</v>
      </c>
      <c r="G15" s="3">
        <f t="shared" si="0"/>
        <v>0.35999999999999943</v>
      </c>
      <c r="H15" s="3"/>
      <c r="I15">
        <f>F15-C15*EtalonnageTube_04062020!$H$33</f>
        <v>100.9114</v>
      </c>
      <c r="K15">
        <f t="shared" si="3"/>
        <v>-98.1892</v>
      </c>
      <c r="M15">
        <v>129.01866376620455</v>
      </c>
      <c r="N15">
        <f t="shared" si="2"/>
        <v>369.98133623379545</v>
      </c>
      <c r="P15">
        <f t="shared" si="1"/>
        <v>5.9769949119864885E-2</v>
      </c>
      <c r="R15" s="20"/>
      <c r="S15" s="20"/>
      <c r="U15" s="21">
        <f t="shared" ref="U15:U22" si="4">((I15/1000)^2-($O$30/1000)^2)/((N15/1000)-($O$31/1000))</f>
        <v>1.1207076075186504E-2</v>
      </c>
      <c r="V15" s="21">
        <f t="shared" ref="V15:V22" si="5">((N15/1000)*(I15/1000)^2-($O$31/1000)*($O$30/1000)^2)/(N15/1000-$O$31/1000)</f>
        <v>1.2169444679531303E-2</v>
      </c>
    </row>
    <row r="16" spans="1:22" x14ac:dyDescent="0.3">
      <c r="C16" s="4">
        <v>599</v>
      </c>
      <c r="D16" s="7">
        <v>107.22</v>
      </c>
      <c r="E16" s="1">
        <v>107.53</v>
      </c>
      <c r="F16" s="1">
        <v>107.96</v>
      </c>
      <c r="G16" s="3">
        <f t="shared" si="0"/>
        <v>0.42999999999999261</v>
      </c>
      <c r="H16" s="3"/>
      <c r="I16">
        <f>F16-C16*EtalonnageTube_04062020!$H$33</f>
        <v>107.12139999999999</v>
      </c>
      <c r="K16">
        <f t="shared" si="3"/>
        <v>-104.53919999999999</v>
      </c>
      <c r="M16">
        <v>132.81128883047131</v>
      </c>
      <c r="N16">
        <f t="shared" si="2"/>
        <v>466.18871116952869</v>
      </c>
      <c r="P16">
        <f t="shared" si="1"/>
        <v>6.4548066134724996E-2</v>
      </c>
      <c r="R16" s="20"/>
      <c r="S16" s="20"/>
      <c r="U16" s="21">
        <f t="shared" si="4"/>
        <v>1.1946583721745608E-2</v>
      </c>
      <c r="V16" s="21">
        <f t="shared" si="5"/>
        <v>1.3592398166079454E-2</v>
      </c>
    </row>
    <row r="17" spans="3:22" x14ac:dyDescent="0.3">
      <c r="C17" s="4">
        <v>700</v>
      </c>
      <c r="D17" s="7">
        <v>113.84</v>
      </c>
      <c r="E17" s="1">
        <v>114.34</v>
      </c>
      <c r="F17" s="1">
        <v>114.95</v>
      </c>
      <c r="G17" s="3">
        <f t="shared" si="0"/>
        <v>0.60999999999999943</v>
      </c>
      <c r="H17" s="3"/>
      <c r="I17">
        <f>F17-C17*EtalonnageTube_04062020!$H$33</f>
        <v>113.97</v>
      </c>
      <c r="K17">
        <f t="shared" si="3"/>
        <v>-111.5292</v>
      </c>
      <c r="M17">
        <v>136.86092375159137</v>
      </c>
      <c r="N17">
        <f t="shared" si="2"/>
        <v>563.13907624840863</v>
      </c>
      <c r="P17">
        <f t="shared" si="1"/>
        <v>7.06402703530606E-2</v>
      </c>
      <c r="R17" s="20"/>
      <c r="S17" s="20"/>
      <c r="U17" s="21">
        <f t="shared" si="4"/>
        <v>1.2868949856401017E-2</v>
      </c>
      <c r="V17" s="21">
        <f t="shared" si="5"/>
        <v>1.5270044232380759E-2</v>
      </c>
    </row>
    <row r="18" spans="3:22" x14ac:dyDescent="0.3">
      <c r="C18" s="4">
        <v>800</v>
      </c>
      <c r="D18" s="7">
        <v>121.83</v>
      </c>
      <c r="E18" s="1">
        <v>122.39</v>
      </c>
      <c r="F18" s="1">
        <v>123.26</v>
      </c>
      <c r="G18" s="3">
        <f t="shared" si="0"/>
        <v>0.87000000000000455</v>
      </c>
      <c r="H18" s="3"/>
      <c r="I18">
        <f>F18-C18*EtalonnageTube_04062020!$H$33</f>
        <v>122.14</v>
      </c>
      <c r="K18">
        <f t="shared" si="3"/>
        <v>-119.83920000000001</v>
      </c>
      <c r="M18">
        <v>141.52064544818768</v>
      </c>
      <c r="N18">
        <f t="shared" si="2"/>
        <v>658.47935455181232</v>
      </c>
      <c r="P18">
        <f t="shared" si="1"/>
        <v>8.5693058016889895E-2</v>
      </c>
      <c r="R18" s="20"/>
      <c r="S18" s="20"/>
      <c r="U18" s="21">
        <f t="shared" si="4"/>
        <v>1.4327867074430883E-2</v>
      </c>
      <c r="V18" s="21">
        <f t="shared" si="5"/>
        <v>1.745764036123541E-2</v>
      </c>
    </row>
    <row r="19" spans="3:22" x14ac:dyDescent="0.3">
      <c r="C19" s="15">
        <v>900</v>
      </c>
      <c r="D19" s="7">
        <v>131.61000000000001</v>
      </c>
      <c r="E19" s="1">
        <v>132.69</v>
      </c>
      <c r="F19" s="1">
        <v>133.86000000000001</v>
      </c>
      <c r="G19" s="3">
        <f t="shared" si="0"/>
        <v>1.1700000000000159</v>
      </c>
      <c r="H19" s="3"/>
      <c r="I19">
        <f>F19-C19*EtalonnageTube_04062020!$H$33</f>
        <v>132.60000000000002</v>
      </c>
      <c r="K19">
        <f t="shared" si="3"/>
        <v>-130.43920000000003</v>
      </c>
      <c r="M19">
        <v>147.24610973931703</v>
      </c>
      <c r="N19">
        <f t="shared" si="2"/>
        <v>752.75389026068297</v>
      </c>
      <c r="P19">
        <f t="shared" si="1"/>
        <v>0.11095254854716619</v>
      </c>
      <c r="R19" s="20">
        <f t="shared" ref="R19:R22" si="6">1/(I19*10^-3)</f>
        <v>7.5414781297134228</v>
      </c>
      <c r="S19" s="20">
        <f t="shared" ref="S19:S22" si="7">N19/1000</f>
        <v>0.75275389026068296</v>
      </c>
      <c r="U19" s="21">
        <f>((I19/1000)^2-($O$30/1000)^2)/((N19/1000)-($O$31/1000))</f>
        <v>1.661074112700173E-2</v>
      </c>
      <c r="V19" s="21">
        <f t="shared" si="5"/>
        <v>2.0526835701423673E-2</v>
      </c>
    </row>
    <row r="20" spans="3:22" x14ac:dyDescent="0.3">
      <c r="C20" s="15">
        <v>998</v>
      </c>
      <c r="D20" s="7">
        <f>$D$19+12.3</f>
        <v>143.91000000000003</v>
      </c>
      <c r="E20" s="7">
        <f>$E$19+13.35</f>
        <v>146.04</v>
      </c>
      <c r="F20" s="7">
        <f>$F$19+15.14</f>
        <v>149</v>
      </c>
      <c r="G20" s="3">
        <f t="shared" si="0"/>
        <v>2.960000000000008</v>
      </c>
      <c r="H20" s="3"/>
      <c r="I20">
        <f>F20-C20*EtalonnageTube_04062020!$H$33</f>
        <v>147.6028</v>
      </c>
      <c r="K20">
        <f t="shared" si="3"/>
        <v>-145.57920000000001</v>
      </c>
      <c r="M20">
        <v>155.05224174639261</v>
      </c>
      <c r="N20">
        <f t="shared" si="2"/>
        <v>842.94775825360739</v>
      </c>
      <c r="P20">
        <f t="shared" si="1"/>
        <v>0.16633946779150138</v>
      </c>
      <c r="R20" s="20">
        <f t="shared" si="6"/>
        <v>6.7749392287951178</v>
      </c>
      <c r="S20" s="20">
        <f t="shared" si="7"/>
        <v>0.84294775825360735</v>
      </c>
      <c r="U20" s="21">
        <f t="shared" si="4"/>
        <v>2.0675042003758071E-2</v>
      </c>
      <c r="V20" s="21">
        <f t="shared" si="5"/>
        <v>2.5451016006827035E-2</v>
      </c>
    </row>
    <row r="21" spans="3:22" x14ac:dyDescent="0.3">
      <c r="C21" s="15">
        <v>1098</v>
      </c>
      <c r="D21" s="7">
        <f>$D$19+36.01</f>
        <v>167.62</v>
      </c>
      <c r="E21" s="7">
        <f>$E$19+37.86</f>
        <v>170.55</v>
      </c>
      <c r="F21" s="7">
        <f>$F$19+41.07</f>
        <v>174.93</v>
      </c>
      <c r="G21" s="3">
        <f t="shared" si="0"/>
        <v>4.3799999999999955</v>
      </c>
      <c r="I21">
        <f>F21-C21*EtalonnageTube_04062020!$H$33</f>
        <v>173.39279999999999</v>
      </c>
      <c r="K21">
        <f t="shared" si="3"/>
        <v>-171.50920000000002</v>
      </c>
      <c r="M21">
        <v>167.57383232991219</v>
      </c>
      <c r="N21">
        <f t="shared" si="2"/>
        <v>930.42616767008781</v>
      </c>
      <c r="P21">
        <f t="shared" si="1"/>
        <v>0.2948156027530755</v>
      </c>
      <c r="R21" s="20">
        <f t="shared" si="6"/>
        <v>5.7672521581057579</v>
      </c>
      <c r="S21" s="20">
        <f t="shared" si="7"/>
        <v>0.93042616767008779</v>
      </c>
      <c r="U21" s="21">
        <f t="shared" si="4"/>
        <v>2.9265017202558741E-2</v>
      </c>
      <c r="V21" s="21">
        <f t="shared" si="5"/>
        <v>3.5251973500535924E-2</v>
      </c>
    </row>
    <row r="22" spans="3:22" x14ac:dyDescent="0.3">
      <c r="C22" s="15">
        <v>1178</v>
      </c>
      <c r="D22" s="7">
        <f>$D$19+107.32</f>
        <v>238.93</v>
      </c>
      <c r="E22" s="7">
        <f>$E$19+113.7</f>
        <v>246.39</v>
      </c>
      <c r="F22" s="7">
        <f>$F$19+128.22</f>
        <v>262.08000000000004</v>
      </c>
      <c r="G22" s="3">
        <f t="shared" si="0"/>
        <v>15.690000000000055</v>
      </c>
      <c r="I22">
        <f>F22-C22*EtalonnageTube_04062020!$H$33</f>
        <v>260.43080000000003</v>
      </c>
      <c r="K22">
        <f>3.4208-F22</f>
        <v>-258.65920000000006</v>
      </c>
      <c r="M22">
        <v>204.15391555793099</v>
      </c>
      <c r="N22">
        <f>IF((C22-M22)&gt;0,C22-M22,0)</f>
        <v>973.84608444206901</v>
      </c>
      <c r="P22">
        <f t="shared" si="1"/>
        <v>2.0045639529223029</v>
      </c>
      <c r="R22" s="20">
        <f t="shared" si="6"/>
        <v>3.8397916068299138</v>
      </c>
      <c r="S22" s="20">
        <f t="shared" si="7"/>
        <v>0.97384608444206899</v>
      </c>
      <c r="U22" s="21">
        <f t="shared" si="4"/>
        <v>7.5069865236508423E-2</v>
      </c>
      <c r="V22" s="21">
        <f t="shared" si="5"/>
        <v>8.1129530018127519E-2</v>
      </c>
    </row>
    <row r="23" spans="3:22" x14ac:dyDescent="0.3">
      <c r="R23" s="32"/>
      <c r="S23" s="20"/>
      <c r="U23" s="21"/>
      <c r="V23" s="21"/>
    </row>
    <row r="24" spans="3:22" x14ac:dyDescent="0.3">
      <c r="H24" s="3"/>
      <c r="R24" s="32" t="s">
        <v>32</v>
      </c>
      <c r="S24" s="20">
        <v>-15.26</v>
      </c>
      <c r="U24" s="33" t="s">
        <v>34</v>
      </c>
      <c r="V24" s="21">
        <v>0.92779999999999996</v>
      </c>
    </row>
    <row r="25" spans="3:22" x14ac:dyDescent="0.3">
      <c r="H25" s="3"/>
      <c r="R25" s="32" t="s">
        <v>33</v>
      </c>
      <c r="S25" s="20">
        <v>19.332999999999998</v>
      </c>
      <c r="U25" s="33" t="s">
        <v>35</v>
      </c>
      <c r="V25" s="21">
        <v>1.4E-3</v>
      </c>
    </row>
    <row r="26" spans="3:22" x14ac:dyDescent="0.3">
      <c r="H26" s="3"/>
      <c r="R26" s="32" t="s">
        <v>54</v>
      </c>
      <c r="S26" s="20">
        <f>-S25/S24+1/(S24+(J28+2*O30)*10^-3)</f>
        <v>1.2005304917613386</v>
      </c>
      <c r="U26" s="33" t="s">
        <v>56</v>
      </c>
      <c r="V26" s="21">
        <f>(O31/1000*(O30/1000)^2+V25+V24*((O38/1000)^2-(O30/1000)^2))/((O38/1000)^2+V25)</f>
        <v>0.75640753681624673</v>
      </c>
    </row>
    <row r="27" spans="3:22" x14ac:dyDescent="0.3">
      <c r="H27" s="3"/>
      <c r="U27" s="21" t="s">
        <v>57</v>
      </c>
      <c r="V27">
        <f>(S26-V26)/V26</f>
        <v>0.58714771248105935</v>
      </c>
    </row>
    <row r="28" spans="3:22" x14ac:dyDescent="0.3">
      <c r="H28" s="3"/>
      <c r="I28" s="22" t="s">
        <v>11</v>
      </c>
      <c r="J28" s="22">
        <v>15.273967489573501</v>
      </c>
      <c r="K28" s="22" t="s">
        <v>9</v>
      </c>
      <c r="L28" s="22"/>
      <c r="M28" s="22" t="s">
        <v>37</v>
      </c>
      <c r="N28" s="22"/>
      <c r="O28" s="22">
        <f xml:space="preserve"> P14</f>
        <v>5.7900296251881526E-2</v>
      </c>
    </row>
    <row r="29" spans="3:22" x14ac:dyDescent="0.3">
      <c r="I29" s="22"/>
      <c r="J29" s="22"/>
      <c r="K29" s="22"/>
      <c r="L29" s="22"/>
      <c r="M29" s="22" t="s">
        <v>55</v>
      </c>
      <c r="N29" s="22"/>
      <c r="O29" s="22"/>
      <c r="R29" s="29" t="s">
        <v>58</v>
      </c>
      <c r="S29" s="26">
        <f>MIN(S26,V26)*1000</f>
        <v>756.40753681624676</v>
      </c>
      <c r="T29" s="26" t="s">
        <v>30</v>
      </c>
    </row>
    <row r="30" spans="3:22" x14ac:dyDescent="0.3">
      <c r="I30" s="27" t="s">
        <v>25</v>
      </c>
      <c r="J30" s="24">
        <v>0.33</v>
      </c>
      <c r="K30" s="22"/>
      <c r="L30" s="22"/>
      <c r="M30" s="22" t="s">
        <v>38</v>
      </c>
      <c r="N30" s="22"/>
      <c r="O30" s="22">
        <f>I13</f>
        <v>89.571399999999997</v>
      </c>
      <c r="R30" s="29" t="s">
        <v>61</v>
      </c>
      <c r="S30" s="26">
        <f>J38/S29</f>
        <v>5.9142982091788099</v>
      </c>
      <c r="T30" s="26"/>
    </row>
    <row r="31" spans="3:22" x14ac:dyDescent="0.3">
      <c r="I31" s="22"/>
      <c r="J31" s="22"/>
      <c r="K31" s="22"/>
      <c r="L31" s="22"/>
      <c r="M31" s="22" t="s">
        <v>39</v>
      </c>
      <c r="N31" s="22"/>
      <c r="O31" s="22">
        <f>N13</f>
        <v>177.23927420901759</v>
      </c>
    </row>
    <row r="32" spans="3:22" x14ac:dyDescent="0.3">
      <c r="I32" s="22" t="s">
        <v>26</v>
      </c>
      <c r="J32" s="22">
        <f>I12</f>
        <v>83.391400000000004</v>
      </c>
      <c r="K32" s="22"/>
      <c r="L32" s="22"/>
      <c r="M32" s="22" t="s">
        <v>45</v>
      </c>
      <c r="N32" s="22"/>
      <c r="O32" s="22"/>
    </row>
    <row r="33" spans="8:20" x14ac:dyDescent="0.3">
      <c r="I33" s="22" t="s">
        <v>27</v>
      </c>
      <c r="J33" s="22">
        <f>I19</f>
        <v>132.60000000000002</v>
      </c>
      <c r="K33" s="22"/>
      <c r="L33" s="22"/>
      <c r="M33" s="25" t="s">
        <v>40</v>
      </c>
      <c r="N33" s="25"/>
      <c r="O33" s="22">
        <f>1+0.01*(N14+N13)/(N14-N13)+3/(I14-I13)</f>
        <v>1.584416510695952</v>
      </c>
    </row>
    <row r="34" spans="8:20" x14ac:dyDescent="0.3">
      <c r="I34" s="22" t="s">
        <v>28</v>
      </c>
      <c r="J34" s="22">
        <f>N12</f>
        <v>81.383452210903002</v>
      </c>
      <c r="K34" s="22"/>
      <c r="L34" s="22"/>
      <c r="M34" s="22"/>
      <c r="N34" s="22"/>
      <c r="O34" s="22"/>
    </row>
    <row r="35" spans="8:20" x14ac:dyDescent="0.3">
      <c r="I35" s="22" t="s">
        <v>29</v>
      </c>
      <c r="J35" s="22">
        <f>N19</f>
        <v>752.75389026068297</v>
      </c>
      <c r="K35" s="22"/>
      <c r="L35" s="22"/>
      <c r="M35" s="25" t="s">
        <v>43</v>
      </c>
      <c r="N35" s="25"/>
      <c r="O35" s="22">
        <f>O33*O28</f>
        <v>9.1738185355668037E-2</v>
      </c>
      <c r="R35" s="30" t="s">
        <v>63</v>
      </c>
      <c r="S35" s="39">
        <v>780</v>
      </c>
      <c r="T35" s="28" t="s">
        <v>30</v>
      </c>
    </row>
    <row r="36" spans="8:20" x14ac:dyDescent="0.3">
      <c r="I36" s="22"/>
      <c r="J36" s="22"/>
      <c r="K36" s="22"/>
      <c r="L36" s="22"/>
      <c r="M36" s="22"/>
      <c r="N36" s="22"/>
      <c r="O36" s="22"/>
    </row>
    <row r="37" spans="8:20" x14ac:dyDescent="0.3">
      <c r="I37" s="22"/>
      <c r="J37" s="22"/>
      <c r="K37" s="22"/>
      <c r="L37" s="22"/>
      <c r="M37" s="22"/>
      <c r="N37" s="22"/>
      <c r="O37" s="22"/>
    </row>
    <row r="38" spans="8:20" x14ac:dyDescent="0.3">
      <c r="I38" s="22" t="s">
        <v>59</v>
      </c>
      <c r="J38" s="22">
        <f>2*(1+J30)*(J28+(J32+J33)/2)*((J35-J34)/(J33-J32))</f>
        <v>4473.619740401683</v>
      </c>
      <c r="K38" s="22" t="s">
        <v>30</v>
      </c>
      <c r="L38" s="22"/>
      <c r="M38" s="22" t="s">
        <v>44</v>
      </c>
      <c r="N38" s="22"/>
      <c r="O38" s="22">
        <f>J28+2*J32</f>
        <v>182.0567674895735</v>
      </c>
    </row>
    <row r="39" spans="8:20" x14ac:dyDescent="0.3">
      <c r="I39" s="22" t="s">
        <v>59</v>
      </c>
      <c r="J39" s="22">
        <f>J38/1000</f>
        <v>4.4736197404016833</v>
      </c>
      <c r="K39" s="22" t="s">
        <v>60</v>
      </c>
    </row>
    <row r="44" spans="8:20" x14ac:dyDescent="0.3">
      <c r="H44" t="s">
        <v>65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518D-418E-43DB-A2D2-12F1D967CDE5}">
  <dimension ref="A1:I33"/>
  <sheetViews>
    <sheetView workbookViewId="0">
      <selection activeCell="G33" sqref="G33:I33"/>
    </sheetView>
  </sheetViews>
  <sheetFormatPr baseColWidth="10" defaultRowHeight="14.4" x14ac:dyDescent="0.3"/>
  <sheetData>
    <row r="1" spans="1:8" x14ac:dyDescent="0.3">
      <c r="A1" t="s">
        <v>66</v>
      </c>
    </row>
    <row r="2" spans="1:8" ht="15" thickBot="1" x14ac:dyDescent="0.35">
      <c r="C2" s="1" t="s">
        <v>0</v>
      </c>
      <c r="D2" s="2" t="s">
        <v>1</v>
      </c>
      <c r="E2" s="2" t="s">
        <v>2</v>
      </c>
      <c r="F2" s="2" t="s">
        <v>3</v>
      </c>
      <c r="G2" s="3"/>
      <c r="H2" s="3" t="s">
        <v>4</v>
      </c>
    </row>
    <row r="3" spans="1:8" x14ac:dyDescent="0.3">
      <c r="C3" s="4">
        <v>9</v>
      </c>
      <c r="D3" s="5">
        <v>1.49</v>
      </c>
      <c r="E3" s="6">
        <v>1.59</v>
      </c>
      <c r="F3" s="6">
        <v>1.71</v>
      </c>
      <c r="G3" s="3"/>
      <c r="H3" s="3"/>
    </row>
    <row r="4" spans="1:8" x14ac:dyDescent="0.3">
      <c r="C4" s="4">
        <v>19</v>
      </c>
      <c r="D4" s="7">
        <v>3.76</v>
      </c>
      <c r="E4" s="1">
        <v>3.92</v>
      </c>
      <c r="F4" s="1">
        <v>4.1100000000000003</v>
      </c>
      <c r="G4" s="3"/>
      <c r="H4" s="3"/>
    </row>
    <row r="5" spans="1:8" x14ac:dyDescent="0.3">
      <c r="C5" s="4">
        <v>29</v>
      </c>
      <c r="D5" s="7">
        <v>6.73</v>
      </c>
      <c r="E5" s="1">
        <v>6.93</v>
      </c>
      <c r="F5" s="1">
        <v>7.19</v>
      </c>
      <c r="G5" s="3"/>
      <c r="H5" s="3"/>
    </row>
    <row r="6" spans="1:8" x14ac:dyDescent="0.3">
      <c r="C6" s="4">
        <v>49</v>
      </c>
      <c r="D6" s="7">
        <v>14.99</v>
      </c>
      <c r="E6" s="1">
        <v>15.14</v>
      </c>
      <c r="F6" s="1">
        <v>15.52</v>
      </c>
      <c r="G6" s="3"/>
      <c r="H6" s="3"/>
    </row>
    <row r="7" spans="1:8" x14ac:dyDescent="0.3">
      <c r="C7" s="4">
        <v>71</v>
      </c>
      <c r="D7" s="7">
        <v>30.2</v>
      </c>
      <c r="E7" s="1">
        <v>31</v>
      </c>
      <c r="F7" s="1">
        <v>32.33</v>
      </c>
      <c r="G7" s="3"/>
      <c r="H7" s="3"/>
    </row>
    <row r="8" spans="1:8" x14ac:dyDescent="0.3">
      <c r="C8" s="4">
        <v>97</v>
      </c>
      <c r="D8" s="7">
        <v>56.87</v>
      </c>
      <c r="E8" s="1">
        <v>58.98</v>
      </c>
      <c r="F8" s="1">
        <v>62.06</v>
      </c>
      <c r="G8" s="3"/>
      <c r="H8" s="3"/>
    </row>
    <row r="9" spans="1:8" x14ac:dyDescent="0.3">
      <c r="C9" s="4">
        <v>149</v>
      </c>
      <c r="D9" s="7">
        <v>71.75</v>
      </c>
      <c r="E9" s="1">
        <v>71.78</v>
      </c>
      <c r="F9" s="1">
        <v>71.819999999999993</v>
      </c>
      <c r="G9" s="3"/>
      <c r="H9" s="3"/>
    </row>
    <row r="10" spans="1:8" x14ac:dyDescent="0.3">
      <c r="C10" s="4">
        <v>199</v>
      </c>
      <c r="D10" s="7">
        <v>72.2</v>
      </c>
      <c r="E10" s="1">
        <v>72.239999999999995</v>
      </c>
      <c r="F10" s="1">
        <v>72.28</v>
      </c>
      <c r="G10" s="3"/>
      <c r="H10" s="3"/>
    </row>
    <row r="11" spans="1:8" x14ac:dyDescent="0.3">
      <c r="C11" s="4">
        <v>300</v>
      </c>
      <c r="D11" s="7">
        <v>72.73</v>
      </c>
      <c r="E11" s="1">
        <v>72.75</v>
      </c>
      <c r="F11" s="1">
        <v>72.78</v>
      </c>
      <c r="G11" s="3"/>
      <c r="H11" s="3"/>
    </row>
    <row r="12" spans="1:8" x14ac:dyDescent="0.3">
      <c r="C12" s="4">
        <v>400</v>
      </c>
      <c r="D12" s="7">
        <v>73.040000000000006</v>
      </c>
      <c r="E12" s="1">
        <v>73.06</v>
      </c>
      <c r="F12" s="1">
        <v>73.08</v>
      </c>
      <c r="G12" s="3"/>
      <c r="H12" s="3"/>
    </row>
    <row r="13" spans="1:8" x14ac:dyDescent="0.3">
      <c r="C13" s="4">
        <v>500</v>
      </c>
      <c r="D13" s="7">
        <v>73.25</v>
      </c>
      <c r="E13" s="1">
        <v>73.27</v>
      </c>
      <c r="F13" s="1">
        <v>73.28</v>
      </c>
      <c r="G13" s="3"/>
      <c r="H13" s="3"/>
    </row>
    <row r="14" spans="1:8" x14ac:dyDescent="0.3">
      <c r="C14" s="4">
        <v>600</v>
      </c>
      <c r="D14" s="7">
        <v>73.42</v>
      </c>
      <c r="E14" s="1">
        <v>73.430000000000007</v>
      </c>
      <c r="F14" s="1">
        <v>73.44</v>
      </c>
      <c r="G14" s="3"/>
      <c r="H14" s="3"/>
    </row>
    <row r="15" spans="1:8" x14ac:dyDescent="0.3">
      <c r="C15" s="4">
        <v>700</v>
      </c>
      <c r="D15" s="7">
        <v>73.56</v>
      </c>
      <c r="E15" s="1">
        <v>73.569999999999993</v>
      </c>
      <c r="F15" s="1">
        <v>73.58</v>
      </c>
      <c r="G15" s="3"/>
      <c r="H15" s="3"/>
    </row>
    <row r="16" spans="1:8" x14ac:dyDescent="0.3">
      <c r="C16" s="4">
        <v>800</v>
      </c>
      <c r="D16" s="7">
        <v>73.67</v>
      </c>
      <c r="E16" s="1">
        <v>73.680000000000007</v>
      </c>
      <c r="F16" s="1">
        <v>73.7</v>
      </c>
      <c r="G16" s="3"/>
      <c r="H16" s="3"/>
    </row>
    <row r="17" spans="3:8" x14ac:dyDescent="0.3">
      <c r="C17" s="4">
        <v>900</v>
      </c>
      <c r="D17" s="7">
        <v>73.78</v>
      </c>
      <c r="E17" s="1">
        <v>73.790000000000006</v>
      </c>
      <c r="F17" s="1">
        <v>73.8</v>
      </c>
      <c r="G17" s="3"/>
      <c r="H17" s="3"/>
    </row>
    <row r="18" spans="3:8" x14ac:dyDescent="0.3">
      <c r="C18" s="4">
        <v>1000</v>
      </c>
      <c r="D18" s="7">
        <v>73.88</v>
      </c>
      <c r="E18" s="1">
        <v>73.89</v>
      </c>
      <c r="F18" s="1">
        <v>73.900000000000006</v>
      </c>
      <c r="G18" s="3"/>
      <c r="H18" s="3"/>
    </row>
    <row r="19" spans="3:8" x14ac:dyDescent="0.3">
      <c r="C19" s="4"/>
      <c r="D19" s="7"/>
      <c r="E19" s="1"/>
      <c r="F19" s="1"/>
      <c r="G19" s="3"/>
      <c r="H19" s="3"/>
    </row>
    <row r="20" spans="3:8" x14ac:dyDescent="0.3">
      <c r="C20" s="4"/>
      <c r="D20" s="7"/>
      <c r="E20" s="1"/>
      <c r="F20" s="1"/>
      <c r="G20" s="3"/>
      <c r="H20" s="3"/>
    </row>
    <row r="21" spans="3:8" x14ac:dyDescent="0.3">
      <c r="C21" s="4"/>
      <c r="D21" s="7"/>
      <c r="E21" s="1"/>
      <c r="F21" s="1"/>
      <c r="G21" s="3"/>
      <c r="H21" s="3"/>
    </row>
    <row r="22" spans="3:8" x14ac:dyDescent="0.3">
      <c r="C22" s="4"/>
      <c r="D22" s="7"/>
      <c r="E22" s="1"/>
      <c r="F22" s="1"/>
      <c r="G22" s="3"/>
      <c r="H22" s="3"/>
    </row>
    <row r="23" spans="3:8" x14ac:dyDescent="0.3">
      <c r="C23" s="4"/>
      <c r="D23" s="7"/>
      <c r="E23" s="1"/>
      <c r="F23" s="1"/>
      <c r="G23" s="3"/>
      <c r="H23" s="3"/>
    </row>
    <row r="28" spans="3:8" x14ac:dyDescent="0.3">
      <c r="C28" t="s">
        <v>7</v>
      </c>
    </row>
    <row r="30" spans="3:8" x14ac:dyDescent="0.3">
      <c r="C30" s="8" t="s">
        <v>8</v>
      </c>
      <c r="D30" s="9">
        <f>(PI()/4)*1.97*1.97*30.3</f>
        <v>92.355967489573459</v>
      </c>
      <c r="E30" t="s">
        <v>9</v>
      </c>
      <c r="F30" s="3"/>
    </row>
    <row r="31" spans="3:8" x14ac:dyDescent="0.3">
      <c r="C31" s="8" t="s">
        <v>10</v>
      </c>
      <c r="D31">
        <v>72.207999999999998</v>
      </c>
      <c r="E31" t="s">
        <v>9</v>
      </c>
      <c r="F31" s="3"/>
    </row>
    <row r="32" spans="3:8" x14ac:dyDescent="0.3">
      <c r="C32" s="8"/>
    </row>
    <row r="33" spans="3:9" x14ac:dyDescent="0.3">
      <c r="C33" s="10" t="s">
        <v>11</v>
      </c>
      <c r="D33" s="11">
        <f>D30-D31</f>
        <v>20.14796748957346</v>
      </c>
      <c r="E33" t="s">
        <v>9</v>
      </c>
      <c r="F33" s="3"/>
      <c r="G33" s="40" t="s">
        <v>67</v>
      </c>
      <c r="H33" s="42">
        <v>1.8E-3</v>
      </c>
      <c r="I33" t="s"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8CAB-80E6-41F9-9742-B98D3ED3A3E2}">
  <dimension ref="A1:V44"/>
  <sheetViews>
    <sheetView tabSelected="1" zoomScale="95" workbookViewId="0">
      <selection activeCell="P39" sqref="P39"/>
    </sheetView>
  </sheetViews>
  <sheetFormatPr baseColWidth="10" defaultRowHeight="14.4" x14ac:dyDescent="0.3"/>
  <cols>
    <col min="11" max="11" width="18" bestFit="1" customWidth="1"/>
    <col min="19" max="19" width="12.5546875" bestFit="1" customWidth="1"/>
  </cols>
  <sheetData>
    <row r="1" spans="1:22" x14ac:dyDescent="0.3">
      <c r="A1" t="s">
        <v>66</v>
      </c>
      <c r="R1" s="32" t="s">
        <v>46</v>
      </c>
      <c r="S1" s="32"/>
      <c r="U1" s="33" t="s">
        <v>49</v>
      </c>
      <c r="V1" s="33"/>
    </row>
    <row r="2" spans="1:22" x14ac:dyDescent="0.3">
      <c r="K2" s="35" t="s">
        <v>41</v>
      </c>
      <c r="R2" s="32" t="s">
        <v>47</v>
      </c>
      <c r="S2" s="32"/>
      <c r="U2" s="33" t="s">
        <v>50</v>
      </c>
      <c r="V2" s="33" t="s">
        <v>51</v>
      </c>
    </row>
    <row r="3" spans="1:22" ht="15" thickBot="1" x14ac:dyDescent="0.35">
      <c r="C3" s="1" t="s">
        <v>0</v>
      </c>
      <c r="D3" s="2" t="s">
        <v>1</v>
      </c>
      <c r="E3" s="2" t="s">
        <v>2</v>
      </c>
      <c r="F3" s="2" t="s">
        <v>3</v>
      </c>
      <c r="G3" s="3" t="s">
        <v>12</v>
      </c>
      <c r="H3" s="3" t="s">
        <v>4</v>
      </c>
      <c r="I3" s="35" t="s">
        <v>22</v>
      </c>
      <c r="K3" s="35" t="s">
        <v>42</v>
      </c>
      <c r="L3" s="34"/>
      <c r="M3" s="35" t="s">
        <v>19</v>
      </c>
      <c r="N3" s="35" t="s">
        <v>24</v>
      </c>
      <c r="O3" s="35"/>
      <c r="P3" s="34" t="s">
        <v>36</v>
      </c>
      <c r="R3" s="32" t="s">
        <v>31</v>
      </c>
      <c r="S3" s="32" t="s">
        <v>48</v>
      </c>
      <c r="U3" s="33" t="s">
        <v>52</v>
      </c>
      <c r="V3" s="33" t="s">
        <v>53</v>
      </c>
    </row>
    <row r="4" spans="1:22" x14ac:dyDescent="0.3">
      <c r="C4" s="12"/>
      <c r="D4" s="13"/>
      <c r="E4" s="14"/>
      <c r="F4" s="14"/>
      <c r="G4" s="3"/>
      <c r="H4" s="3"/>
      <c r="I4" s="43">
        <v>0</v>
      </c>
      <c r="J4" s="44"/>
      <c r="K4" s="43"/>
      <c r="L4" s="44"/>
      <c r="M4" s="43"/>
      <c r="N4" s="43">
        <v>0</v>
      </c>
      <c r="O4" s="35"/>
      <c r="R4" s="20"/>
      <c r="S4" s="20"/>
      <c r="U4" s="21"/>
      <c r="V4" s="21"/>
    </row>
    <row r="5" spans="1:22" x14ac:dyDescent="0.3">
      <c r="C5" s="4">
        <v>9</v>
      </c>
      <c r="D5" s="5">
        <v>1.25</v>
      </c>
      <c r="E5" s="6">
        <v>1.35</v>
      </c>
      <c r="F5" s="6">
        <v>1.47</v>
      </c>
      <c r="G5" s="3">
        <v>0.11999999999999988</v>
      </c>
      <c r="H5" s="3"/>
      <c r="I5">
        <f>F5-C5*EtalonnageTube_05062020!$H$33</f>
        <v>1.4538</v>
      </c>
      <c r="K5">
        <f>3.4208-F5</f>
        <v>1.9507999999999999</v>
      </c>
      <c r="M5">
        <v>10.865822331131767</v>
      </c>
      <c r="N5">
        <f>IF((C5-M5)&gt;0,C5-M5,0)</f>
        <v>0</v>
      </c>
      <c r="P5" t="e">
        <f>(I5-I4)/(N5-N4)</f>
        <v>#DIV/0!</v>
      </c>
      <c r="R5" s="20"/>
      <c r="S5" s="20"/>
      <c r="U5" s="21"/>
      <c r="V5" s="21"/>
    </row>
    <row r="6" spans="1:22" x14ac:dyDescent="0.3">
      <c r="C6" s="4">
        <v>19</v>
      </c>
      <c r="D6" s="7">
        <v>3.74</v>
      </c>
      <c r="E6" s="1">
        <v>3.91</v>
      </c>
      <c r="F6" s="1">
        <v>4.1100000000000003</v>
      </c>
      <c r="G6" s="3">
        <v>0.20000000000000018</v>
      </c>
      <c r="H6" s="3"/>
      <c r="I6">
        <f>F6-C6*EtalonnageTube_05062020!$H$33</f>
        <v>4.0758000000000001</v>
      </c>
      <c r="K6">
        <f t="shared" ref="K6:K19" si="0">3.4208-F6</f>
        <v>-0.68920000000000048</v>
      </c>
      <c r="M6">
        <v>25.503344317048459</v>
      </c>
      <c r="N6">
        <f>IF((C6-M6)&gt;0,C6-M6,0)</f>
        <v>0</v>
      </c>
      <c r="P6" t="e">
        <f t="shared" ref="P6:P19" si="1">(I6-I5)/(N6-N5)</f>
        <v>#DIV/0!</v>
      </c>
      <c r="R6" s="20"/>
      <c r="S6" s="20"/>
      <c r="U6" s="21"/>
      <c r="V6" s="21"/>
    </row>
    <row r="7" spans="1:22" x14ac:dyDescent="0.3">
      <c r="C7" s="4">
        <v>29</v>
      </c>
      <c r="D7" s="7">
        <v>7.02</v>
      </c>
      <c r="E7" s="1">
        <v>7.22</v>
      </c>
      <c r="F7" s="1">
        <v>7.51</v>
      </c>
      <c r="G7" s="3">
        <v>0.29000000000000004</v>
      </c>
      <c r="H7" s="3"/>
      <c r="I7">
        <f>F7-C7*EtalonnageTube_05062020!$H$33</f>
        <v>7.4577999999999998</v>
      </c>
      <c r="K7">
        <f t="shared" si="0"/>
        <v>-4.0891999999999999</v>
      </c>
      <c r="M7">
        <v>36.986027448554751</v>
      </c>
      <c r="N7">
        <f t="shared" ref="N7:N19" si="2">IF((C7-M7)&gt;0,C7-M7,0)</f>
        <v>0</v>
      </c>
      <c r="P7" t="e">
        <f t="shared" si="1"/>
        <v>#DIV/0!</v>
      </c>
      <c r="R7" s="20"/>
      <c r="S7" s="20"/>
      <c r="U7" s="21"/>
      <c r="V7" s="21"/>
    </row>
    <row r="8" spans="1:22" x14ac:dyDescent="0.3">
      <c r="C8" s="4">
        <v>48</v>
      </c>
      <c r="D8" s="7">
        <v>15.1</v>
      </c>
      <c r="E8" s="1">
        <v>15.64</v>
      </c>
      <c r="F8" s="1">
        <v>16.21</v>
      </c>
      <c r="G8" s="3">
        <v>0.57000000000000028</v>
      </c>
      <c r="H8" s="3"/>
      <c r="I8">
        <f>F8-C8*EtalonnageTube_05062020!$H$33</f>
        <v>16.1236</v>
      </c>
      <c r="K8">
        <f t="shared" si="0"/>
        <v>-12.789200000000001</v>
      </c>
      <c r="M8">
        <v>54.300479598471611</v>
      </c>
      <c r="N8">
        <f t="shared" si="2"/>
        <v>0</v>
      </c>
      <c r="P8" t="e">
        <f t="shared" si="1"/>
        <v>#DIV/0!</v>
      </c>
      <c r="R8" s="20"/>
      <c r="S8" s="20"/>
      <c r="U8" s="21"/>
      <c r="V8" s="21"/>
    </row>
    <row r="9" spans="1:22" x14ac:dyDescent="0.3">
      <c r="C9" s="4">
        <v>71</v>
      </c>
      <c r="D9" s="7">
        <v>32.08</v>
      </c>
      <c r="E9" s="1">
        <v>32.94</v>
      </c>
      <c r="F9" s="1">
        <v>34.83</v>
      </c>
      <c r="G9" s="3">
        <v>1.8900000000000006</v>
      </c>
      <c r="H9" s="3"/>
      <c r="I9">
        <f>F9-C9*EtalonnageTube_05062020!$H$33</f>
        <v>34.702199999999998</v>
      </c>
      <c r="K9">
        <f t="shared" si="0"/>
        <v>-31.409199999999998</v>
      </c>
      <c r="M9">
        <v>77.840969232492171</v>
      </c>
      <c r="N9">
        <f>IF((C9-M9)&gt;0,C9-M9,0)</f>
        <v>0</v>
      </c>
      <c r="P9" t="e">
        <f t="shared" si="1"/>
        <v>#DIV/0!</v>
      </c>
      <c r="R9" s="20"/>
      <c r="S9" s="20"/>
      <c r="U9" s="21"/>
      <c r="V9" s="21"/>
    </row>
    <row r="10" spans="1:22" x14ac:dyDescent="0.3">
      <c r="C10" s="4">
        <v>98</v>
      </c>
      <c r="D10" s="7">
        <v>66.36</v>
      </c>
      <c r="E10" s="1">
        <v>68.73</v>
      </c>
      <c r="F10" s="1">
        <v>72.069999999999993</v>
      </c>
      <c r="G10" s="3">
        <v>3.3399999999999892</v>
      </c>
      <c r="H10" s="3"/>
      <c r="I10">
        <f>F10-C10*EtalonnageTube_05062020!$H$33</f>
        <v>71.893599999999992</v>
      </c>
      <c r="K10">
        <f t="shared" si="0"/>
        <v>-68.649199999999993</v>
      </c>
      <c r="M10">
        <v>109.5799358800773</v>
      </c>
      <c r="N10">
        <f t="shared" si="2"/>
        <v>0</v>
      </c>
      <c r="P10" t="e">
        <f t="shared" si="1"/>
        <v>#DIV/0!</v>
      </c>
      <c r="R10" s="20"/>
      <c r="S10" s="20"/>
      <c r="U10" s="21"/>
      <c r="V10" s="21"/>
    </row>
    <row r="11" spans="1:22" x14ac:dyDescent="0.3">
      <c r="C11" s="4">
        <v>149</v>
      </c>
      <c r="D11" s="7">
        <v>86.6</v>
      </c>
      <c r="E11" s="1">
        <v>86.94</v>
      </c>
      <c r="F11" s="1">
        <v>87.16</v>
      </c>
      <c r="G11" s="3">
        <v>0.21999999999999886</v>
      </c>
      <c r="H11" s="3"/>
      <c r="I11">
        <f>F11-C11*EtalonnageTube_05062020!$H$33</f>
        <v>86.891800000000003</v>
      </c>
      <c r="K11">
        <f t="shared" si="0"/>
        <v>-83.739199999999997</v>
      </c>
      <c r="M11">
        <v>119.92359469186272</v>
      </c>
      <c r="N11">
        <f t="shared" si="2"/>
        <v>29.076405308137282</v>
      </c>
      <c r="P11">
        <f t="shared" si="1"/>
        <v>0.51582029625246129</v>
      </c>
      <c r="R11" s="20"/>
      <c r="S11" s="20"/>
      <c r="U11" s="21"/>
      <c r="V11" s="21"/>
    </row>
    <row r="12" spans="1:22" x14ac:dyDescent="0.3">
      <c r="C12" s="4">
        <v>199</v>
      </c>
      <c r="D12" s="7">
        <v>90.42</v>
      </c>
      <c r="E12" s="1">
        <v>90.6</v>
      </c>
      <c r="F12" s="1">
        <v>90.8</v>
      </c>
      <c r="G12" s="3">
        <v>0.20000000000000284</v>
      </c>
      <c r="H12" s="3"/>
      <c r="I12">
        <f>F12-C12*EtalonnageTube_05062020!$H$33</f>
        <v>90.441800000000001</v>
      </c>
      <c r="K12">
        <f t="shared" si="0"/>
        <v>-87.379199999999997</v>
      </c>
      <c r="M12">
        <v>122.28123258917708</v>
      </c>
      <c r="N12">
        <f t="shared" si="2"/>
        <v>76.71876741082292</v>
      </c>
      <c r="P12">
        <f t="shared" si="1"/>
        <v>7.4513517871941964E-2</v>
      </c>
      <c r="R12" s="20"/>
      <c r="S12" s="20"/>
      <c r="U12" s="21"/>
      <c r="V12" s="21"/>
    </row>
    <row r="13" spans="1:22" x14ac:dyDescent="0.3">
      <c r="C13" s="4">
        <v>298</v>
      </c>
      <c r="D13" s="7">
        <v>95.98</v>
      </c>
      <c r="E13" s="1">
        <v>96.16</v>
      </c>
      <c r="F13" s="1">
        <v>96.41</v>
      </c>
      <c r="G13" s="3">
        <v>0.25</v>
      </c>
      <c r="H13" s="3"/>
      <c r="I13">
        <f>F13-C13*EtalonnageTube_05062020!$H$33</f>
        <v>95.873599999999996</v>
      </c>
      <c r="K13">
        <f t="shared" si="0"/>
        <v>-92.989199999999997</v>
      </c>
      <c r="M13">
        <v>125.82459467460444</v>
      </c>
      <c r="N13">
        <f t="shared" si="2"/>
        <v>172.17540532539556</v>
      </c>
      <c r="P13">
        <f t="shared" si="1"/>
        <v>5.6903324050246736E-2</v>
      </c>
      <c r="R13" s="20"/>
      <c r="S13" s="20"/>
      <c r="U13" s="21" t="e">
        <f>((I13/1000)^2-($O$30/1000)^2)/((N13/1000)-($O$31/1000))</f>
        <v>#DIV/0!</v>
      </c>
      <c r="V13" s="21" t="e">
        <f>((N13/1000)*(I13/1000)^2-($O$31/1000)*($O$30/1000)^2)/(N13/1000-$O$31/1000)</f>
        <v>#DIV/0!</v>
      </c>
    </row>
    <row r="14" spans="1:22" x14ac:dyDescent="0.3">
      <c r="C14" s="4">
        <v>398</v>
      </c>
      <c r="D14" s="7">
        <v>101.33</v>
      </c>
      <c r="E14" s="1">
        <v>101.56</v>
      </c>
      <c r="F14" s="1">
        <v>101.89</v>
      </c>
      <c r="G14" s="3">
        <v>0.32999999999999829</v>
      </c>
      <c r="H14" s="3"/>
      <c r="I14">
        <f>F14-C14*EtalonnageTube_05062020!$H$33</f>
        <v>101.17360000000001</v>
      </c>
      <c r="K14">
        <f t="shared" si="0"/>
        <v>-98.469200000000001</v>
      </c>
      <c r="M14">
        <v>129.18832727168206</v>
      </c>
      <c r="N14">
        <f t="shared" si="2"/>
        <v>268.81167272831794</v>
      </c>
      <c r="P14" s="31">
        <f>(I14-I13)/(N14-N13)</f>
        <v>5.4844833543723291E-2</v>
      </c>
      <c r="R14" s="20"/>
      <c r="S14" s="20"/>
      <c r="U14" s="21">
        <f>((I14/1000)^2-($O$30/1000)^2)/((N14/1000)-($O$31/1000))</f>
        <v>1.0807020884256767E-2</v>
      </c>
      <c r="V14" s="21">
        <f>((N14/1000)*(I14/1000)^2-($O$31/1000)*($O$30/1000)^2)/(N14/1000-$O$31/1000)</f>
        <v>1.2096800538066922E-2</v>
      </c>
    </row>
    <row r="15" spans="1:22" x14ac:dyDescent="0.3">
      <c r="C15" s="4">
        <v>499</v>
      </c>
      <c r="D15" s="7">
        <v>107.57</v>
      </c>
      <c r="E15" s="1">
        <v>108.01</v>
      </c>
      <c r="F15" s="1">
        <v>108.43</v>
      </c>
      <c r="G15" s="3">
        <v>0.42000000000000171</v>
      </c>
      <c r="H15" s="3"/>
      <c r="I15">
        <f>F15-C15*EtalonnageTube_05062020!$H$33</f>
        <v>107.5318</v>
      </c>
      <c r="K15">
        <f t="shared" si="0"/>
        <v>-105.00920000000001</v>
      </c>
      <c r="M15">
        <v>133.08756469663626</v>
      </c>
      <c r="N15">
        <f t="shared" si="2"/>
        <v>365.91243530336374</v>
      </c>
      <c r="P15">
        <f t="shared" si="1"/>
        <v>6.5480433226113605E-2</v>
      </c>
      <c r="R15" s="20"/>
      <c r="S15" s="20"/>
      <c r="U15" s="21">
        <f t="shared" ref="U15:U18" si="3">((I15/1000)^2-($O$30/1000)^2)/((N15/1000)-($O$31/1000))</f>
        <v>1.2239997870049287E-2</v>
      </c>
      <c r="V15" s="21">
        <f t="shared" ref="V15:V19" si="4">((N15/1000)*(I15/1000)^2-($O$31/1000)*($O$30/1000)^2)/(N15/1000-$O$31/1000)</f>
        <v>1.3670514605697718E-2</v>
      </c>
    </row>
    <row r="16" spans="1:22" x14ac:dyDescent="0.3">
      <c r="C16" s="4">
        <v>597</v>
      </c>
      <c r="D16" s="7">
        <v>115.69</v>
      </c>
      <c r="E16" s="1">
        <v>116.29</v>
      </c>
      <c r="F16" s="1">
        <v>116.98</v>
      </c>
      <c r="G16" s="3">
        <v>0.68999999999999773</v>
      </c>
      <c r="H16" s="3"/>
      <c r="I16">
        <f>F16-C16*EtalonnageTube_05062020!$H$33</f>
        <v>115.9054</v>
      </c>
      <c r="K16">
        <f t="shared" si="0"/>
        <v>-113.5592</v>
      </c>
      <c r="M16">
        <v>138.01410996414575</v>
      </c>
      <c r="N16">
        <f t="shared" si="2"/>
        <v>458.98589003585425</v>
      </c>
      <c r="P16">
        <f t="shared" si="1"/>
        <v>8.9967650003614841E-2</v>
      </c>
      <c r="R16" s="20">
        <f>1/(I16*10^-3)</f>
        <v>8.6277257142462727</v>
      </c>
      <c r="S16" s="20">
        <f t="shared" ref="S16" si="5">N16/1000</f>
        <v>0.45898589003585427</v>
      </c>
      <c r="U16" s="21">
        <f>((I16/1000)^2-($O$30/1000)^2)/((N16/1000)-($O$31/1000))</f>
        <v>1.4791351077986955E-2</v>
      </c>
      <c r="V16" s="21">
        <f t="shared" si="4"/>
        <v>1.5980768616322635E-2</v>
      </c>
    </row>
    <row r="17" spans="3:22" x14ac:dyDescent="0.3">
      <c r="C17" s="4">
        <v>698</v>
      </c>
      <c r="D17" s="7">
        <v>127.12</v>
      </c>
      <c r="E17" s="1">
        <v>127.94</v>
      </c>
      <c r="F17" s="1">
        <v>128.96</v>
      </c>
      <c r="G17" s="3">
        <v>1.0200000000000102</v>
      </c>
      <c r="H17" s="3"/>
      <c r="I17">
        <f>F17-C17*EtalonnageTube_05062020!$H$33</f>
        <v>127.70360000000001</v>
      </c>
      <c r="K17">
        <f t="shared" si="0"/>
        <v>-125.53920000000001</v>
      </c>
      <c r="M17">
        <v>144.62814108200359</v>
      </c>
      <c r="N17">
        <f t="shared" si="2"/>
        <v>553.37185891799641</v>
      </c>
      <c r="P17">
        <f t="shared" si="1"/>
        <v>0.12499951147116138</v>
      </c>
      <c r="R17" s="20">
        <f>1/(I17*10^-3)</f>
        <v>7.8306328090985691</v>
      </c>
      <c r="S17" s="20">
        <f t="shared" ref="S17:S18" si="6">N17/1000</f>
        <v>0.55337185891799645</v>
      </c>
      <c r="U17" s="21">
        <f t="shared" si="3"/>
        <v>1.8668752578704827E-2</v>
      </c>
      <c r="V17" s="21">
        <f t="shared" si="4"/>
        <v>1.9522509495118027E-2</v>
      </c>
    </row>
    <row r="18" spans="3:22" x14ac:dyDescent="0.3">
      <c r="C18" s="4">
        <v>797</v>
      </c>
      <c r="D18" s="7">
        <v>142.52000000000001</v>
      </c>
      <c r="E18" s="1">
        <v>144.76</v>
      </c>
      <c r="F18" s="1">
        <v>147.71</v>
      </c>
      <c r="G18" s="3">
        <v>2.9500000000000171</v>
      </c>
      <c r="H18" s="3"/>
      <c r="I18">
        <f>F18-C18*EtalonnageTube_05062020!$H$33</f>
        <v>146.27540000000002</v>
      </c>
      <c r="K18">
        <f t="shared" si="0"/>
        <v>-144.28919999999999</v>
      </c>
      <c r="M18">
        <v>154.40266960942859</v>
      </c>
      <c r="N18">
        <f t="shared" si="2"/>
        <v>642.59733039057141</v>
      </c>
      <c r="P18">
        <f t="shared" si="1"/>
        <v>0.20814459922140477</v>
      </c>
      <c r="R18" s="20">
        <f t="shared" ref="R18" si="7">1/(I18*10^-3)</f>
        <v>6.8364195209857561</v>
      </c>
      <c r="S18" s="20">
        <f t="shared" si="6"/>
        <v>0.64259733039057143</v>
      </c>
      <c r="U18" s="21">
        <f t="shared" si="3"/>
        <v>2.5944253058590057E-2</v>
      </c>
      <c r="V18" s="21">
        <f t="shared" si="4"/>
        <v>2.5863454931387381E-2</v>
      </c>
    </row>
    <row r="19" spans="3:22" x14ac:dyDescent="0.3">
      <c r="C19" s="15">
        <v>888</v>
      </c>
      <c r="D19" s="7">
        <v>231.32999999999998</v>
      </c>
      <c r="E19" s="1">
        <v>239.76999999999998</v>
      </c>
      <c r="F19" s="1">
        <v>240.79000000000002</v>
      </c>
      <c r="G19" s="3">
        <v>1.0200000000000387</v>
      </c>
      <c r="H19" s="3"/>
      <c r="I19">
        <f>F19-C19*EtalonnageTube_05062020!$H$33</f>
        <v>239.19160000000002</v>
      </c>
      <c r="K19">
        <f t="shared" si="0"/>
        <v>-237.36920000000003</v>
      </c>
      <c r="M19">
        <v>195.83589187859707</v>
      </c>
      <c r="N19">
        <f t="shared" si="2"/>
        <v>692.16410812140293</v>
      </c>
      <c r="P19">
        <f t="shared" si="1"/>
        <v>1.874566075377627</v>
      </c>
      <c r="R19" s="20">
        <f t="shared" ref="R19" si="8">1/(I19*10^-3)</f>
        <v>4.1807488222830562</v>
      </c>
      <c r="S19" s="20">
        <f t="shared" ref="S19" si="9">N19/1000</f>
        <v>0.69216410812140294</v>
      </c>
      <c r="U19" s="21">
        <f>((I19/1000)^2-($O$30/1000)^2)/((N19/1000)-($O$31/1000))</f>
        <v>9.2349841593459978E-2</v>
      </c>
      <c r="V19" s="21">
        <f t="shared" si="4"/>
        <v>7.3112992918650047E-2</v>
      </c>
    </row>
    <row r="20" spans="3:22" x14ac:dyDescent="0.3">
      <c r="C20" s="15"/>
      <c r="D20" s="7"/>
      <c r="E20" s="7"/>
      <c r="F20" s="7"/>
      <c r="G20" s="3"/>
      <c r="H20" s="3"/>
      <c r="R20" s="20"/>
      <c r="S20" s="20"/>
      <c r="U20" s="21"/>
      <c r="V20" s="21"/>
    </row>
    <row r="21" spans="3:22" x14ac:dyDescent="0.3">
      <c r="C21" s="15"/>
      <c r="D21" s="7"/>
      <c r="E21" s="7"/>
      <c r="F21" s="7"/>
      <c r="G21" s="3"/>
      <c r="R21" s="20"/>
      <c r="S21" s="20"/>
      <c r="U21" s="21"/>
      <c r="V21" s="21"/>
    </row>
    <row r="22" spans="3:22" x14ac:dyDescent="0.3">
      <c r="C22" s="15"/>
      <c r="D22" s="7"/>
      <c r="E22" s="7"/>
      <c r="F22" s="7"/>
      <c r="G22" s="3"/>
      <c r="R22" s="20"/>
      <c r="S22" s="20"/>
      <c r="U22" s="21"/>
      <c r="V22" s="21"/>
    </row>
    <row r="23" spans="3:22" x14ac:dyDescent="0.3">
      <c r="R23" s="32"/>
      <c r="S23" s="20"/>
      <c r="U23" s="21"/>
      <c r="V23" s="21"/>
    </row>
    <row r="24" spans="3:22" x14ac:dyDescent="0.3">
      <c r="H24" s="3"/>
      <c r="R24" s="32" t="s">
        <v>32</v>
      </c>
      <c r="S24" s="20">
        <v>-17.114999999999998</v>
      </c>
      <c r="U24" s="33" t="s">
        <v>34</v>
      </c>
      <c r="V24" s="21">
        <v>1.3509</v>
      </c>
    </row>
    <row r="25" spans="3:22" x14ac:dyDescent="0.3">
      <c r="H25" s="3"/>
      <c r="R25" s="32" t="s">
        <v>33</v>
      </c>
      <c r="S25" s="20">
        <v>16.911000000000001</v>
      </c>
      <c r="U25" s="33" t="s">
        <v>35</v>
      </c>
      <c r="V25" s="21">
        <v>6.8999999999999999E-3</v>
      </c>
    </row>
    <row r="26" spans="3:22" x14ac:dyDescent="0.3">
      <c r="H26" s="3"/>
      <c r="R26" s="32" t="s">
        <v>54</v>
      </c>
      <c r="S26" s="20">
        <f>-S25/S24+1/(S24+(J28+2*O30)*10^-3)</f>
        <v>0.92891990227712995</v>
      </c>
      <c r="U26" s="33" t="s">
        <v>56</v>
      </c>
      <c r="V26" s="21">
        <f>(O31/1000*(O30/1000)^2+V25+V24*((O38/1000)^2-(O30/1000)^2))/((O38/1000)^2+V25)</f>
        <v>1.0707327133293378</v>
      </c>
    </row>
    <row r="27" spans="3:22" x14ac:dyDescent="0.3">
      <c r="H27" s="3"/>
      <c r="U27" s="21" t="s">
        <v>57</v>
      </c>
      <c r="V27">
        <f>(S26-V26)/V26</f>
        <v>-0.13244464214720303</v>
      </c>
    </row>
    <row r="28" spans="3:22" x14ac:dyDescent="0.3">
      <c r="H28" s="3"/>
      <c r="I28" s="22" t="s">
        <v>11</v>
      </c>
      <c r="J28" s="22">
        <v>20.14796748957346</v>
      </c>
      <c r="K28" s="22" t="s">
        <v>9</v>
      </c>
      <c r="L28" s="22"/>
      <c r="M28" s="22" t="s">
        <v>37</v>
      </c>
      <c r="N28" s="22"/>
      <c r="O28" s="22">
        <f xml:space="preserve"> P14</f>
        <v>5.4844833543723291E-2</v>
      </c>
    </row>
    <row r="29" spans="3:22" x14ac:dyDescent="0.3">
      <c r="I29" s="22"/>
      <c r="J29" s="22"/>
      <c r="K29" s="22"/>
      <c r="L29" s="22"/>
      <c r="M29" s="22" t="s">
        <v>55</v>
      </c>
      <c r="N29" s="22"/>
      <c r="O29" s="22"/>
      <c r="R29" s="29" t="s">
        <v>58</v>
      </c>
      <c r="S29" s="26">
        <f>MIN(S26,V26)*1000</f>
        <v>928.91990227712995</v>
      </c>
      <c r="T29" s="26" t="s">
        <v>30</v>
      </c>
    </row>
    <row r="30" spans="3:22" x14ac:dyDescent="0.3">
      <c r="I30" s="27" t="s">
        <v>25</v>
      </c>
      <c r="J30" s="24">
        <v>0.33</v>
      </c>
      <c r="K30" s="22"/>
      <c r="L30" s="22"/>
      <c r="M30" s="22" t="s">
        <v>38</v>
      </c>
      <c r="N30" s="22"/>
      <c r="O30" s="22">
        <f>I13</f>
        <v>95.873599999999996</v>
      </c>
      <c r="R30" s="29" t="s">
        <v>61</v>
      </c>
      <c r="S30" s="26">
        <f>J38/S29</f>
        <v>5.3013874927755618</v>
      </c>
      <c r="T30" s="26"/>
    </row>
    <row r="31" spans="3:22" x14ac:dyDescent="0.3">
      <c r="I31" s="22"/>
      <c r="J31" s="22"/>
      <c r="K31" s="22"/>
      <c r="L31" s="22"/>
      <c r="M31" s="22" t="s">
        <v>39</v>
      </c>
      <c r="N31" s="22"/>
      <c r="O31" s="22">
        <f>N13</f>
        <v>172.17540532539556</v>
      </c>
    </row>
    <row r="32" spans="3:22" x14ac:dyDescent="0.3">
      <c r="I32" s="22" t="s">
        <v>26</v>
      </c>
      <c r="J32" s="22">
        <f>I12</f>
        <v>90.441800000000001</v>
      </c>
      <c r="K32" s="22"/>
      <c r="L32" s="22"/>
      <c r="M32" s="22" t="s">
        <v>45</v>
      </c>
      <c r="N32" s="22"/>
      <c r="O32" s="22"/>
    </row>
    <row r="33" spans="8:20" x14ac:dyDescent="0.3">
      <c r="I33" s="22" t="s">
        <v>27</v>
      </c>
      <c r="J33" s="22">
        <f>I16</f>
        <v>115.9054</v>
      </c>
      <c r="K33" s="22"/>
      <c r="L33" s="22"/>
      <c r="M33" s="25" t="s">
        <v>40</v>
      </c>
      <c r="N33" s="25"/>
      <c r="O33" s="22">
        <f>1+0.01*(N14+N13)/(N14-N13)+3/(I14-I13)</f>
        <v>1.6116714394165814</v>
      </c>
    </row>
    <row r="34" spans="8:20" x14ac:dyDescent="0.3">
      <c r="I34" s="22" t="s">
        <v>28</v>
      </c>
      <c r="J34" s="22">
        <f>N12</f>
        <v>76.71876741082292</v>
      </c>
      <c r="K34" s="22"/>
      <c r="L34" s="22"/>
      <c r="M34" s="22"/>
      <c r="N34" s="22"/>
      <c r="O34" s="22"/>
    </row>
    <row r="35" spans="8:20" x14ac:dyDescent="0.3">
      <c r="I35" s="22" t="s">
        <v>29</v>
      </c>
      <c r="J35" s="22">
        <f>N16</f>
        <v>458.98589003585425</v>
      </c>
      <c r="K35" s="22"/>
      <c r="L35" s="22"/>
      <c r="M35" s="25" t="s">
        <v>43</v>
      </c>
      <c r="N35" s="25"/>
      <c r="O35" s="22">
        <f>O33*O28</f>
        <v>8.8391851821975329E-2</v>
      </c>
      <c r="R35" s="30" t="s">
        <v>63</v>
      </c>
      <c r="S35" s="45">
        <v>420</v>
      </c>
      <c r="T35" s="28" t="s">
        <v>30</v>
      </c>
    </row>
    <row r="36" spans="8:20" x14ac:dyDescent="0.3">
      <c r="I36" s="22"/>
      <c r="J36" s="22"/>
      <c r="K36" s="22"/>
      <c r="L36" s="22"/>
      <c r="M36" s="22"/>
      <c r="N36" s="22"/>
      <c r="O36" s="22"/>
    </row>
    <row r="37" spans="8:20" x14ac:dyDescent="0.3">
      <c r="I37" s="22"/>
      <c r="J37" s="22"/>
      <c r="K37" s="22"/>
      <c r="L37" s="22"/>
      <c r="M37" s="22"/>
      <c r="N37" s="22"/>
      <c r="O37" s="22"/>
    </row>
    <row r="38" spans="8:20" x14ac:dyDescent="0.3">
      <c r="I38" s="22" t="s">
        <v>59</v>
      </c>
      <c r="J38" s="22">
        <f>2*(1+J30)*(J28+(J32+J33)/2)*((J35-J34)/(J33-J32))</f>
        <v>4924.5643517222734</v>
      </c>
      <c r="K38" s="22" t="s">
        <v>30</v>
      </c>
      <c r="L38" s="22"/>
      <c r="M38" s="22" t="s">
        <v>44</v>
      </c>
      <c r="N38" s="22"/>
      <c r="O38" s="22">
        <f>J28+2*J32</f>
        <v>201.03156748957346</v>
      </c>
    </row>
    <row r="39" spans="8:20" x14ac:dyDescent="0.3">
      <c r="I39" s="22" t="s">
        <v>59</v>
      </c>
      <c r="J39" s="22">
        <f>J38/1000</f>
        <v>4.9245643517222737</v>
      </c>
      <c r="K39" s="22" t="s">
        <v>60</v>
      </c>
    </row>
    <row r="44" spans="8:20" x14ac:dyDescent="0.3">
      <c r="H44" t="s">
        <v>65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6106D-ED66-41B8-8229-23F9E598EC18}">
  <dimension ref="B4:H20"/>
  <sheetViews>
    <sheetView topLeftCell="C1" workbookViewId="0">
      <selection activeCell="L25" sqref="L25"/>
    </sheetView>
  </sheetViews>
  <sheetFormatPr baseColWidth="10" defaultRowHeight="14.4" x14ac:dyDescent="0.3"/>
  <sheetData>
    <row r="4" spans="3:8" ht="15" thickBot="1" x14ac:dyDescent="0.35">
      <c r="C4" s="1" t="s">
        <v>0</v>
      </c>
      <c r="D4" s="2" t="s">
        <v>1</v>
      </c>
      <c r="E4" s="2" t="s">
        <v>2</v>
      </c>
      <c r="F4" s="2" t="s">
        <v>3</v>
      </c>
      <c r="G4" s="3" t="s">
        <v>12</v>
      </c>
      <c r="H4" s="3" t="s">
        <v>4</v>
      </c>
    </row>
    <row r="5" spans="3:8" x14ac:dyDescent="0.3">
      <c r="C5" s="12"/>
      <c r="D5" s="13"/>
      <c r="E5" s="14"/>
      <c r="F5" s="14"/>
      <c r="G5" s="3"/>
      <c r="H5" s="3"/>
    </row>
    <row r="6" spans="3:8" x14ac:dyDescent="0.3">
      <c r="C6" s="4">
        <v>10</v>
      </c>
      <c r="D6" s="5">
        <v>1.46</v>
      </c>
      <c r="E6" s="6">
        <v>1.54</v>
      </c>
      <c r="F6" s="6">
        <v>1.66</v>
      </c>
      <c r="G6" s="3">
        <f>F6-E6</f>
        <v>0.11999999999999988</v>
      </c>
      <c r="H6" s="3"/>
    </row>
    <row r="7" spans="3:8" x14ac:dyDescent="0.3">
      <c r="C7" s="4">
        <v>20</v>
      </c>
      <c r="D7" s="7">
        <v>3.78</v>
      </c>
      <c r="E7" s="1">
        <v>3.89</v>
      </c>
      <c r="F7" s="1">
        <v>4.0199999999999996</v>
      </c>
      <c r="G7" s="3">
        <f t="shared" ref="G7:G13" si="0">F7-E7</f>
        <v>0.12999999999999945</v>
      </c>
      <c r="H7" s="3"/>
    </row>
    <row r="8" spans="3:8" x14ac:dyDescent="0.3">
      <c r="C8" s="4">
        <v>30</v>
      </c>
      <c r="D8" s="7">
        <v>6.51</v>
      </c>
      <c r="E8" s="1">
        <v>6.65</v>
      </c>
      <c r="F8" s="1">
        <v>6.86</v>
      </c>
      <c r="G8" s="3">
        <f t="shared" si="0"/>
        <v>0.20999999999999996</v>
      </c>
      <c r="H8" s="3"/>
    </row>
    <row r="9" spans="3:8" x14ac:dyDescent="0.3">
      <c r="C9" s="4">
        <v>49</v>
      </c>
      <c r="D9" s="7">
        <v>13.6</v>
      </c>
      <c r="E9" s="1">
        <v>13.93</v>
      </c>
      <c r="F9" s="1">
        <v>14.36</v>
      </c>
      <c r="G9" s="3">
        <f t="shared" si="0"/>
        <v>0.42999999999999972</v>
      </c>
      <c r="H9" s="3"/>
    </row>
    <row r="10" spans="3:8" x14ac:dyDescent="0.3">
      <c r="C10" s="4">
        <v>73</v>
      </c>
      <c r="D10" s="7">
        <v>28.27</v>
      </c>
      <c r="E10" s="1">
        <v>29.01</v>
      </c>
      <c r="F10" s="1">
        <v>30.38</v>
      </c>
      <c r="G10" s="3">
        <f t="shared" si="0"/>
        <v>1.3699999999999974</v>
      </c>
      <c r="H10" s="3"/>
    </row>
    <row r="11" spans="3:8" x14ac:dyDescent="0.3">
      <c r="C11" s="4">
        <v>96</v>
      </c>
      <c r="D11" s="7">
        <v>112.72</v>
      </c>
      <c r="E11" s="1">
        <v>117.88</v>
      </c>
      <c r="F11" s="1">
        <v>124.2</v>
      </c>
      <c r="G11" s="3">
        <f t="shared" si="0"/>
        <v>6.3200000000000074</v>
      </c>
      <c r="H11" s="3"/>
    </row>
    <row r="12" spans="3:8" x14ac:dyDescent="0.3">
      <c r="C12" s="4">
        <v>106</v>
      </c>
      <c r="D12" s="7">
        <v>155.86000000000001</v>
      </c>
      <c r="E12" s="1">
        <v>162.38</v>
      </c>
      <c r="F12" s="1">
        <v>177.98</v>
      </c>
      <c r="G12" s="3">
        <f t="shared" si="0"/>
        <v>15.599999999999994</v>
      </c>
      <c r="H12" s="3"/>
    </row>
    <row r="13" spans="3:8" x14ac:dyDescent="0.3">
      <c r="C13" s="15">
        <v>110</v>
      </c>
      <c r="D13" s="16">
        <v>196.49</v>
      </c>
      <c r="E13" s="7">
        <v>196.49</v>
      </c>
      <c r="F13" s="7">
        <v>196.49</v>
      </c>
      <c r="G13" s="3">
        <f t="shared" si="0"/>
        <v>0</v>
      </c>
      <c r="H13" s="3"/>
    </row>
    <row r="14" spans="3:8" x14ac:dyDescent="0.3">
      <c r="H14" s="3"/>
    </row>
    <row r="15" spans="3:8" x14ac:dyDescent="0.3">
      <c r="H15" s="3"/>
    </row>
    <row r="18" spans="2:2" x14ac:dyDescent="0.3">
      <c r="B18" t="s">
        <v>13</v>
      </c>
    </row>
    <row r="19" spans="2:2" x14ac:dyDescent="0.3">
      <c r="B19" t="s">
        <v>14</v>
      </c>
    </row>
    <row r="20" spans="2:2" x14ac:dyDescent="0.3">
      <c r="B20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463ED-E787-4D58-AD61-BB9D351330D4}">
  <dimension ref="C3:U43"/>
  <sheetViews>
    <sheetView zoomScale="93" zoomScaleNormal="85" workbookViewId="0">
      <selection activeCell="J10" sqref="J10"/>
    </sheetView>
  </sheetViews>
  <sheetFormatPr baseColWidth="10" defaultRowHeight="14.4" x14ac:dyDescent="0.3"/>
  <cols>
    <col min="10" max="10" width="18" customWidth="1"/>
    <col min="18" max="18" width="16" customWidth="1"/>
    <col min="21" max="21" width="13.5546875" customWidth="1"/>
  </cols>
  <sheetData>
    <row r="3" spans="3:21" x14ac:dyDescent="0.3">
      <c r="Q3" s="32" t="s">
        <v>46</v>
      </c>
      <c r="R3" s="32"/>
      <c r="T3" s="33" t="s">
        <v>49</v>
      </c>
      <c r="U3" s="33"/>
    </row>
    <row r="4" spans="3:21" x14ac:dyDescent="0.3">
      <c r="J4" s="35" t="s">
        <v>41</v>
      </c>
      <c r="Q4" s="32" t="s">
        <v>47</v>
      </c>
      <c r="R4" s="32"/>
      <c r="T4" s="33" t="s">
        <v>50</v>
      </c>
      <c r="U4" s="33" t="s">
        <v>51</v>
      </c>
    </row>
    <row r="5" spans="3:21" ht="15" thickBot="1" x14ac:dyDescent="0.35">
      <c r="C5" s="36" t="s">
        <v>0</v>
      </c>
      <c r="D5" s="37" t="s">
        <v>1</v>
      </c>
      <c r="E5" s="37" t="s">
        <v>2</v>
      </c>
      <c r="F5" s="37" t="s">
        <v>3</v>
      </c>
      <c r="G5" s="38" t="s">
        <v>62</v>
      </c>
      <c r="H5" s="38" t="s">
        <v>4</v>
      </c>
      <c r="I5" s="35" t="s">
        <v>22</v>
      </c>
      <c r="J5" s="35" t="s">
        <v>42</v>
      </c>
      <c r="K5" s="34"/>
      <c r="L5" s="35" t="s">
        <v>19</v>
      </c>
      <c r="M5" s="35" t="s">
        <v>23</v>
      </c>
      <c r="O5" s="35" t="s">
        <v>36</v>
      </c>
      <c r="Q5" s="32" t="s">
        <v>31</v>
      </c>
      <c r="R5" s="32" t="s">
        <v>48</v>
      </c>
      <c r="T5" s="33" t="s">
        <v>52</v>
      </c>
      <c r="U5" s="33" t="s">
        <v>53</v>
      </c>
    </row>
    <row r="6" spans="3:21" x14ac:dyDescent="0.3">
      <c r="C6" s="12"/>
      <c r="D6" s="13"/>
      <c r="E6" s="14"/>
      <c r="F6" s="14"/>
      <c r="G6" s="3"/>
      <c r="H6" s="3"/>
      <c r="I6" s="17">
        <v>0</v>
      </c>
      <c r="L6" s="17"/>
      <c r="M6" s="17">
        <v>0</v>
      </c>
      <c r="Q6" s="20"/>
      <c r="R6" s="20"/>
      <c r="T6" s="21"/>
      <c r="U6" s="21"/>
    </row>
    <row r="7" spans="3:21" x14ac:dyDescent="0.3">
      <c r="C7" s="4">
        <v>10</v>
      </c>
      <c r="D7" s="5">
        <v>0.59</v>
      </c>
      <c r="E7" s="6">
        <v>0.63</v>
      </c>
      <c r="F7" s="6">
        <v>0.65</v>
      </c>
      <c r="G7" s="3">
        <f>F7-E7</f>
        <v>2.0000000000000018E-2</v>
      </c>
      <c r="H7" s="3"/>
      <c r="I7">
        <f>F7-C7*EtalonnageTube2_09032020!$H$33</f>
        <v>0.63700000000000001</v>
      </c>
      <c r="J7">
        <f>-6.2543-F7</f>
        <v>-6.9043000000000001</v>
      </c>
      <c r="L7">
        <v>8.1378690974997809</v>
      </c>
      <c r="M7">
        <f>IF((C7-L7)&gt;0,C7-L7,0)</f>
        <v>1.8621309025002191</v>
      </c>
      <c r="O7">
        <f t="shared" ref="O7:O20" si="0">(I7-I6)/(M7-M6)</f>
        <v>0.34208121413200437</v>
      </c>
      <c r="Q7" s="20"/>
      <c r="R7" s="20"/>
      <c r="T7" s="21"/>
      <c r="U7" s="21"/>
    </row>
    <row r="8" spans="3:21" x14ac:dyDescent="0.3">
      <c r="C8" s="4">
        <v>20</v>
      </c>
      <c r="D8" s="7">
        <v>3.09</v>
      </c>
      <c r="E8" s="1">
        <v>3.16</v>
      </c>
      <c r="F8" s="1">
        <v>3.24</v>
      </c>
      <c r="G8" s="3">
        <f t="shared" ref="G8:G22" si="1">F8-E8</f>
        <v>8.0000000000000071E-2</v>
      </c>
      <c r="H8" s="3"/>
      <c r="I8">
        <f>F8-C8*EtalonnageTube2_09032020!$H$33</f>
        <v>3.2140000000000004</v>
      </c>
      <c r="J8">
        <f t="shared" ref="J8:J22" si="2">-6.2543-F8</f>
        <v>-9.4942999999999991</v>
      </c>
      <c r="L8">
        <v>13.17596482547529</v>
      </c>
      <c r="M8">
        <f t="shared" ref="M8:M22" si="3">IF((C8-L8)&gt;0,C8-L8,0)</f>
        <v>6.8240351745247096</v>
      </c>
      <c r="O8">
        <f t="shared" si="0"/>
        <v>0.51935705703338109</v>
      </c>
      <c r="Q8" s="20"/>
      <c r="R8" s="20"/>
      <c r="T8" s="21"/>
      <c r="U8" s="21"/>
    </row>
    <row r="9" spans="3:21" x14ac:dyDescent="0.3">
      <c r="C9" s="4">
        <v>30</v>
      </c>
      <c r="D9" s="7">
        <v>6.49</v>
      </c>
      <c r="E9" s="1">
        <v>6.64</v>
      </c>
      <c r="F9" s="1">
        <v>6.8</v>
      </c>
      <c r="G9" s="3">
        <f t="shared" si="1"/>
        <v>0.16000000000000014</v>
      </c>
      <c r="H9" s="3"/>
      <c r="I9">
        <f>F9-C9*EtalonnageTube2_09032020!$H$33</f>
        <v>6.7610000000000001</v>
      </c>
      <c r="J9">
        <f>-6.2543-F9</f>
        <v>-13.0543</v>
      </c>
      <c r="L9">
        <v>28.803752567371568</v>
      </c>
      <c r="M9">
        <f t="shared" si="3"/>
        <v>1.1962474326284323</v>
      </c>
      <c r="O9">
        <f t="shared" si="0"/>
        <v>-0.63026541914404921</v>
      </c>
      <c r="Q9" s="20"/>
      <c r="R9" s="20"/>
      <c r="T9" s="21"/>
      <c r="U9" s="21"/>
    </row>
    <row r="10" spans="3:21" x14ac:dyDescent="0.3">
      <c r="C10" s="4">
        <v>49</v>
      </c>
      <c r="D10" s="7">
        <v>16.28</v>
      </c>
      <c r="E10" s="1">
        <v>16.62</v>
      </c>
      <c r="F10" s="1">
        <v>17.100000000000001</v>
      </c>
      <c r="G10" s="3">
        <f t="shared" si="1"/>
        <v>0.48000000000000043</v>
      </c>
      <c r="H10" s="3"/>
      <c r="I10">
        <f>F10-C10*EtalonnageTube2_09032020!$H$33</f>
        <v>17.036300000000001</v>
      </c>
      <c r="J10">
        <f t="shared" si="2"/>
        <v>-23.354300000000002</v>
      </c>
      <c r="L10">
        <v>53.935640215018744</v>
      </c>
      <c r="M10">
        <f t="shared" si="3"/>
        <v>0</v>
      </c>
      <c r="O10">
        <f t="shared" si="0"/>
        <v>-8.5896109113670498</v>
      </c>
      <c r="Q10" s="20"/>
      <c r="R10" s="20"/>
      <c r="T10" s="21"/>
      <c r="U10" s="21"/>
    </row>
    <row r="11" spans="3:21" x14ac:dyDescent="0.3">
      <c r="C11" s="4">
        <v>70</v>
      </c>
      <c r="D11" s="7">
        <v>37.770000000000003</v>
      </c>
      <c r="E11" s="1">
        <v>38.590000000000003</v>
      </c>
      <c r="F11" s="1">
        <v>39.99</v>
      </c>
      <c r="G11" s="3">
        <f t="shared" si="1"/>
        <v>1.3999999999999986</v>
      </c>
      <c r="H11" s="3"/>
      <c r="I11">
        <f>F11-C11*EtalonnageTube2_09032020!$H$33</f>
        <v>39.899000000000001</v>
      </c>
      <c r="J11">
        <f t="shared" si="2"/>
        <v>-46.244300000000003</v>
      </c>
      <c r="L11">
        <v>69.228730718198236</v>
      </c>
      <c r="M11">
        <f t="shared" si="3"/>
        <v>0.77126928180176435</v>
      </c>
      <c r="O11">
        <f t="shared" si="0"/>
        <v>29.642954204775773</v>
      </c>
      <c r="Q11" s="20"/>
      <c r="R11" s="20"/>
      <c r="T11" s="21"/>
      <c r="U11" s="21"/>
    </row>
    <row r="12" spans="3:21" x14ac:dyDescent="0.3">
      <c r="C12" s="4">
        <v>96</v>
      </c>
      <c r="D12" s="7">
        <v>74.319999999999993</v>
      </c>
      <c r="E12" s="1">
        <v>74.81</v>
      </c>
      <c r="F12" s="1">
        <v>75.53</v>
      </c>
      <c r="G12" s="3">
        <f t="shared" si="1"/>
        <v>0.71999999999999886</v>
      </c>
      <c r="H12" s="3"/>
      <c r="I12">
        <f>F12-C12*EtalonnageTube2_09032020!$H$33</f>
        <v>75.405200000000008</v>
      </c>
      <c r="J12">
        <f t="shared" si="2"/>
        <v>-81.784300000000002</v>
      </c>
      <c r="L12">
        <v>81.76645049044447</v>
      </c>
      <c r="M12">
        <f t="shared" si="3"/>
        <v>14.23354950955553</v>
      </c>
      <c r="O12">
        <f t="shared" si="0"/>
        <v>2.6374580976854585</v>
      </c>
      <c r="Q12" s="20"/>
      <c r="R12" s="20"/>
      <c r="T12" s="21"/>
      <c r="U12" s="21"/>
    </row>
    <row r="13" spans="3:21" x14ac:dyDescent="0.3">
      <c r="C13" s="4">
        <v>150</v>
      </c>
      <c r="D13" s="7">
        <v>83.27</v>
      </c>
      <c r="E13" s="1">
        <v>83.32</v>
      </c>
      <c r="F13" s="1">
        <v>83.44</v>
      </c>
      <c r="G13" s="3">
        <f t="shared" si="1"/>
        <v>0.12000000000000455</v>
      </c>
      <c r="H13" s="3"/>
      <c r="I13">
        <f>F13-C13*EtalonnageTube2_09032020!$H$33</f>
        <v>83.245000000000005</v>
      </c>
      <c r="J13">
        <f t="shared" si="2"/>
        <v>-89.694299999999998</v>
      </c>
      <c r="L13">
        <v>83.895386922141583</v>
      </c>
      <c r="M13">
        <f t="shared" si="3"/>
        <v>66.104613077858417</v>
      </c>
      <c r="O13">
        <f t="shared" si="0"/>
        <v>0.15114014366944084</v>
      </c>
      <c r="Q13" s="20"/>
      <c r="R13" s="20"/>
      <c r="T13" s="21"/>
      <c r="U13" s="21"/>
    </row>
    <row r="14" spans="3:21" x14ac:dyDescent="0.3">
      <c r="C14" s="4">
        <v>200</v>
      </c>
      <c r="D14" s="7">
        <v>86.29</v>
      </c>
      <c r="E14" s="1">
        <v>86.41</v>
      </c>
      <c r="F14" s="1">
        <v>86.61</v>
      </c>
      <c r="G14" s="3">
        <f t="shared" si="1"/>
        <v>0.20000000000000284</v>
      </c>
      <c r="H14" s="3"/>
      <c r="I14">
        <f>F14-C14*EtalonnageTube2_09032020!$H$33</f>
        <v>86.35</v>
      </c>
      <c r="J14">
        <f t="shared" si="2"/>
        <v>-92.8643</v>
      </c>
      <c r="L14">
        <v>84.706084510604228</v>
      </c>
      <c r="M14">
        <f t="shared" si="3"/>
        <v>115.29391548939577</v>
      </c>
      <c r="O14">
        <f t="shared" si="0"/>
        <v>6.3123481077700994E-2</v>
      </c>
      <c r="Q14" s="20"/>
      <c r="R14" s="20"/>
      <c r="T14" s="21"/>
      <c r="U14" s="21"/>
    </row>
    <row r="15" spans="3:21" x14ac:dyDescent="0.3">
      <c r="C15" s="4">
        <v>300</v>
      </c>
      <c r="D15" s="7">
        <v>91.23</v>
      </c>
      <c r="E15" s="1">
        <v>91.38</v>
      </c>
      <c r="F15" s="1">
        <v>91.61</v>
      </c>
      <c r="G15" s="3">
        <f t="shared" si="1"/>
        <v>0.23000000000000398</v>
      </c>
      <c r="H15" s="3"/>
      <c r="I15">
        <f>F15-C15*EtalonnageTube2_09032020!$H$33</f>
        <v>91.22</v>
      </c>
      <c r="J15">
        <f t="shared" si="2"/>
        <v>-97.8643</v>
      </c>
      <c r="L15">
        <v>85.940915009828203</v>
      </c>
      <c r="M15">
        <f t="shared" si="3"/>
        <v>214.05908499017181</v>
      </c>
      <c r="O15">
        <f t="shared" si="0"/>
        <v>4.9308881102682042E-2</v>
      </c>
      <c r="Q15" s="20"/>
      <c r="R15" s="20"/>
      <c r="T15" s="21" t="e">
        <f>((I15/1000)^2-($N$28/1000)^2)/((M15/1000)-($N$29/1000))</f>
        <v>#DIV/0!</v>
      </c>
      <c r="U15" s="21" t="e">
        <f>((M15/1000)*(I15/1000)^2-($N$29/1000)*($N$28/1000)^2)/(M15/1000-$N$29/1000)</f>
        <v>#DIV/0!</v>
      </c>
    </row>
    <row r="16" spans="3:21" x14ac:dyDescent="0.3">
      <c r="C16" s="4">
        <v>400</v>
      </c>
      <c r="D16" s="7">
        <v>95.82</v>
      </c>
      <c r="E16" s="1">
        <v>96.03</v>
      </c>
      <c r="F16" s="1">
        <v>96.23</v>
      </c>
      <c r="G16" s="3">
        <f t="shared" si="1"/>
        <v>0.20000000000000284</v>
      </c>
      <c r="H16" s="3"/>
      <c r="I16">
        <f>F16-C16*EtalonnageTube2_09032020!$H$33</f>
        <v>95.710000000000008</v>
      </c>
      <c r="J16">
        <f t="shared" si="2"/>
        <v>-102.4843</v>
      </c>
      <c r="L16">
        <v>87.038182437153324</v>
      </c>
      <c r="M16">
        <f t="shared" si="3"/>
        <v>312.9618175628467</v>
      </c>
      <c r="O16" s="31">
        <f t="shared" si="0"/>
        <v>4.5398138991768547E-2</v>
      </c>
      <c r="Q16" s="20"/>
      <c r="R16" s="20"/>
      <c r="T16" s="21">
        <f t="shared" ref="T16:T22" si="4">((I16/1000)^2-($N$28/1000)^2)/((M16/1000)-($N$29/1000))</f>
        <v>8.4862741217312885E-3</v>
      </c>
      <c r="U16" s="21">
        <f t="shared" ref="U16:U22" si="5">((M16/1000)*(I16/1000)^2-($N$29/1000)*($N$28/1000)^2)/(M16/1000-$N$29/1000)</f>
        <v>1.0976968173473576E-2</v>
      </c>
    </row>
    <row r="17" spans="3:21" x14ac:dyDescent="0.3">
      <c r="C17" s="4">
        <v>500</v>
      </c>
      <c r="D17" s="7">
        <v>100.5</v>
      </c>
      <c r="E17" s="1">
        <v>100.72</v>
      </c>
      <c r="F17" s="1">
        <v>100.99</v>
      </c>
      <c r="G17" s="3">
        <f t="shared" si="1"/>
        <v>0.26999999999999602</v>
      </c>
      <c r="H17" s="3"/>
      <c r="I17">
        <f>F17-C17*EtalonnageTube2_09032020!$H$33</f>
        <v>100.33999999999999</v>
      </c>
      <c r="J17">
        <f t="shared" si="2"/>
        <v>-107.2443</v>
      </c>
      <c r="L17">
        <v>88.12872633338371</v>
      </c>
      <c r="M17">
        <f t="shared" si="3"/>
        <v>411.87127366661628</v>
      </c>
      <c r="O17">
        <f t="shared" si="0"/>
        <v>4.681048892981958E-2</v>
      </c>
      <c r="Q17" s="20"/>
      <c r="R17" s="20"/>
      <c r="T17" s="21">
        <f t="shared" si="4"/>
        <v>8.8317469802508368E-3</v>
      </c>
      <c r="U17" s="21">
        <f t="shared" si="5"/>
        <v>1.1958631277457202E-2</v>
      </c>
    </row>
    <row r="18" spans="3:21" x14ac:dyDescent="0.3">
      <c r="C18" s="4">
        <v>600</v>
      </c>
      <c r="D18" s="7">
        <v>105.89</v>
      </c>
      <c r="E18" s="1">
        <v>106.18</v>
      </c>
      <c r="F18" s="1">
        <v>106.5</v>
      </c>
      <c r="G18" s="3">
        <f t="shared" si="1"/>
        <v>0.31999999999999318</v>
      </c>
      <c r="H18" s="3"/>
      <c r="I18">
        <f>F18-C18*EtalonnageTube2_09032020!$H$33</f>
        <v>105.72</v>
      </c>
      <c r="J18">
        <f t="shared" si="2"/>
        <v>-112.7543</v>
      </c>
      <c r="L18">
        <v>89.344885403556873</v>
      </c>
      <c r="M18">
        <f t="shared" si="3"/>
        <v>510.65511459644313</v>
      </c>
      <c r="O18">
        <f t="shared" si="0"/>
        <v>5.4462348794696129E-2</v>
      </c>
      <c r="Q18" s="20"/>
      <c r="R18" s="20"/>
      <c r="T18" s="21">
        <f t="shared" si="4"/>
        <v>9.6280115542707167E-3</v>
      </c>
      <c r="U18" s="21">
        <f t="shared" si="5"/>
        <v>1.3237681743581989E-2</v>
      </c>
    </row>
    <row r="19" spans="3:21" x14ac:dyDescent="0.3">
      <c r="C19" s="4">
        <v>700</v>
      </c>
      <c r="D19" s="7">
        <v>112.88</v>
      </c>
      <c r="E19" s="1">
        <v>113.33</v>
      </c>
      <c r="F19" s="1">
        <v>113.73</v>
      </c>
      <c r="G19" s="3">
        <f t="shared" si="1"/>
        <v>0.40000000000000568</v>
      </c>
      <c r="H19" s="3"/>
      <c r="I19">
        <f>F19-C19*EtalonnageTube2_09032020!$H$33</f>
        <v>112.82000000000001</v>
      </c>
      <c r="J19">
        <f t="shared" si="2"/>
        <v>-119.9843</v>
      </c>
      <c r="L19">
        <v>90.872724871150211</v>
      </c>
      <c r="M19">
        <f t="shared" si="3"/>
        <v>609.12727512884976</v>
      </c>
      <c r="O19">
        <f t="shared" si="0"/>
        <v>7.2101596650389718E-2</v>
      </c>
      <c r="Q19" s="20">
        <f>1/(I19*10^-3)</f>
        <v>8.8636766530756947</v>
      </c>
      <c r="R19" s="20">
        <f>M19/1000</f>
        <v>0.60912727512884979</v>
      </c>
      <c r="T19" s="21">
        <f t="shared" si="4"/>
        <v>1.1155704534077902E-2</v>
      </c>
      <c r="U19" s="21">
        <f t="shared" si="5"/>
        <v>1.5116332304985427E-2</v>
      </c>
    </row>
    <row r="20" spans="3:21" x14ac:dyDescent="0.3">
      <c r="C20" s="4">
        <v>800</v>
      </c>
      <c r="D20" s="7">
        <v>122.86</v>
      </c>
      <c r="E20" s="1">
        <v>123.54</v>
      </c>
      <c r="F20" s="1">
        <v>124.43</v>
      </c>
      <c r="G20" s="3">
        <f t="shared" si="1"/>
        <v>0.89000000000000057</v>
      </c>
      <c r="H20" s="3"/>
      <c r="I20">
        <f>F20-C20*EtalonnageTube2_09032020!$H$33</f>
        <v>123.39</v>
      </c>
      <c r="J20">
        <f t="shared" si="2"/>
        <v>-130.68430000000001</v>
      </c>
      <c r="L20">
        <v>93.009126223742541</v>
      </c>
      <c r="M20">
        <f t="shared" si="3"/>
        <v>706.99087377625744</v>
      </c>
      <c r="O20">
        <f t="shared" si="0"/>
        <v>0.10800747311656296</v>
      </c>
      <c r="Q20" s="20">
        <f>1/(I20*10^-3)</f>
        <v>8.1043844719993512</v>
      </c>
      <c r="R20" s="20">
        <f>M20/1000</f>
        <v>0.70699087377625747</v>
      </c>
      <c r="T20" s="21">
        <f t="shared" si="4"/>
        <v>1.4006002163102703E-2</v>
      </c>
      <c r="U20" s="21">
        <f t="shared" si="5"/>
        <v>1.8223204107404131E-2</v>
      </c>
    </row>
    <row r="21" spans="3:21" x14ac:dyDescent="0.3">
      <c r="C21" s="4">
        <v>900</v>
      </c>
      <c r="D21" s="7">
        <v>147.05000000000001</v>
      </c>
      <c r="E21" s="1">
        <v>148.41</v>
      </c>
      <c r="F21" s="1">
        <v>149.97999999999999</v>
      </c>
      <c r="G21" s="3">
        <f t="shared" si="1"/>
        <v>1.5699999999999932</v>
      </c>
      <c r="H21" s="3"/>
      <c r="I21">
        <f>F21-C21*EtalonnageTube2_09032020!$H$33</f>
        <v>148.81</v>
      </c>
      <c r="J21">
        <f t="shared" si="2"/>
        <v>-156.23429999999999</v>
      </c>
      <c r="L21">
        <v>97.621411976317063</v>
      </c>
      <c r="M21">
        <f t="shared" si="3"/>
        <v>802.37858802368294</v>
      </c>
      <c r="O21">
        <f>(I21-I20)/(M21-M20)</f>
        <v>0.26649134220852855</v>
      </c>
      <c r="Q21" s="20">
        <f>1/(I21*10^-3)</f>
        <v>6.7199784960688129</v>
      </c>
      <c r="R21" s="20">
        <f>M21/1000</f>
        <v>0.80237858802368289</v>
      </c>
      <c r="T21" s="21">
        <f t="shared" si="4"/>
        <v>2.3496293474419481E-2</v>
      </c>
      <c r="U21" s="21">
        <f t="shared" si="5"/>
        <v>2.7174011181794779E-2</v>
      </c>
    </row>
    <row r="22" spans="3:21" x14ac:dyDescent="0.3">
      <c r="C22" s="4">
        <v>945</v>
      </c>
      <c r="D22" s="7">
        <f>187.5+50.44</f>
        <v>237.94</v>
      </c>
      <c r="E22" s="1">
        <f>D22</f>
        <v>237.94</v>
      </c>
      <c r="F22" s="1">
        <f>D22</f>
        <v>237.94</v>
      </c>
      <c r="G22" s="3">
        <f t="shared" si="1"/>
        <v>0</v>
      </c>
      <c r="H22" s="3"/>
      <c r="I22">
        <f>F22-C22*EtalonnageTube2_09032020!$H$33</f>
        <v>236.7115</v>
      </c>
      <c r="J22">
        <f t="shared" si="2"/>
        <v>-244.1943</v>
      </c>
      <c r="L22">
        <v>110.15001482429783</v>
      </c>
      <c r="M22">
        <f t="shared" si="3"/>
        <v>834.84998517570216</v>
      </c>
      <c r="O22">
        <f>(I22-I21)/(M22-M21)</f>
        <v>2.7070439743777355</v>
      </c>
      <c r="Q22" s="20">
        <f>1/(I22*10^-3)</f>
        <v>4.2245518278579617</v>
      </c>
      <c r="R22" s="20">
        <f>M22/1000</f>
        <v>0.83484998517570219</v>
      </c>
      <c r="T22" s="21">
        <f t="shared" si="4"/>
        <v>7.6855581835994932E-2</v>
      </c>
      <c r="U22" s="21">
        <f t="shared" si="5"/>
        <v>7.2483969756450342E-2</v>
      </c>
    </row>
    <row r="23" spans="3:21" x14ac:dyDescent="0.3">
      <c r="H23" s="3"/>
      <c r="Q23" s="20"/>
      <c r="R23" s="20"/>
      <c r="T23" s="21"/>
      <c r="U23" s="21"/>
    </row>
    <row r="24" spans="3:21" x14ac:dyDescent="0.3">
      <c r="H24" s="3"/>
      <c r="Q24" s="32" t="s">
        <v>32</v>
      </c>
      <c r="R24" s="20">
        <v>-18.006</v>
      </c>
      <c r="T24" s="33" t="s">
        <v>34</v>
      </c>
      <c r="U24" s="21">
        <v>1.1275999999999999</v>
      </c>
    </row>
    <row r="25" spans="3:21" x14ac:dyDescent="0.3">
      <c r="Q25" s="32" t="s">
        <v>33</v>
      </c>
      <c r="R25" s="20">
        <v>20.260000000000002</v>
      </c>
      <c r="T25" s="33" t="s">
        <v>35</v>
      </c>
      <c r="U25" s="21">
        <v>5.4999999999999997E-3</v>
      </c>
    </row>
    <row r="26" spans="3:21" x14ac:dyDescent="0.3">
      <c r="I26" s="22" t="s">
        <v>11</v>
      </c>
      <c r="J26" s="22">
        <v>9.6549674895734654</v>
      </c>
      <c r="K26" s="22" t="s">
        <v>9</v>
      </c>
      <c r="L26" s="22" t="s">
        <v>37</v>
      </c>
      <c r="M26" s="22"/>
      <c r="N26" s="22">
        <f>O16</f>
        <v>4.5398138991768547E-2</v>
      </c>
      <c r="Q26" s="32" t="s">
        <v>54</v>
      </c>
      <c r="R26" s="20">
        <f>-R25/R24+1/(R24+(J26+2*N28)*10^-3)</f>
        <v>1.0690445724597151</v>
      </c>
      <c r="T26" s="33" t="s">
        <v>56</v>
      </c>
      <c r="U26" s="21">
        <f>(N29/1000*(N28/1000)^2+U25+U24*((N36/1000)^2-(N28/1000)^2))/((N36/1000)^2+U25)</f>
        <v>0.90027655591869105</v>
      </c>
    </row>
    <row r="27" spans="3:21" x14ac:dyDescent="0.3">
      <c r="I27" s="22"/>
      <c r="J27" s="22"/>
      <c r="K27" s="22"/>
      <c r="L27" s="22" t="s">
        <v>55</v>
      </c>
      <c r="M27" s="22"/>
      <c r="N27" s="22"/>
      <c r="T27" s="21" t="s">
        <v>57</v>
      </c>
      <c r="U27">
        <f>(R26-U26)/U26</f>
        <v>0.1874624141120769</v>
      </c>
    </row>
    <row r="28" spans="3:21" x14ac:dyDescent="0.3">
      <c r="I28" s="27" t="s">
        <v>25</v>
      </c>
      <c r="J28" s="24">
        <v>0.33</v>
      </c>
      <c r="K28" s="22"/>
      <c r="L28" s="22" t="s">
        <v>38</v>
      </c>
      <c r="M28" s="22"/>
      <c r="N28" s="22">
        <f>I15</f>
        <v>91.22</v>
      </c>
    </row>
    <row r="29" spans="3:21" x14ac:dyDescent="0.3">
      <c r="I29" s="22"/>
      <c r="J29" s="22"/>
      <c r="K29" s="22"/>
      <c r="L29" s="22" t="s">
        <v>39</v>
      </c>
      <c r="M29" s="22"/>
      <c r="N29" s="22">
        <f>M15</f>
        <v>214.05908499017181</v>
      </c>
      <c r="Q29" s="29" t="s">
        <v>58</v>
      </c>
      <c r="R29" s="26">
        <f>MIN(R26,U26)*1000</f>
        <v>900.27655591869109</v>
      </c>
      <c r="S29" s="26" t="s">
        <v>30</v>
      </c>
    </row>
    <row r="30" spans="3:21" x14ac:dyDescent="0.3">
      <c r="I30" s="22" t="s">
        <v>26</v>
      </c>
      <c r="J30" s="22">
        <f>I13</f>
        <v>83.245000000000005</v>
      </c>
      <c r="K30" s="22"/>
      <c r="L30" s="22" t="s">
        <v>45</v>
      </c>
      <c r="M30" s="22"/>
      <c r="N30" s="22"/>
      <c r="Q30" s="29" t="s">
        <v>61</v>
      </c>
      <c r="R30" s="26">
        <f>J36/R29</f>
        <v>5.8420337367305226</v>
      </c>
      <c r="S30" s="26"/>
    </row>
    <row r="31" spans="3:21" x14ac:dyDescent="0.3">
      <c r="I31" s="22" t="s">
        <v>27</v>
      </c>
      <c r="J31" s="22">
        <f>I19</f>
        <v>112.82000000000001</v>
      </c>
      <c r="K31" s="22"/>
      <c r="L31" s="25" t="s">
        <v>40</v>
      </c>
      <c r="M31" s="25"/>
      <c r="N31" s="22">
        <f>1+0.01*(M16+M15)/(M16-M15)+3/(I16-I15)</f>
        <v>1.721438236493694</v>
      </c>
    </row>
    <row r="32" spans="3:21" x14ac:dyDescent="0.3">
      <c r="I32" s="22" t="s">
        <v>28</v>
      </c>
      <c r="J32" s="22">
        <f>M13</f>
        <v>66.104613077858417</v>
      </c>
      <c r="K32" s="22"/>
      <c r="L32" s="22"/>
      <c r="M32" s="22"/>
      <c r="N32" s="22"/>
    </row>
    <row r="33" spans="7:19" x14ac:dyDescent="0.3">
      <c r="I33" s="22" t="s">
        <v>29</v>
      </c>
      <c r="J33" s="22">
        <f>M19</f>
        <v>609.12727512884976</v>
      </c>
      <c r="K33" s="22"/>
      <c r="L33" s="25" t="s">
        <v>43</v>
      </c>
      <c r="M33" s="25"/>
      <c r="N33" s="22">
        <f>N31*N26</f>
        <v>7.8150092326085649E-2</v>
      </c>
      <c r="Q33" s="30" t="s">
        <v>63</v>
      </c>
      <c r="R33" s="39">
        <v>620</v>
      </c>
      <c r="S33" s="28" t="s">
        <v>30</v>
      </c>
    </row>
    <row r="34" spans="7:19" x14ac:dyDescent="0.3">
      <c r="I34" s="22"/>
      <c r="J34" s="22"/>
      <c r="K34" s="22"/>
      <c r="L34" s="22"/>
      <c r="M34" s="22"/>
      <c r="N34" s="22"/>
    </row>
    <row r="35" spans="7:19" x14ac:dyDescent="0.3">
      <c r="I35" s="22"/>
      <c r="J35" s="22"/>
      <c r="K35" s="22"/>
      <c r="L35" s="22"/>
      <c r="M35" s="22"/>
      <c r="N35" s="22"/>
    </row>
    <row r="36" spans="7:19" x14ac:dyDescent="0.3">
      <c r="I36" s="22" t="s">
        <v>64</v>
      </c>
      <c r="J36" s="22">
        <f>2*(1+J28)*(J26+(J30+J31)/2)*((J33-J32)/(J31-J30))</f>
        <v>5259.4460120645563</v>
      </c>
      <c r="K36" s="22" t="s">
        <v>30</v>
      </c>
      <c r="L36" s="22" t="s">
        <v>44</v>
      </c>
      <c r="M36" s="22"/>
      <c r="N36" s="22">
        <f>J26+2*J30</f>
        <v>176.14496748957347</v>
      </c>
    </row>
    <row r="37" spans="7:19" x14ac:dyDescent="0.3">
      <c r="I37" s="22" t="s">
        <v>64</v>
      </c>
      <c r="J37" s="22">
        <f>J36/1000</f>
        <v>5.2594460120645561</v>
      </c>
      <c r="K37" s="22" t="s">
        <v>60</v>
      </c>
    </row>
    <row r="43" spans="7:19" x14ac:dyDescent="0.3">
      <c r="G43" t="s">
        <v>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E7DE-E4B7-436A-8CE5-29AA47BB1453}">
  <dimension ref="B1:U46"/>
  <sheetViews>
    <sheetView workbookViewId="0">
      <selection activeCell="I14" sqref="I14"/>
    </sheetView>
  </sheetViews>
  <sheetFormatPr baseColWidth="10" defaultRowHeight="14.4" x14ac:dyDescent="0.3"/>
  <cols>
    <col min="11" max="11" width="11" customWidth="1"/>
    <col min="12" max="12" width="13.109375" customWidth="1"/>
    <col min="18" max="18" width="16" customWidth="1"/>
  </cols>
  <sheetData>
    <row r="1" spans="2:21" x14ac:dyDescent="0.3">
      <c r="Q1" s="32" t="s">
        <v>46</v>
      </c>
      <c r="R1" s="32"/>
      <c r="T1" s="33" t="s">
        <v>49</v>
      </c>
      <c r="U1" s="33"/>
    </row>
    <row r="2" spans="2:21" x14ac:dyDescent="0.3">
      <c r="B2" t="s">
        <v>16</v>
      </c>
      <c r="Q2" s="32" t="s">
        <v>47</v>
      </c>
      <c r="R2" s="32"/>
      <c r="T2" s="33" t="s">
        <v>50</v>
      </c>
      <c r="U2" s="33" t="s">
        <v>51</v>
      </c>
    </row>
    <row r="3" spans="2:21" ht="15" thickBot="1" x14ac:dyDescent="0.35">
      <c r="C3" s="1" t="s">
        <v>0</v>
      </c>
      <c r="D3" s="2" t="s">
        <v>1</v>
      </c>
      <c r="E3" s="2" t="s">
        <v>2</v>
      </c>
      <c r="F3" s="2" t="s">
        <v>3</v>
      </c>
      <c r="G3" s="3" t="s">
        <v>12</v>
      </c>
      <c r="H3" s="3" t="s">
        <v>4</v>
      </c>
      <c r="I3" s="17" t="s">
        <v>22</v>
      </c>
      <c r="L3" s="17" t="s">
        <v>19</v>
      </c>
      <c r="M3" s="17" t="s">
        <v>24</v>
      </c>
      <c r="O3" s="35" t="s">
        <v>36</v>
      </c>
      <c r="Q3" s="32" t="s">
        <v>31</v>
      </c>
      <c r="R3" s="32" t="s">
        <v>48</v>
      </c>
      <c r="T3" s="33" t="s">
        <v>52</v>
      </c>
      <c r="U3" s="33" t="s">
        <v>53</v>
      </c>
    </row>
    <row r="4" spans="2:21" x14ac:dyDescent="0.3">
      <c r="C4" s="12"/>
      <c r="D4" s="13"/>
      <c r="E4" s="14"/>
      <c r="F4" s="14"/>
      <c r="G4" s="3"/>
      <c r="H4" s="3"/>
      <c r="I4" s="17">
        <v>0</v>
      </c>
      <c r="L4" s="17"/>
      <c r="M4" s="17">
        <v>0</v>
      </c>
      <c r="Q4" s="32"/>
      <c r="R4" s="32"/>
      <c r="T4" s="21"/>
      <c r="U4" s="21"/>
    </row>
    <row r="5" spans="2:21" x14ac:dyDescent="0.3">
      <c r="C5" s="4">
        <v>10</v>
      </c>
      <c r="D5" s="5">
        <v>1.56</v>
      </c>
      <c r="E5" s="6">
        <v>1.71</v>
      </c>
      <c r="F5" s="6">
        <v>1.83</v>
      </c>
      <c r="G5" s="3">
        <f>F5-E5</f>
        <v>0.12000000000000011</v>
      </c>
      <c r="H5" s="3"/>
      <c r="I5">
        <f>F5-C5*EtalonnageTube2_09032020!$H$33</f>
        <v>1.8170000000000002</v>
      </c>
      <c r="J5">
        <f>-6.2543-F5</f>
        <v>-8.0842999999999989</v>
      </c>
      <c r="L5">
        <v>10.17970529283107</v>
      </c>
      <c r="M5">
        <f>IF((C5-L5)&gt;0,C5-L5,0)</f>
        <v>0</v>
      </c>
      <c r="O5" t="e">
        <f t="shared" ref="O5:O18" si="0">(I5-I4)/(M5-M4)</f>
        <v>#DIV/0!</v>
      </c>
      <c r="Q5" s="32"/>
      <c r="R5" s="32"/>
      <c r="T5" s="21"/>
      <c r="U5" s="21"/>
    </row>
    <row r="6" spans="2:21" x14ac:dyDescent="0.3">
      <c r="C6" s="4">
        <v>20</v>
      </c>
      <c r="D6" s="7">
        <v>4.12</v>
      </c>
      <c r="E6" s="1">
        <v>4.26</v>
      </c>
      <c r="F6" s="1">
        <v>4.51</v>
      </c>
      <c r="G6" s="3">
        <f t="shared" ref="G6:G21" si="1">F6-E6</f>
        <v>0.25</v>
      </c>
      <c r="H6" s="3"/>
      <c r="I6">
        <f>F6-C6*EtalonnageTube2_09032020!$H$33</f>
        <v>4.484</v>
      </c>
      <c r="J6">
        <f t="shared" ref="J6:J21" si="2">-6.2543-F6</f>
        <v>-10.764299999999999</v>
      </c>
      <c r="L6">
        <v>16.774959728990329</v>
      </c>
      <c r="M6">
        <f t="shared" ref="M6:M21" si="3">IF((C6-L6)&gt;0,C6-L6,0)</f>
        <v>3.2250402710096715</v>
      </c>
      <c r="O6">
        <f t="shared" si="0"/>
        <v>0.82696641774492796</v>
      </c>
      <c r="Q6" s="32"/>
      <c r="R6" s="32"/>
      <c r="T6" s="21"/>
      <c r="U6" s="21"/>
    </row>
    <row r="7" spans="2:21" x14ac:dyDescent="0.3">
      <c r="C7" s="4">
        <v>29</v>
      </c>
      <c r="D7" s="7">
        <v>7.33</v>
      </c>
      <c r="E7" s="1">
        <v>7.53</v>
      </c>
      <c r="F7" s="1">
        <v>7.81</v>
      </c>
      <c r="G7" s="3">
        <f t="shared" si="1"/>
        <v>0.27999999999999936</v>
      </c>
      <c r="H7" s="3"/>
      <c r="I7">
        <f>F7-C7*EtalonnageTube2_09032020!$H$33</f>
        <v>7.7722999999999995</v>
      </c>
      <c r="J7">
        <f t="shared" si="2"/>
        <v>-14.064299999999999</v>
      </c>
      <c r="L7">
        <v>35.096123220664083</v>
      </c>
      <c r="M7">
        <f t="shared" si="3"/>
        <v>0</v>
      </c>
      <c r="O7">
        <f t="shared" si="0"/>
        <v>-1.0196151749046294</v>
      </c>
      <c r="Q7" s="32"/>
      <c r="R7" s="32"/>
      <c r="T7" s="21"/>
      <c r="U7" s="21"/>
    </row>
    <row r="8" spans="2:21" x14ac:dyDescent="0.3">
      <c r="C8" s="4">
        <v>49</v>
      </c>
      <c r="D8" s="7">
        <v>15.87</v>
      </c>
      <c r="E8" s="1">
        <v>16.22</v>
      </c>
      <c r="F8" s="1">
        <v>16.8</v>
      </c>
      <c r="G8" s="3">
        <f t="shared" si="1"/>
        <v>0.58000000000000185</v>
      </c>
      <c r="H8" s="3"/>
      <c r="I8">
        <f>F8-C8*EtalonnageTube2_09032020!$H$33</f>
        <v>16.7363</v>
      </c>
      <c r="J8">
        <f t="shared" si="2"/>
        <v>-23.054300000000001</v>
      </c>
      <c r="L8">
        <v>53.610203794611252</v>
      </c>
      <c r="M8">
        <f t="shared" si="3"/>
        <v>0</v>
      </c>
      <c r="O8" t="e">
        <f t="shared" si="0"/>
        <v>#DIV/0!</v>
      </c>
      <c r="Q8" s="32"/>
      <c r="R8" s="32"/>
      <c r="T8" s="21"/>
      <c r="U8" s="21"/>
    </row>
    <row r="9" spans="2:21" x14ac:dyDescent="0.3">
      <c r="C9" s="4">
        <v>70</v>
      </c>
      <c r="D9" s="7">
        <v>32.369999999999997</v>
      </c>
      <c r="E9" s="1">
        <v>33.229999999999997</v>
      </c>
      <c r="F9" s="1">
        <v>35.090000000000003</v>
      </c>
      <c r="G9" s="3">
        <f t="shared" si="1"/>
        <v>1.8600000000000065</v>
      </c>
      <c r="H9" s="3"/>
      <c r="I9">
        <f>F9-C9*EtalonnageTube2_09032020!$H$33</f>
        <v>34.999000000000002</v>
      </c>
      <c r="J9">
        <f t="shared" si="2"/>
        <v>-41.344300000000004</v>
      </c>
      <c r="L9">
        <v>66.826053105303473</v>
      </c>
      <c r="M9">
        <f t="shared" si="3"/>
        <v>3.1739468946965275</v>
      </c>
      <c r="O9">
        <f t="shared" si="0"/>
        <v>5.753940001490216</v>
      </c>
      <c r="Q9" s="32"/>
      <c r="R9" s="32"/>
      <c r="T9" s="21"/>
      <c r="U9" s="21"/>
    </row>
    <row r="10" spans="2:21" x14ac:dyDescent="0.3">
      <c r="C10" s="4">
        <v>98</v>
      </c>
      <c r="D10" s="7">
        <v>78.31</v>
      </c>
      <c r="E10" s="1">
        <v>79.84</v>
      </c>
      <c r="F10" s="1">
        <v>82.19</v>
      </c>
      <c r="G10" s="3">
        <f t="shared" si="1"/>
        <v>2.3499999999999943</v>
      </c>
      <c r="H10" s="3"/>
      <c r="I10">
        <f>F10-C10*EtalonnageTube2_09032020!$H$33</f>
        <v>82.062600000000003</v>
      </c>
      <c r="J10">
        <f t="shared" si="2"/>
        <v>-88.444299999999998</v>
      </c>
      <c r="L10">
        <v>83.569364185772145</v>
      </c>
      <c r="M10">
        <f t="shared" si="3"/>
        <v>14.430635814227855</v>
      </c>
      <c r="O10">
        <f t="shared" si="0"/>
        <v>4.1809452438843353</v>
      </c>
      <c r="Q10" s="32"/>
      <c r="R10" s="32"/>
      <c r="T10" s="21"/>
      <c r="U10" s="21"/>
    </row>
    <row r="11" spans="2:21" x14ac:dyDescent="0.3">
      <c r="C11" s="4">
        <v>150</v>
      </c>
      <c r="D11" s="7">
        <v>89.08</v>
      </c>
      <c r="E11" s="1">
        <v>89.38</v>
      </c>
      <c r="F11" s="1">
        <v>89.52</v>
      </c>
      <c r="G11" s="3">
        <f t="shared" si="1"/>
        <v>0.14000000000000057</v>
      </c>
      <c r="H11" s="3"/>
      <c r="I11">
        <f>F11-C11*EtalonnageTube2_09032020!$H$33</f>
        <v>89.325000000000003</v>
      </c>
      <c r="J11">
        <f t="shared" si="2"/>
        <v>-95.774299999999997</v>
      </c>
      <c r="L11">
        <v>85.431012021161536</v>
      </c>
      <c r="M11">
        <f t="shared" si="3"/>
        <v>64.568987978838464</v>
      </c>
      <c r="O11">
        <f t="shared" si="0"/>
        <v>0.14484720152263109</v>
      </c>
      <c r="Q11" s="32"/>
      <c r="R11" s="32"/>
      <c r="T11" s="21"/>
      <c r="U11" s="21"/>
    </row>
    <row r="12" spans="2:21" x14ac:dyDescent="0.3">
      <c r="C12" s="4">
        <v>200</v>
      </c>
      <c r="D12" s="7">
        <v>91.86</v>
      </c>
      <c r="E12" s="1">
        <v>91.97</v>
      </c>
      <c r="F12" s="1">
        <v>92.11</v>
      </c>
      <c r="G12" s="3">
        <f t="shared" si="1"/>
        <v>0.14000000000000057</v>
      </c>
      <c r="H12" s="3"/>
      <c r="I12">
        <f>F12-C12*EtalonnageTube2_09032020!$H$33</f>
        <v>91.85</v>
      </c>
      <c r="J12">
        <f t="shared" si="2"/>
        <v>-98.3643</v>
      </c>
      <c r="L12">
        <v>86.061618652922135</v>
      </c>
      <c r="M12">
        <f t="shared" si="3"/>
        <v>113.93838134707786</v>
      </c>
      <c r="O12">
        <f t="shared" si="0"/>
        <v>5.114504813065799E-2</v>
      </c>
      <c r="Q12" s="32"/>
      <c r="R12" s="32"/>
      <c r="T12" s="21"/>
      <c r="U12" s="21"/>
    </row>
    <row r="13" spans="2:21" x14ac:dyDescent="0.3">
      <c r="C13" s="4">
        <v>300</v>
      </c>
      <c r="D13" s="7">
        <f>3.72+$D$12</f>
        <v>95.58</v>
      </c>
      <c r="E13" s="1">
        <f>3.89+$E$12</f>
        <v>95.86</v>
      </c>
      <c r="F13" s="1">
        <f>4.06+$F$12</f>
        <v>96.17</v>
      </c>
      <c r="G13" s="3">
        <f t="shared" si="1"/>
        <v>0.31000000000000227</v>
      </c>
      <c r="H13" s="3"/>
      <c r="I13">
        <f>F13-C13*EtalonnageTube2_09032020!$H$33</f>
        <v>95.78</v>
      </c>
      <c r="J13">
        <f>-6.2543-F13</f>
        <v>-102.4243</v>
      </c>
      <c r="L13">
        <v>87.024184670484544</v>
      </c>
      <c r="M13">
        <f t="shared" si="3"/>
        <v>212.97581532951546</v>
      </c>
      <c r="O13">
        <f t="shared" si="0"/>
        <v>3.9681965111262048E-2</v>
      </c>
      <c r="Q13" s="32"/>
      <c r="R13" s="32"/>
      <c r="T13" s="21" t="e">
        <f>((I13/1000)^2-($N$28/1000)^2)/((M13/1000)-($N$29/1000))</f>
        <v>#DIV/0!</v>
      </c>
      <c r="U13" s="21" t="e">
        <f>((M13/1000)*(I13/1000)^2-($N$29/1000)*($N$28/1000)^2)/(M13/1000-$N$29/1000)</f>
        <v>#DIV/0!</v>
      </c>
    </row>
    <row r="14" spans="2:21" x14ac:dyDescent="0.3">
      <c r="C14" s="4">
        <v>400</v>
      </c>
      <c r="D14" s="7">
        <f>7.54+$D$12</f>
        <v>99.4</v>
      </c>
      <c r="E14" s="1">
        <f>7.71+$E$12</f>
        <v>99.679999999999993</v>
      </c>
      <c r="F14" s="1">
        <f>7.91+$F$12</f>
        <v>100.02</v>
      </c>
      <c r="G14" s="3">
        <f t="shared" si="1"/>
        <v>0.34000000000000341</v>
      </c>
      <c r="H14" s="3"/>
      <c r="I14">
        <f>F14-C14*EtalonnageTube2_09032020!$H$33</f>
        <v>99.5</v>
      </c>
      <c r="J14">
        <f t="shared" si="2"/>
        <v>-106.2743</v>
      </c>
      <c r="L14">
        <v>87.909614062152258</v>
      </c>
      <c r="M14">
        <f t="shared" si="3"/>
        <v>312.09038593784771</v>
      </c>
      <c r="O14" s="31">
        <f t="shared" si="0"/>
        <v>3.7532322212242626E-2</v>
      </c>
      <c r="Q14" s="32"/>
      <c r="R14" s="32"/>
      <c r="T14" s="21">
        <f t="shared" ref="T14:T21" si="4">((I14/1000)^2-($N$28/1000)^2)/((M14/1000)-($N$29/1000))</f>
        <v>7.3293118816067484E-3</v>
      </c>
      <c r="U14" s="21">
        <f t="shared" ref="U14:U21" si="5">((M14/1000)*(I14/1000)^2-($N$29/1000)*($N$28/1000)^2)/(M14/1000-$N$29/1000)</f>
        <v>1.1461216173789502E-2</v>
      </c>
    </row>
    <row r="15" spans="2:21" x14ac:dyDescent="0.3">
      <c r="C15" s="4">
        <v>500</v>
      </c>
      <c r="D15" s="7">
        <f>11.43+$D$12</f>
        <v>103.28999999999999</v>
      </c>
      <c r="E15" s="1">
        <f>11.63+$E$12</f>
        <v>103.6</v>
      </c>
      <c r="F15" s="1">
        <f>11.88+$F$12</f>
        <v>103.99</v>
      </c>
      <c r="G15" s="3">
        <f t="shared" si="1"/>
        <v>0.39000000000000057</v>
      </c>
      <c r="H15" s="3"/>
      <c r="I15">
        <f>F15-C15*EtalonnageTube2_09032020!$H$33</f>
        <v>103.33999999999999</v>
      </c>
      <c r="J15">
        <f t="shared" si="2"/>
        <v>-110.2443</v>
      </c>
      <c r="L15">
        <v>88.796750092206352</v>
      </c>
      <c r="M15">
        <f t="shared" si="3"/>
        <v>411.20324990779363</v>
      </c>
      <c r="O15">
        <f t="shared" si="0"/>
        <v>3.8743709405515671E-2</v>
      </c>
      <c r="Q15" s="32"/>
      <c r="R15" s="32"/>
      <c r="T15" s="21">
        <f t="shared" si="4"/>
        <v>7.5940406695095925E-3</v>
      </c>
      <c r="U15" s="21">
        <f t="shared" si="5"/>
        <v>1.2296502603234304E-2</v>
      </c>
    </row>
    <row r="16" spans="2:21" x14ac:dyDescent="0.3">
      <c r="C16" s="4">
        <v>600</v>
      </c>
      <c r="D16" s="7">
        <f>15.67+$D$12</f>
        <v>107.53</v>
      </c>
      <c r="E16" s="1">
        <f>15.99+$E$12</f>
        <v>107.96</v>
      </c>
      <c r="F16" s="1">
        <f>16.31+$F$12</f>
        <v>108.42</v>
      </c>
      <c r="G16" s="3">
        <f t="shared" si="1"/>
        <v>0.46000000000000796</v>
      </c>
      <c r="H16" s="3"/>
      <c r="I16">
        <f>F16-C16*EtalonnageTube2_09032020!$H$33</f>
        <v>107.64</v>
      </c>
      <c r="J16">
        <f t="shared" si="2"/>
        <v>-114.6743</v>
      </c>
      <c r="L16">
        <v>89.757826853717347</v>
      </c>
      <c r="M16">
        <f t="shared" si="3"/>
        <v>510.24217314628265</v>
      </c>
      <c r="O16">
        <f t="shared" si="0"/>
        <v>4.3417273324402657E-2</v>
      </c>
      <c r="Q16" s="32"/>
      <c r="R16" s="32"/>
      <c r="T16" s="21">
        <f t="shared" si="4"/>
        <v>8.1158231887346142E-3</v>
      </c>
      <c r="U16" s="21">
        <f t="shared" si="5"/>
        <v>1.3314843660690943E-2</v>
      </c>
    </row>
    <row r="17" spans="3:21" x14ac:dyDescent="0.3">
      <c r="C17" s="4">
        <v>700</v>
      </c>
      <c r="D17" s="7">
        <f>20.88+$D$12</f>
        <v>112.74</v>
      </c>
      <c r="E17" s="1">
        <f>21.3+$E$12</f>
        <v>113.27</v>
      </c>
      <c r="F17" s="1">
        <f>21.8+$F$12</f>
        <v>113.91</v>
      </c>
      <c r="G17" s="3">
        <f t="shared" si="1"/>
        <v>0.64000000000000057</v>
      </c>
      <c r="H17" s="3"/>
      <c r="I17">
        <f>F17-C17*EtalonnageTube2_09032020!$H$33</f>
        <v>113</v>
      </c>
      <c r="J17">
        <f t="shared" si="2"/>
        <v>-120.1643</v>
      </c>
      <c r="L17">
        <v>90.909847136687915</v>
      </c>
      <c r="M17">
        <f t="shared" si="3"/>
        <v>609.09015286331214</v>
      </c>
      <c r="O17">
        <f t="shared" si="0"/>
        <v>5.4224679303957295E-2</v>
      </c>
      <c r="Q17" s="20">
        <f>1/(I17*10^-3)</f>
        <v>8.8495575221238933</v>
      </c>
      <c r="R17" s="20">
        <f>M17/1000</f>
        <v>0.60909015286331214</v>
      </c>
      <c r="T17" s="21">
        <f t="shared" si="4"/>
        <v>9.0761461006022212E-3</v>
      </c>
      <c r="U17" s="21">
        <f t="shared" si="5"/>
        <v>1.4701999615825561E-2</v>
      </c>
    </row>
    <row r="18" spans="3:21" x14ac:dyDescent="0.3">
      <c r="C18" s="4">
        <v>800</v>
      </c>
      <c r="D18" s="7">
        <f>27.96+$D$12</f>
        <v>119.82</v>
      </c>
      <c r="E18" s="1">
        <f>28.67+$E$12</f>
        <v>120.64</v>
      </c>
      <c r="F18" s="1">
        <f>29.47+$F$12</f>
        <v>121.58</v>
      </c>
      <c r="G18" s="3">
        <f t="shared" si="1"/>
        <v>0.93999999999999773</v>
      </c>
      <c r="H18" s="3"/>
      <c r="I18">
        <f>F18-C18*EtalonnageTube2_09032020!$H$33</f>
        <v>120.53999999999999</v>
      </c>
      <c r="J18">
        <f t="shared" si="2"/>
        <v>-127.8343</v>
      </c>
      <c r="L18">
        <v>92.453523597282498</v>
      </c>
      <c r="M18">
        <f t="shared" si="3"/>
        <v>707.54647640271753</v>
      </c>
      <c r="O18">
        <f t="shared" si="0"/>
        <v>7.6582181102692118E-2</v>
      </c>
      <c r="Q18" s="20">
        <f>1/(I18*10^-3)</f>
        <v>8.2960013273602122</v>
      </c>
      <c r="R18" s="20">
        <f>M18/1000</f>
        <v>0.70754647640271751</v>
      </c>
      <c r="T18" s="21">
        <f t="shared" si="4"/>
        <v>1.0829763311025111E-2</v>
      </c>
      <c r="U18" s="21">
        <f t="shared" si="5"/>
        <v>1.6836369270991247E-2</v>
      </c>
    </row>
    <row r="19" spans="3:21" x14ac:dyDescent="0.3">
      <c r="C19" s="4">
        <v>900</v>
      </c>
      <c r="D19" s="7">
        <f>39.39+$D$12</f>
        <v>131.25</v>
      </c>
      <c r="E19" s="1">
        <f>40.73+$E$12</f>
        <v>132.69999999999999</v>
      </c>
      <c r="F19" s="1">
        <f>42.27+$F$12</f>
        <v>134.38</v>
      </c>
      <c r="G19" s="3">
        <f t="shared" si="1"/>
        <v>1.6800000000000068</v>
      </c>
      <c r="H19" s="3"/>
      <c r="I19">
        <f>F19-C19*EtalonnageTube2_09032020!$H$33</f>
        <v>133.21</v>
      </c>
      <c r="J19">
        <f t="shared" si="2"/>
        <v>-140.6343</v>
      </c>
      <c r="L19">
        <v>94.879645774888999</v>
      </c>
      <c r="M19">
        <f t="shared" si="3"/>
        <v>805.12035422511099</v>
      </c>
      <c r="O19">
        <f>(I19-I18)/(M19-M18)</f>
        <v>0.12985032759548906</v>
      </c>
      <c r="Q19" s="20">
        <f>1/(I19*10^-3)</f>
        <v>7.506943923128893</v>
      </c>
      <c r="R19" s="20">
        <f>M19/1000</f>
        <v>0.80512035422511097</v>
      </c>
      <c r="T19" s="21">
        <f t="shared" si="4"/>
        <v>1.447466815447777E-2</v>
      </c>
      <c r="U19" s="21">
        <f t="shared" si="5"/>
        <v>2.0827658351824076E-2</v>
      </c>
    </row>
    <row r="20" spans="3:21" x14ac:dyDescent="0.3">
      <c r="C20" s="4">
        <v>1000</v>
      </c>
      <c r="D20" s="7">
        <f>68.52+$D$12</f>
        <v>160.38</v>
      </c>
      <c r="E20" s="1">
        <f>71.17+$E$12</f>
        <v>163.13999999999999</v>
      </c>
      <c r="F20" s="1">
        <f>75.27+$F$12</f>
        <v>167.38</v>
      </c>
      <c r="G20" s="3">
        <f t="shared" si="1"/>
        <v>4.2400000000000091</v>
      </c>
      <c r="H20" s="3"/>
      <c r="I20">
        <f>F20-C20*EtalonnageTube2_09032020!$H$33</f>
        <v>166.07999999999998</v>
      </c>
      <c r="J20">
        <f t="shared" si="2"/>
        <v>-173.6343</v>
      </c>
      <c r="L20">
        <v>100.44903342208728</v>
      </c>
      <c r="M20">
        <f t="shared" si="3"/>
        <v>899.55096657791273</v>
      </c>
      <c r="O20">
        <f>(I20-I19)/(M20-M19)</f>
        <v>0.34808627394254876</v>
      </c>
      <c r="Q20" s="20">
        <f>1/(I20*10^-3)</f>
        <v>6.0211946050096348</v>
      </c>
      <c r="R20" s="20">
        <f>M20/1000</f>
        <v>0.89955096657791278</v>
      </c>
      <c r="T20" s="21">
        <f t="shared" si="4"/>
        <v>2.6812444299109006E-2</v>
      </c>
      <c r="U20" s="21">
        <f t="shared" si="5"/>
        <v>3.3292968585579952E-2</v>
      </c>
    </row>
    <row r="21" spans="3:21" x14ac:dyDescent="0.3">
      <c r="C21" s="15">
        <v>1035</v>
      </c>
      <c r="D21" s="7">
        <f>109.82+$D$12</f>
        <v>201.68</v>
      </c>
      <c r="E21" s="1">
        <f>109.82+$E$12</f>
        <v>201.79</v>
      </c>
      <c r="F21" s="1">
        <f>109.82+$F$12</f>
        <v>201.93</v>
      </c>
      <c r="G21" s="3">
        <f t="shared" si="1"/>
        <v>0.14000000000001478</v>
      </c>
      <c r="I21">
        <f>F21-C21*EtalonnageTube2_09032020!$H$33</f>
        <v>200.58450000000002</v>
      </c>
      <c r="J21">
        <f t="shared" si="2"/>
        <v>-208.18430000000001</v>
      </c>
      <c r="L21">
        <v>105.49799000513136</v>
      </c>
      <c r="M21">
        <f t="shared" si="3"/>
        <v>929.50200999486867</v>
      </c>
      <c r="O21">
        <f>(I21-I20)/(M21-M20)</f>
        <v>1.1520299817156381</v>
      </c>
      <c r="Q21" s="20">
        <f>1/(I21*10^-3)</f>
        <v>4.9854300805894765</v>
      </c>
      <c r="R21" s="20">
        <f>M21/1000</f>
        <v>0.92950200999486865</v>
      </c>
      <c r="T21" s="21">
        <f t="shared" si="4"/>
        <v>4.3348496498102837E-2</v>
      </c>
      <c r="U21" s="21">
        <f t="shared" si="5"/>
        <v>4.9466323025242107E-2</v>
      </c>
    </row>
    <row r="22" spans="3:21" x14ac:dyDescent="0.3">
      <c r="Q22" s="20"/>
      <c r="R22" s="20"/>
      <c r="T22" s="21"/>
      <c r="U22" s="21"/>
    </row>
    <row r="23" spans="3:21" x14ac:dyDescent="0.3">
      <c r="Q23" s="32" t="s">
        <v>32</v>
      </c>
      <c r="R23" s="20">
        <v>-11.519</v>
      </c>
      <c r="T23" s="33" t="s">
        <v>34</v>
      </c>
      <c r="U23" s="21">
        <v>0.96020000000000005</v>
      </c>
    </row>
    <row r="24" spans="3:21" x14ac:dyDescent="0.3">
      <c r="H24" s="3"/>
      <c r="Q24" s="32" t="s">
        <v>33</v>
      </c>
      <c r="R24" s="20">
        <v>16.22</v>
      </c>
      <c r="T24" s="33" t="s">
        <v>35</v>
      </c>
      <c r="U24" s="21">
        <v>4.7000000000000002E-3</v>
      </c>
    </row>
    <row r="25" spans="3:21" x14ac:dyDescent="0.3">
      <c r="Q25" s="32" t="s">
        <v>54</v>
      </c>
      <c r="R25" s="20">
        <f>-R24/R23+1/(R23+(J26+2*N28)*10^-3)</f>
        <v>1.3197518315366887</v>
      </c>
      <c r="T25" s="33" t="s">
        <v>56</v>
      </c>
      <c r="U25" s="21">
        <f>(N29/1000*(N28/1000)^2+U24+U23*((N36/1000)^2-(N28/1000)^2))/((N36/1000)^2+U24)</f>
        <v>0.79416321568950055</v>
      </c>
    </row>
    <row r="26" spans="3:21" x14ac:dyDescent="0.3">
      <c r="I26" s="22" t="s">
        <v>11</v>
      </c>
      <c r="J26" s="22">
        <v>9.6549674895734654</v>
      </c>
      <c r="K26" s="22" t="s">
        <v>9</v>
      </c>
      <c r="L26" s="22" t="s">
        <v>37</v>
      </c>
      <c r="M26" s="22"/>
      <c r="N26" s="22">
        <f>O14</f>
        <v>3.7532322212242626E-2</v>
      </c>
      <c r="T26" s="21" t="s">
        <v>57</v>
      </c>
      <c r="U26">
        <f>(R25-U25)/U25</f>
        <v>0.6618143543589674</v>
      </c>
    </row>
    <row r="27" spans="3:21" x14ac:dyDescent="0.3">
      <c r="I27" s="22"/>
      <c r="J27" s="22"/>
      <c r="K27" s="22"/>
      <c r="L27" s="22" t="s">
        <v>55</v>
      </c>
      <c r="M27" s="22"/>
      <c r="N27" s="22"/>
    </row>
    <row r="28" spans="3:21" x14ac:dyDescent="0.3">
      <c r="I28" s="23" t="s">
        <v>25</v>
      </c>
      <c r="J28" s="24">
        <v>0.33</v>
      </c>
      <c r="K28" s="22"/>
      <c r="L28" s="22" t="s">
        <v>38</v>
      </c>
      <c r="M28" s="22"/>
      <c r="N28" s="22">
        <f>I13</f>
        <v>95.78</v>
      </c>
      <c r="Q28" s="29" t="s">
        <v>58</v>
      </c>
      <c r="R28" s="26">
        <f>MIN(R25,U25)*1000</f>
        <v>794.16321568950059</v>
      </c>
      <c r="S28" s="26" t="s">
        <v>30</v>
      </c>
    </row>
    <row r="29" spans="3:21" x14ac:dyDescent="0.3">
      <c r="I29" s="22"/>
      <c r="J29" s="22"/>
      <c r="K29" s="22"/>
      <c r="L29" s="22" t="s">
        <v>39</v>
      </c>
      <c r="M29" s="22"/>
      <c r="N29" s="22">
        <f>M13</f>
        <v>212.97581532951546</v>
      </c>
      <c r="Q29" s="29" t="s">
        <v>61</v>
      </c>
      <c r="R29" s="26">
        <f>J36/R28</f>
        <v>8.5369918632936876</v>
      </c>
      <c r="S29" s="26"/>
    </row>
    <row r="30" spans="3:21" x14ac:dyDescent="0.3">
      <c r="I30" s="22" t="s">
        <v>26</v>
      </c>
      <c r="J30" s="22">
        <f>I11</f>
        <v>89.325000000000003</v>
      </c>
      <c r="K30" s="22"/>
      <c r="L30" s="22" t="s">
        <v>45</v>
      </c>
      <c r="M30" s="22"/>
      <c r="N30" s="22"/>
    </row>
    <row r="31" spans="3:21" x14ac:dyDescent="0.3">
      <c r="I31" s="22" t="s">
        <v>27</v>
      </c>
      <c r="J31" s="22">
        <f>I17</f>
        <v>113</v>
      </c>
      <c r="K31" s="22"/>
      <c r="L31" s="25" t="s">
        <v>40</v>
      </c>
      <c r="M31" s="25"/>
      <c r="N31" s="22">
        <f>1+0.01*(M14+M13)/(M14-M13)+3/(I14-I13)</f>
        <v>1.8594272952922717</v>
      </c>
    </row>
    <row r="32" spans="3:21" x14ac:dyDescent="0.3">
      <c r="I32" s="22" t="s">
        <v>28</v>
      </c>
      <c r="J32" s="22">
        <f>M11</f>
        <v>64.568987978838464</v>
      </c>
      <c r="K32" s="22"/>
      <c r="L32" s="22"/>
      <c r="M32" s="22"/>
      <c r="N32" s="22"/>
      <c r="Q32" s="30" t="s">
        <v>63</v>
      </c>
      <c r="R32" s="39">
        <v>690</v>
      </c>
      <c r="S32" s="28" t="s">
        <v>30</v>
      </c>
    </row>
    <row r="33" spans="7:14" x14ac:dyDescent="0.3">
      <c r="I33" s="22" t="s">
        <v>29</v>
      </c>
      <c r="J33" s="22">
        <f>M17</f>
        <v>609.09015286331214</v>
      </c>
      <c r="K33" s="22"/>
      <c r="L33" s="25" t="s">
        <v>43</v>
      </c>
      <c r="M33" s="25"/>
      <c r="N33" s="22">
        <f>N31*N26</f>
        <v>6.9788624377148362E-2</v>
      </c>
    </row>
    <row r="34" spans="7:14" x14ac:dyDescent="0.3">
      <c r="I34" s="22"/>
      <c r="J34" s="22"/>
      <c r="K34" s="22"/>
      <c r="L34" s="22"/>
      <c r="M34" s="22"/>
      <c r="N34" s="22"/>
    </row>
    <row r="35" spans="7:14" x14ac:dyDescent="0.3">
      <c r="I35" s="22"/>
      <c r="J35" s="22"/>
      <c r="K35" s="22"/>
      <c r="L35" s="22"/>
      <c r="M35" s="22"/>
      <c r="N35" s="22"/>
    </row>
    <row r="36" spans="7:14" x14ac:dyDescent="0.3">
      <c r="I36" s="22" t="s">
        <v>64</v>
      </c>
      <c r="J36" s="22">
        <f>2*(1+J28)*(J26+(J30+J31)/2)*((J33-J32)/(J31-J30))</f>
        <v>6779.7649104684169</v>
      </c>
      <c r="K36" s="22" t="s">
        <v>30</v>
      </c>
      <c r="L36" s="22" t="s">
        <v>44</v>
      </c>
      <c r="M36" s="22"/>
      <c r="N36" s="22">
        <f>J26+2*J30</f>
        <v>188.30496748957347</v>
      </c>
    </row>
    <row r="37" spans="7:14" x14ac:dyDescent="0.3">
      <c r="I37" s="22" t="s">
        <v>64</v>
      </c>
      <c r="J37" s="22">
        <f>J36/1000</f>
        <v>6.7797649104684172</v>
      </c>
      <c r="K37" s="22" t="s">
        <v>60</v>
      </c>
    </row>
    <row r="46" spans="7:14" x14ac:dyDescent="0.3">
      <c r="G46" t="s">
        <v>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40578-EC27-4C9D-98E4-FEACB910010E}">
  <dimension ref="B1:U42"/>
  <sheetViews>
    <sheetView workbookViewId="0">
      <selection activeCell="M22" sqref="M22"/>
    </sheetView>
  </sheetViews>
  <sheetFormatPr baseColWidth="10" defaultRowHeight="14.4" x14ac:dyDescent="0.3"/>
  <cols>
    <col min="10" max="10" width="17.5546875" customWidth="1"/>
    <col min="12" max="12" width="12.33203125" customWidth="1"/>
    <col min="18" max="18" width="16.33203125" customWidth="1"/>
    <col min="21" max="21" width="13.33203125" customWidth="1"/>
  </cols>
  <sheetData>
    <row r="1" spans="2:21" x14ac:dyDescent="0.3">
      <c r="B1" t="s">
        <v>17</v>
      </c>
      <c r="Q1" s="32" t="s">
        <v>46</v>
      </c>
      <c r="R1" s="32"/>
      <c r="T1" s="33" t="s">
        <v>49</v>
      </c>
      <c r="U1" s="33"/>
    </row>
    <row r="2" spans="2:21" x14ac:dyDescent="0.3">
      <c r="J2" s="35" t="s">
        <v>41</v>
      </c>
      <c r="Q2" s="32" t="s">
        <v>47</v>
      </c>
      <c r="R2" s="32"/>
      <c r="T2" s="33" t="s">
        <v>50</v>
      </c>
      <c r="U2" s="33" t="s">
        <v>51</v>
      </c>
    </row>
    <row r="3" spans="2:21" ht="15" thickBot="1" x14ac:dyDescent="0.35">
      <c r="C3" s="36" t="s">
        <v>0</v>
      </c>
      <c r="D3" s="37" t="s">
        <v>1</v>
      </c>
      <c r="E3" s="37" t="s">
        <v>2</v>
      </c>
      <c r="F3" s="37" t="s">
        <v>3</v>
      </c>
      <c r="G3" s="38" t="s">
        <v>62</v>
      </c>
      <c r="H3" s="38" t="s">
        <v>4</v>
      </c>
      <c r="I3" s="35" t="s">
        <v>22</v>
      </c>
      <c r="J3" s="35" t="s">
        <v>42</v>
      </c>
      <c r="K3" s="34"/>
      <c r="L3" s="35" t="s">
        <v>19</v>
      </c>
      <c r="M3" s="35" t="s">
        <v>24</v>
      </c>
      <c r="O3" s="34" t="s">
        <v>36</v>
      </c>
      <c r="Q3" s="32" t="s">
        <v>31</v>
      </c>
      <c r="R3" s="32" t="s">
        <v>48</v>
      </c>
      <c r="T3" s="33" t="s">
        <v>52</v>
      </c>
      <c r="U3" s="33" t="s">
        <v>53</v>
      </c>
    </row>
    <row r="4" spans="2:21" x14ac:dyDescent="0.3">
      <c r="C4" s="12"/>
      <c r="D4" s="13"/>
      <c r="E4" s="14"/>
      <c r="F4" s="14"/>
      <c r="G4" s="3"/>
      <c r="H4" s="3"/>
      <c r="I4" s="17">
        <v>0</v>
      </c>
      <c r="L4" s="17"/>
      <c r="M4" s="17">
        <v>0</v>
      </c>
      <c r="Q4" s="20"/>
      <c r="R4" s="20"/>
      <c r="T4" s="21"/>
      <c r="U4" s="21"/>
    </row>
    <row r="5" spans="2:21" x14ac:dyDescent="0.3">
      <c r="C5" s="4">
        <v>10</v>
      </c>
      <c r="D5" s="5">
        <v>1.56</v>
      </c>
      <c r="E5" s="6">
        <v>1.71</v>
      </c>
      <c r="F5" s="6">
        <v>1.86</v>
      </c>
      <c r="G5" s="3">
        <f>F5-E5</f>
        <v>0.15000000000000013</v>
      </c>
      <c r="H5" s="3"/>
      <c r="I5">
        <f>F5-C5*EtalonnageTube2_09032020!$H$33</f>
        <v>1.8470000000000002</v>
      </c>
      <c r="J5">
        <f>-6.2543-F5</f>
        <v>-8.1143000000000001</v>
      </c>
      <c r="L5">
        <v>10.236229799692254</v>
      </c>
      <c r="M5">
        <f>IF((C5-L5)&gt;0,C5-L5,0)</f>
        <v>0</v>
      </c>
      <c r="O5" t="e">
        <f t="shared" ref="O5:O18" si="0">(I5-I4)/(M5-M4)</f>
        <v>#DIV/0!</v>
      </c>
      <c r="Q5" s="20"/>
      <c r="R5" s="20"/>
      <c r="T5" s="21"/>
      <c r="U5" s="21"/>
    </row>
    <row r="6" spans="2:21" x14ac:dyDescent="0.3">
      <c r="C6" s="4">
        <v>20</v>
      </c>
      <c r="D6" s="7">
        <f>2.46+$D$5</f>
        <v>4.0199999999999996</v>
      </c>
      <c r="E6" s="1">
        <f>2.61+$E$5</f>
        <v>4.32</v>
      </c>
      <c r="F6" s="1">
        <f>2.77+$F$5</f>
        <v>4.63</v>
      </c>
      <c r="G6" s="3">
        <f t="shared" ref="G6:G21" si="1">F6-E6</f>
        <v>0.30999999999999961</v>
      </c>
      <c r="H6" s="3"/>
      <c r="I6">
        <f>F6-C6*EtalonnageTube2_09032020!$H$33</f>
        <v>4.6040000000000001</v>
      </c>
      <c r="J6">
        <f t="shared" ref="J6:J21" si="2">-6.2543-F6</f>
        <v>-10.8843</v>
      </c>
      <c r="L6">
        <v>17.185137626345124</v>
      </c>
      <c r="M6">
        <f t="shared" ref="M6:M20" si="3">IF((C6-L6)&gt;0,C6-L6,0)</f>
        <v>2.8148623736548757</v>
      </c>
      <c r="O6">
        <f t="shared" si="0"/>
        <v>0.97944397772465641</v>
      </c>
      <c r="Q6" s="20"/>
      <c r="R6" s="20"/>
      <c r="T6" s="21"/>
      <c r="U6" s="21"/>
    </row>
    <row r="7" spans="2:21" x14ac:dyDescent="0.3">
      <c r="C7" s="4">
        <v>29</v>
      </c>
      <c r="D7" s="7">
        <f>5.27+$D$5</f>
        <v>6.83</v>
      </c>
      <c r="E7" s="1">
        <f>5.81+$E$5</f>
        <v>7.52</v>
      </c>
      <c r="F7" s="1">
        <f>6.21+$F$5</f>
        <v>8.07</v>
      </c>
      <c r="G7" s="3">
        <f t="shared" si="1"/>
        <v>0.55000000000000071</v>
      </c>
      <c r="H7" s="3"/>
      <c r="I7">
        <f>F7-C7*EtalonnageTube2_09032020!$H$33</f>
        <v>8.0323000000000011</v>
      </c>
      <c r="J7">
        <f t="shared" si="2"/>
        <v>-14.324300000000001</v>
      </c>
      <c r="L7">
        <v>36.350336287625041</v>
      </c>
      <c r="M7">
        <f t="shared" si="3"/>
        <v>0</v>
      </c>
      <c r="O7">
        <f t="shared" si="0"/>
        <v>-1.2179281062145235</v>
      </c>
      <c r="Q7" s="20"/>
      <c r="R7" s="20"/>
      <c r="T7" s="21"/>
      <c r="U7" s="21"/>
    </row>
    <row r="8" spans="2:21" x14ac:dyDescent="0.3">
      <c r="C8" s="4">
        <v>49</v>
      </c>
      <c r="D8" s="7">
        <f>14.44+$D$5</f>
        <v>16</v>
      </c>
      <c r="E8" s="1">
        <f>15.04+$E$5</f>
        <v>16.75</v>
      </c>
      <c r="F8" s="1">
        <f>15.8+$F$5</f>
        <v>17.66</v>
      </c>
      <c r="G8" s="3">
        <f t="shared" si="1"/>
        <v>0.91000000000000014</v>
      </c>
      <c r="H8" s="3"/>
      <c r="I8">
        <f>F8-C8*EtalonnageTube2_09032020!$H$33</f>
        <v>17.596299999999999</v>
      </c>
      <c r="J8">
        <f t="shared" si="2"/>
        <v>-23.914300000000001</v>
      </c>
      <c r="L8">
        <v>54.525031289467151</v>
      </c>
      <c r="M8">
        <f t="shared" si="3"/>
        <v>0</v>
      </c>
      <c r="O8" t="e">
        <f t="shared" si="0"/>
        <v>#DIV/0!</v>
      </c>
      <c r="Q8" s="20"/>
      <c r="R8" s="20"/>
      <c r="T8" s="21"/>
      <c r="U8" s="21"/>
    </row>
    <row r="9" spans="2:21" x14ac:dyDescent="0.3">
      <c r="C9" s="4">
        <v>70</v>
      </c>
      <c r="D9" s="7">
        <f>34.32+$D$5</f>
        <v>35.880000000000003</v>
      </c>
      <c r="E9" s="1">
        <f>35.29+$E$5</f>
        <v>37</v>
      </c>
      <c r="F9" s="1">
        <f>37.26+$F$5</f>
        <v>39.119999999999997</v>
      </c>
      <c r="G9" s="3">
        <f t="shared" si="1"/>
        <v>2.1199999999999974</v>
      </c>
      <c r="H9" s="3"/>
      <c r="I9">
        <f>F9-C9*EtalonnageTube2_09032020!$H$33</f>
        <v>39.028999999999996</v>
      </c>
      <c r="J9">
        <f t="shared" si="2"/>
        <v>-45.374299999999998</v>
      </c>
      <c r="L9">
        <v>68.821286803754248</v>
      </c>
      <c r="M9">
        <f t="shared" si="3"/>
        <v>1.1787131962457522</v>
      </c>
      <c r="O9">
        <f t="shared" si="0"/>
        <v>18.183134004322671</v>
      </c>
      <c r="Q9" s="20"/>
      <c r="R9" s="20"/>
      <c r="T9" s="21"/>
      <c r="U9" s="21"/>
    </row>
    <row r="10" spans="2:21" x14ac:dyDescent="0.3">
      <c r="C10" s="4">
        <v>98</v>
      </c>
      <c r="D10" s="7">
        <f>78.49+$D$5</f>
        <v>80.05</v>
      </c>
      <c r="E10" s="1">
        <f>79.29+$E$5</f>
        <v>81</v>
      </c>
      <c r="F10" s="1">
        <f>80.07+$F$5</f>
        <v>81.929999999999993</v>
      </c>
      <c r="G10" s="3">
        <f t="shared" si="1"/>
        <v>0.92999999999999261</v>
      </c>
      <c r="H10" s="3"/>
      <c r="I10">
        <f>F10-C10*EtalonnageTube2_09032020!$H$33</f>
        <v>81.802599999999998</v>
      </c>
      <c r="J10">
        <f t="shared" si="2"/>
        <v>-88.184299999999993</v>
      </c>
      <c r="L10">
        <v>83.501084592450013</v>
      </c>
      <c r="M10">
        <f t="shared" si="3"/>
        <v>14.498915407549987</v>
      </c>
      <c r="O10">
        <f t="shared" si="0"/>
        <v>3.211182482177338</v>
      </c>
      <c r="Q10" s="20"/>
      <c r="R10" s="20"/>
      <c r="T10" s="21"/>
      <c r="U10" s="21"/>
    </row>
    <row r="11" spans="2:21" x14ac:dyDescent="0.3">
      <c r="C11" s="4">
        <v>150</v>
      </c>
      <c r="D11" s="7">
        <f>85.01+$D$5</f>
        <v>86.570000000000007</v>
      </c>
      <c r="E11" s="1">
        <f>85.14+$E$5</f>
        <v>86.85</v>
      </c>
      <c r="F11" s="1">
        <f>85.24+$F$5</f>
        <v>87.1</v>
      </c>
      <c r="G11" s="3">
        <f t="shared" si="1"/>
        <v>0.25</v>
      </c>
      <c r="H11" s="3"/>
      <c r="I11">
        <f>F11-C11*EtalonnageTube2_09032020!$H$33</f>
        <v>86.905000000000001</v>
      </c>
      <c r="J11">
        <f t="shared" si="2"/>
        <v>-93.354299999999995</v>
      </c>
      <c r="L11">
        <v>84.829409759686882</v>
      </c>
      <c r="M11">
        <f t="shared" si="3"/>
        <v>65.170590240313118</v>
      </c>
      <c r="O11">
        <f t="shared" si="0"/>
        <v>0.10069530989137365</v>
      </c>
      <c r="Q11" s="20"/>
      <c r="R11" s="20"/>
      <c r="T11" s="21"/>
      <c r="U11" s="21"/>
    </row>
    <row r="12" spans="2:21" x14ac:dyDescent="0.3">
      <c r="C12" s="4">
        <v>200</v>
      </c>
      <c r="D12" s="7">
        <f>87.42+$D$5</f>
        <v>88.98</v>
      </c>
      <c r="E12" s="1">
        <f>87.58+$E$5</f>
        <v>89.289999999999992</v>
      </c>
      <c r="F12" s="1">
        <f>87.72+$F$5</f>
        <v>89.58</v>
      </c>
      <c r="G12" s="3">
        <f t="shared" si="1"/>
        <v>0.29000000000000625</v>
      </c>
      <c r="H12" s="3"/>
      <c r="I12">
        <f>F12-C12*EtalonnageTube2_09032020!$H$33</f>
        <v>89.32</v>
      </c>
      <c r="J12">
        <f t="shared" si="2"/>
        <v>-95.834299999999999</v>
      </c>
      <c r="L12">
        <v>85.445773113926109</v>
      </c>
      <c r="M12">
        <f t="shared" si="3"/>
        <v>114.55422688607389</v>
      </c>
      <c r="O12">
        <f t="shared" si="0"/>
        <v>4.8902838349538645E-2</v>
      </c>
      <c r="Q12" s="20"/>
      <c r="R12" s="20"/>
      <c r="T12" s="21"/>
      <c r="U12" s="21"/>
    </row>
    <row r="13" spans="2:21" x14ac:dyDescent="0.3">
      <c r="C13" s="4">
        <v>300</v>
      </c>
      <c r="D13" s="7">
        <f>3.94+$D$12</f>
        <v>92.92</v>
      </c>
      <c r="E13" s="1">
        <f>4.05+$E$12</f>
        <v>93.339999999999989</v>
      </c>
      <c r="F13" s="1">
        <f>4.18+$F$12</f>
        <v>93.759999999999991</v>
      </c>
      <c r="G13" s="3">
        <f t="shared" si="1"/>
        <v>0.42000000000000171</v>
      </c>
      <c r="H13" s="3"/>
      <c r="I13">
        <f>F13-C13*EtalonnageTube2_09032020!$H$33</f>
        <v>93.36999999999999</v>
      </c>
      <c r="J13">
        <f t="shared" si="2"/>
        <v>-100.01429999999999</v>
      </c>
      <c r="L13">
        <v>86.456525219125382</v>
      </c>
      <c r="M13">
        <f t="shared" si="3"/>
        <v>213.54347478087462</v>
      </c>
      <c r="O13">
        <f t="shared" si="0"/>
        <v>4.0913534410364154E-2</v>
      </c>
      <c r="Q13" s="20"/>
      <c r="R13" s="20"/>
      <c r="T13" s="21" t="e">
        <f>((I13/1000)^2-($N$28/1000)^2)/((M13/1000)-($N$29/1000))</f>
        <v>#DIV/0!</v>
      </c>
      <c r="U13" s="21" t="e">
        <f>((M13/1000)*(I13/1000)^2-($N$29/1000)*($N$28/1000)^2)/(M13/1000-$N$29/1000)</f>
        <v>#DIV/0!</v>
      </c>
    </row>
    <row r="14" spans="2:21" x14ac:dyDescent="0.3">
      <c r="C14" s="4">
        <v>400</v>
      </c>
      <c r="D14" s="7">
        <f>7.61+$D$12</f>
        <v>96.59</v>
      </c>
      <c r="E14" s="1">
        <f>7.8+$E$12</f>
        <v>97.089999999999989</v>
      </c>
      <c r="F14" s="1">
        <f>8.01+$F$12</f>
        <v>97.59</v>
      </c>
      <c r="G14" s="3">
        <f t="shared" si="1"/>
        <v>0.50000000000001421</v>
      </c>
      <c r="H14" s="3"/>
      <c r="I14">
        <f>F14-C14*EtalonnageTube2_09032020!$H$33</f>
        <v>97.070000000000007</v>
      </c>
      <c r="J14">
        <f t="shared" si="2"/>
        <v>-103.8443</v>
      </c>
      <c r="L14">
        <v>87.353750574537827</v>
      </c>
      <c r="M14">
        <f t="shared" si="3"/>
        <v>312.6462494254622</v>
      </c>
      <c r="O14" s="31">
        <f t="shared" si="0"/>
        <v>3.7334978897102855E-2</v>
      </c>
      <c r="Q14" s="20"/>
      <c r="R14" s="20"/>
      <c r="T14" s="21">
        <f>((I14/1000)^2-($N$28/1000)^2)/((M14/1000)-($N$29/1000))</f>
        <v>7.1100733811642579E-3</v>
      </c>
      <c r="U14" s="21">
        <f>((M14/1000)*(I14/1000)^2-($N$29/1000)*($N$28/1000)^2)/(M14/1000-$N$29/1000)</f>
        <v>1.0940894675760818E-2</v>
      </c>
    </row>
    <row r="15" spans="2:21" x14ac:dyDescent="0.3">
      <c r="C15" s="4">
        <v>500</v>
      </c>
      <c r="D15" s="7">
        <f>11.64+$D$12</f>
        <v>100.62</v>
      </c>
      <c r="E15" s="1">
        <f>11.91+$E$12</f>
        <v>101.19999999999999</v>
      </c>
      <c r="F15" s="1">
        <f>12.19+$F$12</f>
        <v>101.77</v>
      </c>
      <c r="G15" s="3">
        <f t="shared" si="1"/>
        <v>0.57000000000000739</v>
      </c>
      <c r="H15" s="3"/>
      <c r="I15">
        <f>F15-C15*EtalonnageTube2_09032020!$H$33</f>
        <v>101.11999999999999</v>
      </c>
      <c r="J15">
        <f t="shared" si="2"/>
        <v>-108.0243</v>
      </c>
      <c r="L15">
        <v>88.303799846243379</v>
      </c>
      <c r="M15">
        <f t="shared" si="3"/>
        <v>411.69620015375665</v>
      </c>
      <c r="O15">
        <f t="shared" si="0"/>
        <v>4.0888460521394956E-2</v>
      </c>
      <c r="Q15" s="20"/>
      <c r="R15" s="20"/>
      <c r="T15" s="21">
        <f t="shared" ref="T15:T21" si="4">((I15/1000)^2-($N$28/1000)^2)/((M15/1000)-($N$29/1000))</f>
        <v>7.6067462466821003E-3</v>
      </c>
      <c r="U15" s="21">
        <f t="shared" ref="U15:U21" si="5">((M15/1000)*(I15/1000)^2-($N$29/1000)*($N$28/1000)^2)/(M15/1000-$N$29/1000)</f>
        <v>1.1849625425292871E-2</v>
      </c>
    </row>
    <row r="16" spans="2:21" x14ac:dyDescent="0.3">
      <c r="C16" s="4">
        <v>600</v>
      </c>
      <c r="D16" s="7">
        <f>16.48+$D$12</f>
        <v>105.46000000000001</v>
      </c>
      <c r="E16" s="1">
        <f>16.85+$E$12</f>
        <v>106.13999999999999</v>
      </c>
      <c r="F16" s="1">
        <f>17.17+$F$12</f>
        <v>106.75</v>
      </c>
      <c r="G16" s="3">
        <f t="shared" si="1"/>
        <v>0.61000000000001364</v>
      </c>
      <c r="H16" s="3"/>
      <c r="I16">
        <f>F16-C16*EtalonnageTube2_09032020!$H$33</f>
        <v>105.97</v>
      </c>
      <c r="J16">
        <f t="shared" si="2"/>
        <v>-113.0043</v>
      </c>
      <c r="L16">
        <v>89.398960588938209</v>
      </c>
      <c r="M16">
        <f t="shared" si="3"/>
        <v>510.60103941106178</v>
      </c>
      <c r="O16">
        <f t="shared" si="0"/>
        <v>4.9037034349578471E-2</v>
      </c>
      <c r="Q16" s="20"/>
      <c r="R16" s="20"/>
      <c r="T16" s="21">
        <f t="shared" si="4"/>
        <v>8.4552096935381696E-3</v>
      </c>
      <c r="U16" s="21">
        <f t="shared" si="5"/>
        <v>1.3035195757959075E-2</v>
      </c>
    </row>
    <row r="17" spans="3:21" x14ac:dyDescent="0.3">
      <c r="C17" s="4">
        <v>700</v>
      </c>
      <c r="D17" s="7">
        <f>22.54+$D$12</f>
        <v>111.52000000000001</v>
      </c>
      <c r="E17" s="1">
        <f>23.13+$E$12</f>
        <v>112.41999999999999</v>
      </c>
      <c r="F17" s="1">
        <f>23.65+$F$12</f>
        <v>113.22999999999999</v>
      </c>
      <c r="G17" s="3">
        <f t="shared" si="1"/>
        <v>0.81000000000000227</v>
      </c>
      <c r="H17" s="3"/>
      <c r="I17">
        <f>F17-C17*EtalonnageTube2_09032020!$H$33</f>
        <v>112.32</v>
      </c>
      <c r="J17">
        <f t="shared" si="2"/>
        <v>-119.48429999999999</v>
      </c>
      <c r="L17">
        <v>90.769382578548743</v>
      </c>
      <c r="M17">
        <f t="shared" si="3"/>
        <v>609.23061742145126</v>
      </c>
      <c r="O17">
        <f t="shared" si="0"/>
        <v>6.4382309324400588E-2</v>
      </c>
      <c r="Q17" s="20">
        <f>1/(I17*10^-3)</f>
        <v>8.9031339031339041</v>
      </c>
      <c r="R17" s="20">
        <f>M17/1000</f>
        <v>0.60923061742145124</v>
      </c>
      <c r="T17" s="21">
        <f t="shared" si="4"/>
        <v>9.8507762319196661E-3</v>
      </c>
      <c r="U17" s="21">
        <f t="shared" si="5"/>
        <v>1.4719351385852975E-2</v>
      </c>
    </row>
    <row r="18" spans="3:21" x14ac:dyDescent="0.3">
      <c r="C18" s="4">
        <v>800</v>
      </c>
      <c r="D18" s="7">
        <f>31.71+$D$12</f>
        <v>120.69</v>
      </c>
      <c r="E18" s="1">
        <f>32.46+$E$12</f>
        <v>121.75</v>
      </c>
      <c r="F18" s="1">
        <f>33.61+$F$12</f>
        <v>123.19</v>
      </c>
      <c r="G18" s="3">
        <f t="shared" si="1"/>
        <v>1.4399999999999977</v>
      </c>
      <c r="H18" s="3"/>
      <c r="I18">
        <f>F18-C18*EtalonnageTube2_09032020!$H$33</f>
        <v>122.14999999999999</v>
      </c>
      <c r="J18">
        <f t="shared" si="2"/>
        <v>-129.4443</v>
      </c>
      <c r="L18">
        <v>92.768533814010311</v>
      </c>
      <c r="M18">
        <f t="shared" si="3"/>
        <v>707.23146618598969</v>
      </c>
      <c r="O18">
        <f t="shared" si="0"/>
        <v>0.10030525371895534</v>
      </c>
      <c r="Q18" s="20">
        <f>1/(I18*10^-3)</f>
        <v>8.1866557511256648</v>
      </c>
      <c r="R18" s="20">
        <f>M18/1000</f>
        <v>0.70723146618598964</v>
      </c>
      <c r="T18" s="21">
        <f t="shared" si="4"/>
        <v>1.2563938576561731E-2</v>
      </c>
      <c r="U18" s="21">
        <f t="shared" si="5"/>
        <v>1.7603569600572466E-2</v>
      </c>
    </row>
    <row r="19" spans="3:21" x14ac:dyDescent="0.3">
      <c r="C19" s="4">
        <v>900</v>
      </c>
      <c r="D19" s="7">
        <f>50.92+$D$12</f>
        <v>139.9</v>
      </c>
      <c r="E19" s="1">
        <f>53.52+$E$12</f>
        <v>142.81</v>
      </c>
      <c r="F19" s="1">
        <f>56.65+$F$12</f>
        <v>146.22999999999999</v>
      </c>
      <c r="G19" s="3">
        <f t="shared" si="1"/>
        <v>3.4199999999999875</v>
      </c>
      <c r="H19" s="3"/>
      <c r="I19">
        <f>F19-C19*EtalonnageTube2_09032020!$H$33</f>
        <v>145.06</v>
      </c>
      <c r="J19">
        <f t="shared" si="2"/>
        <v>-152.48429999999999</v>
      </c>
      <c r="L19">
        <v>96.981688289514963</v>
      </c>
      <c r="M19">
        <f t="shared" si="3"/>
        <v>803.01831171048502</v>
      </c>
      <c r="O19">
        <f>(I19-I18)/(M19-M18)</f>
        <v>0.23917689192657768</v>
      </c>
      <c r="Q19" s="20">
        <f>1/(I19*10^-3)</f>
        <v>6.8936991589687029</v>
      </c>
      <c r="R19" s="20">
        <f>M19/1000</f>
        <v>0.80301831171048499</v>
      </c>
      <c r="T19" s="21">
        <f t="shared" si="4"/>
        <v>2.090750262419034E-2</v>
      </c>
      <c r="U19" s="21">
        <f t="shared" si="5"/>
        <v>2.5507064359359857E-2</v>
      </c>
    </row>
    <row r="20" spans="3:21" x14ac:dyDescent="0.3">
      <c r="C20" s="4">
        <v>1000</v>
      </c>
      <c r="D20" s="7">
        <f>126.24+$D$12</f>
        <v>215.22</v>
      </c>
      <c r="E20" s="1">
        <f>131.85+$E$12</f>
        <v>221.14</v>
      </c>
      <c r="F20" s="1">
        <f>139.46+$F$12</f>
        <v>229.04000000000002</v>
      </c>
      <c r="G20" s="3">
        <f t="shared" si="1"/>
        <v>7.9000000000000341</v>
      </c>
      <c r="H20" s="3"/>
      <c r="I20">
        <f>F20-C20*EtalonnageTube2_09032020!$H$33</f>
        <v>227.74</v>
      </c>
      <c r="J20">
        <f t="shared" si="2"/>
        <v>-235.29430000000002</v>
      </c>
      <c r="L20">
        <v>109.04873566194146</v>
      </c>
      <c r="M20">
        <f t="shared" si="3"/>
        <v>890.95126433805854</v>
      </c>
      <c r="O20">
        <f>(I20-I19)/(M20-M19)</f>
        <v>0.94026184188512829</v>
      </c>
      <c r="Q20" s="20">
        <f>1/(I20*10^-3)</f>
        <v>4.3909721612364976</v>
      </c>
      <c r="R20" s="20">
        <f>M20/1000</f>
        <v>0.89095126433805849</v>
      </c>
      <c r="T20" s="21">
        <f t="shared" si="4"/>
        <v>6.3695090852446817E-2</v>
      </c>
      <c r="U20" s="21">
        <f t="shared" si="5"/>
        <v>6.5467178627115E-2</v>
      </c>
    </row>
    <row r="21" spans="3:21" x14ac:dyDescent="0.3">
      <c r="C21" s="15">
        <v>1037</v>
      </c>
      <c r="D21" s="16">
        <f>36.76+$D$20</f>
        <v>251.98</v>
      </c>
      <c r="E21" s="1">
        <f>36.76+$E$20</f>
        <v>257.89999999999998</v>
      </c>
      <c r="F21" s="7">
        <f>36.76+$F$20</f>
        <v>265.8</v>
      </c>
      <c r="G21" s="3">
        <f t="shared" si="1"/>
        <v>7.9000000000000341</v>
      </c>
      <c r="I21">
        <f>F21-C21*EtalonnageTube2_09032020!$H$33</f>
        <v>264.45190000000002</v>
      </c>
      <c r="J21">
        <f t="shared" si="2"/>
        <v>-272.05430000000001</v>
      </c>
      <c r="L21">
        <v>113.4218503597006</v>
      </c>
      <c r="M21">
        <f>IF((C21-L21)&gt;0,C21-L21,0)</f>
        <v>923.57814964029944</v>
      </c>
      <c r="O21">
        <f>(I21-I20)/(M21-M20)</f>
        <v>1.1252039433098611</v>
      </c>
      <c r="Q21" s="20">
        <f>1/(I21*10^-3)</f>
        <v>3.7814059948141794</v>
      </c>
      <c r="R21" s="20">
        <f>M21/1000</f>
        <v>0.9235781496402995</v>
      </c>
      <c r="T21" s="21">
        <f t="shared" si="4"/>
        <v>8.6216705579526723E-2</v>
      </c>
      <c r="U21" s="21">
        <f t="shared" si="5"/>
        <v>8.834582230722178E-2</v>
      </c>
    </row>
    <row r="22" spans="3:21" x14ac:dyDescent="0.3">
      <c r="Q22" s="20"/>
      <c r="R22" s="20"/>
      <c r="T22" s="21"/>
      <c r="U22" s="21"/>
    </row>
    <row r="23" spans="3:21" x14ac:dyDescent="0.3">
      <c r="Q23" s="32" t="s">
        <v>32</v>
      </c>
      <c r="R23" s="20">
        <v>-16.891999999999999</v>
      </c>
      <c r="T23" s="33" t="s">
        <v>34</v>
      </c>
      <c r="U23" s="21">
        <v>1.0371999999999999</v>
      </c>
    </row>
    <row r="24" spans="3:21" x14ac:dyDescent="0.3">
      <c r="H24" s="3"/>
      <c r="Q24" s="32" t="s">
        <v>33</v>
      </c>
      <c r="R24" s="20">
        <v>19.71</v>
      </c>
      <c r="T24" s="33" t="s">
        <v>35</v>
      </c>
      <c r="U24" s="21">
        <v>5.0000000000000001E-3</v>
      </c>
    </row>
    <row r="25" spans="3:21" x14ac:dyDescent="0.3">
      <c r="Q25" s="32" t="s">
        <v>54</v>
      </c>
      <c r="R25" s="20">
        <f>-R24/R23+1/(R23+(J26+2*N28)*10^-3)</f>
        <v>1.1069285298688891</v>
      </c>
      <c r="T25" s="33" t="s">
        <v>56</v>
      </c>
      <c r="U25" s="21">
        <f>(N29/1000*(N28/1000)^2+U24+U23*((N36/1000)^2-(N28/1000)^2))/((N36/1000)^2+U24)</f>
        <v>0.84664859014421279</v>
      </c>
    </row>
    <row r="26" spans="3:21" x14ac:dyDescent="0.3">
      <c r="I26" s="22" t="s">
        <v>11</v>
      </c>
      <c r="J26" s="22">
        <v>9.6549674895734654</v>
      </c>
      <c r="K26" s="22" t="s">
        <v>9</v>
      </c>
      <c r="L26" s="22" t="s">
        <v>37</v>
      </c>
      <c r="M26" s="22"/>
      <c r="N26" s="22">
        <f>O14</f>
        <v>3.7334978897102855E-2</v>
      </c>
      <c r="T26" s="21" t="s">
        <v>57</v>
      </c>
      <c r="U26">
        <f>(R25-U25)/U25</f>
        <v>0.30742381521044271</v>
      </c>
    </row>
    <row r="27" spans="3:21" x14ac:dyDescent="0.3">
      <c r="I27" s="22"/>
      <c r="J27" s="22"/>
      <c r="K27" s="22"/>
      <c r="L27" s="22" t="s">
        <v>55</v>
      </c>
      <c r="M27" s="22"/>
      <c r="N27" s="22"/>
    </row>
    <row r="28" spans="3:21" x14ac:dyDescent="0.3">
      <c r="I28" s="23" t="s">
        <v>25</v>
      </c>
      <c r="J28" s="24">
        <v>0.33</v>
      </c>
      <c r="K28" s="22"/>
      <c r="L28" s="22" t="s">
        <v>38</v>
      </c>
      <c r="M28" s="22"/>
      <c r="N28" s="22">
        <f>I13</f>
        <v>93.36999999999999</v>
      </c>
      <c r="Q28" s="29" t="s">
        <v>58</v>
      </c>
      <c r="R28" s="26">
        <f>MIN(R25,U25)*1000</f>
        <v>846.64859014421279</v>
      </c>
      <c r="S28" s="26" t="s">
        <v>30</v>
      </c>
    </row>
    <row r="29" spans="3:21" x14ac:dyDescent="0.3">
      <c r="I29" s="22"/>
      <c r="J29" s="22"/>
      <c r="K29" s="22"/>
      <c r="L29" s="22" t="s">
        <v>39</v>
      </c>
      <c r="M29" s="22"/>
      <c r="N29" s="22">
        <f>M13</f>
        <v>213.54347478087462</v>
      </c>
      <c r="Q29" s="29" t="s">
        <v>61</v>
      </c>
      <c r="R29" s="26">
        <f>J36/R28</f>
        <v>7.3489624686774784</v>
      </c>
      <c r="S29" s="26"/>
    </row>
    <row r="30" spans="3:21" x14ac:dyDescent="0.3">
      <c r="I30" s="22" t="s">
        <v>26</v>
      </c>
      <c r="J30" s="22">
        <f>I11</f>
        <v>86.905000000000001</v>
      </c>
      <c r="K30" s="22"/>
      <c r="L30" s="22" t="s">
        <v>45</v>
      </c>
      <c r="M30" s="22"/>
      <c r="N30" s="22"/>
    </row>
    <row r="31" spans="3:21" x14ac:dyDescent="0.3">
      <c r="I31" s="22" t="s">
        <v>27</v>
      </c>
      <c r="J31" s="22">
        <f>I17</f>
        <v>112.32</v>
      </c>
      <c r="K31" s="22"/>
      <c r="L31" s="25" t="s">
        <v>40</v>
      </c>
      <c r="M31" s="25"/>
      <c r="N31" s="22">
        <f>1+0.01*(M14+M13)/(M14-M13)+3/(I14-I13)</f>
        <v>1.8639061682408498</v>
      </c>
    </row>
    <row r="32" spans="3:21" x14ac:dyDescent="0.3">
      <c r="I32" s="22" t="s">
        <v>28</v>
      </c>
      <c r="J32" s="22">
        <f>M11</f>
        <v>65.170590240313118</v>
      </c>
      <c r="K32" s="22"/>
      <c r="L32" s="22"/>
      <c r="M32" s="22"/>
      <c r="N32" s="22"/>
      <c r="Q32" s="30" t="s">
        <v>63</v>
      </c>
      <c r="R32" s="39">
        <v>690</v>
      </c>
      <c r="S32" s="28" t="s">
        <v>30</v>
      </c>
    </row>
    <row r="33" spans="7:14" x14ac:dyDescent="0.3">
      <c r="I33" s="22" t="s">
        <v>29</v>
      </c>
      <c r="J33" s="22">
        <f>M17</f>
        <v>609.23061742145126</v>
      </c>
      <c r="K33" s="22"/>
      <c r="L33" s="25" t="s">
        <v>43</v>
      </c>
      <c r="M33" s="25"/>
      <c r="N33" s="22">
        <f>N31*N26</f>
        <v>6.9588897457451976E-2</v>
      </c>
    </row>
    <row r="34" spans="7:14" x14ac:dyDescent="0.3">
      <c r="I34" s="22"/>
      <c r="J34" s="22"/>
      <c r="K34" s="22"/>
      <c r="L34" s="22"/>
      <c r="M34" s="22"/>
      <c r="N34" s="22"/>
    </row>
    <row r="35" spans="7:14" x14ac:dyDescent="0.3">
      <c r="I35" s="22"/>
      <c r="J35" s="22"/>
      <c r="K35" s="22"/>
      <c r="L35" s="22"/>
      <c r="M35" s="22"/>
      <c r="N35" s="22"/>
    </row>
    <row r="36" spans="7:14" x14ac:dyDescent="0.3">
      <c r="I36" s="22" t="s">
        <v>59</v>
      </c>
      <c r="J36" s="22">
        <f>2*(1+J28)*(J26+(J30+J31)/2)*((J33-J32)/(J31-J30))</f>
        <v>6221.9887131285204</v>
      </c>
      <c r="K36" s="22" t="s">
        <v>30</v>
      </c>
      <c r="L36" s="22" t="s">
        <v>44</v>
      </c>
      <c r="M36" s="22"/>
      <c r="N36" s="22">
        <f>J26+2*J30</f>
        <v>183.46496748957347</v>
      </c>
    </row>
    <row r="37" spans="7:14" x14ac:dyDescent="0.3">
      <c r="I37" s="22" t="s">
        <v>59</v>
      </c>
      <c r="J37" s="22">
        <f>J36/1000</f>
        <v>6.2219887131285203</v>
      </c>
      <c r="K37" s="22" t="s">
        <v>60</v>
      </c>
    </row>
    <row r="42" spans="7:14" x14ac:dyDescent="0.3">
      <c r="G42" t="s">
        <v>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A4A2F-82A0-43D8-B469-F4DA080F30FE}">
  <dimension ref="A1:U40"/>
  <sheetViews>
    <sheetView zoomScale="95" workbookViewId="0">
      <selection activeCell="J5" sqref="J5"/>
    </sheetView>
  </sheetViews>
  <sheetFormatPr baseColWidth="10" defaultRowHeight="14.4" x14ac:dyDescent="0.3"/>
  <cols>
    <col min="10" max="10" width="16.88671875" customWidth="1"/>
    <col min="18" max="18" width="15.44140625" customWidth="1"/>
    <col min="21" max="21" width="12.6640625" customWidth="1"/>
  </cols>
  <sheetData>
    <row r="1" spans="1:21" x14ac:dyDescent="0.3">
      <c r="A1" t="s">
        <v>18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2" t="s">
        <v>46</v>
      </c>
      <c r="R1" s="32"/>
      <c r="S1" s="34"/>
      <c r="T1" s="33" t="s">
        <v>49</v>
      </c>
      <c r="U1" s="33"/>
    </row>
    <row r="2" spans="1:21" x14ac:dyDescent="0.3">
      <c r="C2" s="34"/>
      <c r="D2" s="34"/>
      <c r="E2" s="34"/>
      <c r="F2" s="34"/>
      <c r="G2" s="34"/>
      <c r="H2" s="34"/>
      <c r="I2" s="34"/>
      <c r="J2" s="35" t="s">
        <v>41</v>
      </c>
      <c r="K2" s="34"/>
      <c r="L2" s="34"/>
      <c r="M2" s="34"/>
      <c r="N2" s="34"/>
      <c r="O2" s="34"/>
      <c r="P2" s="34"/>
      <c r="Q2" s="32" t="s">
        <v>47</v>
      </c>
      <c r="R2" s="32"/>
      <c r="S2" s="34"/>
      <c r="T2" s="33" t="s">
        <v>50</v>
      </c>
      <c r="U2" s="33" t="s">
        <v>51</v>
      </c>
    </row>
    <row r="3" spans="1:21" ht="15" thickBot="1" x14ac:dyDescent="0.35">
      <c r="C3" s="36" t="s">
        <v>0</v>
      </c>
      <c r="D3" s="37" t="s">
        <v>1</v>
      </c>
      <c r="E3" s="37" t="s">
        <v>2</v>
      </c>
      <c r="F3" s="37" t="s">
        <v>3</v>
      </c>
      <c r="G3" s="38" t="s">
        <v>62</v>
      </c>
      <c r="H3" s="38" t="s">
        <v>4</v>
      </c>
      <c r="I3" s="35" t="s">
        <v>22</v>
      </c>
      <c r="J3" s="35" t="s">
        <v>42</v>
      </c>
      <c r="K3" s="34"/>
      <c r="L3" s="35" t="s">
        <v>19</v>
      </c>
      <c r="M3" s="35" t="s">
        <v>24</v>
      </c>
      <c r="N3" s="35"/>
      <c r="O3" s="34" t="s">
        <v>36</v>
      </c>
      <c r="P3" s="34"/>
      <c r="Q3" s="32" t="s">
        <v>31</v>
      </c>
      <c r="R3" s="32" t="s">
        <v>48</v>
      </c>
      <c r="S3" s="34"/>
      <c r="T3" s="33" t="s">
        <v>52</v>
      </c>
      <c r="U3" s="33" t="s">
        <v>53</v>
      </c>
    </row>
    <row r="4" spans="1:21" x14ac:dyDescent="0.3">
      <c r="C4" s="12"/>
      <c r="D4" s="13"/>
      <c r="E4" s="14"/>
      <c r="F4" s="14"/>
      <c r="G4" s="3"/>
      <c r="H4" s="3"/>
      <c r="I4" s="17">
        <v>0</v>
      </c>
      <c r="J4" s="17"/>
      <c r="L4" s="17"/>
      <c r="M4" s="17">
        <v>0</v>
      </c>
      <c r="N4" s="17"/>
      <c r="Q4" s="20"/>
      <c r="R4" s="20"/>
      <c r="T4" s="21"/>
      <c r="U4" s="21"/>
    </row>
    <row r="5" spans="1:21" x14ac:dyDescent="0.3">
      <c r="C5" s="4">
        <v>10</v>
      </c>
      <c r="D5" s="5">
        <v>1.8</v>
      </c>
      <c r="E5" s="6">
        <v>1.94</v>
      </c>
      <c r="F5" s="6">
        <v>2.0699999999999998</v>
      </c>
      <c r="G5" s="3">
        <f>F5-E5</f>
        <v>0.12999999999999989</v>
      </c>
      <c r="H5" s="3"/>
      <c r="I5">
        <f>F5-C5*EtalonnageTube2_09032020!$H$33</f>
        <v>2.0569999999999999</v>
      </c>
      <c r="J5" s="18">
        <f>-6.2543-F5</f>
        <v>-8.3242999999999991</v>
      </c>
      <c r="L5">
        <v>10.639401455673749</v>
      </c>
      <c r="M5">
        <f>IF((C5-L5)&gt;0,C5-L5,0)</f>
        <v>0</v>
      </c>
      <c r="O5" t="e">
        <f>(I5-I4)/(M5-M4)</f>
        <v>#DIV/0!</v>
      </c>
      <c r="Q5" s="20"/>
      <c r="R5" s="20"/>
      <c r="T5" s="21"/>
      <c r="U5" s="21"/>
    </row>
    <row r="6" spans="1:21" x14ac:dyDescent="0.3">
      <c r="C6" s="4">
        <v>20</v>
      </c>
      <c r="D6" s="7">
        <v>4.07</v>
      </c>
      <c r="E6" s="1">
        <v>4.25</v>
      </c>
      <c r="F6" s="1">
        <v>4.46</v>
      </c>
      <c r="G6" s="3">
        <f t="shared" ref="G6:G18" si="0">F6-E6</f>
        <v>0.20999999999999996</v>
      </c>
      <c r="H6" s="3"/>
      <c r="I6">
        <f>F6-C6*EtalonnageTube2_09032020!$H$33</f>
        <v>4.4340000000000002</v>
      </c>
      <c r="J6" s="18">
        <f>-6.2543-F6</f>
        <v>-10.7143</v>
      </c>
      <c r="L6">
        <v>16.608536920445765</v>
      </c>
      <c r="M6">
        <f t="shared" ref="M6:M18" si="1">IF((C6-L6)&gt;0,C6-L6,0)</f>
        <v>3.3914630795542351</v>
      </c>
      <c r="O6">
        <f t="shared" ref="O6:O18" si="2">(I6-I5)/(M6-M5)</f>
        <v>0.70087745148398517</v>
      </c>
      <c r="Q6" s="20"/>
      <c r="R6" s="20"/>
      <c r="T6" s="21"/>
      <c r="U6" s="21"/>
    </row>
    <row r="7" spans="1:21" x14ac:dyDescent="0.3">
      <c r="C7" s="4">
        <v>29</v>
      </c>
      <c r="D7" s="7">
        <v>6.92</v>
      </c>
      <c r="E7" s="1">
        <v>7.16</v>
      </c>
      <c r="F7" s="1">
        <v>7.42</v>
      </c>
      <c r="G7" s="3">
        <f t="shared" si="0"/>
        <v>0.25999999999999979</v>
      </c>
      <c r="H7" s="3"/>
      <c r="I7">
        <f>F7-C7*EtalonnageTube2_09032020!$H$33</f>
        <v>7.3822999999999999</v>
      </c>
      <c r="J7" s="18">
        <f t="shared" ref="J7:J17" si="3">-6.2543-F7</f>
        <v>-13.674299999999999</v>
      </c>
      <c r="L7">
        <v>32.935264483240871</v>
      </c>
      <c r="M7">
        <f>IF((C7-L7)&gt;0,C7-L7,0)</f>
        <v>0</v>
      </c>
      <c r="O7">
        <f t="shared" si="2"/>
        <v>-0.86932982339513376</v>
      </c>
      <c r="Q7" s="20"/>
      <c r="R7" s="20"/>
      <c r="T7" s="21"/>
      <c r="U7" s="21"/>
    </row>
    <row r="8" spans="1:21" x14ac:dyDescent="0.3">
      <c r="C8" s="4">
        <v>49</v>
      </c>
      <c r="D8" s="7">
        <v>14.07</v>
      </c>
      <c r="E8" s="1">
        <v>14.65</v>
      </c>
      <c r="F8" s="1">
        <v>15.23</v>
      </c>
      <c r="G8" s="3">
        <f t="shared" si="0"/>
        <v>0.58000000000000007</v>
      </c>
      <c r="H8" s="3"/>
      <c r="I8">
        <f>F8-C8*EtalonnageTube2_09032020!$H$33</f>
        <v>15.1663</v>
      </c>
      <c r="J8" s="18">
        <f t="shared" si="3"/>
        <v>-21.484300000000001</v>
      </c>
      <c r="L8">
        <v>51.779334815081455</v>
      </c>
      <c r="M8">
        <f>IF((C8-L8)&gt;0,C8-L8,0)</f>
        <v>0</v>
      </c>
      <c r="O8" t="e">
        <f t="shared" si="2"/>
        <v>#DIV/0!</v>
      </c>
      <c r="Q8" s="20"/>
      <c r="R8" s="20"/>
      <c r="T8" s="21"/>
      <c r="U8" s="21"/>
    </row>
    <row r="9" spans="1:21" x14ac:dyDescent="0.3">
      <c r="C9" s="4">
        <v>70</v>
      </c>
      <c r="D9" s="7">
        <v>29.34</v>
      </c>
      <c r="E9" s="1">
        <v>31.44</v>
      </c>
      <c r="F9" s="1">
        <v>33.090000000000003</v>
      </c>
      <c r="G9" s="3">
        <f t="shared" si="0"/>
        <v>1.6500000000000021</v>
      </c>
      <c r="H9" s="3"/>
      <c r="I9">
        <f>F9-C9*EtalonnageTube2_09032020!$H$33</f>
        <v>32.999000000000002</v>
      </c>
      <c r="J9" s="18">
        <f t="shared" si="3"/>
        <v>-39.344300000000004</v>
      </c>
      <c r="L9">
        <v>65.760516393013404</v>
      </c>
      <c r="M9">
        <f t="shared" si="1"/>
        <v>4.239483606986596</v>
      </c>
      <c r="O9">
        <f t="shared" si="2"/>
        <v>4.2063377649608125</v>
      </c>
      <c r="Q9" s="20"/>
      <c r="R9" s="20"/>
      <c r="T9" s="21"/>
      <c r="U9" s="21"/>
    </row>
    <row r="10" spans="1:21" x14ac:dyDescent="0.3">
      <c r="C10" s="4">
        <v>98</v>
      </c>
      <c r="D10" s="7">
        <v>71.38</v>
      </c>
      <c r="E10" s="1">
        <v>72.209999999999994</v>
      </c>
      <c r="F10" s="1">
        <v>73.819999999999993</v>
      </c>
      <c r="G10" s="3">
        <f t="shared" si="0"/>
        <v>1.6099999999999994</v>
      </c>
      <c r="H10" s="3"/>
      <c r="I10">
        <f>F10-C10*EtalonnageTube2_09032020!$H$33</f>
        <v>73.692599999999999</v>
      </c>
      <c r="J10" s="18">
        <f t="shared" si="3"/>
        <v>-80.074299999999994</v>
      </c>
      <c r="L10">
        <v>81.284225448880903</v>
      </c>
      <c r="M10">
        <f t="shared" si="1"/>
        <v>16.715774551119097</v>
      </c>
      <c r="O10">
        <f>(I10-I9)/(M10-M9)</f>
        <v>3.2616744978312542</v>
      </c>
      <c r="Q10" s="20"/>
      <c r="R10" s="20"/>
      <c r="T10" s="21"/>
      <c r="U10" s="21"/>
    </row>
    <row r="11" spans="1:21" x14ac:dyDescent="0.3">
      <c r="C11" s="4">
        <v>149</v>
      </c>
      <c r="D11" s="7">
        <v>86.96</v>
      </c>
      <c r="E11" s="1">
        <v>87.26</v>
      </c>
      <c r="F11" s="1">
        <v>87.61</v>
      </c>
      <c r="G11" s="3">
        <f t="shared" si="0"/>
        <v>0.34999999999999432</v>
      </c>
      <c r="H11" s="3"/>
      <c r="I11">
        <f>F11-C11*EtalonnageTube2_09032020!$H$33</f>
        <v>87.416299999999993</v>
      </c>
      <c r="J11" s="18">
        <f t="shared" si="3"/>
        <v>-93.8643</v>
      </c>
      <c r="L11">
        <v>84.957220185941225</v>
      </c>
      <c r="M11">
        <f t="shared" si="1"/>
        <v>64.042779814058775</v>
      </c>
      <c r="O11">
        <f t="shared" si="2"/>
        <v>0.28997609131940155</v>
      </c>
      <c r="Q11" s="20"/>
      <c r="R11" s="20"/>
      <c r="T11" s="21"/>
      <c r="U11" s="21"/>
    </row>
    <row r="12" spans="1:21" x14ac:dyDescent="0.3">
      <c r="C12" s="4">
        <v>200</v>
      </c>
      <c r="D12" s="7">
        <f>$D$11+7.02</f>
        <v>93.97999999999999</v>
      </c>
      <c r="E12" s="1">
        <f>$E$11+7.33</f>
        <v>94.59</v>
      </c>
      <c r="F12" s="1">
        <f>$F$11+7.59</f>
        <v>95.2</v>
      </c>
      <c r="G12" s="3">
        <f t="shared" si="0"/>
        <v>0.60999999999999943</v>
      </c>
      <c r="H12" s="3"/>
      <c r="I12">
        <f>F12-C12*EtalonnageTube2_09032020!$H$33</f>
        <v>94.94</v>
      </c>
      <c r="J12" s="18">
        <f t="shared" si="3"/>
        <v>-101.4543</v>
      </c>
      <c r="L12">
        <v>86.796986860395606</v>
      </c>
      <c r="M12">
        <f t="shared" si="1"/>
        <v>113.20301313960439</v>
      </c>
      <c r="O12">
        <f t="shared" si="2"/>
        <v>0.15304443227877013</v>
      </c>
      <c r="Q12" s="20"/>
      <c r="R12" s="20"/>
      <c r="T12" s="21"/>
      <c r="U12" s="21"/>
    </row>
    <row r="13" spans="1:21" x14ac:dyDescent="0.3">
      <c r="C13" s="4">
        <v>300</v>
      </c>
      <c r="D13" s="7">
        <f>$D$11+18.91</f>
        <v>105.86999999999999</v>
      </c>
      <c r="E13" s="1">
        <f>$E$11+19.31</f>
        <v>106.57000000000001</v>
      </c>
      <c r="F13" s="1">
        <f>$F$11+19.78</f>
        <v>107.39</v>
      </c>
      <c r="G13" s="3">
        <f t="shared" si="0"/>
        <v>0.81999999999999318</v>
      </c>
      <c r="H13" s="3"/>
      <c r="I13">
        <f>F13-C13*EtalonnageTube2_09032020!$H$33</f>
        <v>107</v>
      </c>
      <c r="J13" s="18">
        <f t="shared" si="3"/>
        <v>-113.6443</v>
      </c>
      <c r="L13">
        <v>89.536972104685674</v>
      </c>
      <c r="M13">
        <f t="shared" si="1"/>
        <v>210.46302789531433</v>
      </c>
      <c r="O13">
        <f t="shared" si="2"/>
        <v>0.12399751357524841</v>
      </c>
      <c r="Q13" s="20"/>
      <c r="R13" s="20"/>
      <c r="T13" s="21" t="e">
        <f>((I13/1000)^2-($O$26/1000)^2)/((M13/1000)-($O$27/1000))</f>
        <v>#DIV/0!</v>
      </c>
      <c r="U13" s="21" t="e">
        <f>((M13/1000)*(I13/1000)^2-($O$27/1000)*($O$26/1000)^2)/(M13/1000-$O$27/1000)</f>
        <v>#DIV/0!</v>
      </c>
    </row>
    <row r="14" spans="1:21" x14ac:dyDescent="0.3">
      <c r="C14" s="4">
        <v>400</v>
      </c>
      <c r="D14" s="7">
        <f>$D$11+30.61</f>
        <v>117.57</v>
      </c>
      <c r="E14" s="1">
        <f>$E$11+31.14</f>
        <v>118.4</v>
      </c>
      <c r="F14" s="1">
        <f>$F$11+31.73</f>
        <v>119.34</v>
      </c>
      <c r="G14" s="3">
        <f t="shared" si="0"/>
        <v>0.93999999999999773</v>
      </c>
      <c r="H14" s="3"/>
      <c r="I14">
        <f>F14-C14*EtalonnageTube2_09032020!$H$33</f>
        <v>118.82000000000001</v>
      </c>
      <c r="J14" s="18">
        <f t="shared" si="3"/>
        <v>-125.5943</v>
      </c>
      <c r="L14">
        <v>92.010183788278681</v>
      </c>
      <c r="M14">
        <f t="shared" si="1"/>
        <v>307.98981621172129</v>
      </c>
      <c r="O14" s="31">
        <f t="shared" si="2"/>
        <v>0.12119746998796151</v>
      </c>
      <c r="P14" s="19"/>
      <c r="Q14" s="20"/>
      <c r="R14" s="20"/>
      <c r="T14" s="21">
        <f>((I14/1000)^2-($O$26/1000)^2)/((M14/1000)-($O$27/1000))</f>
        <v>2.7368812672681479E-2</v>
      </c>
      <c r="U14" s="21">
        <f>((M14/1000)*(I14/1000)^2-($O$27/1000)*($O$26/1000)^2)/(M14/1000-$O$27/1000)</f>
        <v>1.9878315584992191E-2</v>
      </c>
    </row>
    <row r="15" spans="1:21" x14ac:dyDescent="0.3">
      <c r="C15" s="4">
        <v>500</v>
      </c>
      <c r="D15" s="7">
        <f>$D$11+44.83</f>
        <v>131.79</v>
      </c>
      <c r="E15" s="1">
        <f>$E$11+45.36</f>
        <v>132.62</v>
      </c>
      <c r="F15" s="1">
        <f>$F$11+46.06</f>
        <v>133.67000000000002</v>
      </c>
      <c r="G15" s="3">
        <f t="shared" si="0"/>
        <v>1.0500000000000114</v>
      </c>
      <c r="H15" s="3"/>
      <c r="I15">
        <f>F15-C15*EtalonnageTube2_09032020!$H$33</f>
        <v>133.02000000000001</v>
      </c>
      <c r="J15" s="18">
        <f t="shared" si="3"/>
        <v>-139.92430000000002</v>
      </c>
      <c r="L15">
        <v>94.749541013926532</v>
      </c>
      <c r="M15">
        <f t="shared" si="1"/>
        <v>405.25045898607345</v>
      </c>
      <c r="O15">
        <f t="shared" si="2"/>
        <v>0.1459994463839239</v>
      </c>
      <c r="Q15" s="20">
        <f>1/(I15*10^-3)</f>
        <v>7.5176665163133363</v>
      </c>
      <c r="R15" s="20">
        <f>M15/1000</f>
        <v>0.40525045898607348</v>
      </c>
      <c r="T15" s="21">
        <f t="shared" ref="T15:T18" si="4">((I15/1000)^2-($O$26/1000)^2)/((M15/1000)-($O$27/1000))</f>
        <v>3.2062235047856144E-2</v>
      </c>
      <c r="U15" s="21">
        <f t="shared" ref="U15:U18" si="5">((M15/1000)*(I15/1000)^2-($O$27/1000)*($O$26/1000)^2)/(M15/1000-$O$27/1000)</f>
        <v>2.4442235469263073E-2</v>
      </c>
    </row>
    <row r="16" spans="1:21" x14ac:dyDescent="0.3">
      <c r="C16" s="4">
        <v>600</v>
      </c>
      <c r="D16" s="7">
        <f>$D$11+62.8</f>
        <v>149.76</v>
      </c>
      <c r="E16" s="1">
        <f>$E$11+64.51</f>
        <v>151.77000000000001</v>
      </c>
      <c r="F16" s="1">
        <f>$F$11+65.23</f>
        <v>152.84</v>
      </c>
      <c r="G16" s="3">
        <f t="shared" si="0"/>
        <v>1.0699999999999932</v>
      </c>
      <c r="H16" s="3"/>
      <c r="I16">
        <f>F16-C16*EtalonnageTube2_09032020!$H$33</f>
        <v>152.06</v>
      </c>
      <c r="J16" s="18">
        <f t="shared" si="3"/>
        <v>-159.0943</v>
      </c>
      <c r="L16">
        <v>98.101675136812815</v>
      </c>
      <c r="M16">
        <f t="shared" si="1"/>
        <v>501.89832486318721</v>
      </c>
      <c r="O16">
        <f t="shared" si="2"/>
        <v>0.19700383269930713</v>
      </c>
      <c r="Q16" s="20">
        <f>1/(I16*10^-3)</f>
        <v>6.5763514402209653</v>
      </c>
      <c r="R16" s="20">
        <f>M16/1000</f>
        <v>0.5018983248631872</v>
      </c>
      <c r="T16" s="21">
        <f t="shared" si="4"/>
        <v>4.0054323280157907E-2</v>
      </c>
      <c r="U16" s="21">
        <f t="shared" si="5"/>
        <v>3.1552197757839816E-2</v>
      </c>
    </row>
    <row r="17" spans="3:21" x14ac:dyDescent="0.3">
      <c r="C17" s="4">
        <v>700</v>
      </c>
      <c r="D17" s="7">
        <f>$D$11+92.14</f>
        <v>179.1</v>
      </c>
      <c r="E17" s="1">
        <f>$E$11+94.22</f>
        <v>181.48000000000002</v>
      </c>
      <c r="F17" s="1">
        <f>$F$11+96.67</f>
        <v>184.28</v>
      </c>
      <c r="G17" s="3">
        <f t="shared" si="0"/>
        <v>2.7999999999999829</v>
      </c>
      <c r="H17" s="3"/>
      <c r="I17">
        <f>F17-C17*EtalonnageTube2_09032020!$H$33</f>
        <v>183.37</v>
      </c>
      <c r="J17" s="18">
        <f t="shared" si="3"/>
        <v>-190.5343</v>
      </c>
      <c r="L17">
        <v>103.00222046948414</v>
      </c>
      <c r="M17">
        <f t="shared" si="1"/>
        <v>596.9977795305158</v>
      </c>
      <c r="O17">
        <f t="shared" si="2"/>
        <v>0.32923427489176288</v>
      </c>
      <c r="Q17" s="20">
        <f>1/(I17*10^-3)</f>
        <v>5.4534547635927355</v>
      </c>
      <c r="R17" s="20">
        <f>M17/1000</f>
        <v>0.5969977795305158</v>
      </c>
      <c r="T17" s="21">
        <f t="shared" si="4"/>
        <v>5.7370150565216327E-2</v>
      </c>
      <c r="U17" s="21">
        <f t="shared" si="5"/>
        <v>4.5698852498765513E-2</v>
      </c>
    </row>
    <row r="18" spans="3:21" x14ac:dyDescent="0.3">
      <c r="C18" s="4">
        <v>798</v>
      </c>
      <c r="D18" s="7">
        <f>$D$11+144.98</f>
        <v>231.94</v>
      </c>
      <c r="E18" s="1">
        <f>$E$11+144.98</f>
        <v>232.24</v>
      </c>
      <c r="F18" s="1">
        <f>$F$11+144.98</f>
        <v>232.58999999999997</v>
      </c>
      <c r="G18" s="3">
        <f t="shared" si="0"/>
        <v>0.34999999999996589</v>
      </c>
      <c r="H18" s="3"/>
      <c r="I18">
        <f>F18-C18*EtalonnageTube2_09032020!$H$33</f>
        <v>231.55259999999998</v>
      </c>
      <c r="J18" s="18">
        <f>-6.2543-F18</f>
        <v>-238.84429999999998</v>
      </c>
      <c r="L18">
        <v>109.49153039024317</v>
      </c>
      <c r="M18">
        <f t="shared" si="1"/>
        <v>688.50846960975684</v>
      </c>
      <c r="O18">
        <f t="shared" si="2"/>
        <v>0.52652427774588573</v>
      </c>
      <c r="Q18" s="20">
        <f>1/(I18*10^-3)</f>
        <v>4.3186731654060457</v>
      </c>
      <c r="R18" s="20">
        <f>M18/1000</f>
        <v>0.68850846960975687</v>
      </c>
      <c r="T18" s="21">
        <f t="shared" si="4"/>
        <v>8.8208364492571717E-2</v>
      </c>
      <c r="U18" s="21">
        <f t="shared" si="5"/>
        <v>7.2181206043560167E-2</v>
      </c>
    </row>
    <row r="19" spans="3:21" x14ac:dyDescent="0.3">
      <c r="G19" s="3"/>
      <c r="H19" s="3"/>
      <c r="Q19" s="20"/>
      <c r="R19" s="20"/>
      <c r="T19" s="21"/>
      <c r="U19" s="21"/>
    </row>
    <row r="20" spans="3:21" x14ac:dyDescent="0.3">
      <c r="G20" s="3"/>
      <c r="H20" s="3"/>
      <c r="Q20" s="32" t="s">
        <v>32</v>
      </c>
      <c r="R20" s="20">
        <v>-11.324</v>
      </c>
      <c r="T20" s="33" t="s">
        <v>34</v>
      </c>
      <c r="U20" s="21">
        <f>1.1712</f>
        <v>1.1712</v>
      </c>
    </row>
    <row r="21" spans="3:21" x14ac:dyDescent="0.3">
      <c r="G21" s="3"/>
      <c r="Q21" s="32" t="s">
        <v>33</v>
      </c>
      <c r="R21" s="20">
        <v>12.167</v>
      </c>
      <c r="T21" s="33" t="s">
        <v>35</v>
      </c>
      <c r="U21" s="21">
        <f>-0.0037</f>
        <v>-3.7000000000000002E-3</v>
      </c>
    </row>
    <row r="22" spans="3:21" x14ac:dyDescent="0.3">
      <c r="Q22" s="32" t="s">
        <v>54</v>
      </c>
      <c r="R22" s="20">
        <f>-R21/R20+1/(R20+(J24+2*O26)*10^-3)</f>
        <v>0.98435636966840401</v>
      </c>
      <c r="T22" s="33" t="s">
        <v>56</v>
      </c>
      <c r="U22" s="21">
        <f>(O27/1000*(O26/1000)^2+U21+U20*((O34/1000)^2-(O26/1000)^2))/((O34/1000)^2+U21)</f>
        <v>0.82948873611274709</v>
      </c>
    </row>
    <row r="23" spans="3:21" x14ac:dyDescent="0.3">
      <c r="T23" s="21" t="s">
        <v>57</v>
      </c>
      <c r="U23">
        <f>(R22-U22)/U22</f>
        <v>0.18670251543308086</v>
      </c>
    </row>
    <row r="24" spans="3:21" x14ac:dyDescent="0.3">
      <c r="I24" s="22" t="s">
        <v>11</v>
      </c>
      <c r="J24" s="22">
        <v>9.6549674895734654</v>
      </c>
      <c r="K24" s="22" t="s">
        <v>9</v>
      </c>
      <c r="L24" s="22"/>
      <c r="M24" s="22" t="s">
        <v>37</v>
      </c>
      <c r="N24" s="22"/>
      <c r="O24" s="22">
        <f xml:space="preserve"> O14</f>
        <v>0.12119746998796151</v>
      </c>
    </row>
    <row r="25" spans="3:21" x14ac:dyDescent="0.3">
      <c r="I25" s="22"/>
      <c r="J25" s="22"/>
      <c r="K25" s="22"/>
      <c r="L25" s="22"/>
      <c r="M25" s="22" t="s">
        <v>55</v>
      </c>
      <c r="N25" s="22"/>
      <c r="O25" s="22"/>
      <c r="Q25" s="29" t="s">
        <v>58</v>
      </c>
      <c r="R25" s="26">
        <f>MIN(R22,U22)*1000</f>
        <v>829.48873611274712</v>
      </c>
      <c r="S25" s="26" t="s">
        <v>30</v>
      </c>
    </row>
    <row r="26" spans="3:21" x14ac:dyDescent="0.3">
      <c r="I26" s="27" t="s">
        <v>25</v>
      </c>
      <c r="J26" s="24">
        <v>0.33</v>
      </c>
      <c r="K26" s="22"/>
      <c r="L26" s="22"/>
      <c r="M26" s="22" t="s">
        <v>38</v>
      </c>
      <c r="N26" s="22"/>
      <c r="O26" s="22">
        <f>I13</f>
        <v>107</v>
      </c>
      <c r="Q26" s="29" t="s">
        <v>61</v>
      </c>
      <c r="R26" s="26">
        <f>J34/R25</f>
        <v>2.8761508496120842</v>
      </c>
      <c r="S26" s="26"/>
    </row>
    <row r="27" spans="3:21" x14ac:dyDescent="0.3">
      <c r="H27" s="3"/>
      <c r="I27" s="22"/>
      <c r="J27" s="22"/>
      <c r="K27" s="22"/>
      <c r="L27" s="22"/>
      <c r="M27" s="22" t="s">
        <v>39</v>
      </c>
      <c r="N27" s="22"/>
      <c r="O27" s="22">
        <f>M13</f>
        <v>210.46302789531433</v>
      </c>
    </row>
    <row r="28" spans="3:21" x14ac:dyDescent="0.3">
      <c r="H28" s="3"/>
      <c r="I28" s="22" t="s">
        <v>26</v>
      </c>
      <c r="J28" s="22">
        <f>I11</f>
        <v>87.416299999999993</v>
      </c>
      <c r="K28" s="22"/>
      <c r="L28" s="22"/>
      <c r="M28" s="22" t="s">
        <v>45</v>
      </c>
      <c r="N28" s="22"/>
      <c r="O28" s="22"/>
    </row>
    <row r="29" spans="3:21" x14ac:dyDescent="0.3">
      <c r="I29" s="22" t="s">
        <v>27</v>
      </c>
      <c r="J29" s="22">
        <f>I15</f>
        <v>133.02000000000001</v>
      </c>
      <c r="K29" s="22"/>
      <c r="L29" s="22"/>
      <c r="M29" s="25" t="s">
        <v>40</v>
      </c>
      <c r="N29" s="25"/>
      <c r="O29" s="22">
        <f>1+0.01*(M14+M13)/(M14-M13)+3/(I14-I13)</f>
        <v>1.3069671514499455</v>
      </c>
    </row>
    <row r="30" spans="3:21" x14ac:dyDescent="0.3">
      <c r="I30" s="22" t="s">
        <v>28</v>
      </c>
      <c r="J30" s="22">
        <f>M11</f>
        <v>64.042779814058775</v>
      </c>
      <c r="K30" s="22"/>
      <c r="L30" s="22"/>
      <c r="M30" s="22"/>
      <c r="N30" s="22"/>
      <c r="O30" s="22"/>
    </row>
    <row r="31" spans="3:21" x14ac:dyDescent="0.3">
      <c r="I31" s="22" t="s">
        <v>29</v>
      </c>
      <c r="J31" s="22">
        <f>M15</f>
        <v>405.25045898607345</v>
      </c>
      <c r="K31" s="22"/>
      <c r="L31" s="22"/>
      <c r="M31" s="25" t="s">
        <v>43</v>
      </c>
      <c r="N31" s="25"/>
      <c r="O31" s="22">
        <f>O29*O24</f>
        <v>0.15840111211310631</v>
      </c>
      <c r="Q31" s="30" t="s">
        <v>63</v>
      </c>
      <c r="R31" s="39">
        <v>430</v>
      </c>
      <c r="S31" s="28" t="s">
        <v>30</v>
      </c>
    </row>
    <row r="32" spans="3:21" x14ac:dyDescent="0.3">
      <c r="I32" s="22"/>
      <c r="J32" s="22"/>
      <c r="K32" s="22"/>
      <c r="L32" s="22"/>
      <c r="M32" s="22"/>
      <c r="N32" s="22"/>
      <c r="O32" s="22"/>
    </row>
    <row r="33" spans="8:15" x14ac:dyDescent="0.3">
      <c r="I33" s="22"/>
      <c r="J33" s="22"/>
      <c r="K33" s="22"/>
      <c r="L33" s="22"/>
      <c r="M33" s="22"/>
      <c r="N33" s="22"/>
      <c r="O33" s="22"/>
    </row>
    <row r="34" spans="8:15" x14ac:dyDescent="0.3">
      <c r="I34" s="22" t="s">
        <v>59</v>
      </c>
      <c r="J34" s="22">
        <f>2*(1+J26)*(J24+(J28+J29)/2)*((J31-J30)/(J29-J28))</f>
        <v>2385.7347331143314</v>
      </c>
      <c r="K34" s="22" t="s">
        <v>30</v>
      </c>
      <c r="L34" s="22"/>
      <c r="M34" s="22" t="s">
        <v>44</v>
      </c>
      <c r="N34" s="22"/>
      <c r="O34" s="22">
        <f>J24+2*J28</f>
        <v>184.48756748957345</v>
      </c>
    </row>
    <row r="35" spans="8:15" x14ac:dyDescent="0.3">
      <c r="I35" s="22" t="s">
        <v>59</v>
      </c>
      <c r="J35" s="22">
        <f>J34/1000</f>
        <v>2.3857347331143313</v>
      </c>
      <c r="K35" s="22" t="s">
        <v>60</v>
      </c>
    </row>
    <row r="40" spans="8:15" x14ac:dyDescent="0.3">
      <c r="H40" t="s">
        <v>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A189-01A6-4416-BE31-49311E2EC593}">
  <dimension ref="A1:V44"/>
  <sheetViews>
    <sheetView zoomScale="95" workbookViewId="0">
      <selection activeCell="K11" sqref="K11"/>
    </sheetView>
  </sheetViews>
  <sheetFormatPr baseColWidth="10" defaultRowHeight="14.4" x14ac:dyDescent="0.3"/>
  <cols>
    <col min="11" max="11" width="18" bestFit="1" customWidth="1"/>
    <col min="19" max="19" width="12.5546875" bestFit="1" customWidth="1"/>
  </cols>
  <sheetData>
    <row r="1" spans="1:22" x14ac:dyDescent="0.3">
      <c r="A1" t="s">
        <v>66</v>
      </c>
      <c r="R1" s="32" t="s">
        <v>46</v>
      </c>
      <c r="S1" s="32"/>
      <c r="U1" s="33" t="s">
        <v>49</v>
      </c>
      <c r="V1" s="33"/>
    </row>
    <row r="2" spans="1:22" x14ac:dyDescent="0.3">
      <c r="K2" s="35" t="s">
        <v>41</v>
      </c>
      <c r="R2" s="32" t="s">
        <v>47</v>
      </c>
      <c r="S2" s="32"/>
      <c r="U2" s="33" t="s">
        <v>50</v>
      </c>
      <c r="V2" s="33" t="s">
        <v>51</v>
      </c>
    </row>
    <row r="3" spans="1:22" ht="15" thickBot="1" x14ac:dyDescent="0.35">
      <c r="C3" s="1" t="s">
        <v>0</v>
      </c>
      <c r="D3" s="2" t="s">
        <v>1</v>
      </c>
      <c r="E3" s="2" t="s">
        <v>2</v>
      </c>
      <c r="F3" s="2" t="s">
        <v>3</v>
      </c>
      <c r="G3" s="3" t="s">
        <v>12</v>
      </c>
      <c r="H3" s="3" t="s">
        <v>4</v>
      </c>
      <c r="I3" s="35" t="s">
        <v>22</v>
      </c>
      <c r="K3" s="35" t="s">
        <v>42</v>
      </c>
      <c r="L3" s="34"/>
      <c r="M3" s="35" t="s">
        <v>19</v>
      </c>
      <c r="N3" s="35" t="s">
        <v>24</v>
      </c>
      <c r="O3" s="35"/>
      <c r="P3" s="34" t="s">
        <v>36</v>
      </c>
      <c r="R3" s="32" t="s">
        <v>31</v>
      </c>
      <c r="S3" s="32" t="s">
        <v>48</v>
      </c>
      <c r="U3" s="33" t="s">
        <v>52</v>
      </c>
      <c r="V3" s="33" t="s">
        <v>53</v>
      </c>
    </row>
    <row r="4" spans="1:22" x14ac:dyDescent="0.3">
      <c r="C4" s="12"/>
      <c r="D4" s="13"/>
      <c r="E4" s="14"/>
      <c r="F4" s="14"/>
      <c r="G4" s="3"/>
      <c r="H4" s="3"/>
      <c r="I4" s="43">
        <v>0</v>
      </c>
      <c r="J4" s="44"/>
      <c r="K4" s="43"/>
      <c r="L4" s="44"/>
      <c r="M4" s="43"/>
      <c r="N4" s="43">
        <v>0</v>
      </c>
      <c r="O4" s="35"/>
      <c r="R4" s="20"/>
      <c r="S4" s="20"/>
      <c r="U4" s="21"/>
      <c r="V4" s="21"/>
    </row>
    <row r="5" spans="1:22" x14ac:dyDescent="0.3">
      <c r="C5" s="4">
        <v>10</v>
      </c>
      <c r="D5" s="5">
        <v>1.1399999999999999</v>
      </c>
      <c r="E5" s="6">
        <v>1.18</v>
      </c>
      <c r="F5" s="6">
        <v>1.22</v>
      </c>
      <c r="G5" s="3">
        <f>F5-E5</f>
        <v>4.0000000000000036E-2</v>
      </c>
      <c r="H5" s="3"/>
      <c r="I5">
        <f>F5-C5*EtalonnageTube_04062020!$H$33</f>
        <v>1.206</v>
      </c>
      <c r="K5" s="18">
        <f>-6.2543-F5</f>
        <v>-7.4742999999999995</v>
      </c>
      <c r="M5">
        <v>9.0830352980092357</v>
      </c>
      <c r="N5">
        <f>IF((C5-M5)&gt;0,C5-M5,0)</f>
        <v>0.9169647019907643</v>
      </c>
      <c r="P5">
        <f>(I5-I4)/(N5-N4)</f>
        <v>1.3152087505459362</v>
      </c>
      <c r="R5" s="20"/>
      <c r="S5" s="20"/>
      <c r="U5" s="21"/>
      <c r="V5" s="21"/>
    </row>
    <row r="6" spans="1:22" x14ac:dyDescent="0.3">
      <c r="C6" s="4">
        <v>20</v>
      </c>
      <c r="D6" s="7">
        <v>3.33</v>
      </c>
      <c r="E6" s="1">
        <v>3.42</v>
      </c>
      <c r="F6" s="1">
        <v>3.55</v>
      </c>
      <c r="G6" s="3">
        <f t="shared" ref="G6:G22" si="0">F6-E6</f>
        <v>0.12999999999999989</v>
      </c>
      <c r="H6" s="3"/>
      <c r="I6">
        <f>F6-C6*EtalonnageTube_04062020!$H$33</f>
        <v>3.5219999999999998</v>
      </c>
      <c r="K6" s="18">
        <f t="shared" ref="K6:K22" si="1">-6.2543-F6</f>
        <v>-9.8042999999999996</v>
      </c>
      <c r="M6">
        <v>13.952938806716361</v>
      </c>
      <c r="N6">
        <f>IF((C6-M6)&gt;0,C6-M6,0)</f>
        <v>6.0470611932836391</v>
      </c>
      <c r="P6">
        <f t="shared" ref="P6:P22" si="2">(I6-I5)/(N6-N5)</f>
        <v>0.45145349681645597</v>
      </c>
      <c r="R6" s="20"/>
      <c r="S6" s="20"/>
      <c r="U6" s="21"/>
      <c r="V6" s="21"/>
    </row>
    <row r="7" spans="1:22" x14ac:dyDescent="0.3">
      <c r="C7" s="4">
        <v>29</v>
      </c>
      <c r="D7" s="7">
        <v>5.95</v>
      </c>
      <c r="E7" s="1">
        <v>6.12</v>
      </c>
      <c r="F7" s="1">
        <v>6.33</v>
      </c>
      <c r="G7" s="3">
        <f t="shared" si="0"/>
        <v>0.20999999999999996</v>
      </c>
      <c r="H7" s="3"/>
      <c r="I7">
        <f>F7-C7*EtalonnageTube_04062020!$H$33</f>
        <v>6.2893999999999997</v>
      </c>
      <c r="K7" s="18">
        <f t="shared" si="1"/>
        <v>-12.584299999999999</v>
      </c>
      <c r="M7">
        <v>25.508882440229435</v>
      </c>
      <c r="N7">
        <f t="shared" ref="N7:N21" si="3">IF((C7-M7)&gt;0,C7-M7,0)</f>
        <v>3.491117559770565</v>
      </c>
      <c r="P7">
        <f t="shared" si="2"/>
        <v>-1.0827312322988456</v>
      </c>
      <c r="R7" s="20"/>
      <c r="S7" s="20"/>
      <c r="U7" s="21"/>
      <c r="V7" s="21"/>
    </row>
    <row r="8" spans="1:22" x14ac:dyDescent="0.3">
      <c r="C8" s="4">
        <v>49</v>
      </c>
      <c r="D8" s="7">
        <v>13.24</v>
      </c>
      <c r="E8" s="1">
        <v>13.51</v>
      </c>
      <c r="F8" s="1">
        <v>13.79</v>
      </c>
      <c r="G8" s="3">
        <f t="shared" si="0"/>
        <v>0.27999999999999936</v>
      </c>
      <c r="H8" s="3"/>
      <c r="I8">
        <f>F8-C8*EtalonnageTube_04062020!$H$33</f>
        <v>13.721399999999999</v>
      </c>
      <c r="K8" s="18">
        <f t="shared" si="1"/>
        <v>-20.0443</v>
      </c>
      <c r="M8">
        <v>49.864112826684377</v>
      </c>
      <c r="N8">
        <f t="shared" si="3"/>
        <v>0</v>
      </c>
      <c r="P8">
        <f t="shared" si="2"/>
        <v>-2.128831204552283</v>
      </c>
      <c r="R8" s="20"/>
      <c r="S8" s="20"/>
      <c r="U8" s="21"/>
      <c r="V8" s="21"/>
    </row>
    <row r="9" spans="1:22" x14ac:dyDescent="0.3">
      <c r="C9" s="4">
        <v>71</v>
      </c>
      <c r="D9" s="7">
        <v>25.13</v>
      </c>
      <c r="E9" s="1">
        <v>25.84</v>
      </c>
      <c r="F9" s="1">
        <v>27.21</v>
      </c>
      <c r="G9" s="3">
        <f t="shared" si="0"/>
        <v>1.370000000000001</v>
      </c>
      <c r="H9" s="3"/>
      <c r="I9">
        <f>F9-C9*EtalonnageTube_04062020!$H$33</f>
        <v>27.110600000000002</v>
      </c>
      <c r="K9" s="18">
        <f t="shared" si="1"/>
        <v>-33.464300000000001</v>
      </c>
      <c r="M9">
        <v>62.251186677717413</v>
      </c>
      <c r="N9">
        <f>IF((C9-M9)&gt;0,C9-M9,0)</f>
        <v>8.7488133222825866</v>
      </c>
      <c r="P9">
        <f t="shared" si="2"/>
        <v>1.530401839287014</v>
      </c>
      <c r="R9" s="20"/>
      <c r="S9" s="20"/>
      <c r="U9" s="21"/>
      <c r="V9" s="21"/>
    </row>
    <row r="10" spans="1:22" x14ac:dyDescent="0.3">
      <c r="C10" s="4">
        <v>96</v>
      </c>
      <c r="D10" s="7">
        <v>50.15</v>
      </c>
      <c r="E10" s="1">
        <v>51.46</v>
      </c>
      <c r="F10" s="1">
        <v>54.17</v>
      </c>
      <c r="G10" s="3">
        <f t="shared" si="0"/>
        <v>2.7100000000000009</v>
      </c>
      <c r="H10" s="3"/>
      <c r="I10">
        <f>F10-C10*EtalonnageTube_04062020!$H$33</f>
        <v>54.035600000000002</v>
      </c>
      <c r="K10" s="18">
        <f t="shared" si="1"/>
        <v>-60.424300000000002</v>
      </c>
      <c r="M10">
        <v>75.009698393996473</v>
      </c>
      <c r="N10">
        <f t="shared" si="3"/>
        <v>20.990301606003527</v>
      </c>
      <c r="P10">
        <f t="shared" si="2"/>
        <v>2.199487462305183</v>
      </c>
      <c r="R10" s="20"/>
      <c r="S10" s="20"/>
      <c r="U10" s="21"/>
      <c r="V10" s="21"/>
    </row>
    <row r="11" spans="1:22" x14ac:dyDescent="0.3">
      <c r="C11" s="4">
        <v>149</v>
      </c>
      <c r="D11" s="7">
        <v>79.040000000000006</v>
      </c>
      <c r="E11" s="1">
        <v>79.3</v>
      </c>
      <c r="F11" s="1">
        <v>79.709999999999994</v>
      </c>
      <c r="G11" s="3">
        <f t="shared" si="0"/>
        <v>0.40999999999999659</v>
      </c>
      <c r="H11" s="3"/>
      <c r="I11">
        <f>F11-C11*EtalonnageTube_04062020!$H$33</f>
        <v>79.50139999999999</v>
      </c>
      <c r="K11" s="18">
        <f t="shared" si="1"/>
        <v>-85.964299999999994</v>
      </c>
      <c r="M11">
        <v>82.911346439202745</v>
      </c>
      <c r="N11">
        <f t="shared" si="3"/>
        <v>66.088653560797255</v>
      </c>
      <c r="P11">
        <f t="shared" si="2"/>
        <v>0.56467251897645232</v>
      </c>
      <c r="R11" s="20"/>
      <c r="S11" s="20"/>
      <c r="U11" s="21"/>
      <c r="V11" s="21"/>
    </row>
    <row r="12" spans="1:22" x14ac:dyDescent="0.3">
      <c r="C12" s="4">
        <v>199</v>
      </c>
      <c r="D12" s="7">
        <v>83.2</v>
      </c>
      <c r="E12" s="1">
        <v>83.41</v>
      </c>
      <c r="F12" s="1">
        <v>83.67</v>
      </c>
      <c r="G12" s="3">
        <f t="shared" si="0"/>
        <v>0.26000000000000512</v>
      </c>
      <c r="H12" s="3"/>
      <c r="I12">
        <f>F12-C12*EtalonnageTube_04062020!$H$33</f>
        <v>83.391400000000004</v>
      </c>
      <c r="K12" s="18">
        <f t="shared" si="1"/>
        <v>-89.924300000000002</v>
      </c>
      <c r="M12">
        <v>83.954975558635297</v>
      </c>
      <c r="N12">
        <f t="shared" si="3"/>
        <v>115.0450244413647</v>
      </c>
      <c r="P12">
        <f t="shared" si="2"/>
        <v>7.9458504174869229E-2</v>
      </c>
      <c r="R12" s="20"/>
      <c r="S12" s="20"/>
      <c r="U12" s="21"/>
      <c r="V12" s="21"/>
    </row>
    <row r="13" spans="1:22" x14ac:dyDescent="0.3">
      <c r="C13" s="4">
        <v>299</v>
      </c>
      <c r="D13" s="7">
        <v>89.44</v>
      </c>
      <c r="E13" s="1">
        <v>89.67</v>
      </c>
      <c r="F13" s="1">
        <v>89.99</v>
      </c>
      <c r="G13" s="3">
        <f t="shared" si="0"/>
        <v>0.31999999999999318</v>
      </c>
      <c r="H13" s="3"/>
      <c r="I13">
        <f>F13-C13*EtalonnageTube_04062020!$H$33</f>
        <v>89.571399999999997</v>
      </c>
      <c r="K13" s="18">
        <f t="shared" si="1"/>
        <v>-96.244299999999996</v>
      </c>
      <c r="M13">
        <v>85.546444262312519</v>
      </c>
      <c r="N13">
        <f t="shared" si="3"/>
        <v>213.45355573768748</v>
      </c>
      <c r="P13">
        <f t="shared" si="2"/>
        <v>6.2799433327493631E-2</v>
      </c>
      <c r="R13" s="20"/>
      <c r="S13" s="20"/>
      <c r="U13" s="21" t="e">
        <f>((I13/1000)^2-($O$30/1000)^2)/((N13/1000)-($O$31/1000))</f>
        <v>#DIV/0!</v>
      </c>
      <c r="V13" s="21" t="e">
        <f>((N13/1000)*(I13/1000)^2-($O$31/1000)*($O$30/1000)^2)/(N13/1000-$O$31/1000)</f>
        <v>#DIV/0!</v>
      </c>
    </row>
    <row r="14" spans="1:22" x14ac:dyDescent="0.3">
      <c r="C14" s="4">
        <v>399</v>
      </c>
      <c r="D14" s="7">
        <v>95.01</v>
      </c>
      <c r="E14" s="1">
        <v>95.34</v>
      </c>
      <c r="F14" s="1">
        <v>95.71</v>
      </c>
      <c r="G14" s="3">
        <f t="shared" si="0"/>
        <v>0.36999999999999034</v>
      </c>
      <c r="H14" s="3"/>
      <c r="I14">
        <f>F14-C14*EtalonnageTube_04062020!$H$33</f>
        <v>95.151399999999995</v>
      </c>
      <c r="K14" s="18">
        <f t="shared" si="1"/>
        <v>-101.96429999999999</v>
      </c>
      <c r="M14">
        <v>86.916653548366298</v>
      </c>
      <c r="N14">
        <f t="shared" si="3"/>
        <v>312.0833464516337</v>
      </c>
      <c r="P14" s="31">
        <f>(I14-I13)/(N14-N13)</f>
        <v>5.6575198625165371E-2</v>
      </c>
      <c r="R14" s="20"/>
      <c r="S14" s="20"/>
      <c r="U14" s="21">
        <f>((I14/1000)^2-($O$30/1000)^2)/((N14/1000)-($O$31/1000))</f>
        <v>1.0450729100596714E-2</v>
      </c>
      <c r="V14" s="21">
        <f>((N14/1000)*(I14/1000)^2-($O$31/1000)*($O$30/1000)^2)/(N14/1000-$O$31/1000)</f>
        <v>1.1284534208533694E-2</v>
      </c>
    </row>
    <row r="15" spans="1:22" x14ac:dyDescent="0.3">
      <c r="C15" s="4">
        <v>499</v>
      </c>
      <c r="D15" s="7">
        <v>100.95</v>
      </c>
      <c r="E15" s="1">
        <v>101.25</v>
      </c>
      <c r="F15" s="1">
        <v>101.61</v>
      </c>
      <c r="G15" s="3">
        <f t="shared" si="0"/>
        <v>0.35999999999999943</v>
      </c>
      <c r="H15" s="3"/>
      <c r="I15">
        <f>F15-C15*EtalonnageTube_04062020!$H$33</f>
        <v>100.9114</v>
      </c>
      <c r="K15" s="18">
        <f t="shared" si="1"/>
        <v>-107.8643</v>
      </c>
      <c r="M15">
        <v>88.267967938725235</v>
      </c>
      <c r="N15">
        <f t="shared" si="3"/>
        <v>410.73203206127477</v>
      </c>
      <c r="P15">
        <f t="shared" si="2"/>
        <v>5.8389019219097157E-2</v>
      </c>
      <c r="R15" s="20"/>
      <c r="S15" s="20"/>
      <c r="U15" s="21">
        <f t="shared" ref="U15:U22" si="4">((I15/1000)^2-($O$30/1000)^2)/((N15/1000)-($O$31/1000))</f>
        <v>1.0949369603082924E-2</v>
      </c>
      <c r="V15" s="21">
        <f t="shared" ref="V15:V22" si="5">((N15/1000)*(I15/1000)^2-($O$31/1000)*($O$30/1000)^2)/(N15/1000-$O$31/1000)</f>
        <v>1.2520292524824202E-2</v>
      </c>
    </row>
    <row r="16" spans="1:22" x14ac:dyDescent="0.3">
      <c r="C16" s="4">
        <v>599</v>
      </c>
      <c r="D16" s="7">
        <v>107.22</v>
      </c>
      <c r="E16" s="1">
        <v>107.53</v>
      </c>
      <c r="F16" s="1">
        <v>107.96</v>
      </c>
      <c r="G16" s="3">
        <f t="shared" si="0"/>
        <v>0.42999999999999261</v>
      </c>
      <c r="H16" s="3"/>
      <c r="I16">
        <f>F16-C16*EtalonnageTube_04062020!$H$33</f>
        <v>107.12139999999999</v>
      </c>
      <c r="K16" s="18">
        <f t="shared" si="1"/>
        <v>-114.21429999999999</v>
      </c>
      <c r="M16">
        <v>89.65938308109466</v>
      </c>
      <c r="N16">
        <f t="shared" si="3"/>
        <v>509.34061691890531</v>
      </c>
      <c r="P16">
        <f t="shared" si="2"/>
        <v>6.2976261234920769E-2</v>
      </c>
      <c r="R16" s="20"/>
      <c r="S16" s="20"/>
      <c r="U16" s="21">
        <f t="shared" si="4"/>
        <v>1.1666473776242036E-2</v>
      </c>
      <c r="V16" s="21">
        <f t="shared" si="5"/>
        <v>1.3965244648419348E-2</v>
      </c>
    </row>
    <row r="17" spans="3:22" x14ac:dyDescent="0.3">
      <c r="C17" s="4">
        <v>700</v>
      </c>
      <c r="D17" s="7">
        <v>113.84</v>
      </c>
      <c r="E17" s="1">
        <v>114.34</v>
      </c>
      <c r="F17" s="1">
        <v>114.95</v>
      </c>
      <c r="G17" s="3">
        <f t="shared" si="0"/>
        <v>0.60999999999999943</v>
      </c>
      <c r="H17" s="3"/>
      <c r="I17">
        <f>F17-C17*EtalonnageTube_04062020!$H$33</f>
        <v>113.97</v>
      </c>
      <c r="K17" s="18">
        <f t="shared" si="1"/>
        <v>-121.2043</v>
      </c>
      <c r="M17">
        <v>91.123499703534264</v>
      </c>
      <c r="N17">
        <f t="shared" si="3"/>
        <v>608.87650029646579</v>
      </c>
      <c r="P17">
        <f t="shared" si="2"/>
        <v>6.8805337006171211E-2</v>
      </c>
      <c r="R17" s="20"/>
      <c r="S17" s="20"/>
      <c r="U17" s="21">
        <f t="shared" si="4"/>
        <v>1.2559021347588505E-2</v>
      </c>
      <c r="V17" s="21">
        <f t="shared" si="5"/>
        <v>1.5669928663228291E-2</v>
      </c>
    </row>
    <row r="18" spans="3:22" x14ac:dyDescent="0.3">
      <c r="C18" s="4">
        <v>800</v>
      </c>
      <c r="D18" s="7">
        <v>121.83</v>
      </c>
      <c r="E18" s="1">
        <v>122.39</v>
      </c>
      <c r="F18" s="1">
        <v>123.26</v>
      </c>
      <c r="G18" s="3">
        <f t="shared" si="0"/>
        <v>0.87000000000000455</v>
      </c>
      <c r="H18" s="3"/>
      <c r="I18">
        <f>F18-C18*EtalonnageTube_04062020!$H$33</f>
        <v>122.14</v>
      </c>
      <c r="K18" s="18">
        <f t="shared" si="1"/>
        <v>-129.51429999999999</v>
      </c>
      <c r="M18">
        <v>92.782162169683858</v>
      </c>
      <c r="N18">
        <f t="shared" si="3"/>
        <v>707.21783783031617</v>
      </c>
      <c r="P18">
        <f t="shared" si="2"/>
        <v>8.3077983327080343E-2</v>
      </c>
      <c r="R18" s="20"/>
      <c r="S18" s="20"/>
      <c r="U18" s="21">
        <f t="shared" si="4"/>
        <v>1.3964444477064245E-2</v>
      </c>
      <c r="V18" s="21">
        <f t="shared" si="5"/>
        <v>1.7898939927530874E-2</v>
      </c>
    </row>
    <row r="19" spans="3:22" x14ac:dyDescent="0.3">
      <c r="C19" s="15">
        <v>900</v>
      </c>
      <c r="D19" s="7">
        <v>131.61000000000001</v>
      </c>
      <c r="E19" s="1">
        <v>132.69</v>
      </c>
      <c r="F19" s="1">
        <v>133.86000000000001</v>
      </c>
      <c r="G19" s="3">
        <f t="shared" si="0"/>
        <v>1.1700000000000159</v>
      </c>
      <c r="H19" s="3"/>
      <c r="I19">
        <f>F19-C19*EtalonnageTube_04062020!$H$33</f>
        <v>132.60000000000002</v>
      </c>
      <c r="K19" s="18">
        <f t="shared" si="1"/>
        <v>-140.11430000000001</v>
      </c>
      <c r="M19">
        <v>94.784406377396294</v>
      </c>
      <c r="N19">
        <f t="shared" si="3"/>
        <v>805.21559362260371</v>
      </c>
      <c r="P19">
        <f t="shared" si="2"/>
        <v>0.10673713816641532</v>
      </c>
      <c r="R19" s="20">
        <f t="shared" ref="R19:R22" si="6">1/(I19*10^-3)</f>
        <v>7.5414781297134228</v>
      </c>
      <c r="S19" s="20">
        <f t="shared" ref="S19:S22" si="7">N19/1000</f>
        <v>0.80521559362260375</v>
      </c>
      <c r="U19" s="21">
        <f>((I19/1000)^2-($O$30/1000)^2)/((N19/1000)-($O$31/1000))</f>
        <v>1.6154676525396091E-2</v>
      </c>
      <c r="V19" s="21">
        <f t="shared" si="5"/>
        <v>2.1031033146137953E-2</v>
      </c>
    </row>
    <row r="20" spans="3:22" x14ac:dyDescent="0.3">
      <c r="C20" s="15">
        <v>998</v>
      </c>
      <c r="D20" s="7">
        <f>$D$19+12.3</f>
        <v>143.91000000000003</v>
      </c>
      <c r="E20" s="7">
        <f>$E$19+13.35</f>
        <v>146.04</v>
      </c>
      <c r="F20" s="7">
        <f>$F$19+15.14</f>
        <v>149</v>
      </c>
      <c r="G20" s="3">
        <f t="shared" si="0"/>
        <v>2.960000000000008</v>
      </c>
      <c r="H20" s="3"/>
      <c r="I20">
        <f>F20-C20*EtalonnageTube_04062020!$H$33</f>
        <v>147.6028</v>
      </c>
      <c r="K20" s="18">
        <f t="shared" si="1"/>
        <v>-155.2543</v>
      </c>
      <c r="M20">
        <v>97.455343577038732</v>
      </c>
      <c r="N20">
        <f t="shared" si="3"/>
        <v>900.54465642296122</v>
      </c>
      <c r="P20">
        <f t="shared" si="2"/>
        <v>0.1573790778937954</v>
      </c>
      <c r="R20" s="20">
        <f t="shared" si="6"/>
        <v>6.7749392287951178</v>
      </c>
      <c r="S20" s="20">
        <f t="shared" si="7"/>
        <v>0.90054465642296122</v>
      </c>
      <c r="U20" s="21">
        <f t="shared" si="4"/>
        <v>2.0031624418003456E-2</v>
      </c>
      <c r="V20" s="21">
        <f t="shared" si="5"/>
        <v>2.6062408027064721E-2</v>
      </c>
    </row>
    <row r="21" spans="3:22" x14ac:dyDescent="0.3">
      <c r="C21" s="15">
        <v>1098</v>
      </c>
      <c r="D21" s="7">
        <f>$D$19+36.01</f>
        <v>167.62</v>
      </c>
      <c r="E21" s="7">
        <f>$E$19+37.86</f>
        <v>170.55</v>
      </c>
      <c r="F21" s="7">
        <f>$F$19+41.07</f>
        <v>174.93</v>
      </c>
      <c r="G21" s="3">
        <f t="shared" si="0"/>
        <v>4.3799999999999955</v>
      </c>
      <c r="I21">
        <f>F21-C21*EtalonnageTube_04062020!$H$33</f>
        <v>173.39279999999999</v>
      </c>
      <c r="K21" s="18">
        <f t="shared" si="1"/>
        <v>-181.18430000000001</v>
      </c>
      <c r="M21">
        <v>101.61118105102399</v>
      </c>
      <c r="N21">
        <f t="shared" si="3"/>
        <v>996.388818948976</v>
      </c>
      <c r="P21">
        <f t="shared" si="2"/>
        <v>0.2690826370672274</v>
      </c>
      <c r="R21" s="20">
        <f t="shared" si="6"/>
        <v>5.7672521581057579</v>
      </c>
      <c r="S21" s="20">
        <f t="shared" si="7"/>
        <v>0.99638881894897602</v>
      </c>
      <c r="U21" s="21">
        <f t="shared" si="4"/>
        <v>2.8153065048408196E-2</v>
      </c>
      <c r="V21" s="21">
        <f t="shared" si="5"/>
        <v>3.6074434931337142E-2</v>
      </c>
    </row>
    <row r="22" spans="3:22" x14ac:dyDescent="0.3">
      <c r="C22" s="15">
        <v>1178</v>
      </c>
      <c r="D22" s="7">
        <f>$D$19+107.32</f>
        <v>238.93</v>
      </c>
      <c r="E22" s="7">
        <f>$E$19+113.7</f>
        <v>246.39</v>
      </c>
      <c r="F22" s="7">
        <f>$F$19+128.22</f>
        <v>262.08000000000004</v>
      </c>
      <c r="G22" s="3">
        <f t="shared" si="0"/>
        <v>15.690000000000055</v>
      </c>
      <c r="I22">
        <f>F22-C22*EtalonnageTube_04062020!$H$33</f>
        <v>260.43080000000003</v>
      </c>
      <c r="K22" s="18">
        <f t="shared" si="1"/>
        <v>-268.33430000000004</v>
      </c>
      <c r="M22">
        <v>112.99922366640398</v>
      </c>
      <c r="N22">
        <f>IF((C22-M22)&gt;0,C22-M22,0)</f>
        <v>1065.0007763335959</v>
      </c>
      <c r="P22">
        <f t="shared" si="2"/>
        <v>1.2685543936910113</v>
      </c>
      <c r="R22" s="20">
        <f t="shared" si="6"/>
        <v>3.8397916068299138</v>
      </c>
      <c r="S22" s="20">
        <f t="shared" si="7"/>
        <v>1.065000776333596</v>
      </c>
      <c r="U22" s="21">
        <f t="shared" si="4"/>
        <v>7.0226482389116898E-2</v>
      </c>
      <c r="V22" s="21">
        <f t="shared" si="5"/>
        <v>8.2814293961547117E-2</v>
      </c>
    </row>
    <row r="23" spans="3:22" x14ac:dyDescent="0.3">
      <c r="R23" s="32"/>
      <c r="S23" s="20"/>
      <c r="U23" s="21"/>
      <c r="V23" s="21"/>
    </row>
    <row r="24" spans="3:22" x14ac:dyDescent="0.3">
      <c r="H24" s="3"/>
      <c r="R24" s="32" t="s">
        <v>32</v>
      </c>
      <c r="S24" s="20">
        <v>-13.536</v>
      </c>
      <c r="U24" s="33" t="s">
        <v>34</v>
      </c>
      <c r="V24" s="21">
        <v>0.84509999999999996</v>
      </c>
    </row>
    <row r="25" spans="3:22" x14ac:dyDescent="0.3">
      <c r="H25" s="3"/>
      <c r="R25" s="32" t="s">
        <v>33</v>
      </c>
      <c r="S25" s="20">
        <v>18.728999999999999</v>
      </c>
      <c r="U25" s="33" t="s">
        <v>35</v>
      </c>
      <c r="V25" s="21">
        <v>6.9999999999999999E-4</v>
      </c>
    </row>
    <row r="26" spans="3:22" x14ac:dyDescent="0.3">
      <c r="H26" s="3"/>
      <c r="R26" s="32" t="s">
        <v>54</v>
      </c>
      <c r="S26" s="20">
        <f>-S25/S24+1/(S24+(J28+2*O30)*10^-3)</f>
        <v>1.3087215485173429</v>
      </c>
      <c r="U26" s="33" t="s">
        <v>56</v>
      </c>
      <c r="V26" s="21">
        <f>(O31/1000*(O30/1000)^2+V25+V24*((O38/1000)^2-(O30/1000)^2))/((O38/1000)^2+V25)</f>
        <v>0.68929580765060405</v>
      </c>
    </row>
    <row r="27" spans="3:22" x14ac:dyDescent="0.3">
      <c r="H27" s="3"/>
      <c r="U27" s="21" t="s">
        <v>57</v>
      </c>
      <c r="V27">
        <f>(S26-V26)/V26</f>
        <v>0.89863558430449419</v>
      </c>
    </row>
    <row r="28" spans="3:22" x14ac:dyDescent="0.3">
      <c r="H28" s="3"/>
      <c r="I28" s="22" t="s">
        <v>11</v>
      </c>
      <c r="J28" s="22">
        <v>9.6549674895734654</v>
      </c>
      <c r="K28" s="22" t="s">
        <v>9</v>
      </c>
      <c r="L28" s="22"/>
      <c r="M28" s="22" t="s">
        <v>37</v>
      </c>
      <c r="N28" s="22"/>
      <c r="O28" s="22">
        <f xml:space="preserve"> P14</f>
        <v>5.6575198625165371E-2</v>
      </c>
    </row>
    <row r="29" spans="3:22" x14ac:dyDescent="0.3">
      <c r="I29" s="22"/>
      <c r="J29" s="22"/>
      <c r="K29" s="22"/>
      <c r="L29" s="22"/>
      <c r="M29" s="22" t="s">
        <v>55</v>
      </c>
      <c r="N29" s="22"/>
      <c r="O29" s="22"/>
      <c r="R29" s="29" t="s">
        <v>58</v>
      </c>
      <c r="S29" s="26">
        <f>MIN(S26,V26)*1000</f>
        <v>689.29580765060405</v>
      </c>
      <c r="T29" s="26" t="s">
        <v>30</v>
      </c>
    </row>
    <row r="30" spans="3:22" x14ac:dyDescent="0.3">
      <c r="I30" s="27" t="s">
        <v>25</v>
      </c>
      <c r="J30" s="24">
        <v>0.33</v>
      </c>
      <c r="K30" s="22"/>
      <c r="L30" s="22"/>
      <c r="M30" s="22" t="s">
        <v>38</v>
      </c>
      <c r="N30" s="22"/>
      <c r="O30" s="22">
        <f>I13</f>
        <v>89.571399999999997</v>
      </c>
      <c r="R30" s="29" t="s">
        <v>61</v>
      </c>
      <c r="S30" s="26">
        <f>J38/S29</f>
        <v>6.3677473156220517</v>
      </c>
      <c r="T30" s="26"/>
    </row>
    <row r="31" spans="3:22" x14ac:dyDescent="0.3">
      <c r="I31" s="22"/>
      <c r="J31" s="22"/>
      <c r="K31" s="22"/>
      <c r="L31" s="22"/>
      <c r="M31" s="22" t="s">
        <v>39</v>
      </c>
      <c r="N31" s="22"/>
      <c r="O31" s="22">
        <f>N13</f>
        <v>213.45355573768748</v>
      </c>
    </row>
    <row r="32" spans="3:22" x14ac:dyDescent="0.3">
      <c r="I32" s="22" t="s">
        <v>26</v>
      </c>
      <c r="J32" s="22">
        <f>I12</f>
        <v>83.391400000000004</v>
      </c>
      <c r="K32" s="22"/>
      <c r="L32" s="22"/>
      <c r="M32" s="22" t="s">
        <v>45</v>
      </c>
      <c r="N32" s="22"/>
      <c r="O32" s="22"/>
    </row>
    <row r="33" spans="8:20" x14ac:dyDescent="0.3">
      <c r="I33" s="22" t="s">
        <v>27</v>
      </c>
      <c r="J33" s="22">
        <f>I19</f>
        <v>132.60000000000002</v>
      </c>
      <c r="K33" s="22"/>
      <c r="L33" s="22"/>
      <c r="M33" s="25" t="s">
        <v>40</v>
      </c>
      <c r="N33" s="25"/>
      <c r="O33" s="22">
        <f>1+0.01*(N14+N13)/(N14-N13)+3/(I14-I13)</f>
        <v>1.5909181982548657</v>
      </c>
    </row>
    <row r="34" spans="8:20" x14ac:dyDescent="0.3">
      <c r="I34" s="22" t="s">
        <v>28</v>
      </c>
      <c r="J34" s="22">
        <f>N12</f>
        <v>115.0450244413647</v>
      </c>
      <c r="K34" s="22"/>
      <c r="L34" s="22"/>
      <c r="M34" s="22"/>
      <c r="N34" s="22"/>
      <c r="O34" s="22"/>
    </row>
    <row r="35" spans="8:20" x14ac:dyDescent="0.3">
      <c r="I35" s="22" t="s">
        <v>29</v>
      </c>
      <c r="J35" s="22">
        <f>N19</f>
        <v>805.21559362260371</v>
      </c>
      <c r="K35" s="22"/>
      <c r="L35" s="22"/>
      <c r="M35" s="25" t="s">
        <v>43</v>
      </c>
      <c r="N35" s="25"/>
      <c r="O35" s="22">
        <f>O33*O28</f>
        <v>9.0006513062659249E-2</v>
      </c>
      <c r="R35" s="30" t="s">
        <v>63</v>
      </c>
      <c r="S35" s="39">
        <v>815</v>
      </c>
      <c r="T35" s="28" t="s">
        <v>30</v>
      </c>
    </row>
    <row r="36" spans="8:20" x14ac:dyDescent="0.3">
      <c r="I36" s="22"/>
      <c r="J36" s="22"/>
      <c r="K36" s="22"/>
      <c r="L36" s="22"/>
      <c r="M36" s="22"/>
      <c r="N36" s="22"/>
      <c r="O36" s="22"/>
    </row>
    <row r="37" spans="8:20" x14ac:dyDescent="0.3">
      <c r="I37" s="22"/>
      <c r="J37" s="22"/>
      <c r="K37" s="22"/>
      <c r="L37" s="22"/>
      <c r="M37" s="22"/>
      <c r="N37" s="22"/>
      <c r="O37" s="22"/>
    </row>
    <row r="38" spans="8:20" x14ac:dyDescent="0.3">
      <c r="I38" s="22" t="s">
        <v>59</v>
      </c>
      <c r="J38" s="22">
        <f>2*(1+J30)*(J28+(J32+J33)/2)*((J35-J34)/(J33-J32))</f>
        <v>4389.2615288366678</v>
      </c>
      <c r="K38" s="22" t="s">
        <v>30</v>
      </c>
      <c r="L38" s="22"/>
      <c r="M38" s="22" t="s">
        <v>44</v>
      </c>
      <c r="N38" s="22"/>
      <c r="O38" s="22">
        <f>J28+2*J32</f>
        <v>176.43776748957347</v>
      </c>
    </row>
    <row r="39" spans="8:20" x14ac:dyDescent="0.3">
      <c r="I39" s="22" t="s">
        <v>59</v>
      </c>
      <c r="J39" s="22">
        <f>J38/1000</f>
        <v>4.3892615288366681</v>
      </c>
      <c r="K39" s="22" t="s">
        <v>60</v>
      </c>
    </row>
    <row r="44" spans="8:20" x14ac:dyDescent="0.3">
      <c r="H44" t="s">
        <v>65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C999C-AAC8-466A-9AAD-38C9B552FA34}">
  <dimension ref="A1:V44"/>
  <sheetViews>
    <sheetView topLeftCell="F13" zoomScale="95" workbookViewId="0">
      <selection activeCell="V34" sqref="V34"/>
    </sheetView>
  </sheetViews>
  <sheetFormatPr baseColWidth="10" defaultRowHeight="14.4" x14ac:dyDescent="0.3"/>
  <cols>
    <col min="11" max="11" width="18" bestFit="1" customWidth="1"/>
    <col min="19" max="19" width="12.5546875" bestFit="1" customWidth="1"/>
  </cols>
  <sheetData>
    <row r="1" spans="1:22" x14ac:dyDescent="0.3">
      <c r="A1" t="s">
        <v>68</v>
      </c>
      <c r="R1" s="32" t="s">
        <v>46</v>
      </c>
      <c r="S1" s="32"/>
      <c r="U1" s="33" t="s">
        <v>49</v>
      </c>
      <c r="V1" s="33"/>
    </row>
    <row r="2" spans="1:22" x14ac:dyDescent="0.3">
      <c r="K2" s="35" t="s">
        <v>41</v>
      </c>
      <c r="R2" s="32" t="s">
        <v>47</v>
      </c>
      <c r="S2" s="32"/>
      <c r="U2" s="33" t="s">
        <v>50</v>
      </c>
      <c r="V2" s="33" t="s">
        <v>51</v>
      </c>
    </row>
    <row r="3" spans="1:22" ht="15" thickBot="1" x14ac:dyDescent="0.35">
      <c r="C3" s="1" t="s">
        <v>0</v>
      </c>
      <c r="D3" s="2" t="s">
        <v>1</v>
      </c>
      <c r="E3" s="2" t="s">
        <v>2</v>
      </c>
      <c r="F3" s="2" t="s">
        <v>3</v>
      </c>
      <c r="G3" s="3" t="s">
        <v>12</v>
      </c>
      <c r="H3" s="3" t="s">
        <v>4</v>
      </c>
      <c r="I3" s="35" t="s">
        <v>22</v>
      </c>
      <c r="K3" s="35" t="s">
        <v>42</v>
      </c>
      <c r="L3" s="34"/>
      <c r="M3" s="35" t="s">
        <v>19</v>
      </c>
      <c r="N3" s="35" t="s">
        <v>24</v>
      </c>
      <c r="O3" s="35"/>
      <c r="P3" s="34" t="s">
        <v>36</v>
      </c>
      <c r="R3" s="32" t="s">
        <v>31</v>
      </c>
      <c r="S3" s="32" t="s">
        <v>48</v>
      </c>
      <c r="U3" s="33" t="s">
        <v>52</v>
      </c>
      <c r="V3" s="33" t="s">
        <v>53</v>
      </c>
    </row>
    <row r="4" spans="1:22" x14ac:dyDescent="0.3">
      <c r="C4" s="12"/>
      <c r="D4" s="13"/>
      <c r="E4" s="14"/>
      <c r="F4" s="14"/>
      <c r="G4" s="3"/>
      <c r="H4" s="3"/>
      <c r="I4" s="43">
        <v>0</v>
      </c>
      <c r="J4" s="44"/>
      <c r="K4" s="43"/>
      <c r="L4" s="44"/>
      <c r="M4" s="43"/>
      <c r="N4" s="43">
        <v>0</v>
      </c>
      <c r="O4" s="35"/>
      <c r="R4" s="20"/>
      <c r="S4" s="20"/>
      <c r="U4" s="21"/>
      <c r="V4" s="21"/>
    </row>
    <row r="5" spans="1:22" x14ac:dyDescent="0.3">
      <c r="C5" s="4">
        <v>9</v>
      </c>
      <c r="D5" s="5">
        <v>1.25</v>
      </c>
      <c r="E5" s="6">
        <v>1.35</v>
      </c>
      <c r="F5" s="6">
        <v>1.47</v>
      </c>
      <c r="G5" s="3">
        <v>0.11999999999999988</v>
      </c>
      <c r="H5" s="3"/>
      <c r="I5">
        <f>F5-C5*EtalonnageTube_05062020!$H$33</f>
        <v>1.4538</v>
      </c>
      <c r="K5">
        <f>-6.2543-F5</f>
        <v>-7.7242999999999995</v>
      </c>
      <c r="M5">
        <v>9.5208804380678451</v>
      </c>
      <c r="N5">
        <f>IF((C5-M5)&gt;0,C5-M5,0)</f>
        <v>0</v>
      </c>
      <c r="P5" t="e">
        <f>(I5-I4)/(N5-N4)</f>
        <v>#DIV/0!</v>
      </c>
      <c r="R5" s="20"/>
      <c r="S5" s="20"/>
      <c r="U5" s="21"/>
      <c r="V5" s="21"/>
    </row>
    <row r="6" spans="1:22" x14ac:dyDescent="0.3">
      <c r="C6" s="4">
        <v>19</v>
      </c>
      <c r="D6" s="7">
        <v>3.74</v>
      </c>
      <c r="E6" s="1">
        <v>3.91</v>
      </c>
      <c r="F6" s="1">
        <v>4.1100000000000003</v>
      </c>
      <c r="G6" s="3">
        <v>0.20000000000000018</v>
      </c>
      <c r="H6" s="3"/>
      <c r="I6">
        <f>F6-C6*EtalonnageTube_05062020!$H$33</f>
        <v>4.0758000000000001</v>
      </c>
      <c r="K6">
        <f t="shared" ref="K6:K19" si="0">-6.2543-F6</f>
        <v>-10.3643</v>
      </c>
      <c r="M6">
        <v>15.509923945181335</v>
      </c>
      <c r="N6">
        <f>IF((C6-M6)&gt;0,C6-M6,0)</f>
        <v>3.4900760548186653</v>
      </c>
      <c r="P6">
        <f t="shared" ref="P6:P19" si="1">(I6-I5)/(N6-N5)</f>
        <v>0.75127302638000293</v>
      </c>
      <c r="R6" s="20"/>
      <c r="S6" s="20"/>
      <c r="U6" s="21"/>
      <c r="V6" s="21"/>
    </row>
    <row r="7" spans="1:22" x14ac:dyDescent="0.3">
      <c r="C7" s="4">
        <v>29</v>
      </c>
      <c r="D7" s="7">
        <v>7.02</v>
      </c>
      <c r="E7" s="1">
        <v>7.22</v>
      </c>
      <c r="F7" s="1">
        <v>7.51</v>
      </c>
      <c r="G7" s="3">
        <v>0.29000000000000004</v>
      </c>
      <c r="H7" s="3"/>
      <c r="I7">
        <f>F7-C7*EtalonnageTube_05062020!$H$33</f>
        <v>7.4577999999999998</v>
      </c>
      <c r="K7">
        <f t="shared" si="0"/>
        <v>-13.764299999999999</v>
      </c>
      <c r="M7">
        <v>33.466037812118387</v>
      </c>
      <c r="N7">
        <f t="shared" ref="N7:N19" si="2">IF((C7-M7)&gt;0,C7-M7,0)</f>
        <v>0</v>
      </c>
      <c r="P7">
        <f t="shared" si="1"/>
        <v>-0.96903332388145302</v>
      </c>
      <c r="R7" s="20"/>
      <c r="S7" s="20"/>
      <c r="U7" s="21"/>
      <c r="V7" s="21"/>
    </row>
    <row r="8" spans="1:22" x14ac:dyDescent="0.3">
      <c r="C8" s="4">
        <v>48</v>
      </c>
      <c r="D8" s="7">
        <v>15.1</v>
      </c>
      <c r="E8" s="1">
        <v>15.64</v>
      </c>
      <c r="F8" s="1">
        <v>16.21</v>
      </c>
      <c r="G8" s="3">
        <v>0.57000000000000028</v>
      </c>
      <c r="H8" s="3"/>
      <c r="I8">
        <f>F8-C8*EtalonnageTube_05062020!$H$33</f>
        <v>16.1236</v>
      </c>
      <c r="K8">
        <f t="shared" si="0"/>
        <v>-22.464300000000001</v>
      </c>
      <c r="M8">
        <v>52.948722533578398</v>
      </c>
      <c r="N8">
        <f t="shared" si="2"/>
        <v>0</v>
      </c>
      <c r="P8" t="e">
        <f t="shared" si="1"/>
        <v>#DIV/0!</v>
      </c>
      <c r="R8" s="20"/>
      <c r="S8" s="20"/>
      <c r="U8" s="21"/>
      <c r="V8" s="21"/>
    </row>
    <row r="9" spans="1:22" x14ac:dyDescent="0.3">
      <c r="C9" s="4">
        <v>71</v>
      </c>
      <c r="D9" s="7">
        <v>32.08</v>
      </c>
      <c r="E9" s="1">
        <v>32.94</v>
      </c>
      <c r="F9" s="1">
        <v>34.83</v>
      </c>
      <c r="G9" s="3">
        <v>1.8900000000000006</v>
      </c>
      <c r="H9" s="3"/>
      <c r="I9">
        <f>F9-C9*EtalonnageTube_05062020!$H$33</f>
        <v>34.702199999999998</v>
      </c>
      <c r="K9">
        <f t="shared" si="0"/>
        <v>-41.084299999999999</v>
      </c>
      <c r="M9">
        <v>66.690607985299764</v>
      </c>
      <c r="N9">
        <f>IF((C9-M9)&gt;0,C9-M9,0)</f>
        <v>4.3093920147002365</v>
      </c>
      <c r="P9">
        <f t="shared" si="1"/>
        <v>4.3111881993154748</v>
      </c>
      <c r="R9" s="20"/>
      <c r="S9" s="20"/>
      <c r="U9" s="21"/>
      <c r="V9" s="21"/>
    </row>
    <row r="10" spans="1:22" x14ac:dyDescent="0.3">
      <c r="C10" s="4">
        <v>98</v>
      </c>
      <c r="D10" s="7">
        <v>66.36</v>
      </c>
      <c r="E10" s="1">
        <v>68.73</v>
      </c>
      <c r="F10" s="1">
        <v>72.069999999999993</v>
      </c>
      <c r="G10" s="3">
        <v>3.3399999999999892</v>
      </c>
      <c r="H10" s="3"/>
      <c r="I10">
        <f>F10-C10*EtalonnageTube_05062020!$H$33</f>
        <v>71.893599999999992</v>
      </c>
      <c r="K10">
        <f t="shared" si="0"/>
        <v>-78.324299999999994</v>
      </c>
      <c r="M10">
        <v>80.781843980310995</v>
      </c>
      <c r="N10">
        <f t="shared" si="2"/>
        <v>17.218156019689005</v>
      </c>
      <c r="P10">
        <f t="shared" si="1"/>
        <v>2.8810969032842237</v>
      </c>
      <c r="R10" s="20"/>
      <c r="S10" s="20"/>
      <c r="U10" s="21"/>
      <c r="V10" s="21"/>
    </row>
    <row r="11" spans="1:22" x14ac:dyDescent="0.3">
      <c r="C11" s="4">
        <v>149</v>
      </c>
      <c r="D11" s="7">
        <v>86.6</v>
      </c>
      <c r="E11" s="1">
        <v>86.94</v>
      </c>
      <c r="F11" s="1">
        <v>87.16</v>
      </c>
      <c r="G11" s="3">
        <v>0.21999999999999886</v>
      </c>
      <c r="H11" s="3"/>
      <c r="I11">
        <f>F11-C11*EtalonnageTube_05062020!$H$33</f>
        <v>86.891800000000003</v>
      </c>
      <c r="K11">
        <f t="shared" si="0"/>
        <v>-93.414299999999997</v>
      </c>
      <c r="M11">
        <v>84.844475205890234</v>
      </c>
      <c r="N11">
        <f t="shared" si="2"/>
        <v>64.155524794109766</v>
      </c>
      <c r="P11">
        <f t="shared" si="1"/>
        <v>0.31953644594099001</v>
      </c>
      <c r="R11" s="20"/>
      <c r="S11" s="20"/>
      <c r="U11" s="21"/>
      <c r="V11" s="21"/>
    </row>
    <row r="12" spans="1:22" x14ac:dyDescent="0.3">
      <c r="C12" s="4">
        <v>199</v>
      </c>
      <c r="D12" s="7">
        <v>90.42</v>
      </c>
      <c r="E12" s="1">
        <v>90.6</v>
      </c>
      <c r="F12" s="1">
        <v>90.8</v>
      </c>
      <c r="G12" s="3">
        <v>0.20000000000000284</v>
      </c>
      <c r="H12" s="3"/>
      <c r="I12">
        <f>F12-C12*EtalonnageTube_05062020!$H$33</f>
        <v>90.441800000000001</v>
      </c>
      <c r="K12">
        <f t="shared" si="0"/>
        <v>-97.054299999999998</v>
      </c>
      <c r="M12">
        <v>85.744333169234835</v>
      </c>
      <c r="N12">
        <f t="shared" si="2"/>
        <v>113.25566683076516</v>
      </c>
      <c r="P12">
        <f t="shared" si="1"/>
        <v>7.2301216508697003E-2</v>
      </c>
      <c r="R12" s="20"/>
      <c r="S12" s="20"/>
      <c r="U12" s="21"/>
      <c r="V12" s="21"/>
    </row>
    <row r="13" spans="1:22" x14ac:dyDescent="0.3">
      <c r="C13" s="4">
        <v>298</v>
      </c>
      <c r="D13" s="7">
        <v>95.98</v>
      </c>
      <c r="E13" s="1">
        <v>96.16</v>
      </c>
      <c r="F13" s="1">
        <v>96.41</v>
      </c>
      <c r="G13" s="3">
        <v>0.25</v>
      </c>
      <c r="H13" s="3"/>
      <c r="I13">
        <f>F13-C13*EtalonnageTube_05062020!$H$33</f>
        <v>95.873599999999996</v>
      </c>
      <c r="K13">
        <f t="shared" si="0"/>
        <v>-102.6643</v>
      </c>
      <c r="M13">
        <v>87.080137096303702</v>
      </c>
      <c r="N13">
        <f t="shared" si="2"/>
        <v>210.9198629036963</v>
      </c>
      <c r="P13">
        <f t="shared" si="1"/>
        <v>5.5617106559130193E-2</v>
      </c>
      <c r="R13" s="20"/>
      <c r="S13" s="20"/>
      <c r="U13" s="21" t="e">
        <f>((I13/1000)^2-($O$30/1000)^2)/((N13/1000)-($O$31/1000))</f>
        <v>#DIV/0!</v>
      </c>
      <c r="V13" s="21" t="e">
        <f>((N13/1000)*(I13/1000)^2-($O$31/1000)*($O$30/1000)^2)/(N13/1000-$O$31/1000)</f>
        <v>#DIV/0!</v>
      </c>
    </row>
    <row r="14" spans="1:22" x14ac:dyDescent="0.3">
      <c r="C14" s="4">
        <v>398</v>
      </c>
      <c r="D14" s="7">
        <v>101.33</v>
      </c>
      <c r="E14" s="1">
        <v>101.56</v>
      </c>
      <c r="F14" s="1">
        <v>101.89</v>
      </c>
      <c r="G14" s="3">
        <v>0.32999999999999829</v>
      </c>
      <c r="H14" s="3"/>
      <c r="I14">
        <f>F14-C14*EtalonnageTube_05062020!$H$33</f>
        <v>101.17360000000001</v>
      </c>
      <c r="K14">
        <f t="shared" si="0"/>
        <v>-108.1443</v>
      </c>
      <c r="M14">
        <v>88.33064662111849</v>
      </c>
      <c r="N14">
        <f t="shared" si="2"/>
        <v>309.66935337888151</v>
      </c>
      <c r="P14" s="31">
        <f>(I14-I13)/(N14-N13)</f>
        <v>5.3671163005462291E-2</v>
      </c>
      <c r="R14" s="20"/>
      <c r="S14" s="20"/>
      <c r="U14" s="21">
        <f>((I14/1000)^2-($O$30/1000)^2)/((N14/1000)-($O$31/1000))</f>
        <v>1.0575752390969946E-2</v>
      </c>
      <c r="V14" s="21">
        <f>((N14/1000)*(I14/1000)^2-($O$31/1000)*($O$30/1000)^2)/(N14/1000-$O$31/1000)</f>
        <v>1.2466733581366822E-2</v>
      </c>
    </row>
    <row r="15" spans="1:22" x14ac:dyDescent="0.3">
      <c r="C15" s="4">
        <v>499</v>
      </c>
      <c r="D15" s="7">
        <v>107.57</v>
      </c>
      <c r="E15" s="1">
        <v>108.01</v>
      </c>
      <c r="F15" s="1">
        <v>108.43</v>
      </c>
      <c r="G15" s="3">
        <v>0.42000000000000171</v>
      </c>
      <c r="H15" s="3"/>
      <c r="I15">
        <f>F15-C15*EtalonnageTube_05062020!$H$33</f>
        <v>107.5318</v>
      </c>
      <c r="K15">
        <f t="shared" si="0"/>
        <v>-114.68430000000001</v>
      </c>
      <c r="M15">
        <v>89.759963542837909</v>
      </c>
      <c r="N15">
        <f t="shared" si="2"/>
        <v>409.24003645716209</v>
      </c>
      <c r="P15">
        <f t="shared" si="1"/>
        <v>6.3856145237060388E-2</v>
      </c>
      <c r="R15" s="20"/>
      <c r="S15" s="20"/>
      <c r="U15" s="21">
        <f t="shared" ref="U15:U18" si="3">((I15/1000)^2-($O$30/1000)^2)/((N15/1000)-($O$31/1000))</f>
        <v>1.19571337186265E-2</v>
      </c>
      <c r="V15" s="21">
        <f t="shared" ref="V15:V19" si="4">((N15/1000)*(I15/1000)^2-($O$31/1000)*($O$30/1000)^2)/(N15/1000-$O$31/1000)</f>
        <v>1.4085085015893868E-2</v>
      </c>
    </row>
    <row r="16" spans="1:22" x14ac:dyDescent="0.3">
      <c r="C16" s="4">
        <v>597</v>
      </c>
      <c r="D16" s="7">
        <v>115.69</v>
      </c>
      <c r="E16" s="1">
        <v>116.29</v>
      </c>
      <c r="F16" s="1">
        <v>116.98</v>
      </c>
      <c r="G16" s="3">
        <v>0.68999999999999773</v>
      </c>
      <c r="H16" s="3"/>
      <c r="I16">
        <f>F16-C16*EtalonnageTube_05062020!$H$33</f>
        <v>115.9054</v>
      </c>
      <c r="K16">
        <f t="shared" si="0"/>
        <v>-123.2343</v>
      </c>
      <c r="M16">
        <v>91.536517116234961</v>
      </c>
      <c r="N16">
        <f t="shared" si="2"/>
        <v>505.46348288376504</v>
      </c>
      <c r="P16">
        <f t="shared" si="1"/>
        <v>8.7022449423355325E-2</v>
      </c>
      <c r="R16" s="20">
        <f>1/(I16*10^-3)</f>
        <v>8.6277257142462727</v>
      </c>
      <c r="S16" s="20">
        <f t="shared" ref="S16:S19" si="5">N16/1000</f>
        <v>0.50546348288376508</v>
      </c>
      <c r="U16" s="21">
        <f>((I16/1000)^2-($O$30/1000)^2)/((N16/1000)-($O$31/1000))</f>
        <v>1.4403009552497095E-2</v>
      </c>
      <c r="V16" s="21">
        <f t="shared" si="4"/>
        <v>1.6471942549373318E-2</v>
      </c>
    </row>
    <row r="17" spans="3:22" x14ac:dyDescent="0.3">
      <c r="C17" s="4">
        <v>698</v>
      </c>
      <c r="D17" s="7">
        <v>127.12</v>
      </c>
      <c r="E17" s="1">
        <v>127.94</v>
      </c>
      <c r="F17" s="1">
        <v>128.96</v>
      </c>
      <c r="G17" s="3">
        <v>1.0200000000000102</v>
      </c>
      <c r="H17" s="3"/>
      <c r="I17">
        <f>F17-C17*EtalonnageTube_05062020!$H$33</f>
        <v>127.70360000000001</v>
      </c>
      <c r="K17">
        <f t="shared" si="0"/>
        <v>-135.21430000000001</v>
      </c>
      <c r="M17">
        <v>93.873613968990924</v>
      </c>
      <c r="N17">
        <f t="shared" si="2"/>
        <v>604.12638603100913</v>
      </c>
      <c r="P17">
        <f t="shared" si="1"/>
        <v>0.11958091261912722</v>
      </c>
      <c r="R17" s="20">
        <f>1/(I17*10^-3)</f>
        <v>7.8306328090985691</v>
      </c>
      <c r="S17" s="20">
        <f t="shared" si="5"/>
        <v>0.6041263860310091</v>
      </c>
      <c r="U17" s="21">
        <f t="shared" si="3"/>
        <v>1.8098535648392148E-2</v>
      </c>
      <c r="V17" s="21">
        <f t="shared" si="4"/>
        <v>2.0125550110676533E-2</v>
      </c>
    </row>
    <row r="18" spans="3:22" x14ac:dyDescent="0.3">
      <c r="C18" s="4">
        <v>797</v>
      </c>
      <c r="D18" s="7">
        <v>142.52000000000001</v>
      </c>
      <c r="E18" s="1">
        <v>144.76</v>
      </c>
      <c r="F18" s="1">
        <v>147.71</v>
      </c>
      <c r="G18" s="3">
        <v>2.9500000000000171</v>
      </c>
      <c r="H18" s="3"/>
      <c r="I18">
        <f>F18-C18*EtalonnageTube_05062020!$H$33</f>
        <v>146.27540000000002</v>
      </c>
      <c r="K18">
        <f t="shared" si="0"/>
        <v>-153.96430000000001</v>
      </c>
      <c r="M18">
        <v>97.235550129656716</v>
      </c>
      <c r="N18">
        <f t="shared" si="2"/>
        <v>699.76444987034324</v>
      </c>
      <c r="P18">
        <f t="shared" si="1"/>
        <v>0.19418837285538798</v>
      </c>
      <c r="R18" s="20">
        <f t="shared" ref="R18:R19" si="6">1/(I18*10^-3)</f>
        <v>6.8364195209857561</v>
      </c>
      <c r="S18" s="20">
        <f t="shared" si="5"/>
        <v>0.69976444987034325</v>
      </c>
      <c r="U18" s="21">
        <f t="shared" si="3"/>
        <v>2.4966514498876349E-2</v>
      </c>
      <c r="V18" s="21">
        <f t="shared" si="4"/>
        <v>2.6662426460446156E-2</v>
      </c>
    </row>
    <row r="19" spans="3:22" x14ac:dyDescent="0.3">
      <c r="C19" s="15">
        <v>888</v>
      </c>
      <c r="D19" s="7">
        <v>231.32999999999998</v>
      </c>
      <c r="E19" s="1">
        <v>239.76999999999998</v>
      </c>
      <c r="F19" s="1">
        <v>240.79000000000002</v>
      </c>
      <c r="G19" s="3">
        <v>1.0200000000000387</v>
      </c>
      <c r="H19" s="3"/>
      <c r="I19">
        <f>F19-C19*EtalonnageTube_05062020!$H$33</f>
        <v>239.19160000000002</v>
      </c>
      <c r="K19">
        <f t="shared" si="0"/>
        <v>-247.04430000000002</v>
      </c>
      <c r="M19">
        <v>110.49658810044012</v>
      </c>
      <c r="N19">
        <f t="shared" si="2"/>
        <v>777.50341189955986</v>
      </c>
      <c r="P19">
        <f t="shared" si="1"/>
        <v>1.195233349849453</v>
      </c>
      <c r="R19" s="20">
        <f t="shared" si="6"/>
        <v>4.1807488222830562</v>
      </c>
      <c r="S19" s="20">
        <f t="shared" si="5"/>
        <v>0.77750341189955985</v>
      </c>
      <c r="U19" s="21">
        <f>((I19/1000)^2-($O$30/1000)^2)/((N19/1000)-($O$31/1000))</f>
        <v>8.4755151148856622E-2</v>
      </c>
      <c r="V19" s="21">
        <f t="shared" si="4"/>
        <v>7.5089166371258911E-2</v>
      </c>
    </row>
    <row r="20" spans="3:22" x14ac:dyDescent="0.3">
      <c r="C20" s="15"/>
      <c r="D20" s="7"/>
      <c r="E20" s="7"/>
      <c r="F20" s="7"/>
      <c r="G20" s="3"/>
      <c r="H20" s="3"/>
      <c r="R20" s="20"/>
      <c r="S20" s="20"/>
      <c r="U20" s="21"/>
      <c r="V20" s="21"/>
    </row>
    <row r="21" spans="3:22" x14ac:dyDescent="0.3">
      <c r="C21" s="15"/>
      <c r="D21" s="7"/>
      <c r="E21" s="7"/>
      <c r="F21" s="7"/>
      <c r="G21" s="3"/>
      <c r="R21" s="20"/>
      <c r="S21" s="20"/>
      <c r="U21" s="21"/>
      <c r="V21" s="21"/>
    </row>
    <row r="22" spans="3:22" x14ac:dyDescent="0.3">
      <c r="C22" s="15"/>
      <c r="D22" s="7"/>
      <c r="E22" s="7"/>
      <c r="F22" s="7"/>
      <c r="G22" s="3"/>
      <c r="R22" s="20"/>
      <c r="S22" s="20"/>
      <c r="U22" s="21"/>
      <c r="V22" s="21"/>
    </row>
    <row r="23" spans="3:22" x14ac:dyDescent="0.3">
      <c r="R23" s="32"/>
      <c r="S23" s="20"/>
      <c r="U23" s="21"/>
      <c r="V23" s="21"/>
    </row>
    <row r="24" spans="3:22" x14ac:dyDescent="0.3">
      <c r="H24" s="3"/>
      <c r="R24" s="32" t="s">
        <v>32</v>
      </c>
      <c r="S24" s="20">
        <v>-15.417999999999999</v>
      </c>
      <c r="U24" s="33" t="s">
        <v>34</v>
      </c>
      <c r="V24" s="21">
        <v>1.1953</v>
      </c>
    </row>
    <row r="25" spans="3:22" x14ac:dyDescent="0.3">
      <c r="H25" s="3"/>
      <c r="R25" s="32" t="s">
        <v>33</v>
      </c>
      <c r="S25" s="20">
        <v>16.84</v>
      </c>
      <c r="U25" s="33" t="s">
        <v>35</v>
      </c>
      <c r="V25" s="21">
        <v>5.4000000000000003E-3</v>
      </c>
    </row>
    <row r="26" spans="3:22" x14ac:dyDescent="0.3">
      <c r="H26" s="3"/>
      <c r="R26" s="32" t="s">
        <v>54</v>
      </c>
      <c r="S26" s="20">
        <f>-S25/S24+1/(S24+(J28+2*O30)*10^-3)</f>
        <v>1.0265121488053588</v>
      </c>
      <c r="U26" s="33" t="s">
        <v>56</v>
      </c>
      <c r="V26" s="21">
        <f>(O31/1000*(O30/1000)^2+V25+V24*((O38/1000)^2-(O30/1000)^2))/((O38/1000)^2+V25)</f>
        <v>0.95305550893539837</v>
      </c>
    </row>
    <row r="27" spans="3:22" x14ac:dyDescent="0.3">
      <c r="H27" s="3"/>
      <c r="U27" s="21" t="s">
        <v>57</v>
      </c>
      <c r="V27">
        <f>(S26-V26)/V26</f>
        <v>7.7074880929038928E-2</v>
      </c>
    </row>
    <row r="28" spans="3:22" x14ac:dyDescent="0.3">
      <c r="H28" s="3"/>
      <c r="I28" s="22" t="s">
        <v>11</v>
      </c>
      <c r="J28" s="22">
        <v>9.6549674895734654</v>
      </c>
      <c r="K28" s="22" t="s">
        <v>9</v>
      </c>
      <c r="L28" s="22"/>
      <c r="M28" s="22" t="s">
        <v>37</v>
      </c>
      <c r="N28" s="22"/>
      <c r="O28" s="22">
        <f xml:space="preserve"> P14</f>
        <v>5.3671163005462291E-2</v>
      </c>
    </row>
    <row r="29" spans="3:22" x14ac:dyDescent="0.3">
      <c r="I29" s="22"/>
      <c r="J29" s="22"/>
      <c r="K29" s="22"/>
      <c r="L29" s="22"/>
      <c r="M29" s="22" t="s">
        <v>55</v>
      </c>
      <c r="N29" s="22"/>
      <c r="O29" s="22"/>
      <c r="R29" s="29" t="s">
        <v>58</v>
      </c>
      <c r="S29" s="26">
        <f>MIN(S26,V26)*1000</f>
        <v>953.05550893539839</v>
      </c>
      <c r="T29" s="26" t="s">
        <v>30</v>
      </c>
    </row>
    <row r="30" spans="3:22" x14ac:dyDescent="0.3">
      <c r="I30" s="27" t="s">
        <v>25</v>
      </c>
      <c r="J30" s="24">
        <v>0.33</v>
      </c>
      <c r="K30" s="22"/>
      <c r="L30" s="22"/>
      <c r="M30" s="22" t="s">
        <v>38</v>
      </c>
      <c r="N30" s="22"/>
      <c r="O30" s="22">
        <f>I13</f>
        <v>95.873599999999996</v>
      </c>
      <c r="R30" s="29" t="s">
        <v>61</v>
      </c>
      <c r="S30" s="26">
        <f>J38/S29</f>
        <v>4.8504156392942566</v>
      </c>
      <c r="T30" s="26"/>
    </row>
    <row r="31" spans="3:22" x14ac:dyDescent="0.3">
      <c r="I31" s="22"/>
      <c r="J31" s="22"/>
      <c r="K31" s="22"/>
      <c r="L31" s="22"/>
      <c r="M31" s="22" t="s">
        <v>39</v>
      </c>
      <c r="N31" s="22"/>
      <c r="O31" s="22">
        <f>N13</f>
        <v>210.9198629036963</v>
      </c>
    </row>
    <row r="32" spans="3:22" x14ac:dyDescent="0.3">
      <c r="I32" s="22" t="s">
        <v>26</v>
      </c>
      <c r="J32" s="22">
        <f>I12</f>
        <v>90.441800000000001</v>
      </c>
      <c r="K32" s="22"/>
      <c r="L32" s="22"/>
      <c r="M32" s="22" t="s">
        <v>45</v>
      </c>
      <c r="N32" s="22"/>
      <c r="O32" s="22"/>
    </row>
    <row r="33" spans="8:20" x14ac:dyDescent="0.3">
      <c r="I33" s="22" t="s">
        <v>27</v>
      </c>
      <c r="J33" s="22">
        <f>I16</f>
        <v>115.9054</v>
      </c>
      <c r="K33" s="22"/>
      <c r="L33" s="22"/>
      <c r="M33" s="25" t="s">
        <v>40</v>
      </c>
      <c r="N33" s="25"/>
      <c r="O33" s="22">
        <f>1+0.01*(N14+N13)/(N14-N13)+3/(I14-I13)</f>
        <v>1.6187559031811083</v>
      </c>
    </row>
    <row r="34" spans="8:20" x14ac:dyDescent="0.3">
      <c r="I34" s="22" t="s">
        <v>28</v>
      </c>
      <c r="J34" s="22">
        <f>N12</f>
        <v>113.25566683076516</v>
      </c>
      <c r="K34" s="22"/>
      <c r="L34" s="22"/>
      <c r="M34" s="22"/>
      <c r="N34" s="22"/>
      <c r="O34" s="22"/>
    </row>
    <row r="35" spans="8:20" x14ac:dyDescent="0.3">
      <c r="I35" s="22" t="s">
        <v>29</v>
      </c>
      <c r="J35" s="22">
        <f>N16</f>
        <v>505.46348288376504</v>
      </c>
      <c r="K35" s="22"/>
      <c r="L35" s="22"/>
      <c r="M35" s="25" t="s">
        <v>43</v>
      </c>
      <c r="N35" s="25"/>
      <c r="O35" s="22">
        <f>O33*O28</f>
        <v>8.6880511945687591E-2</v>
      </c>
      <c r="R35" s="30" t="s">
        <v>63</v>
      </c>
      <c r="S35" s="45">
        <v>480</v>
      </c>
      <c r="T35" s="28" t="s">
        <v>30</v>
      </c>
    </row>
    <row r="36" spans="8:20" x14ac:dyDescent="0.3">
      <c r="I36" s="22"/>
      <c r="J36" s="22"/>
      <c r="K36" s="22"/>
      <c r="L36" s="22"/>
      <c r="M36" s="22"/>
      <c r="N36" s="22"/>
      <c r="O36" s="22"/>
    </row>
    <row r="37" spans="8:20" x14ac:dyDescent="0.3">
      <c r="I37" s="22"/>
      <c r="J37" s="22"/>
      <c r="K37" s="22"/>
      <c r="L37" s="22"/>
      <c r="M37" s="22"/>
      <c r="N37" s="22"/>
      <c r="O37" s="22"/>
    </row>
    <row r="38" spans="8:20" x14ac:dyDescent="0.3">
      <c r="I38" s="22" t="s">
        <v>59</v>
      </c>
      <c r="J38" s="22">
        <f>2*(1+J30)*(J28+(J32+J33)/2)*((J35-J34)/(J33-J32))</f>
        <v>4622.7153456558035</v>
      </c>
      <c r="K38" s="22" t="s">
        <v>30</v>
      </c>
      <c r="L38" s="22"/>
      <c r="M38" s="22" t="s">
        <v>44</v>
      </c>
      <c r="N38" s="22"/>
      <c r="O38" s="22">
        <f>J28+2*J32</f>
        <v>190.53856748957347</v>
      </c>
    </row>
    <row r="39" spans="8:20" x14ac:dyDescent="0.3">
      <c r="I39" s="22" t="s">
        <v>59</v>
      </c>
      <c r="J39" s="22">
        <f>J38/1000</f>
        <v>4.6227153456558039</v>
      </c>
      <c r="K39" s="22" t="s">
        <v>60</v>
      </c>
    </row>
    <row r="44" spans="8:20" x14ac:dyDescent="0.3">
      <c r="H44" t="s">
        <v>65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D50D6-ABBE-4C98-A958-5ADA09CAA287}">
  <dimension ref="A1:I33"/>
  <sheetViews>
    <sheetView workbookViewId="0">
      <selection activeCell="G33" sqref="G33:I33"/>
    </sheetView>
  </sheetViews>
  <sheetFormatPr baseColWidth="10" defaultRowHeight="14.4" x14ac:dyDescent="0.3"/>
  <sheetData>
    <row r="1" spans="1:8" x14ac:dyDescent="0.3">
      <c r="A1" t="s">
        <v>66</v>
      </c>
    </row>
    <row r="2" spans="1:8" ht="15" thickBot="1" x14ac:dyDescent="0.35">
      <c r="C2" s="1" t="s">
        <v>0</v>
      </c>
      <c r="D2" s="2" t="s">
        <v>1</v>
      </c>
      <c r="E2" s="2" t="s">
        <v>2</v>
      </c>
      <c r="F2" s="2" t="s">
        <v>3</v>
      </c>
      <c r="G2" s="3"/>
      <c r="H2" s="3" t="s">
        <v>4</v>
      </c>
    </row>
    <row r="3" spans="1:8" x14ac:dyDescent="0.3">
      <c r="C3" s="4">
        <v>10</v>
      </c>
      <c r="D3" s="5">
        <v>1.34</v>
      </c>
      <c r="E3" s="6">
        <v>1.46</v>
      </c>
      <c r="F3" s="6">
        <v>1.56</v>
      </c>
      <c r="G3" s="3"/>
      <c r="H3" s="3"/>
    </row>
    <row r="4" spans="1:8" x14ac:dyDescent="0.3">
      <c r="C4" s="4">
        <v>20</v>
      </c>
      <c r="D4" s="7">
        <v>3.67</v>
      </c>
      <c r="E4" s="1">
        <v>3.75</v>
      </c>
      <c r="F4" s="1">
        <v>3.93</v>
      </c>
      <c r="G4" s="3"/>
      <c r="H4" s="3"/>
    </row>
    <row r="5" spans="1:8" x14ac:dyDescent="0.3">
      <c r="C5" s="4">
        <v>29</v>
      </c>
      <c r="D5" s="7">
        <v>6.33</v>
      </c>
      <c r="E5" s="1">
        <v>6.58</v>
      </c>
      <c r="F5" s="1">
        <v>6.79</v>
      </c>
      <c r="G5" s="3"/>
      <c r="H5" s="3"/>
    </row>
    <row r="6" spans="1:8" x14ac:dyDescent="0.3">
      <c r="C6" s="4">
        <v>49</v>
      </c>
      <c r="D6" s="7">
        <v>13.48</v>
      </c>
      <c r="E6" s="1">
        <v>13.82</v>
      </c>
      <c r="F6" s="1">
        <v>14.26</v>
      </c>
      <c r="G6" s="3"/>
      <c r="H6" s="3"/>
    </row>
    <row r="7" spans="1:8" x14ac:dyDescent="0.3">
      <c r="C7" s="4">
        <v>72</v>
      </c>
      <c r="D7" s="7">
        <v>26.47</v>
      </c>
      <c r="E7" s="1">
        <v>27.31</v>
      </c>
      <c r="F7" s="1">
        <v>28.72</v>
      </c>
      <c r="G7" s="3"/>
      <c r="H7" s="3"/>
    </row>
    <row r="8" spans="1:8" x14ac:dyDescent="0.3">
      <c r="C8" s="4">
        <v>93</v>
      </c>
      <c r="D8" s="7">
        <v>51.62</v>
      </c>
      <c r="E8" s="1">
        <v>52.62</v>
      </c>
      <c r="F8" s="1">
        <v>54.68</v>
      </c>
      <c r="G8" s="3"/>
      <c r="H8" s="3"/>
    </row>
    <row r="9" spans="1:8" x14ac:dyDescent="0.3">
      <c r="C9" s="4">
        <v>200</v>
      </c>
      <c r="D9" s="7">
        <v>77.150000000000006</v>
      </c>
      <c r="E9" s="1">
        <v>77.17</v>
      </c>
      <c r="F9" s="1">
        <v>77.17</v>
      </c>
      <c r="G9" s="3"/>
      <c r="H9" s="3"/>
    </row>
    <row r="10" spans="1:8" x14ac:dyDescent="0.3">
      <c r="C10" s="4">
        <v>300</v>
      </c>
      <c r="D10" s="7">
        <v>77.430000000000007</v>
      </c>
      <c r="E10" s="1">
        <v>77.44</v>
      </c>
      <c r="F10" s="1">
        <v>77.45</v>
      </c>
      <c r="G10" s="3"/>
      <c r="H10" s="3"/>
    </row>
    <row r="11" spans="1:8" x14ac:dyDescent="0.3">
      <c r="C11" s="4">
        <v>400</v>
      </c>
      <c r="D11" s="7">
        <v>77.62</v>
      </c>
      <c r="E11" s="1">
        <v>77.63</v>
      </c>
      <c r="F11" s="1">
        <v>77.64</v>
      </c>
      <c r="G11" s="3"/>
      <c r="H11" s="3"/>
    </row>
    <row r="12" spans="1:8" x14ac:dyDescent="0.3">
      <c r="C12" s="4">
        <v>500</v>
      </c>
      <c r="D12" s="7">
        <v>77.78</v>
      </c>
      <c r="E12" s="1">
        <v>77.790000000000006</v>
      </c>
      <c r="F12" s="1">
        <v>77.81</v>
      </c>
      <c r="G12" s="3"/>
      <c r="H12" s="3"/>
    </row>
    <row r="13" spans="1:8" x14ac:dyDescent="0.3">
      <c r="C13" s="4">
        <v>600</v>
      </c>
      <c r="D13" s="7">
        <v>77.930000000000007</v>
      </c>
      <c r="E13" s="1">
        <v>77.94</v>
      </c>
      <c r="F13" s="1">
        <v>77.95</v>
      </c>
      <c r="G13" s="3"/>
      <c r="H13" s="3"/>
    </row>
    <row r="14" spans="1:8" x14ac:dyDescent="0.3">
      <c r="C14" s="4">
        <v>700</v>
      </c>
      <c r="D14" s="7">
        <v>78.069999999999993</v>
      </c>
      <c r="E14" s="1">
        <v>78.08</v>
      </c>
      <c r="F14" s="1">
        <v>78.099999999999994</v>
      </c>
      <c r="G14" s="3"/>
      <c r="H14" s="3"/>
    </row>
    <row r="15" spans="1:8" x14ac:dyDescent="0.3">
      <c r="C15" s="4">
        <v>800</v>
      </c>
      <c r="D15" s="7">
        <v>78.209999999999994</v>
      </c>
      <c r="E15" s="1">
        <v>78.23</v>
      </c>
      <c r="F15" s="1">
        <v>78.239999999999995</v>
      </c>
      <c r="G15" s="3"/>
      <c r="H15" s="3"/>
    </row>
    <row r="16" spans="1:8" x14ac:dyDescent="0.3">
      <c r="C16" s="4">
        <v>900</v>
      </c>
      <c r="D16" s="7">
        <v>78.319999999999993</v>
      </c>
      <c r="E16" s="1">
        <v>78.33</v>
      </c>
      <c r="F16" s="1">
        <v>78.34</v>
      </c>
      <c r="G16" s="3"/>
      <c r="H16" s="3"/>
    </row>
    <row r="17" spans="3:8" x14ac:dyDescent="0.3">
      <c r="C17" s="4">
        <v>1000</v>
      </c>
      <c r="D17" s="7">
        <v>78.41</v>
      </c>
      <c r="E17" s="1">
        <v>78.42</v>
      </c>
      <c r="F17" s="1">
        <v>78.430000000000007</v>
      </c>
      <c r="G17" s="3"/>
      <c r="H17" s="3"/>
    </row>
    <row r="18" spans="3:8" x14ac:dyDescent="0.3">
      <c r="C18" s="4"/>
      <c r="D18" s="7"/>
      <c r="E18" s="1"/>
      <c r="F18" s="1"/>
      <c r="G18" s="3"/>
      <c r="H18" s="3"/>
    </row>
    <row r="19" spans="3:8" x14ac:dyDescent="0.3">
      <c r="C19" s="4"/>
      <c r="D19" s="7"/>
      <c r="E19" s="1"/>
      <c r="F19" s="1"/>
      <c r="G19" s="3"/>
      <c r="H19" s="3"/>
    </row>
    <row r="20" spans="3:8" x14ac:dyDescent="0.3">
      <c r="C20" s="4"/>
      <c r="D20" s="7"/>
      <c r="E20" s="1"/>
      <c r="F20" s="1"/>
      <c r="G20" s="3"/>
      <c r="H20" s="3"/>
    </row>
    <row r="21" spans="3:8" x14ac:dyDescent="0.3">
      <c r="C21" s="4"/>
      <c r="D21" s="7"/>
      <c r="E21" s="1"/>
      <c r="F21" s="1"/>
      <c r="G21" s="3"/>
      <c r="H21" s="3"/>
    </row>
    <row r="22" spans="3:8" x14ac:dyDescent="0.3">
      <c r="C22" s="4"/>
      <c r="D22" s="7"/>
      <c r="E22" s="1"/>
      <c r="F22" s="1"/>
      <c r="G22" s="3"/>
      <c r="H22" s="3"/>
    </row>
    <row r="23" spans="3:8" x14ac:dyDescent="0.3">
      <c r="C23" s="4"/>
      <c r="D23" s="7"/>
      <c r="E23" s="1"/>
      <c r="F23" s="1"/>
      <c r="G23" s="3"/>
      <c r="H23" s="3"/>
    </row>
    <row r="28" spans="3:8" x14ac:dyDescent="0.3">
      <c r="C28" t="s">
        <v>7</v>
      </c>
    </row>
    <row r="30" spans="3:8" x14ac:dyDescent="0.3">
      <c r="C30" s="8" t="s">
        <v>8</v>
      </c>
      <c r="D30" s="9">
        <f>(PI()/4)*1.97*1.97*30.3</f>
        <v>92.355967489573459</v>
      </c>
      <c r="E30" t="s">
        <v>9</v>
      </c>
      <c r="F30" s="3"/>
    </row>
    <row r="31" spans="3:8" x14ac:dyDescent="0.3">
      <c r="C31" s="8" t="s">
        <v>10</v>
      </c>
      <c r="D31">
        <v>77.081999999999994</v>
      </c>
      <c r="E31" t="s">
        <v>9</v>
      </c>
      <c r="F31" s="3"/>
    </row>
    <row r="32" spans="3:8" x14ac:dyDescent="0.3">
      <c r="C32" s="8"/>
    </row>
    <row r="33" spans="3:9" x14ac:dyDescent="0.3">
      <c r="C33" s="10" t="s">
        <v>11</v>
      </c>
      <c r="D33" s="11">
        <f>D30-D31</f>
        <v>15.273967489573465</v>
      </c>
      <c r="E33" t="s">
        <v>9</v>
      </c>
      <c r="F33" s="3"/>
      <c r="G33" s="40" t="s">
        <v>67</v>
      </c>
      <c r="H33" s="42">
        <v>1.4E-3</v>
      </c>
      <c r="I33" t="s">
        <v>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EtalonnageTube2_09032020</vt:lpstr>
      <vt:lpstr>EtalonnageAir_10032020</vt:lpstr>
      <vt:lpstr>Cuve2%_06032020</vt:lpstr>
      <vt:lpstr>Cuve2%_1_09032020</vt:lpstr>
      <vt:lpstr>Cuve2%_2_09032020</vt:lpstr>
      <vt:lpstr>Cuve2%_11032020</vt:lpstr>
      <vt:lpstr>Cuve2%_04062020 (2)</vt:lpstr>
      <vt:lpstr>Cuve2%_05062020 (2)</vt:lpstr>
      <vt:lpstr>EtalonnageTube_04062020</vt:lpstr>
      <vt:lpstr>EtalonnageAir_04062020</vt:lpstr>
      <vt:lpstr>Cuve2%_04062020</vt:lpstr>
      <vt:lpstr>EtalonnageTube_05062020</vt:lpstr>
      <vt:lpstr>Cuve2%_05062020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wasserma2</dc:creator>
  <cp:lastModifiedBy>Paul Wassermann</cp:lastModifiedBy>
  <dcterms:created xsi:type="dcterms:W3CDTF">2020-04-19T08:21:58Z</dcterms:created>
  <dcterms:modified xsi:type="dcterms:W3CDTF">2020-08-04T09:06:30Z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d909eab2-fdb9-40f1-a6c0-8003fc58a69f</vt:lpwstr>
  </property>
</Properties>
</file>