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w379\Box Sync\_New_projects\G7 RECC priv\___JIE SI\"/>
    </mc:Choice>
  </mc:AlternateContent>
  <xr:revisionPtr revIDLastSave="0" documentId="13_ncr:1_{75343CB1-D1FD-43D7-AC95-9F0654A9C571}" xr6:coauthVersionLast="45" xr6:coauthVersionMax="45" xr10:uidLastSave="{00000000-0000-0000-0000-000000000000}"/>
  <bookViews>
    <workbookView xWindow="38280" yWindow="-120" windowWidth="29040" windowHeight="15840" tabRatio="870" xr2:uid="{00000000-000D-0000-FFFF-FFFF00000000}"/>
  </bookViews>
  <sheets>
    <sheet name="Info" sheetId="65" r:id="rId1"/>
    <sheet name="Arch" sheetId="37" r:id="rId2"/>
    <sheet name="Mat_com" sheetId="31" r:id="rId3"/>
    <sheet name="Mat_com_%" sheetId="32" r:id="rId4"/>
    <sheet name="Rec" sheetId="55" r:id="rId5"/>
    <sheet name="Reu" sheetId="21" r:id="rId6"/>
    <sheet name="Comp" sheetId="67" r:id="rId7"/>
    <sheet name="Comp_coef" sheetId="66" r:id="rId8"/>
    <sheet name="Mat_EF_rec_%" sheetId="53" r:id="rId9"/>
    <sheet name="Mat_EF_rec" sheetId="54" r:id="rId10"/>
    <sheet name="Mat_EF" sheetId="26" r:id="rId11"/>
    <sheet name="En_EF" sheetId="6" r:id="rId12"/>
    <sheet name="Use_en" sheetId="9" r:id="rId13"/>
    <sheet name="Reu_en" sheetId="63" r:id="rId14"/>
    <sheet name="Ass_en" sheetId="64" r:id="rId15"/>
    <sheet name="GREET_kg" sheetId="30" r:id="rId16"/>
    <sheet name="Batt_kWh" sheetId="36" r:id="rId17"/>
    <sheet name="Ass_kWh" sheetId="29" r:id="rId18"/>
    <sheet name="Ass_MJ" sheetId="28" r:id="rId19"/>
    <sheet name="Ass_EF" sheetId="1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1" i="67" l="1"/>
  <c r="K29" i="67"/>
  <c r="K30" i="67"/>
  <c r="K31" i="67"/>
  <c r="K32" i="67"/>
  <c r="K33" i="67"/>
  <c r="K34" i="67"/>
  <c r="K35" i="67"/>
  <c r="K36" i="67"/>
  <c r="K37" i="67"/>
  <c r="K38" i="67"/>
  <c r="K39" i="67"/>
  <c r="K40" i="67"/>
  <c r="K41" i="67"/>
  <c r="K42" i="67"/>
  <c r="K43" i="67"/>
  <c r="K44" i="67"/>
  <c r="K45" i="67"/>
  <c r="K46" i="67"/>
  <c r="K47" i="67"/>
  <c r="K48" i="67"/>
  <c r="K49" i="67"/>
  <c r="K50" i="67"/>
  <c r="K28" i="67"/>
  <c r="A51" i="67"/>
  <c r="A50" i="67"/>
  <c r="A49" i="67"/>
  <c r="A48" i="67"/>
  <c r="A47" i="67"/>
  <c r="A46" i="67"/>
  <c r="A45" i="67"/>
  <c r="A44" i="67"/>
  <c r="A43" i="67"/>
  <c r="A42" i="67"/>
  <c r="A41" i="67"/>
  <c r="A40" i="67"/>
  <c r="A39" i="67"/>
  <c r="A38" i="67"/>
  <c r="A37" i="67"/>
  <c r="A36" i="67"/>
  <c r="A35" i="67"/>
  <c r="A34" i="67"/>
  <c r="A33" i="67"/>
  <c r="A32" i="67"/>
  <c r="A31" i="67"/>
  <c r="A30" i="67"/>
  <c r="A29" i="67"/>
  <c r="A28" i="67"/>
  <c r="J5" i="67"/>
  <c r="J6" i="67"/>
  <c r="J7" i="67"/>
  <c r="J8" i="67"/>
  <c r="J9" i="67"/>
  <c r="J10" i="67"/>
  <c r="J11" i="67"/>
  <c r="J12" i="67"/>
  <c r="J13" i="67"/>
  <c r="J14" i="67"/>
  <c r="J15" i="67"/>
  <c r="J16" i="67"/>
  <c r="J17" i="67"/>
  <c r="J18" i="67"/>
  <c r="J19" i="67"/>
  <c r="J20" i="67"/>
  <c r="J21" i="67"/>
  <c r="J22" i="67"/>
  <c r="J23" i="67"/>
  <c r="J24" i="67"/>
  <c r="J25" i="67"/>
  <c r="J26" i="67"/>
  <c r="J27" i="67"/>
  <c r="J4" i="67"/>
  <c r="H5" i="67"/>
  <c r="I5" i="67"/>
  <c r="H6" i="67"/>
  <c r="I6" i="67"/>
  <c r="H7" i="67"/>
  <c r="I7" i="67"/>
  <c r="H8" i="67"/>
  <c r="I8" i="67"/>
  <c r="H9" i="67"/>
  <c r="I9" i="67"/>
  <c r="H10" i="67"/>
  <c r="I10" i="67"/>
  <c r="H11" i="67"/>
  <c r="I11" i="67"/>
  <c r="H12" i="67"/>
  <c r="I12" i="67"/>
  <c r="H13" i="67"/>
  <c r="I13" i="67"/>
  <c r="H14" i="67"/>
  <c r="I14" i="67"/>
  <c r="H15" i="67"/>
  <c r="I15" i="67"/>
  <c r="H16" i="67"/>
  <c r="I16" i="67"/>
  <c r="H17" i="67"/>
  <c r="I17" i="67"/>
  <c r="H18" i="67"/>
  <c r="I18" i="67"/>
  <c r="H19" i="67"/>
  <c r="I19" i="67"/>
  <c r="H20" i="67"/>
  <c r="I20" i="67"/>
  <c r="H21" i="67"/>
  <c r="I21" i="67"/>
  <c r="H22" i="67"/>
  <c r="I22" i="67"/>
  <c r="H23" i="67"/>
  <c r="I23" i="67"/>
  <c r="H24" i="67"/>
  <c r="I24" i="67"/>
  <c r="H25" i="67"/>
  <c r="I25" i="67"/>
  <c r="H26" i="67"/>
  <c r="I26" i="67"/>
  <c r="H27" i="67"/>
  <c r="I27" i="67"/>
  <c r="I4" i="67"/>
  <c r="K5" i="67"/>
  <c r="K6" i="67"/>
  <c r="K7" i="67"/>
  <c r="K8" i="67"/>
  <c r="K9" i="67"/>
  <c r="K10" i="67"/>
  <c r="K11" i="67"/>
  <c r="K12" i="67"/>
  <c r="K13" i="67"/>
  <c r="K14" i="67"/>
  <c r="K15" i="67"/>
  <c r="K16" i="67"/>
  <c r="K17" i="67"/>
  <c r="K18" i="67"/>
  <c r="K19" i="67"/>
  <c r="K20" i="67"/>
  <c r="K21" i="67"/>
  <c r="K22" i="67"/>
  <c r="K23" i="67"/>
  <c r="K24" i="67"/>
  <c r="K25" i="67"/>
  <c r="K26" i="67"/>
  <c r="K27" i="67"/>
  <c r="K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18" i="67"/>
  <c r="G19" i="67"/>
  <c r="G20" i="67"/>
  <c r="G21" i="67"/>
  <c r="G22" i="67"/>
  <c r="G23" i="67"/>
  <c r="G24" i="67"/>
  <c r="G25" i="67"/>
  <c r="G26" i="67"/>
  <c r="G27" i="67"/>
  <c r="G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4" i="67"/>
  <c r="E5" i="67"/>
  <c r="E6" i="67"/>
  <c r="E7" i="67"/>
  <c r="E8" i="67"/>
  <c r="E9" i="67"/>
  <c r="E10" i="67"/>
  <c r="E11" i="67"/>
  <c r="E12" i="67"/>
  <c r="E13" i="67"/>
  <c r="E14" i="67"/>
  <c r="E15" i="67"/>
  <c r="E16" i="67"/>
  <c r="E17" i="67"/>
  <c r="E18" i="67"/>
  <c r="E19" i="67"/>
  <c r="E20" i="67"/>
  <c r="E21" i="67"/>
  <c r="E22" i="67"/>
  <c r="E23" i="67"/>
  <c r="E24" i="67"/>
  <c r="E25" i="67"/>
  <c r="E26" i="67"/>
  <c r="E27" i="67"/>
  <c r="E4" i="67"/>
  <c r="D5" i="67"/>
  <c r="D6" i="67"/>
  <c r="D7" i="67"/>
  <c r="D8" i="67"/>
  <c r="D9" i="67"/>
  <c r="D10" i="67"/>
  <c r="D11" i="67"/>
  <c r="D12" i="67"/>
  <c r="D13" i="67"/>
  <c r="D14" i="67"/>
  <c r="D15" i="67"/>
  <c r="D16" i="67"/>
  <c r="D17" i="67"/>
  <c r="D18" i="67"/>
  <c r="D19" i="67"/>
  <c r="D20" i="67"/>
  <c r="D21" i="67"/>
  <c r="D22" i="67"/>
  <c r="D23" i="67"/>
  <c r="D24" i="67"/>
  <c r="D25" i="67"/>
  <c r="D26" i="67"/>
  <c r="D27" i="67"/>
  <c r="D4" i="67"/>
  <c r="C5" i="67"/>
  <c r="C6" i="67"/>
  <c r="C7" i="67"/>
  <c r="C8" i="67"/>
  <c r="C9" i="67"/>
  <c r="C10" i="67"/>
  <c r="C11" i="67"/>
  <c r="C12" i="67"/>
  <c r="C13" i="67"/>
  <c r="C14" i="67"/>
  <c r="C15" i="67"/>
  <c r="C16" i="67"/>
  <c r="C17" i="67"/>
  <c r="C18" i="67"/>
  <c r="C19" i="67"/>
  <c r="C20" i="67"/>
  <c r="C21" i="67"/>
  <c r="C22" i="67"/>
  <c r="C23" i="67"/>
  <c r="C24" i="67"/>
  <c r="C25" i="67"/>
  <c r="C26" i="67"/>
  <c r="C27" i="67"/>
  <c r="C4" i="67"/>
  <c r="B5" i="67"/>
  <c r="B6" i="67"/>
  <c r="B7" i="67"/>
  <c r="B8" i="67"/>
  <c r="B9" i="67"/>
  <c r="B10" i="67"/>
  <c r="B11" i="67"/>
  <c r="B12" i="67"/>
  <c r="B13" i="67"/>
  <c r="B14" i="67"/>
  <c r="B15" i="67"/>
  <c r="B16" i="67"/>
  <c r="B17" i="67"/>
  <c r="B18" i="67"/>
  <c r="B19" i="67"/>
  <c r="B20" i="67"/>
  <c r="B21" i="67"/>
  <c r="B22" i="67"/>
  <c r="B23" i="67"/>
  <c r="B24" i="67"/>
  <c r="B25" i="67"/>
  <c r="B26" i="67"/>
  <c r="B27" i="67"/>
  <c r="B4" i="67"/>
  <c r="A27" i="67"/>
  <c r="A26" i="67"/>
  <c r="A25" i="67"/>
  <c r="A24" i="67"/>
  <c r="A23" i="67"/>
  <c r="A22" i="67"/>
  <c r="A21" i="67"/>
  <c r="A20" i="67"/>
  <c r="A19" i="67"/>
  <c r="A18" i="67"/>
  <c r="A17" i="67"/>
  <c r="A16" i="67"/>
  <c r="A15" i="67"/>
  <c r="A14" i="67"/>
  <c r="A13" i="67"/>
  <c r="A12" i="67"/>
  <c r="A11" i="67"/>
  <c r="A10" i="67"/>
  <c r="A9" i="67"/>
  <c r="A8" i="67"/>
  <c r="A7" i="67"/>
  <c r="A6" i="67"/>
  <c r="A5" i="67"/>
  <c r="A4" i="67"/>
  <c r="E10" i="54" l="1"/>
  <c r="F5" i="26"/>
  <c r="F6" i="26"/>
  <c r="F7" i="26"/>
  <c r="F8" i="26"/>
  <c r="F9" i="26"/>
  <c r="F10" i="26"/>
  <c r="F11" i="26"/>
  <c r="F4" i="26"/>
  <c r="B5" i="63"/>
  <c r="C5" i="63"/>
  <c r="D5" i="63"/>
  <c r="E5" i="63"/>
  <c r="F5" i="63"/>
  <c r="G5" i="63"/>
  <c r="B6" i="63"/>
  <c r="C6" i="63"/>
  <c r="D6" i="63"/>
  <c r="E6" i="63"/>
  <c r="F6" i="63"/>
  <c r="G6" i="63"/>
  <c r="B7" i="63"/>
  <c r="C7" i="63"/>
  <c r="D7" i="63"/>
  <c r="E7" i="63"/>
  <c r="F7" i="63"/>
  <c r="G7" i="63"/>
  <c r="B8" i="63"/>
  <c r="C8" i="63"/>
  <c r="D8" i="63"/>
  <c r="E8" i="63"/>
  <c r="F8" i="63"/>
  <c r="G8" i="63"/>
  <c r="B9" i="63"/>
  <c r="C9" i="63"/>
  <c r="D9" i="63"/>
  <c r="E9" i="63"/>
  <c r="F9" i="63"/>
  <c r="G9" i="63"/>
  <c r="B10" i="63"/>
  <c r="C10" i="63"/>
  <c r="D10" i="63"/>
  <c r="E10" i="63"/>
  <c r="F10" i="63"/>
  <c r="G10" i="63"/>
  <c r="B11" i="63"/>
  <c r="C11" i="63"/>
  <c r="D11" i="63"/>
  <c r="E11" i="63"/>
  <c r="F11" i="63"/>
  <c r="G11" i="63"/>
  <c r="B12" i="63"/>
  <c r="C12" i="63"/>
  <c r="D12" i="63"/>
  <c r="E12" i="63"/>
  <c r="F12" i="63"/>
  <c r="G12" i="63"/>
  <c r="B13" i="63"/>
  <c r="C13" i="63"/>
  <c r="D13" i="63"/>
  <c r="E13" i="63"/>
  <c r="F13" i="63"/>
  <c r="G13" i="63"/>
  <c r="B14" i="63"/>
  <c r="C14" i="63"/>
  <c r="D14" i="63"/>
  <c r="E14" i="63"/>
  <c r="F14" i="63"/>
  <c r="G14" i="63"/>
  <c r="B15" i="63"/>
  <c r="C15" i="63"/>
  <c r="D15" i="63"/>
  <c r="E15" i="63"/>
  <c r="F15" i="63"/>
  <c r="G15" i="63"/>
  <c r="B16" i="63"/>
  <c r="C16" i="63"/>
  <c r="D16" i="63"/>
  <c r="E16" i="63"/>
  <c r="F16" i="63"/>
  <c r="G16" i="63"/>
  <c r="B17" i="63"/>
  <c r="C17" i="63"/>
  <c r="D17" i="63"/>
  <c r="E17" i="63"/>
  <c r="F17" i="63"/>
  <c r="G17" i="63"/>
  <c r="B18" i="63"/>
  <c r="C18" i="63"/>
  <c r="D18" i="63"/>
  <c r="E18" i="63"/>
  <c r="F18" i="63"/>
  <c r="G18" i="63"/>
  <c r="B19" i="63"/>
  <c r="C19" i="63"/>
  <c r="D19" i="63"/>
  <c r="E19" i="63"/>
  <c r="F19" i="63"/>
  <c r="G19" i="63"/>
  <c r="B20" i="63"/>
  <c r="C20" i="63"/>
  <c r="D20" i="63"/>
  <c r="E20" i="63"/>
  <c r="F20" i="63"/>
  <c r="G20" i="63"/>
  <c r="B21" i="63"/>
  <c r="C21" i="63"/>
  <c r="D21" i="63"/>
  <c r="E21" i="63"/>
  <c r="F21" i="63"/>
  <c r="G21" i="63"/>
  <c r="B22" i="63"/>
  <c r="C22" i="63"/>
  <c r="D22" i="63"/>
  <c r="E22" i="63"/>
  <c r="F22" i="63"/>
  <c r="G22" i="63"/>
  <c r="B23" i="63"/>
  <c r="C23" i="63"/>
  <c r="D23" i="63"/>
  <c r="E23" i="63"/>
  <c r="F23" i="63"/>
  <c r="G23" i="63"/>
  <c r="B24" i="63"/>
  <c r="C24" i="63"/>
  <c r="D24" i="63"/>
  <c r="E24" i="63"/>
  <c r="F24" i="63"/>
  <c r="G24" i="63"/>
  <c r="B25" i="63"/>
  <c r="C25" i="63"/>
  <c r="D25" i="63"/>
  <c r="E25" i="63"/>
  <c r="F25" i="63"/>
  <c r="G25" i="63"/>
  <c r="B26" i="63"/>
  <c r="C26" i="63"/>
  <c r="D26" i="63"/>
  <c r="E26" i="63"/>
  <c r="F26" i="63"/>
  <c r="G26" i="63"/>
  <c r="B27" i="63"/>
  <c r="C27" i="63"/>
  <c r="D27" i="63"/>
  <c r="E27" i="63"/>
  <c r="F27" i="63"/>
  <c r="G27" i="63"/>
  <c r="C4" i="63"/>
  <c r="D4" i="63"/>
  <c r="E4" i="63"/>
  <c r="F4" i="63"/>
  <c r="G4" i="63"/>
  <c r="B4" i="63"/>
  <c r="D5" i="6"/>
  <c r="C5" i="6"/>
  <c r="B5" i="64" l="1"/>
  <c r="C5" i="64"/>
  <c r="B6" i="64"/>
  <c r="C6" i="64"/>
  <c r="C4" i="64"/>
  <c r="B4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  <c r="D7" i="6" l="1"/>
  <c r="A99" i="31" l="1"/>
  <c r="A98" i="31"/>
  <c r="A97" i="31"/>
  <c r="A96" i="31"/>
  <c r="A95" i="31"/>
  <c r="A94" i="31"/>
  <c r="A93" i="31"/>
  <c r="A92" i="31"/>
  <c r="A91" i="31"/>
  <c r="A90" i="31"/>
  <c r="A89" i="31"/>
  <c r="A88" i="31"/>
  <c r="A87" i="31"/>
  <c r="A86" i="31"/>
  <c r="A85" i="31"/>
  <c r="A84" i="31"/>
  <c r="A83" i="31"/>
  <c r="A82" i="31"/>
  <c r="A81" i="31"/>
  <c r="A80" i="31"/>
  <c r="A79" i="31"/>
  <c r="A78" i="31"/>
  <c r="A77" i="31"/>
  <c r="A76" i="31"/>
  <c r="J4" i="31" l="1"/>
  <c r="B5" i="55" l="1"/>
  <c r="B6" i="55"/>
  <c r="B7" i="55"/>
  <c r="B8" i="55"/>
  <c r="B9" i="55"/>
  <c r="B10" i="55"/>
  <c r="B11" i="55"/>
  <c r="B12" i="55"/>
  <c r="B13" i="55"/>
  <c r="B14" i="55"/>
  <c r="B15" i="55"/>
  <c r="B16" i="55"/>
  <c r="B17" i="55"/>
  <c r="B18" i="55"/>
  <c r="B19" i="55"/>
  <c r="B20" i="55"/>
  <c r="B21" i="55"/>
  <c r="B22" i="55"/>
  <c r="B23" i="55"/>
  <c r="B24" i="55"/>
  <c r="B25" i="55"/>
  <c r="B26" i="55"/>
  <c r="B27" i="55"/>
  <c r="B4" i="55"/>
  <c r="A27" i="55"/>
  <c r="A26" i="55"/>
  <c r="A25" i="55"/>
  <c r="A24" i="55"/>
  <c r="A23" i="55"/>
  <c r="A22" i="55"/>
  <c r="A21" i="55"/>
  <c r="A20" i="55"/>
  <c r="A19" i="55"/>
  <c r="A18" i="55"/>
  <c r="A17" i="55"/>
  <c r="A16" i="55"/>
  <c r="A15" i="55"/>
  <c r="A14" i="55"/>
  <c r="A13" i="55"/>
  <c r="A12" i="55"/>
  <c r="A11" i="55"/>
  <c r="A10" i="55"/>
  <c r="A9" i="55"/>
  <c r="A8" i="55"/>
  <c r="A7" i="55"/>
  <c r="A6" i="55"/>
  <c r="A5" i="55"/>
  <c r="A4" i="55"/>
  <c r="D6" i="53"/>
  <c r="E9" i="53"/>
  <c r="D9" i="53"/>
  <c r="D10" i="53"/>
  <c r="D5" i="54"/>
  <c r="D6" i="54"/>
  <c r="D7" i="54"/>
  <c r="D8" i="54"/>
  <c r="F9" i="54"/>
  <c r="D11" i="54"/>
  <c r="E5" i="53"/>
  <c r="E5" i="54" s="1"/>
  <c r="E6" i="53"/>
  <c r="E6" i="54" s="1"/>
  <c r="F6" i="54" s="1"/>
  <c r="E7" i="53"/>
  <c r="E7" i="54" s="1"/>
  <c r="E8" i="53"/>
  <c r="E8" i="54" s="1"/>
  <c r="E11" i="53"/>
  <c r="E11" i="54" s="1"/>
  <c r="F11" i="54" s="1"/>
  <c r="E4" i="53"/>
  <c r="E4" i="54" s="1"/>
  <c r="D4" i="54"/>
  <c r="F4" i="54" l="1"/>
  <c r="F5" i="54"/>
  <c r="F8" i="54"/>
  <c r="F7" i="54"/>
  <c r="H4" i="9" l="1"/>
  <c r="E16" i="9" l="1"/>
  <c r="B16" i="9"/>
  <c r="H16" i="9" s="1"/>
  <c r="H42" i="9" l="1"/>
  <c r="H43" i="9"/>
  <c r="H41" i="9"/>
  <c r="J43" i="31"/>
  <c r="J29" i="31"/>
  <c r="J31" i="31"/>
  <c r="J32" i="31"/>
  <c r="J36" i="31"/>
  <c r="J38" i="31"/>
  <c r="J39" i="31"/>
  <c r="J42" i="31"/>
  <c r="J44" i="31"/>
  <c r="J45" i="31"/>
  <c r="J46" i="31"/>
  <c r="J47" i="31"/>
  <c r="C11" i="28"/>
  <c r="C10" i="28"/>
  <c r="C9" i="28"/>
  <c r="C8" i="28"/>
  <c r="C7" i="28"/>
  <c r="C6" i="28"/>
  <c r="C5" i="28"/>
  <c r="C4" i="28"/>
  <c r="G17" i="36"/>
  <c r="G29" i="36"/>
  <c r="G30" i="36"/>
  <c r="G32" i="36"/>
  <c r="G33" i="36"/>
  <c r="G35" i="36" s="1"/>
  <c r="F32" i="36"/>
  <c r="F33" i="36" s="1"/>
  <c r="F35" i="36" s="1"/>
  <c r="C32" i="36"/>
  <c r="C33" i="36"/>
  <c r="C35" i="36" s="1"/>
  <c r="D8" i="36"/>
  <c r="D9" i="36"/>
  <c r="E8" i="36"/>
  <c r="E9" i="36"/>
  <c r="G8" i="36"/>
  <c r="C8" i="36"/>
  <c r="C9" i="36"/>
  <c r="G6" i="36"/>
  <c r="E6" i="36"/>
  <c r="D6" i="36"/>
  <c r="C6" i="36"/>
  <c r="G10" i="36"/>
  <c r="G26" i="36"/>
  <c r="G27" i="36"/>
  <c r="G9" i="36"/>
  <c r="E10" i="36"/>
  <c r="F10" i="36"/>
  <c r="F26" i="36"/>
  <c r="F27" i="36"/>
  <c r="D10" i="36"/>
  <c r="C10" i="36"/>
  <c r="C26" i="36"/>
  <c r="C27" i="36"/>
  <c r="J5" i="31"/>
  <c r="J6" i="31"/>
  <c r="J7" i="31"/>
  <c r="J8" i="31"/>
  <c r="J9" i="31"/>
  <c r="F9" i="32" s="1"/>
  <c r="F10" i="32" s="1"/>
  <c r="F10" i="31" s="1"/>
  <c r="J10" i="31"/>
  <c r="J11" i="31"/>
  <c r="J12" i="31"/>
  <c r="J13" i="31"/>
  <c r="I13" i="31" s="1"/>
  <c r="K13" i="31" s="1"/>
  <c r="J14" i="31"/>
  <c r="J15" i="31"/>
  <c r="J16" i="31"/>
  <c r="J17" i="31"/>
  <c r="I17" i="31" s="1"/>
  <c r="J18" i="31"/>
  <c r="J19" i="31"/>
  <c r="J20" i="31"/>
  <c r="J21" i="31"/>
  <c r="I21" i="31" s="1"/>
  <c r="J22" i="31"/>
  <c r="J23" i="31"/>
  <c r="J24" i="31"/>
  <c r="J25" i="31"/>
  <c r="I25" i="31" s="1"/>
  <c r="K25" i="31" s="1"/>
  <c r="J26" i="31"/>
  <c r="J27" i="31"/>
  <c r="J28" i="31"/>
  <c r="J40" i="31"/>
  <c r="J41" i="31"/>
  <c r="I41" i="31" s="1"/>
  <c r="J49" i="31"/>
  <c r="J50" i="31"/>
  <c r="J51" i="31"/>
  <c r="E51" i="31" s="1"/>
  <c r="B5" i="31"/>
  <c r="B19" i="9"/>
  <c r="B18" i="9"/>
  <c r="E19" i="9"/>
  <c r="E18" i="9"/>
  <c r="H18" i="9" s="1"/>
  <c r="E17" i="9"/>
  <c r="A5" i="32"/>
  <c r="A6" i="32"/>
  <c r="A7" i="32"/>
  <c r="A7" i="63" s="1"/>
  <c r="A8" i="32"/>
  <c r="A8" i="63" s="1"/>
  <c r="A9" i="32"/>
  <c r="A10" i="32"/>
  <c r="A10" i="9" s="1"/>
  <c r="A11" i="32"/>
  <c r="A11" i="63" s="1"/>
  <c r="A12" i="32"/>
  <c r="A12" i="63" s="1"/>
  <c r="A13" i="32"/>
  <c r="A14" i="32"/>
  <c r="A14" i="30" s="1"/>
  <c r="A15" i="32"/>
  <c r="A15" i="63" s="1"/>
  <c r="A16" i="32"/>
  <c r="A16" i="63" s="1"/>
  <c r="A17" i="32"/>
  <c r="A18" i="32"/>
  <c r="A18" i="29" s="1"/>
  <c r="A19" i="32"/>
  <c r="A19" i="63" s="1"/>
  <c r="A20" i="32"/>
  <c r="A20" i="63" s="1"/>
  <c r="A21" i="32"/>
  <c r="A22" i="32"/>
  <c r="A23" i="32"/>
  <c r="A23" i="63" s="1"/>
  <c r="A24" i="32"/>
  <c r="A24" i="63" s="1"/>
  <c r="A25" i="32"/>
  <c r="A26" i="32"/>
  <c r="A26" i="28" s="1"/>
  <c r="A27" i="32"/>
  <c r="A27" i="63" s="1"/>
  <c r="A4" i="32"/>
  <c r="A4" i="63" s="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72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48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24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00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52" i="31"/>
  <c r="A10" i="29"/>
  <c r="A22" i="30"/>
  <c r="C25" i="32"/>
  <c r="D25" i="32"/>
  <c r="D26" i="32" s="1"/>
  <c r="D26" i="31" s="1"/>
  <c r="E25" i="32"/>
  <c r="E26" i="32" s="1"/>
  <c r="E26" i="31" s="1"/>
  <c r="F25" i="32"/>
  <c r="F26" i="32" s="1"/>
  <c r="F26" i="31" s="1"/>
  <c r="G25" i="32"/>
  <c r="G27" i="32" s="1"/>
  <c r="G27" i="31" s="1"/>
  <c r="H25" i="32"/>
  <c r="H26" i="32" s="1"/>
  <c r="H26" i="31" s="1"/>
  <c r="B25" i="32"/>
  <c r="C21" i="32"/>
  <c r="C20" i="32" s="1"/>
  <c r="C20" i="31" s="1"/>
  <c r="D21" i="32"/>
  <c r="D22" i="32" s="1"/>
  <c r="E21" i="32"/>
  <c r="E22" i="32" s="1"/>
  <c r="E23" i="32" s="1"/>
  <c r="E23" i="31" s="1"/>
  <c r="F21" i="32"/>
  <c r="F20" i="32" s="1"/>
  <c r="F20" i="31" s="1"/>
  <c r="G21" i="32"/>
  <c r="G20" i="32" s="1"/>
  <c r="G20" i="31" s="1"/>
  <c r="H21" i="32"/>
  <c r="H22" i="32" s="1"/>
  <c r="B21" i="32"/>
  <c r="B20" i="32" s="1"/>
  <c r="B20" i="31" s="1"/>
  <c r="H20" i="32"/>
  <c r="H20" i="31" s="1"/>
  <c r="D20" i="32"/>
  <c r="D20" i="31" s="1"/>
  <c r="G26" i="32"/>
  <c r="G26" i="31" s="1"/>
  <c r="G24" i="32"/>
  <c r="G24" i="31" s="1"/>
  <c r="C27" i="32"/>
  <c r="C27" i="31" s="1"/>
  <c r="C24" i="32"/>
  <c r="C24" i="31" s="1"/>
  <c r="C26" i="32"/>
  <c r="C26" i="31" s="1"/>
  <c r="C17" i="32"/>
  <c r="C18" i="32" s="1"/>
  <c r="C18" i="31" s="1"/>
  <c r="D17" i="32"/>
  <c r="D18" i="32" s="1"/>
  <c r="E17" i="32"/>
  <c r="E18" i="32" s="1"/>
  <c r="E18" i="31" s="1"/>
  <c r="F17" i="32"/>
  <c r="F18" i="32" s="1"/>
  <c r="G17" i="32"/>
  <c r="G18" i="32" s="1"/>
  <c r="H17" i="32"/>
  <c r="H18" i="32" s="1"/>
  <c r="H18" i="31" s="1"/>
  <c r="B17" i="32"/>
  <c r="B18" i="32" s="1"/>
  <c r="C13" i="32"/>
  <c r="C14" i="32" s="1"/>
  <c r="C14" i="31" s="1"/>
  <c r="D13" i="32"/>
  <c r="D14" i="32" s="1"/>
  <c r="E13" i="32"/>
  <c r="E14" i="32" s="1"/>
  <c r="F13" i="32"/>
  <c r="F14" i="32" s="1"/>
  <c r="G13" i="32"/>
  <c r="G14" i="32" s="1"/>
  <c r="H13" i="32"/>
  <c r="H14" i="32" s="1"/>
  <c r="H14" i="31" s="1"/>
  <c r="B13" i="32"/>
  <c r="B14" i="32" s="1"/>
  <c r="C5" i="32"/>
  <c r="C6" i="32" s="1"/>
  <c r="D5" i="32"/>
  <c r="D6" i="32" s="1"/>
  <c r="E5" i="32"/>
  <c r="E6" i="32" s="1"/>
  <c r="E6" i="31" s="1"/>
  <c r="F5" i="32"/>
  <c r="F6" i="32" s="1"/>
  <c r="G5" i="32"/>
  <c r="G6" i="32" s="1"/>
  <c r="G4" i="32" s="1"/>
  <c r="H5" i="32"/>
  <c r="H6" i="32" s="1"/>
  <c r="H4" i="32" s="1"/>
  <c r="A50" i="31"/>
  <c r="A48" i="31"/>
  <c r="A51" i="31"/>
  <c r="A49" i="31"/>
  <c r="A46" i="31"/>
  <c r="A44" i="31"/>
  <c r="A47" i="31"/>
  <c r="A45" i="31"/>
  <c r="A42" i="31"/>
  <c r="A40" i="31"/>
  <c r="A43" i="31"/>
  <c r="A41" i="31"/>
  <c r="A38" i="31"/>
  <c r="A36" i="31"/>
  <c r="A39" i="31"/>
  <c r="A37" i="31"/>
  <c r="A34" i="31"/>
  <c r="A32" i="31"/>
  <c r="A35" i="31"/>
  <c r="A33" i="31"/>
  <c r="A30" i="31"/>
  <c r="A28" i="31"/>
  <c r="A31" i="31"/>
  <c r="A29" i="31"/>
  <c r="A30" i="32"/>
  <c r="A50" i="32"/>
  <c r="A38" i="32"/>
  <c r="A39" i="32"/>
  <c r="B9" i="32"/>
  <c r="B10" i="32" s="1"/>
  <c r="B10" i="31" s="1"/>
  <c r="H6" i="9"/>
  <c r="H7" i="9"/>
  <c r="H9" i="9"/>
  <c r="H10" i="9"/>
  <c r="H8" i="9"/>
  <c r="H11" i="9"/>
  <c r="H13" i="9"/>
  <c r="H14" i="9"/>
  <c r="H12" i="9"/>
  <c r="H15" i="9"/>
  <c r="H25" i="9"/>
  <c r="H26" i="9"/>
  <c r="H24" i="9"/>
  <c r="H27" i="9"/>
  <c r="H29" i="9"/>
  <c r="H30" i="9"/>
  <c r="H28" i="9"/>
  <c r="H31" i="9"/>
  <c r="H33" i="9"/>
  <c r="H34" i="9"/>
  <c r="H32" i="9"/>
  <c r="H35" i="9"/>
  <c r="H37" i="9"/>
  <c r="H38" i="9"/>
  <c r="H36" i="9"/>
  <c r="H39" i="9"/>
  <c r="H45" i="9"/>
  <c r="H46" i="9"/>
  <c r="H44" i="9"/>
  <c r="H47" i="9"/>
  <c r="H49" i="9"/>
  <c r="H50" i="9"/>
  <c r="H48" i="9"/>
  <c r="H51" i="9"/>
  <c r="H5" i="9"/>
  <c r="B22" i="30"/>
  <c r="C22" i="30"/>
  <c r="B20" i="30"/>
  <c r="C20" i="30"/>
  <c r="B23" i="30"/>
  <c r="C23" i="30"/>
  <c r="C21" i="30"/>
  <c r="B21" i="30"/>
  <c r="B18" i="30"/>
  <c r="C18" i="30"/>
  <c r="C26" i="30"/>
  <c r="B16" i="30"/>
  <c r="C16" i="30"/>
  <c r="B19" i="30"/>
  <c r="C19" i="30"/>
  <c r="C27" i="30"/>
  <c r="C17" i="30"/>
  <c r="B17" i="30"/>
  <c r="B5" i="29"/>
  <c r="B6" i="29"/>
  <c r="B7" i="29"/>
  <c r="B8" i="29"/>
  <c r="B9" i="29"/>
  <c r="B10" i="29"/>
  <c r="B11" i="29"/>
  <c r="B4" i="29"/>
  <c r="B27" i="30"/>
  <c r="B26" i="30"/>
  <c r="B25" i="30"/>
  <c r="C24" i="30"/>
  <c r="C25" i="30"/>
  <c r="B24" i="30"/>
  <c r="C8" i="29"/>
  <c r="C9" i="29"/>
  <c r="C10" i="29"/>
  <c r="C11" i="29"/>
  <c r="C5" i="29"/>
  <c r="C6" i="29"/>
  <c r="C7" i="29"/>
  <c r="C4" i="29"/>
  <c r="B2" i="29"/>
  <c r="C2" i="29"/>
  <c r="B2" i="28"/>
  <c r="B17" i="9"/>
  <c r="H17" i="9" s="1"/>
  <c r="B20" i="28"/>
  <c r="B20" i="29"/>
  <c r="B16" i="28"/>
  <c r="B14" i="28"/>
  <c r="B12" i="28"/>
  <c r="B23" i="28"/>
  <c r="B23" i="29"/>
  <c r="B21" i="28"/>
  <c r="B19" i="28"/>
  <c r="B17" i="28"/>
  <c r="B17" i="29"/>
  <c r="B15" i="28"/>
  <c r="B15" i="29"/>
  <c r="B13" i="28"/>
  <c r="B22" i="28"/>
  <c r="B18" i="28"/>
  <c r="B18" i="29"/>
  <c r="B21" i="29"/>
  <c r="B13" i="29"/>
  <c r="B19" i="29"/>
  <c r="B22" i="29"/>
  <c r="B14" i="29"/>
  <c r="B12" i="29"/>
  <c r="C2" i="28"/>
  <c r="H40" i="9"/>
  <c r="H23" i="9"/>
  <c r="B20" i="9"/>
  <c r="H22" i="9"/>
  <c r="B21" i="9"/>
  <c r="C23" i="28"/>
  <c r="C21" i="28"/>
  <c r="C21" i="29"/>
  <c r="C19" i="28"/>
  <c r="C17" i="28"/>
  <c r="C15" i="28"/>
  <c r="C13" i="28"/>
  <c r="C13" i="29"/>
  <c r="C20" i="28"/>
  <c r="C20" i="29"/>
  <c r="C18" i="28"/>
  <c r="C14" i="28"/>
  <c r="C14" i="29"/>
  <c r="C22" i="28"/>
  <c r="C22" i="29"/>
  <c r="C16" i="28"/>
  <c r="C12" i="28"/>
  <c r="B24" i="28"/>
  <c r="B24" i="29"/>
  <c r="B27" i="28"/>
  <c r="B25" i="28"/>
  <c r="B25" i="29"/>
  <c r="B26" i="28"/>
  <c r="H19" i="9"/>
  <c r="H21" i="9"/>
  <c r="H20" i="9"/>
  <c r="C18" i="29"/>
  <c r="C19" i="29"/>
  <c r="C15" i="29"/>
  <c r="C12" i="29"/>
  <c r="C17" i="29"/>
  <c r="C23" i="29"/>
  <c r="B26" i="29"/>
  <c r="B16" i="29"/>
  <c r="B27" i="29"/>
  <c r="C27" i="28"/>
  <c r="C25" i="28"/>
  <c r="C25" i="29"/>
  <c r="C24" i="28"/>
  <c r="C24" i="29"/>
  <c r="C26" i="28"/>
  <c r="C27" i="29"/>
  <c r="C26" i="29"/>
  <c r="C16" i="29"/>
  <c r="B21" i="1"/>
  <c r="B22" i="1"/>
  <c r="B20" i="1"/>
  <c r="B17" i="1"/>
  <c r="B18" i="1"/>
  <c r="B16" i="1"/>
  <c r="B13" i="1"/>
  <c r="B14" i="1"/>
  <c r="B12" i="1"/>
  <c r="B6" i="1"/>
  <c r="B4" i="1"/>
  <c r="B7" i="1"/>
  <c r="B9" i="1"/>
  <c r="B10" i="1"/>
  <c r="B8" i="1"/>
  <c r="B19" i="1"/>
  <c r="B15" i="1"/>
  <c r="B11" i="1"/>
  <c r="B5" i="1"/>
  <c r="B5" i="32"/>
  <c r="A45" i="32" l="1"/>
  <c r="A29" i="32"/>
  <c r="A29" i="9" s="1"/>
  <c r="I9" i="31"/>
  <c r="A47" i="32"/>
  <c r="A49" i="32"/>
  <c r="A37" i="32"/>
  <c r="K21" i="31"/>
  <c r="I21" i="32"/>
  <c r="I22" i="32" s="1"/>
  <c r="E9" i="32"/>
  <c r="E10" i="32" s="1"/>
  <c r="E8" i="32" s="1"/>
  <c r="E11" i="32" s="1"/>
  <c r="E11" i="31" s="1"/>
  <c r="G9" i="32"/>
  <c r="G10" i="32" s="1"/>
  <c r="G10" i="31" s="1"/>
  <c r="H9" i="32"/>
  <c r="H10" i="32" s="1"/>
  <c r="D9" i="32"/>
  <c r="D10" i="32" s="1"/>
  <c r="C9" i="32"/>
  <c r="C10" i="32" s="1"/>
  <c r="C8" i="32" s="1"/>
  <c r="C8" i="31" s="1"/>
  <c r="A51" i="32"/>
  <c r="A43" i="32"/>
  <c r="A35" i="32"/>
  <c r="A41" i="32"/>
  <c r="A41" i="9" s="1"/>
  <c r="A33" i="32"/>
  <c r="I25" i="32"/>
  <c r="I24" i="32" s="1"/>
  <c r="I24" i="31" s="1"/>
  <c r="G4" i="31"/>
  <c r="G7" i="32"/>
  <c r="G7" i="31" s="1"/>
  <c r="F14" i="31"/>
  <c r="F12" i="32"/>
  <c r="F15" i="32" s="1"/>
  <c r="F15" i="31" s="1"/>
  <c r="G6" i="31"/>
  <c r="A10" i="28"/>
  <c r="A18" i="28"/>
  <c r="A26" i="9"/>
  <c r="A10" i="21"/>
  <c r="A26" i="29"/>
  <c r="A23" i="1"/>
  <c r="A27" i="28"/>
  <c r="A7" i="28"/>
  <c r="A23" i="30"/>
  <c r="A7" i="1"/>
  <c r="J37" i="31"/>
  <c r="I37" i="31" s="1"/>
  <c r="A15" i="21"/>
  <c r="A19" i="29"/>
  <c r="I29" i="31"/>
  <c r="K29" i="31" s="1"/>
  <c r="H22" i="31"/>
  <c r="H23" i="32"/>
  <c r="H23" i="31" s="1"/>
  <c r="E39" i="31"/>
  <c r="A11" i="30"/>
  <c r="A19" i="1"/>
  <c r="A27" i="21"/>
  <c r="A11" i="21"/>
  <c r="A15" i="28"/>
  <c r="A27" i="29"/>
  <c r="A7" i="29"/>
  <c r="A26" i="21"/>
  <c r="A26" i="63"/>
  <c r="A22" i="29"/>
  <c r="A22" i="63"/>
  <c r="A18" i="21"/>
  <c r="A18" i="63"/>
  <c r="A14" i="9"/>
  <c r="A14" i="63"/>
  <c r="A10" i="1"/>
  <c r="A10" i="63"/>
  <c r="A6" i="9"/>
  <c r="A6" i="63"/>
  <c r="J33" i="31"/>
  <c r="I33" i="31" s="1"/>
  <c r="F32" i="31"/>
  <c r="F42" i="31"/>
  <c r="A19" i="30"/>
  <c r="A7" i="30"/>
  <c r="A15" i="1"/>
  <c r="A23" i="21"/>
  <c r="A23" i="28"/>
  <c r="A11" i="28"/>
  <c r="A15" i="29"/>
  <c r="A25" i="30"/>
  <c r="A25" i="63"/>
  <c r="A21" i="28"/>
  <c r="A21" i="63"/>
  <c r="A17" i="1"/>
  <c r="A17" i="63"/>
  <c r="A13" i="29"/>
  <c r="A13" i="63"/>
  <c r="A9" i="30"/>
  <c r="A9" i="63"/>
  <c r="A5" i="28"/>
  <c r="A5" i="63"/>
  <c r="I27" i="32"/>
  <c r="I27" i="31" s="1"/>
  <c r="K37" i="31"/>
  <c r="A27" i="30"/>
  <c r="A15" i="30"/>
  <c r="A27" i="1"/>
  <c r="A11" i="1"/>
  <c r="A19" i="21"/>
  <c r="A7" i="21"/>
  <c r="A19" i="28"/>
  <c r="A23" i="29"/>
  <c r="A11" i="29"/>
  <c r="F10" i="54"/>
  <c r="E10" i="53"/>
  <c r="D27" i="32"/>
  <c r="D27" i="31" s="1"/>
  <c r="I5" i="31"/>
  <c r="K5" i="31" s="1"/>
  <c r="D43" i="31"/>
  <c r="B22" i="32"/>
  <c r="B22" i="31" s="1"/>
  <c r="I20" i="32"/>
  <c r="I20" i="31" s="1"/>
  <c r="G22" i="32"/>
  <c r="G22" i="31" s="1"/>
  <c r="A13" i="30"/>
  <c r="A17" i="21"/>
  <c r="F8" i="32"/>
  <c r="I26" i="32"/>
  <c r="I26" i="31" s="1"/>
  <c r="A22" i="9"/>
  <c r="A6" i="30"/>
  <c r="A22" i="1"/>
  <c r="A14" i="1"/>
  <c r="A6" i="1"/>
  <c r="A22" i="21"/>
  <c r="F22" i="32"/>
  <c r="F22" i="31" s="1"/>
  <c r="I13" i="32"/>
  <c r="I14" i="32" s="1"/>
  <c r="I14" i="31" s="1"/>
  <c r="A31" i="32"/>
  <c r="H27" i="32"/>
  <c r="H27" i="31" s="1"/>
  <c r="A18" i="9"/>
  <c r="A26" i="30"/>
  <c r="A18" i="30"/>
  <c r="A14" i="21"/>
  <c r="A6" i="21"/>
  <c r="A22" i="28"/>
  <c r="A14" i="28"/>
  <c r="A6" i="28"/>
  <c r="A14" i="29"/>
  <c r="A6" i="29"/>
  <c r="A10" i="30"/>
  <c r="A26" i="1"/>
  <c r="A18" i="1"/>
  <c r="E14" i="31"/>
  <c r="E12" i="32"/>
  <c r="E15" i="32" s="1"/>
  <c r="E15" i="31" s="1"/>
  <c r="I45" i="31"/>
  <c r="K45" i="31" s="1"/>
  <c r="A44" i="32"/>
  <c r="A28" i="32"/>
  <c r="C22" i="32"/>
  <c r="C23" i="32" s="1"/>
  <c r="C23" i="31" s="1"/>
  <c r="A21" i="1"/>
  <c r="A25" i="28"/>
  <c r="H39" i="31"/>
  <c r="F50" i="31"/>
  <c r="A9" i="28"/>
  <c r="D40" i="31"/>
  <c r="A33" i="9"/>
  <c r="A36" i="32"/>
  <c r="A36" i="9" s="1"/>
  <c r="F24" i="32"/>
  <c r="F24" i="31" s="1"/>
  <c r="A5" i="30"/>
  <c r="A17" i="29"/>
  <c r="I22" i="31"/>
  <c r="I23" i="32"/>
  <c r="I23" i="31" s="1"/>
  <c r="B14" i="31"/>
  <c r="B12" i="32"/>
  <c r="B12" i="31" s="1"/>
  <c r="I39" i="31"/>
  <c r="D14" i="31"/>
  <c r="D12" i="32"/>
  <c r="F4" i="32"/>
  <c r="F6" i="31"/>
  <c r="I12" i="32"/>
  <c r="A50" i="9"/>
  <c r="A47" i="9"/>
  <c r="E20" i="32"/>
  <c r="E20" i="31" s="1"/>
  <c r="A25" i="9"/>
  <c r="A17" i="9"/>
  <c r="A9" i="9"/>
  <c r="A17" i="30"/>
  <c r="A25" i="1"/>
  <c r="A9" i="1"/>
  <c r="A21" i="21"/>
  <c r="A5" i="21"/>
  <c r="A13" i="28"/>
  <c r="A21" i="29"/>
  <c r="A5" i="29"/>
  <c r="I5" i="32"/>
  <c r="I6" i="32" s="1"/>
  <c r="E10" i="31"/>
  <c r="F40" i="31"/>
  <c r="F39" i="31"/>
  <c r="A38" i="9"/>
  <c r="A49" i="9"/>
  <c r="A39" i="9"/>
  <c r="A48" i="32"/>
  <c r="A48" i="9" s="1"/>
  <c r="A40" i="32"/>
  <c r="A32" i="32"/>
  <c r="A32" i="9" s="1"/>
  <c r="A46" i="32"/>
  <c r="A34" i="32"/>
  <c r="A42" i="32"/>
  <c r="D24" i="32"/>
  <c r="D24" i="31" s="1"/>
  <c r="H24" i="32"/>
  <c r="H24" i="31" s="1"/>
  <c r="A5" i="9"/>
  <c r="A21" i="30"/>
  <c r="A5" i="1"/>
  <c r="A13" i="1"/>
  <c r="A25" i="21"/>
  <c r="A9" i="21"/>
  <c r="A17" i="28"/>
  <c r="A25" i="29"/>
  <c r="A9" i="29"/>
  <c r="E16" i="32"/>
  <c r="A30" i="9"/>
  <c r="A21" i="9"/>
  <c r="A13" i="9"/>
  <c r="A13" i="21"/>
  <c r="F18" i="31"/>
  <c r="F16" i="32"/>
  <c r="B16" i="32"/>
  <c r="B18" i="31"/>
  <c r="D18" i="31"/>
  <c r="D16" i="32"/>
  <c r="J48" i="31"/>
  <c r="J34" i="31"/>
  <c r="J30" i="31"/>
  <c r="B6" i="32"/>
  <c r="I43" i="31"/>
  <c r="K9" i="31"/>
  <c r="I9" i="32"/>
  <c r="I10" i="32" s="1"/>
  <c r="A35" i="9"/>
  <c r="A46" i="9"/>
  <c r="A45" i="9"/>
  <c r="F35" i="31"/>
  <c r="C42" i="31"/>
  <c r="C40" i="31"/>
  <c r="D22" i="31"/>
  <c r="D23" i="32"/>
  <c r="D23" i="31" s="1"/>
  <c r="G39" i="31"/>
  <c r="B51" i="31"/>
  <c r="A4" i="29"/>
  <c r="A4" i="28"/>
  <c r="A4" i="21"/>
  <c r="A24" i="29"/>
  <c r="A24" i="28"/>
  <c r="A24" i="21"/>
  <c r="A20" i="29"/>
  <c r="A20" i="28"/>
  <c r="A20" i="21"/>
  <c r="A16" i="29"/>
  <c r="A16" i="28"/>
  <c r="A16" i="21"/>
  <c r="A12" i="29"/>
  <c r="A12" i="28"/>
  <c r="A12" i="21"/>
  <c r="A8" i="29"/>
  <c r="A8" i="28"/>
  <c r="A8" i="21"/>
  <c r="D8" i="32"/>
  <c r="D10" i="31"/>
  <c r="D42" i="31"/>
  <c r="B8" i="32"/>
  <c r="F34" i="31"/>
  <c r="C34" i="31"/>
  <c r="F48" i="31"/>
  <c r="F27" i="32"/>
  <c r="F27" i="31" s="1"/>
  <c r="H7" i="32"/>
  <c r="H7" i="31" s="1"/>
  <c r="H4" i="31"/>
  <c r="D6" i="31"/>
  <c r="D4" i="32"/>
  <c r="G14" i="31"/>
  <c r="G12" i="32"/>
  <c r="H8" i="32"/>
  <c r="H10" i="31"/>
  <c r="G8" i="32"/>
  <c r="C16" i="32"/>
  <c r="C12" i="32"/>
  <c r="K41" i="31"/>
  <c r="H6" i="31"/>
  <c r="H16" i="32"/>
  <c r="E22" i="31"/>
  <c r="I49" i="31"/>
  <c r="E4" i="32"/>
  <c r="A51" i="9"/>
  <c r="A43" i="9"/>
  <c r="A37" i="9"/>
  <c r="B27" i="32"/>
  <c r="B27" i="31" s="1"/>
  <c r="B24" i="32"/>
  <c r="B24" i="31" s="1"/>
  <c r="B26" i="32"/>
  <c r="B26" i="31" s="1"/>
  <c r="E27" i="32"/>
  <c r="E27" i="31" s="1"/>
  <c r="E24" i="32"/>
  <c r="E24" i="31" s="1"/>
  <c r="C39" i="31"/>
  <c r="K17" i="31"/>
  <c r="I17" i="32"/>
  <c r="I18" i="32" s="1"/>
  <c r="H12" i="32"/>
  <c r="C6" i="31"/>
  <c r="C4" i="32"/>
  <c r="G18" i="31"/>
  <c r="G16" i="32"/>
  <c r="F51" i="31"/>
  <c r="A4" i="9"/>
  <c r="A4" i="1"/>
  <c r="A4" i="30"/>
  <c r="A24" i="9"/>
  <c r="A24" i="1"/>
  <c r="A24" i="30"/>
  <c r="A20" i="9"/>
  <c r="A20" i="1"/>
  <c r="A20" i="30"/>
  <c r="A16" i="9"/>
  <c r="A16" i="1"/>
  <c r="A16" i="30"/>
  <c r="A12" i="9"/>
  <c r="A12" i="1"/>
  <c r="A12" i="30"/>
  <c r="A8" i="9"/>
  <c r="A8" i="1"/>
  <c r="A8" i="30"/>
  <c r="J35" i="31"/>
  <c r="A27" i="9"/>
  <c r="A23" i="9"/>
  <c r="A19" i="9"/>
  <c r="A15" i="9"/>
  <c r="A11" i="9"/>
  <c r="A7" i="9"/>
  <c r="E8" i="31" l="1"/>
  <c r="C11" i="32"/>
  <c r="C11" i="31" s="1"/>
  <c r="E12" i="31"/>
  <c r="C10" i="31"/>
  <c r="C22" i="31"/>
  <c r="F12" i="31"/>
  <c r="I40" i="31"/>
  <c r="G32" i="31"/>
  <c r="G35" i="31"/>
  <c r="D39" i="31"/>
  <c r="D38" i="31"/>
  <c r="B28" i="31"/>
  <c r="F38" i="31"/>
  <c r="E38" i="31"/>
  <c r="K26" i="31"/>
  <c r="E36" i="31"/>
  <c r="F36" i="31"/>
  <c r="B23" i="32"/>
  <c r="B23" i="31" s="1"/>
  <c r="B39" i="31"/>
  <c r="G23" i="32"/>
  <c r="G23" i="31" s="1"/>
  <c r="A40" i="9"/>
  <c r="F23" i="32"/>
  <c r="F23" i="31" s="1"/>
  <c r="A42" i="9"/>
  <c r="I42" i="31"/>
  <c r="K14" i="31"/>
  <c r="A31" i="9"/>
  <c r="F11" i="32"/>
  <c r="F8" i="31"/>
  <c r="K20" i="31"/>
  <c r="K24" i="31"/>
  <c r="I4" i="32"/>
  <c r="I7" i="32" s="1"/>
  <c r="A28" i="9"/>
  <c r="A44" i="9"/>
  <c r="A34" i="9"/>
  <c r="E16" i="31"/>
  <c r="E19" i="32"/>
  <c r="E19" i="31" s="1"/>
  <c r="F4" i="31"/>
  <c r="F7" i="32"/>
  <c r="F7" i="31" s="1"/>
  <c r="B15" i="32"/>
  <c r="B15" i="31" s="1"/>
  <c r="K49" i="31"/>
  <c r="I12" i="31"/>
  <c r="I15" i="32"/>
  <c r="D15" i="32"/>
  <c r="D12" i="31"/>
  <c r="I36" i="31"/>
  <c r="I38" i="31"/>
  <c r="E34" i="31"/>
  <c r="H30" i="31"/>
  <c r="D32" i="31"/>
  <c r="H32" i="31"/>
  <c r="B47" i="31"/>
  <c r="D28" i="31"/>
  <c r="C47" i="31"/>
  <c r="B46" i="31"/>
  <c r="G43" i="31"/>
  <c r="B11" i="32"/>
  <c r="B8" i="31"/>
  <c r="D8" i="31"/>
  <c r="D11" i="32"/>
  <c r="D11" i="31" s="1"/>
  <c r="C46" i="31"/>
  <c r="E35" i="31"/>
  <c r="K27" i="31"/>
  <c r="B44" i="31"/>
  <c r="C31" i="31"/>
  <c r="D31" i="31"/>
  <c r="C43" i="31"/>
  <c r="F31" i="31"/>
  <c r="I30" i="31"/>
  <c r="G36" i="31"/>
  <c r="G38" i="31"/>
  <c r="H35" i="31"/>
  <c r="E28" i="31"/>
  <c r="B6" i="31"/>
  <c r="I6" i="31" s="1"/>
  <c r="B4" i="32"/>
  <c r="F19" i="32"/>
  <c r="F19" i="31" s="1"/>
  <c r="F16" i="31"/>
  <c r="D46" i="31"/>
  <c r="D35" i="31"/>
  <c r="C28" i="31"/>
  <c r="C30" i="31"/>
  <c r="F43" i="31"/>
  <c r="E31" i="31"/>
  <c r="C44" i="31"/>
  <c r="H28" i="31"/>
  <c r="H31" i="31"/>
  <c r="H34" i="31"/>
  <c r="I31" i="31"/>
  <c r="D36" i="31"/>
  <c r="B32" i="31"/>
  <c r="D47" i="31"/>
  <c r="I28" i="31"/>
  <c r="B30" i="31"/>
  <c r="I10" i="31"/>
  <c r="I8" i="32"/>
  <c r="D16" i="31"/>
  <c r="D19" i="32"/>
  <c r="B16" i="31"/>
  <c r="B19" i="32"/>
  <c r="B19" i="31" s="1"/>
  <c r="B48" i="31"/>
  <c r="B50" i="31"/>
  <c r="C12" i="31"/>
  <c r="C15" i="32"/>
  <c r="C15" i="31" s="1"/>
  <c r="H36" i="31"/>
  <c r="H38" i="31"/>
  <c r="H51" i="31"/>
  <c r="I18" i="31"/>
  <c r="K18" i="31" s="1"/>
  <c r="I16" i="32"/>
  <c r="I51" i="31"/>
  <c r="C19" i="32"/>
  <c r="C19" i="31" s="1"/>
  <c r="C16" i="31"/>
  <c r="G8" i="31"/>
  <c r="G11" i="32"/>
  <c r="D4" i="31"/>
  <c r="D7" i="32"/>
  <c r="D7" i="31" s="1"/>
  <c r="D51" i="31"/>
  <c r="G42" i="31"/>
  <c r="G40" i="31"/>
  <c r="C7" i="32"/>
  <c r="C7" i="31" s="1"/>
  <c r="C4" i="31"/>
  <c r="H15" i="32"/>
  <c r="H12" i="31"/>
  <c r="E4" i="31"/>
  <c r="E7" i="32"/>
  <c r="E7" i="31" s="1"/>
  <c r="K22" i="31"/>
  <c r="C51" i="31"/>
  <c r="C38" i="31"/>
  <c r="C36" i="31"/>
  <c r="G51" i="31"/>
  <c r="E48" i="31"/>
  <c r="E50" i="31"/>
  <c r="G19" i="32"/>
  <c r="G19" i="31" s="1"/>
  <c r="G16" i="31"/>
  <c r="K33" i="31"/>
  <c r="H19" i="32"/>
  <c r="H19" i="31" s="1"/>
  <c r="H16" i="31"/>
  <c r="H11" i="32"/>
  <c r="H11" i="31" s="1"/>
  <c r="H8" i="31"/>
  <c r="G15" i="32"/>
  <c r="G15" i="31" s="1"/>
  <c r="G12" i="31"/>
  <c r="K10" i="31" l="1"/>
  <c r="K39" i="31"/>
  <c r="K6" i="31"/>
  <c r="D34" i="31"/>
  <c r="C35" i="31"/>
  <c r="D30" i="31"/>
  <c r="D44" i="31"/>
  <c r="G31" i="31"/>
  <c r="G28" i="31"/>
  <c r="B35" i="31"/>
  <c r="G30" i="31"/>
  <c r="G34" i="31"/>
  <c r="F30" i="31"/>
  <c r="C32" i="31"/>
  <c r="B34" i="31"/>
  <c r="E32" i="31"/>
  <c r="F28" i="31"/>
  <c r="K28" i="31" s="1"/>
  <c r="B31" i="31"/>
  <c r="E30" i="31"/>
  <c r="B38" i="31"/>
  <c r="B36" i="31"/>
  <c r="K36" i="31" s="1"/>
  <c r="K51" i="31"/>
  <c r="I8" i="31"/>
  <c r="K8" i="31" s="1"/>
  <c r="K23" i="31"/>
  <c r="K38" i="31"/>
  <c r="F11" i="31"/>
  <c r="D15" i="31"/>
  <c r="I15" i="31"/>
  <c r="B43" i="31"/>
  <c r="I11" i="32"/>
  <c r="I11" i="31" s="1"/>
  <c r="I34" i="31"/>
  <c r="H15" i="31"/>
  <c r="G11" i="31"/>
  <c r="F46" i="31"/>
  <c r="G46" i="31"/>
  <c r="E46" i="31"/>
  <c r="H46" i="31"/>
  <c r="H44" i="31"/>
  <c r="G47" i="31"/>
  <c r="I32" i="31"/>
  <c r="H47" i="31"/>
  <c r="F47" i="31"/>
  <c r="G44" i="31"/>
  <c r="E44" i="31"/>
  <c r="H43" i="31"/>
  <c r="F44" i="31"/>
  <c r="E47" i="31"/>
  <c r="D19" i="31"/>
  <c r="B7" i="32"/>
  <c r="B4" i="31"/>
  <c r="B11" i="31"/>
  <c r="I35" i="31"/>
  <c r="E43" i="31"/>
  <c r="H48" i="31"/>
  <c r="H50" i="31"/>
  <c r="E42" i="31"/>
  <c r="E40" i="31"/>
  <c r="D48" i="31"/>
  <c r="D50" i="31"/>
  <c r="I50" i="31"/>
  <c r="I48" i="31"/>
  <c r="K12" i="31"/>
  <c r="H40" i="31"/>
  <c r="H42" i="31"/>
  <c r="G48" i="31"/>
  <c r="G50" i="31"/>
  <c r="B40" i="31"/>
  <c r="B42" i="31"/>
  <c r="I19" i="32"/>
  <c r="I16" i="31"/>
  <c r="K16" i="31" s="1"/>
  <c r="C48" i="31"/>
  <c r="C50" i="31"/>
  <c r="K32" i="31" l="1"/>
  <c r="K30" i="31"/>
  <c r="K34" i="31"/>
  <c r="K31" i="31"/>
  <c r="I47" i="31"/>
  <c r="K47" i="31" s="1"/>
  <c r="K35" i="31"/>
  <c r="I4" i="31"/>
  <c r="K4" i="31" s="1"/>
  <c r="I46" i="31"/>
  <c r="K46" i="31" s="1"/>
  <c r="I44" i="31"/>
  <c r="K44" i="31" s="1"/>
  <c r="K11" i="31"/>
  <c r="K42" i="31"/>
  <c r="K48" i="31"/>
  <c r="K50" i="31"/>
  <c r="K15" i="31"/>
  <c r="I19" i="31"/>
  <c r="K19" i="31" s="1"/>
  <c r="K43" i="31"/>
  <c r="B7" i="31"/>
  <c r="K40" i="31"/>
  <c r="I7" i="31" l="1"/>
  <c r="K7" i="31" s="1"/>
  <c r="H4" i="67"/>
</calcChain>
</file>

<file path=xl/sharedStrings.xml><?xml version="1.0" encoding="utf-8"?>
<sst xmlns="http://schemas.openxmlformats.org/spreadsheetml/2006/main" count="576" uniqueCount="181">
  <si>
    <t>Electricity</t>
  </si>
  <si>
    <t>automotive steel</t>
  </si>
  <si>
    <t>stainless steel</t>
  </si>
  <si>
    <t>cast iron</t>
  </si>
  <si>
    <t>wrought Al</t>
  </si>
  <si>
    <t>cast Al</t>
  </si>
  <si>
    <t>copper electric grade</t>
  </si>
  <si>
    <t>plastics</t>
  </si>
  <si>
    <t>GHG emissions, supply chain</t>
  </si>
  <si>
    <t>World</t>
  </si>
  <si>
    <t>production of automotive steel, primary</t>
  </si>
  <si>
    <t>production of wrought Al, primary</t>
  </si>
  <si>
    <t>production of copper electric grade, primary</t>
  </si>
  <si>
    <t>production of plastics, primary</t>
  </si>
  <si>
    <t>production of cast Al, primary</t>
  </si>
  <si>
    <t>production of cast iron, primary</t>
  </si>
  <si>
    <t>production of stainless steel, primary</t>
  </si>
  <si>
    <t>Other</t>
  </si>
  <si>
    <t>Total</t>
  </si>
  <si>
    <t>Placeholder for other</t>
  </si>
  <si>
    <t>Process</t>
  </si>
  <si>
    <t>Value</t>
  </si>
  <si>
    <t>Unit</t>
  </si>
  <si>
    <t>extensions</t>
  </si>
  <si>
    <t>energy carrier</t>
  </si>
  <si>
    <t>unit</t>
  </si>
  <si>
    <t>diesel</t>
  </si>
  <si>
    <t>gasoline</t>
  </si>
  <si>
    <t>hydrogen</t>
  </si>
  <si>
    <t>g CO2e/kWh</t>
  </si>
  <si>
    <t>Overall</t>
  </si>
  <si>
    <t>kWh/100km</t>
  </si>
  <si>
    <t>kg CO2e/kg</t>
  </si>
  <si>
    <t>https://greet.es.anl.gov/files/vehicle_and_components_manufacturing</t>
  </si>
  <si>
    <t>Vehicle energy use, kWh/100km</t>
  </si>
  <si>
    <t>Energy carrier supply chain emission factors, g CO2e/kWh</t>
  </si>
  <si>
    <t>Material process emission factors, kg CO2e/kg</t>
  </si>
  <si>
    <t>Vehicle assembly GHG emission factors, kg CO2e</t>
  </si>
  <si>
    <t>Gasoline</t>
  </si>
  <si>
    <t>Diesel</t>
  </si>
  <si>
    <t>Hydrogen</t>
  </si>
  <si>
    <t>Vehicle material composition, kg</t>
  </si>
  <si>
    <t>virgin</t>
  </si>
  <si>
    <t>regular</t>
  </si>
  <si>
    <t>% reduction</t>
  </si>
  <si>
    <t>low-carbon</t>
  </si>
  <si>
    <t>kWh/kg vehicle</t>
  </si>
  <si>
    <t>Fuels</t>
  </si>
  <si>
    <t>Vehicle assembly energy factors, kWh/kg vehicle</t>
  </si>
  <si>
    <t>Vehicle assembly energy use, MJ</t>
  </si>
  <si>
    <t>MJ/kg vehicle</t>
  </si>
  <si>
    <t>kg</t>
  </si>
  <si>
    <t>coal</t>
  </si>
  <si>
    <t>electricity, global average</t>
  </si>
  <si>
    <t>vehicle assembly fossil fuel mix</t>
  </si>
  <si>
    <t>current</t>
  </si>
  <si>
    <t xml:space="preserve">Hydrogen </t>
  </si>
  <si>
    <t>Fossil fuel mix</t>
  </si>
  <si>
    <t>ICEV-g PC</t>
  </si>
  <si>
    <t>ICEV-g LT</t>
  </si>
  <si>
    <t>ICEV-d PC</t>
  </si>
  <si>
    <t>ICEV-d LT</t>
  </si>
  <si>
    <t>HEV PC</t>
  </si>
  <si>
    <t>HEV LT</t>
  </si>
  <si>
    <t>PHEV PC</t>
  </si>
  <si>
    <t>PHEV LT</t>
  </si>
  <si>
    <t>BEV PC</t>
  </si>
  <si>
    <t>BEV LT</t>
  </si>
  <si>
    <t>HFCEV PC</t>
  </si>
  <si>
    <t>HFCEV LT</t>
  </si>
  <si>
    <t>ICEV-g van/SUV</t>
  </si>
  <si>
    <t>ICEV-d van/SUV</t>
  </si>
  <si>
    <t>HEV van/SUV</t>
  </si>
  <si>
    <t>PHEV van/SUV</t>
  </si>
  <si>
    <t>BEV van/SUV</t>
  </si>
  <si>
    <t>HFCEV van/SUV</t>
  </si>
  <si>
    <t>ICEV-g micro</t>
  </si>
  <si>
    <t>ICEV-d micro</t>
  </si>
  <si>
    <t>HEV micro</t>
  </si>
  <si>
    <t>PHEV micro</t>
  </si>
  <si>
    <t>BEV micro</t>
  </si>
  <si>
    <t>HFCEV micro</t>
  </si>
  <si>
    <t xml:space="preserve">     …     </t>
  </si>
  <si>
    <t>check</t>
  </si>
  <si>
    <t>Source:</t>
  </si>
  <si>
    <t>natural gas</t>
  </si>
  <si>
    <t>GREET vehicle weights (only needed to scale vehicle assembly energy use)</t>
  </si>
  <si>
    <t>kWh</t>
  </si>
  <si>
    <t>Engine</t>
  </si>
  <si>
    <t>Motor</t>
  </si>
  <si>
    <t>Fuel cell</t>
  </si>
  <si>
    <t>Battery</t>
  </si>
  <si>
    <t>Tank</t>
  </si>
  <si>
    <t>Transmission</t>
  </si>
  <si>
    <t>Chassis</t>
  </si>
  <si>
    <t>Body</t>
  </si>
  <si>
    <t>Components weight</t>
  </si>
  <si>
    <t>HEV</t>
  </si>
  <si>
    <t>PHEV-20</t>
  </si>
  <si>
    <t>PHEV-40</t>
  </si>
  <si>
    <t>BEV</t>
  </si>
  <si>
    <t>Vehicle mass</t>
  </si>
  <si>
    <t>Battery mass</t>
  </si>
  <si>
    <t>Energy needed</t>
  </si>
  <si>
    <t>MJ</t>
  </si>
  <si>
    <t>kWh/kg</t>
  </si>
  <si>
    <t>Battery assembly energy use, kWh</t>
  </si>
  <si>
    <t>MJ-kWh</t>
  </si>
  <si>
    <t>PHEV</t>
  </si>
  <si>
    <t>Curb weight, kg</t>
  </si>
  <si>
    <t>Internal combustion engine power, kW</t>
  </si>
  <si>
    <t>Electric motor power, kW</t>
  </si>
  <si>
    <t>Fuel cell system power, kW</t>
  </si>
  <si>
    <t>Max. power output combined, kW</t>
  </si>
  <si>
    <t>Nominal battery capacity, kWh</t>
  </si>
  <si>
    <t>Battery power, kW</t>
  </si>
  <si>
    <t>Fuel/hydrogen tank capacity, kWh</t>
  </si>
  <si>
    <t>Fuel/hydrogen driving range, km</t>
  </si>
  <si>
    <t>Electric driving range, km</t>
  </si>
  <si>
    <t>Utility factor</t>
  </si>
  <si>
    <t>Energy consumption, kWh/100km</t>
  </si>
  <si>
    <t xml:space="preserve">   - on fuel/hydrogen</t>
  </si>
  <si>
    <t xml:space="preserve">   - on electricity</t>
  </si>
  <si>
    <t>Wheelbase, mm</t>
  </si>
  <si>
    <t>Length, mm</t>
  </si>
  <si>
    <t>Width, mm</t>
  </si>
  <si>
    <t>Width, inch</t>
  </si>
  <si>
    <t>Height, mm</t>
  </si>
  <si>
    <t>Height, inch</t>
  </si>
  <si>
    <t>Frontal area, m2</t>
  </si>
  <si>
    <t>Coefficient of drag</t>
  </si>
  <si>
    <t>Acceleration (0-60 mph), s</t>
  </si>
  <si>
    <t>Characteristics of archetypes</t>
  </si>
  <si>
    <t>MWh</t>
  </si>
  <si>
    <t>Driving energy</t>
  </si>
  <si>
    <t>Ratio battery production energy/driving energy</t>
  </si>
  <si>
    <t>GREET assumptions</t>
  </si>
  <si>
    <t>This work</t>
  </si>
  <si>
    <t>Battery mass (passenger car)</t>
  </si>
  <si>
    <t>Assumptions Ellingsen et al. (2014)</t>
  </si>
  <si>
    <t>MJ/kWh</t>
  </si>
  <si>
    <t>kWh/kWh</t>
  </si>
  <si>
    <t>Battery storage (passenger car)</t>
  </si>
  <si>
    <t>Energy needed using GREET assumptions</t>
  </si>
  <si>
    <t>Energy needed using Ellingsen's assumptions</t>
  </si>
  <si>
    <t>Vehicle assembly energy use, kWh</t>
  </si>
  <si>
    <t>Natural gas</t>
  </si>
  <si>
    <t>production of automotive steel, secondary</t>
  </si>
  <si>
    <t>production of stainless steel, secondary</t>
  </si>
  <si>
    <t>production of wrought Al, secondary</t>
  </si>
  <si>
    <t>production of cast Al, secondary</t>
  </si>
  <si>
    <t>Reduction of material emission factors from recycling</t>
  </si>
  <si>
    <t>production of cast iron, secondary</t>
  </si>
  <si>
    <t>production of copper electric grade, secondary</t>
  </si>
  <si>
    <t>production of plastics, secondary</t>
  </si>
  <si>
    <t>Vehicle material composition</t>
  </si>
  <si>
    <t>recycled</t>
  </si>
  <si>
    <t>Vehicle assembly mix</t>
  </si>
  <si>
    <t>Reuse energy factors, kWh/kg vehicle</t>
  </si>
  <si>
    <t>Recycled content</t>
  </si>
  <si>
    <t>Emission factors of recycled materials, kg CO2e/kg</t>
  </si>
  <si>
    <t>Assumed remanufacturing rates</t>
  </si>
  <si>
    <t>Reduction %</t>
  </si>
  <si>
    <t xml:space="preserve">Variable and fixed component masses </t>
  </si>
  <si>
    <t>Engine, fixed, kg</t>
  </si>
  <si>
    <t>Engine, variable, kg/kW</t>
  </si>
  <si>
    <t>Electric motor, fixed, kg</t>
  </si>
  <si>
    <t>Electric motor, variable, kg/kW</t>
  </si>
  <si>
    <t>Fuel cell system, fixed, kg</t>
  </si>
  <si>
    <t>Fuel cell system, variable, kg/kW</t>
  </si>
  <si>
    <t>Li-ion battery, fixed, kg</t>
  </si>
  <si>
    <t>Li-ion battery, variable, kg/kWh</t>
  </si>
  <si>
    <t>Fuel and tank, fixed, kg</t>
  </si>
  <si>
    <t>Fuel and tank, variable, kg/kWh</t>
  </si>
  <si>
    <t>Transmission, fixed, kg</t>
  </si>
  <si>
    <t>Transmission, variable, kg/kWh</t>
  </si>
  <si>
    <t>Bauer et al. (2015) The environmental performance of current and future passenger vehicles: Life Cycle Assessment based on a novel scenario analysis framework. Applied Energy.</t>
  </si>
  <si>
    <t>2019 Journal of Industrial Ecology – www.wileyonlinelibrary.com/journal/jie</t>
  </si>
  <si>
    <r>
      <t xml:space="preserve">           </t>
    </r>
    <r>
      <rPr>
        <sz val="10.5"/>
        <color rgb="FF000000"/>
        <rFont val="Arial Rounded MT Bold"/>
        <family val="2"/>
      </rPr>
      <t>SUPPORTING INFORMATION FOR:</t>
    </r>
  </si>
  <si>
    <r>
      <t xml:space="preserve">P. Wolfram, Q. Tu, N. Heeren, S. Pauliuk, E. Hertwich (2020). Material efficiency for immediate climate change mitigation of passenger vehicles. </t>
    </r>
    <r>
      <rPr>
        <i/>
        <sz val="14"/>
        <color rgb="FF000000"/>
        <rFont val="Arial"/>
        <family val="2"/>
      </rPr>
      <t xml:space="preserve">Journal of Industrial Ecology. </t>
    </r>
  </si>
  <si>
    <t xml:space="preserve">This supporting information provides all data points necessary to compute the results presented in this work. All data is described in section 2 of the manuscript. The data points can be used in conjunction with the provided MATLAB script to reproduce the presented results.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</si>
</sst>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color rgb="FF9C6500"/>
      <name val="Calibri"/>
      <family val="2"/>
      <scheme val="minor"/>
    </font>
    <font>
      <u/>
      <sz val="10"/>
      <name val="Arial"/>
      <family val="2"/>
    </font>
    <font>
      <sz val="14"/>
      <color rgb="FF000000"/>
      <name val="Arial"/>
      <family val="2"/>
    </font>
    <font>
      <sz val="10.5"/>
      <color rgb="FF000000"/>
      <name val="Arial Rounded MT Bold"/>
      <family val="2"/>
    </font>
    <font>
      <i/>
      <sz val="14"/>
      <color rgb="FF000000"/>
      <name val="Arial"/>
      <family val="2"/>
    </font>
    <font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6" borderId="4" applyNumberFormat="0" applyAlignment="0" applyProtection="0"/>
    <xf numFmtId="0" fontId="18" fillId="0" borderId="6" applyNumberFormat="0" applyFill="0" applyAlignment="0" applyProtection="0"/>
    <xf numFmtId="0" fontId="19" fillId="7" borderId="7" applyNumberFormat="0" applyAlignment="0" applyProtection="0"/>
    <xf numFmtId="0" fontId="8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2" fillId="0" borderId="0"/>
    <xf numFmtId="0" fontId="25" fillId="4" borderId="0" applyNumberFormat="0" applyBorder="0" applyAlignment="0" applyProtection="0"/>
    <xf numFmtId="0" fontId="21" fillId="12" borderId="0" applyNumberFormat="0" applyBorder="0" applyAlignment="0" applyProtection="0"/>
    <xf numFmtId="0" fontId="21" fillId="16" borderId="0" applyNumberFormat="0" applyBorder="0" applyAlignment="0" applyProtection="0"/>
    <xf numFmtId="0" fontId="21" fillId="20" borderId="0" applyNumberFormat="0" applyBorder="0" applyAlignment="0" applyProtection="0"/>
    <xf numFmtId="0" fontId="21" fillId="24" borderId="0" applyNumberFormat="0" applyBorder="0" applyAlignment="0" applyProtection="0"/>
    <xf numFmtId="0" fontId="21" fillId="28" borderId="0" applyNumberFormat="0" applyBorder="0" applyAlignment="0" applyProtection="0"/>
    <xf numFmtId="0" fontId="21" fillId="32" borderId="0" applyNumberFormat="0" applyBorder="0" applyAlignment="0" applyProtection="0"/>
  </cellStyleXfs>
  <cellXfs count="51">
    <xf numFmtId="0" fontId="0" fillId="0" borderId="0" xfId="0"/>
    <xf numFmtId="2" fontId="0" fillId="0" borderId="0" xfId="0" applyNumberFormat="1"/>
    <xf numFmtId="0" fontId="3" fillId="0" borderId="0" xfId="0" applyFont="1" applyAlignment="1">
      <alignment horizontal="center" vertical="top"/>
    </xf>
    <xf numFmtId="1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0" fillId="0" borderId="0" xfId="0" applyFont="1" applyFill="1"/>
    <xf numFmtId="0" fontId="6" fillId="0" borderId="0" xfId="3" applyFill="1"/>
    <xf numFmtId="1" fontId="0" fillId="0" borderId="0" xfId="0" applyNumberFormat="1" applyFill="1"/>
    <xf numFmtId="9" fontId="0" fillId="0" borderId="0" xfId="2" applyFont="1"/>
    <xf numFmtId="2" fontId="0" fillId="0" borderId="0" xfId="2" applyNumberFormat="1" applyFont="1"/>
    <xf numFmtId="9" fontId="0" fillId="0" borderId="0" xfId="0" applyNumberFormat="1"/>
    <xf numFmtId="164" fontId="0" fillId="0" borderId="0" xfId="1" applyNumberFormat="1" applyFont="1" applyFill="1"/>
    <xf numFmtId="2" fontId="0" fillId="0" borderId="0" xfId="1" applyNumberFormat="1" applyFont="1" applyFill="1"/>
    <xf numFmtId="0" fontId="0" fillId="0" borderId="0" xfId="0" applyFont="1"/>
    <xf numFmtId="1" fontId="0" fillId="0" borderId="0" xfId="0" applyNumberFormat="1" applyFont="1"/>
    <xf numFmtId="1" fontId="0" fillId="0" borderId="0" xfId="1" applyNumberFormat="1" applyFont="1"/>
    <xf numFmtId="2" fontId="0" fillId="0" borderId="0" xfId="0" applyNumberFormat="1" applyFont="1"/>
    <xf numFmtId="0" fontId="7" fillId="0" borderId="0" xfId="0" applyFont="1"/>
    <xf numFmtId="166" fontId="0" fillId="0" borderId="0" xfId="1" applyNumberFormat="1" applyFont="1"/>
    <xf numFmtId="43" fontId="0" fillId="0" borderId="0" xfId="1" applyNumberFormat="1" applyFont="1"/>
    <xf numFmtId="166" fontId="0" fillId="0" borderId="0" xfId="0" applyNumberFormat="1"/>
    <xf numFmtId="9" fontId="2" fillId="0" borderId="0" xfId="2" applyFont="1"/>
    <xf numFmtId="0" fontId="8" fillId="0" borderId="0" xfId="0" applyFont="1"/>
    <xf numFmtId="165" fontId="0" fillId="0" borderId="0" xfId="0" applyNumberFormat="1" applyFont="1"/>
    <xf numFmtId="165" fontId="0" fillId="0" borderId="0" xfId="0" applyNumberFormat="1" applyFill="1"/>
    <xf numFmtId="1" fontId="8" fillId="0" borderId="0" xfId="0" applyNumberFormat="1" applyFont="1"/>
    <xf numFmtId="0" fontId="23" fillId="0" borderId="0" xfId="38" applyFont="1"/>
    <xf numFmtId="0" fontId="22" fillId="0" borderId="0" xfId="38"/>
    <xf numFmtId="2" fontId="22" fillId="0" borderId="0" xfId="38" applyNumberFormat="1"/>
    <xf numFmtId="0" fontId="22" fillId="0" borderId="0" xfId="38" applyBorder="1"/>
    <xf numFmtId="0" fontId="22" fillId="0" borderId="0" xfId="38" applyFill="1" applyBorder="1"/>
    <xf numFmtId="0" fontId="22" fillId="0" borderId="0" xfId="38" applyBorder="1" applyAlignment="1">
      <alignment textRotation="45"/>
    </xf>
    <xf numFmtId="0" fontId="22" fillId="0" borderId="0" xfId="38" applyFont="1" applyFill="1" applyBorder="1"/>
    <xf numFmtId="0" fontId="24" fillId="0" borderId="0" xfId="38" applyFont="1" applyFill="1" applyBorder="1" applyAlignment="1">
      <alignment textRotation="45"/>
    </xf>
    <xf numFmtId="0" fontId="2" fillId="0" borderId="0" xfId="0" applyFont="1" applyAlignment="1">
      <alignment textRotation="45"/>
    </xf>
    <xf numFmtId="0" fontId="30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center" wrapText="1"/>
    </xf>
    <xf numFmtId="0" fontId="0" fillId="0" borderId="0" xfId="0"/>
    <xf numFmtId="0" fontId="26" fillId="0" borderId="0" xfId="0" applyFont="1" applyAlignment="1">
      <alignment vertical="center"/>
    </xf>
    <xf numFmtId="0" fontId="6" fillId="0" borderId="0" xfId="3" applyAlignment="1">
      <alignment vertical="center"/>
    </xf>
    <xf numFmtId="0" fontId="22" fillId="0" borderId="0" xfId="0" applyFont="1"/>
    <xf numFmtId="0" fontId="27" fillId="0" borderId="0" xfId="0" applyFont="1" applyAlignment="1">
      <alignment vertical="center"/>
    </xf>
    <xf numFmtId="0" fontId="27" fillId="0" borderId="0" xfId="0" applyFont="1" applyAlignment="1">
      <alignment vertical="center" wrapText="1"/>
    </xf>
    <xf numFmtId="0" fontId="30" fillId="0" borderId="0" xfId="0" applyFont="1" applyAlignment="1">
      <alignment vertical="top" wrapText="1"/>
    </xf>
  </cellXfs>
  <cellStyles count="46">
    <cellStyle name="20% - Accent1" xfId="21" builtinId="30" customBuiltin="1"/>
    <cellStyle name="20% - Accent2" xfId="24" builtinId="34" customBuiltin="1"/>
    <cellStyle name="20% - Accent3" xfId="27" builtinId="38" customBuiltin="1"/>
    <cellStyle name="20% - Accent4" xfId="30" builtinId="42" customBuiltin="1"/>
    <cellStyle name="20% - Accent5" xfId="33" builtinId="46" customBuiltin="1"/>
    <cellStyle name="20% - Accent6" xfId="36" builtinId="50" customBuiltin="1"/>
    <cellStyle name="40% - Accent1" xfId="22" builtinId="31" customBuiltin="1"/>
    <cellStyle name="40% - Accent2" xfId="25" builtinId="35" customBuiltin="1"/>
    <cellStyle name="40% - Accent3" xfId="28" builtinId="39" customBuiltin="1"/>
    <cellStyle name="40% - Accent4" xfId="31" builtinId="43" customBuiltin="1"/>
    <cellStyle name="40% - Accent5" xfId="34" builtinId="47" customBuiltin="1"/>
    <cellStyle name="40% - Accent6" xfId="37" builtinId="51" customBuiltin="1"/>
    <cellStyle name="60% - Accent1 2" xfId="40" xr:uid="{C0EB74D5-DF7A-427F-A024-0AE6E83F91CE}"/>
    <cellStyle name="60% - Accent2 2" xfId="41" xr:uid="{30BF60E5-3ADD-4882-A23C-0EDE0AFA7D43}"/>
    <cellStyle name="60% - Accent3 2" xfId="42" xr:uid="{E8D195F8-8073-461D-B438-3485AFC53D22}"/>
    <cellStyle name="60% - Accent4 2" xfId="43" xr:uid="{B6F76DA4-50B7-47AF-BD15-43FFFD0DF878}"/>
    <cellStyle name="60% - Accent5 2" xfId="44" xr:uid="{C972CFDF-128C-4480-9F64-6CB1FA885443}"/>
    <cellStyle name="60% - Accent6 2" xfId="45" xr:uid="{CD4F94C1-7594-446B-9E8F-5233C41843DC}"/>
    <cellStyle name="Accent1" xfId="20" builtinId="29" customBuiltin="1"/>
    <cellStyle name="Accent2" xfId="23" builtinId="33" customBuiltin="1"/>
    <cellStyle name="Accent3" xfId="26" builtinId="37" customBuiltin="1"/>
    <cellStyle name="Accent4" xfId="29" builtinId="41" customBuiltin="1"/>
    <cellStyle name="Accent5" xfId="32" builtinId="45" customBuiltin="1"/>
    <cellStyle name="Accent6" xfId="35" builtinId="49" customBuiltin="1"/>
    <cellStyle name="Bad" xfId="10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3" builtinId="8"/>
    <cellStyle name="Input" xfId="11" builtinId="20" customBuiltin="1"/>
    <cellStyle name="Linked Cell" xfId="14" builtinId="24" customBuiltin="1"/>
    <cellStyle name="Neutral 2" xfId="39" xr:uid="{1CB1B188-A4F5-40D7-AF2E-0E79FD8D3196}"/>
    <cellStyle name="Normal" xfId="0" builtinId="0"/>
    <cellStyle name="Normal 2" xfId="38" xr:uid="{2F087C9A-EFDB-4955-BC48-12D2AB0776EB}"/>
    <cellStyle name="Note" xfId="17" builtinId="10" customBuiltin="1"/>
    <cellStyle name="Output" xfId="12" builtinId="21" customBuiltin="1"/>
    <cellStyle name="Percent" xfId="2" builtinId="5"/>
    <cellStyle name="Title" xfId="4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ileyonlinelibrary.com/journal/jie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reet.es.anl.gov/files/vehicle_and_components_manufacturing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4BF91-46A6-461E-905F-BD1C06F4AB54}">
  <dimension ref="A1:J11"/>
  <sheetViews>
    <sheetView tabSelected="1" workbookViewId="0">
      <selection activeCell="E12" sqref="E12"/>
    </sheetView>
  </sheetViews>
  <sheetFormatPr defaultRowHeight="14.6"/>
  <sheetData>
    <row r="1" spans="1:10">
      <c r="A1" s="46" t="s">
        <v>177</v>
      </c>
      <c r="B1" s="45"/>
      <c r="C1" s="45"/>
      <c r="D1" s="45"/>
      <c r="E1" s="45"/>
      <c r="F1" s="45"/>
      <c r="G1" s="45"/>
      <c r="H1" s="47"/>
      <c r="I1" s="47"/>
      <c r="J1" s="47"/>
    </row>
    <row r="2" spans="1:10">
      <c r="A2" s="47"/>
      <c r="B2" s="47"/>
      <c r="C2" s="47"/>
      <c r="D2" s="47"/>
      <c r="E2" s="47"/>
      <c r="F2" s="47"/>
      <c r="G2" s="47"/>
      <c r="H2" s="47"/>
      <c r="I2" s="47"/>
      <c r="J2" s="47"/>
    </row>
    <row r="3" spans="1:10" ht="17.600000000000001">
      <c r="A3" s="48" t="s">
        <v>178</v>
      </c>
      <c r="B3" s="47"/>
      <c r="C3" s="47"/>
      <c r="D3" s="47"/>
      <c r="E3" s="47"/>
      <c r="F3" s="47"/>
      <c r="G3" s="47"/>
      <c r="H3" s="47"/>
      <c r="I3" s="47"/>
      <c r="J3" s="47"/>
    </row>
    <row r="4" spans="1:10" ht="17.600000000000001">
      <c r="A4" s="48"/>
      <c r="B4" s="47"/>
      <c r="C4" s="47"/>
      <c r="D4" s="47"/>
      <c r="E4" s="47"/>
      <c r="F4" s="47"/>
      <c r="G4" s="47"/>
      <c r="H4" s="47"/>
      <c r="I4" s="47"/>
      <c r="J4" s="47"/>
    </row>
    <row r="5" spans="1:10" ht="17.600000000000001">
      <c r="A5" s="43" t="s">
        <v>179</v>
      </c>
      <c r="B5" s="43"/>
      <c r="C5" s="43"/>
      <c r="D5" s="43"/>
      <c r="E5" s="43"/>
      <c r="F5" s="43"/>
      <c r="G5" s="43"/>
      <c r="H5" s="43"/>
      <c r="I5" s="43"/>
      <c r="J5" s="49"/>
    </row>
    <row r="6" spans="1:10" ht="37.299999999999997" customHeight="1">
      <c r="A6" s="43"/>
      <c r="B6" s="43"/>
      <c r="C6" s="43"/>
      <c r="D6" s="43"/>
      <c r="E6" s="43"/>
      <c r="F6" s="43"/>
      <c r="G6" s="43"/>
      <c r="H6" s="43"/>
      <c r="I6" s="43"/>
      <c r="J6" s="44"/>
    </row>
    <row r="7" spans="1:10">
      <c r="A7" s="47"/>
      <c r="B7" s="47"/>
      <c r="C7" s="47"/>
      <c r="D7" s="47"/>
      <c r="E7" s="47"/>
      <c r="F7" s="47"/>
      <c r="G7" s="47"/>
      <c r="H7" s="47"/>
      <c r="I7" s="47"/>
      <c r="J7" s="47"/>
    </row>
    <row r="8" spans="1:10">
      <c r="A8" s="42" t="s">
        <v>180</v>
      </c>
      <c r="B8" s="42"/>
      <c r="C8" s="42"/>
      <c r="D8" s="42"/>
      <c r="E8" s="42"/>
      <c r="F8" s="42"/>
      <c r="G8" s="42"/>
      <c r="H8" s="42"/>
      <c r="I8" s="50"/>
      <c r="J8" s="50"/>
    </row>
    <row r="9" spans="1:10" ht="48" customHeight="1">
      <c r="A9" s="42"/>
      <c r="B9" s="42"/>
      <c r="C9" s="42"/>
      <c r="D9" s="42"/>
      <c r="E9" s="42"/>
      <c r="F9" s="42"/>
      <c r="G9" s="42"/>
      <c r="H9" s="42"/>
      <c r="I9" s="50"/>
      <c r="J9" s="50"/>
    </row>
    <row r="10" spans="1:10">
      <c r="A10" s="50"/>
      <c r="B10" s="50"/>
      <c r="C10" s="50"/>
      <c r="D10" s="50"/>
      <c r="E10" s="50"/>
      <c r="F10" s="50"/>
      <c r="G10" s="50"/>
      <c r="H10" s="50"/>
      <c r="I10" s="50"/>
      <c r="J10" s="50"/>
    </row>
    <row r="11" spans="1:10">
      <c r="A11" s="50"/>
      <c r="B11" s="50"/>
      <c r="C11" s="50"/>
      <c r="D11" s="50"/>
      <c r="E11" s="50"/>
      <c r="F11" s="50"/>
      <c r="G11" s="50"/>
      <c r="H11" s="50"/>
      <c r="I11" s="50"/>
      <c r="J11" s="50"/>
    </row>
  </sheetData>
  <mergeCells count="2">
    <mergeCell ref="A8:H9"/>
    <mergeCell ref="A5:I6"/>
  </mergeCells>
  <hyperlinks>
    <hyperlink ref="A1" r:id="rId1" display="2017 Journal of Industrial Ecology – www.wileyonlinelibrary.com/journal/jie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861F9-E5CE-4AF2-9C17-5BAA428837EF}">
  <sheetPr codeName="Sheet16"/>
  <dimension ref="A1:F22"/>
  <sheetViews>
    <sheetView zoomScale="60" zoomScaleNormal="60" workbookViewId="0">
      <pane xSplit="3" ySplit="3" topLeftCell="D4" activePane="bottomRight" state="frozen"/>
      <selection pane="topRight" activeCell="E1" sqref="E1"/>
      <selection pane="bottomLeft" activeCell="A3" sqref="A3"/>
      <selection pane="bottomRight" activeCell="E10" sqref="E10"/>
    </sheetView>
  </sheetViews>
  <sheetFormatPr defaultRowHeight="14.6"/>
  <cols>
    <col min="1" max="1" width="41.69140625" bestFit="1" customWidth="1"/>
    <col min="2" max="2" width="24.84375" bestFit="1" customWidth="1"/>
    <col min="3" max="3" width="6" bestFit="1" customWidth="1"/>
    <col min="4" max="4" width="9.15234375" bestFit="1" customWidth="1"/>
  </cols>
  <sheetData>
    <row r="1" spans="1:6" ht="18.45">
      <c r="A1" s="6" t="s">
        <v>160</v>
      </c>
    </row>
    <row r="2" spans="1:6" ht="18.45">
      <c r="A2" s="6"/>
    </row>
    <row r="3" spans="1:6">
      <c r="B3" s="2"/>
      <c r="C3" s="2"/>
      <c r="D3" s="7" t="s">
        <v>43</v>
      </c>
      <c r="E3" s="5" t="s">
        <v>45</v>
      </c>
      <c r="F3" t="s">
        <v>44</v>
      </c>
    </row>
    <row r="4" spans="1:6">
      <c r="A4" t="s">
        <v>147</v>
      </c>
      <c r="B4" t="s">
        <v>8</v>
      </c>
      <c r="C4" t="s">
        <v>9</v>
      </c>
      <c r="D4" s="1">
        <f>Mat_EF!D4*(1-'Mat_EF_rec_%'!D4)</f>
        <v>0.98209938880000003</v>
      </c>
      <c r="E4" s="1">
        <f>Mat_EF!E4*(1-'Mat_EF_rec_%'!E4)</f>
        <v>0.8179287004000001</v>
      </c>
      <c r="F4" s="15">
        <f>1-(E4/D4)</f>
        <v>0.16716300842076237</v>
      </c>
    </row>
    <row r="5" spans="1:6">
      <c r="A5" t="s">
        <v>148</v>
      </c>
      <c r="B5" t="s">
        <v>8</v>
      </c>
      <c r="C5" t="s">
        <v>9</v>
      </c>
      <c r="D5" s="1">
        <f>Mat_EF!D5*(1-'Mat_EF_rec_%'!D5)</f>
        <v>1.8684512324</v>
      </c>
      <c r="E5" s="1">
        <f>Mat_EF!E5*(1-'Mat_EF_rec_%'!E5)</f>
        <v>1.2876109112</v>
      </c>
      <c r="F5" s="15">
        <f t="shared" ref="F5:F11" si="0">1-(E5/D5)</f>
        <v>0.31086726328624514</v>
      </c>
    </row>
    <row r="6" spans="1:6">
      <c r="A6" t="s">
        <v>152</v>
      </c>
      <c r="B6" t="s">
        <v>8</v>
      </c>
      <c r="C6" t="s">
        <v>9</v>
      </c>
      <c r="D6" s="1">
        <f>Mat_EF!D6*(1-'Mat_EF_rec_%'!D6)</f>
        <v>0.61429754166817963</v>
      </c>
      <c r="E6" s="1">
        <f>Mat_EF!E6*(1-'Mat_EF_rec_%'!E6)</f>
        <v>0.57422750075848783</v>
      </c>
      <c r="F6" s="15">
        <f t="shared" si="0"/>
        <v>6.5229043243243412E-2</v>
      </c>
    </row>
    <row r="7" spans="1:6">
      <c r="A7" t="s">
        <v>149</v>
      </c>
      <c r="B7" t="s">
        <v>8</v>
      </c>
      <c r="C7" t="s">
        <v>9</v>
      </c>
      <c r="D7" s="1">
        <f>Mat_EF!D7*(1-'Mat_EF_rec_%'!D7)</f>
        <v>1.7850000000000004</v>
      </c>
      <c r="E7" s="1">
        <f>Mat_EF!E7*(1-'Mat_EF_rec_%'!E7)</f>
        <v>0.7199999999999972</v>
      </c>
      <c r="F7" s="15">
        <f t="shared" si="0"/>
        <v>0.59663865546218653</v>
      </c>
    </row>
    <row r="8" spans="1:6">
      <c r="A8" t="s">
        <v>150</v>
      </c>
      <c r="B8" t="s">
        <v>8</v>
      </c>
      <c r="C8" t="s">
        <v>9</v>
      </c>
      <c r="D8" s="1">
        <f>Mat_EF!D8*(1-'Mat_EF_rec_%'!D8)</f>
        <v>1.7850000000000004</v>
      </c>
      <c r="E8" s="1">
        <f>Mat_EF!E8*(1-'Mat_EF_rec_%'!E8)</f>
        <v>0.7199999999999972</v>
      </c>
      <c r="F8" s="15">
        <f t="shared" si="0"/>
        <v>0.59663865546218653</v>
      </c>
    </row>
    <row r="9" spans="1:6">
      <c r="A9" t="s">
        <v>153</v>
      </c>
      <c r="B9" t="s">
        <v>8</v>
      </c>
      <c r="C9" t="s">
        <v>9</v>
      </c>
      <c r="D9" s="1">
        <v>1</v>
      </c>
      <c r="E9" s="1">
        <v>0.51</v>
      </c>
      <c r="F9" s="15">
        <f t="shared" si="0"/>
        <v>0.49</v>
      </c>
    </row>
    <row r="10" spans="1:6">
      <c r="A10" t="s">
        <v>154</v>
      </c>
      <c r="B10" t="s">
        <v>8</v>
      </c>
      <c r="C10" t="s">
        <v>9</v>
      </c>
      <c r="D10" s="1">
        <v>1.4</v>
      </c>
      <c r="E10" s="1">
        <f>D10*(1-Mat_EF!F10)</f>
        <v>1.3915337186712025</v>
      </c>
      <c r="F10" s="15">
        <f t="shared" si="0"/>
        <v>6.0473438062839113E-3</v>
      </c>
    </row>
    <row r="11" spans="1:6">
      <c r="A11" t="s">
        <v>19</v>
      </c>
      <c r="B11" t="s">
        <v>8</v>
      </c>
      <c r="C11" t="s">
        <v>9</v>
      </c>
      <c r="D11" s="1">
        <f>Mat_EF!D11*(1-'Mat_EF_rec_%'!D11)</f>
        <v>2</v>
      </c>
      <c r="E11" s="1">
        <f>Mat_EF!E11*(1-'Mat_EF_rec_%'!E11)</f>
        <v>2</v>
      </c>
      <c r="F11" s="15">
        <f t="shared" si="0"/>
        <v>0</v>
      </c>
    </row>
    <row r="13" spans="1:6">
      <c r="D13" s="1"/>
    </row>
    <row r="14" spans="1:6">
      <c r="D14" s="1"/>
    </row>
    <row r="22" spans="1:1">
      <c r="A22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D217F-1AD8-46CB-810B-FB676A2A5500}">
  <sheetPr codeName="Sheet17"/>
  <dimension ref="A1:F22"/>
  <sheetViews>
    <sheetView zoomScale="60" zoomScaleNormal="60" workbookViewId="0">
      <pane xSplit="3" ySplit="3" topLeftCell="D4" activePane="bottomRight" state="frozen"/>
      <selection pane="topRight" activeCell="E1" sqref="E1"/>
      <selection pane="bottomLeft" activeCell="A3" sqref="A3"/>
      <selection pane="bottomRight" activeCell="H27" sqref="H27"/>
    </sheetView>
  </sheetViews>
  <sheetFormatPr defaultRowHeight="14.6"/>
  <cols>
    <col min="1" max="1" width="41.69140625" bestFit="1" customWidth="1"/>
    <col min="2" max="2" width="24.84375" bestFit="1" customWidth="1"/>
    <col min="3" max="3" width="6" bestFit="1" customWidth="1"/>
    <col min="4" max="4" width="9.15234375" bestFit="1" customWidth="1"/>
  </cols>
  <sheetData>
    <row r="1" spans="1:6" ht="18.45">
      <c r="A1" s="6" t="s">
        <v>36</v>
      </c>
    </row>
    <row r="2" spans="1:6" ht="18.45">
      <c r="A2" s="6"/>
    </row>
    <row r="3" spans="1:6">
      <c r="B3" s="2"/>
      <c r="C3" s="2"/>
      <c r="D3" s="7" t="s">
        <v>43</v>
      </c>
      <c r="E3" s="5" t="s">
        <v>45</v>
      </c>
      <c r="F3" t="s">
        <v>162</v>
      </c>
    </row>
    <row r="4" spans="1:6">
      <c r="A4" t="s">
        <v>10</v>
      </c>
      <c r="B4" t="s">
        <v>8</v>
      </c>
      <c r="C4" t="s">
        <v>9</v>
      </c>
      <c r="D4" s="1">
        <v>2.4552484720000001</v>
      </c>
      <c r="E4" s="1">
        <v>2.0448217510000002</v>
      </c>
      <c r="F4" s="15">
        <f>(D4-E4)/D4</f>
        <v>0.16716300842076234</v>
      </c>
    </row>
    <row r="5" spans="1:6">
      <c r="A5" t="s">
        <v>16</v>
      </c>
      <c r="B5" t="s">
        <v>8</v>
      </c>
      <c r="C5" t="s">
        <v>9</v>
      </c>
      <c r="D5" s="1">
        <v>4.671128081</v>
      </c>
      <c r="E5" s="1">
        <v>3.219027278</v>
      </c>
      <c r="F5" s="15">
        <f t="shared" ref="F5:F11" si="0">(D5-E5)/D5</f>
        <v>0.31086726328624514</v>
      </c>
    </row>
    <row r="6" spans="1:6">
      <c r="A6" t="s">
        <v>15</v>
      </c>
      <c r="B6" t="s">
        <v>8</v>
      </c>
      <c r="C6" t="s">
        <v>9</v>
      </c>
      <c r="D6" s="1">
        <v>1.85</v>
      </c>
      <c r="E6" s="1">
        <v>1.7293262700000001</v>
      </c>
      <c r="F6" s="15">
        <f t="shared" si="0"/>
        <v>6.5229043243243259E-2</v>
      </c>
    </row>
    <row r="7" spans="1:6">
      <c r="A7" t="s">
        <v>11</v>
      </c>
      <c r="B7" t="s">
        <v>8</v>
      </c>
      <c r="C7" t="s">
        <v>9</v>
      </c>
      <c r="D7" s="1">
        <v>11.9</v>
      </c>
      <c r="E7" s="1">
        <v>4.7999999999999803</v>
      </c>
      <c r="F7" s="15">
        <f t="shared" si="0"/>
        <v>0.59663865546218653</v>
      </c>
    </row>
    <row r="8" spans="1:6">
      <c r="A8" t="s">
        <v>14</v>
      </c>
      <c r="B8" t="s">
        <v>8</v>
      </c>
      <c r="C8" t="s">
        <v>9</v>
      </c>
      <c r="D8" s="1">
        <v>11.9</v>
      </c>
      <c r="E8" s="1">
        <v>4.7999999999999803</v>
      </c>
      <c r="F8" s="15">
        <f t="shared" si="0"/>
        <v>0.59663865546218653</v>
      </c>
    </row>
    <row r="9" spans="1:6">
      <c r="A9" t="s">
        <v>12</v>
      </c>
      <c r="B9" t="s">
        <v>8</v>
      </c>
      <c r="C9" t="s">
        <v>9</v>
      </c>
      <c r="D9" s="1">
        <v>5.2219937659999998</v>
      </c>
      <c r="E9" s="1">
        <v>2.6678178749999999</v>
      </c>
      <c r="F9" s="15">
        <f t="shared" si="0"/>
        <v>0.4891189084962228</v>
      </c>
    </row>
    <row r="10" spans="1:6">
      <c r="A10" t="s">
        <v>13</v>
      </c>
      <c r="B10" t="s">
        <v>8</v>
      </c>
      <c r="C10" t="s">
        <v>9</v>
      </c>
      <c r="D10" s="1">
        <v>2.126358185</v>
      </c>
      <c r="E10" s="1">
        <v>2.1134993659999992</v>
      </c>
      <c r="F10" s="15">
        <f t="shared" si="0"/>
        <v>6.047343806283861E-3</v>
      </c>
    </row>
    <row r="11" spans="1:6">
      <c r="A11" t="s">
        <v>19</v>
      </c>
      <c r="B11" t="s">
        <v>8</v>
      </c>
      <c r="C11" t="s">
        <v>9</v>
      </c>
      <c r="D11" s="1">
        <v>2</v>
      </c>
      <c r="E11" s="1">
        <v>2</v>
      </c>
      <c r="F11" s="15">
        <f t="shared" si="0"/>
        <v>0</v>
      </c>
    </row>
    <row r="13" spans="1:6">
      <c r="D13" s="1"/>
    </row>
    <row r="14" spans="1:6">
      <c r="D14" s="1"/>
    </row>
    <row r="22" spans="1:1">
      <c r="A22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0D140-6EE9-41A3-9E5A-3A90050D3258}">
  <sheetPr codeName="Sheet3"/>
  <dimension ref="A1:E10"/>
  <sheetViews>
    <sheetView zoomScale="60" zoomScaleNormal="6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5" sqref="D15"/>
    </sheetView>
  </sheetViews>
  <sheetFormatPr defaultRowHeight="14.6"/>
  <cols>
    <col min="1" max="1" width="24.84375" customWidth="1"/>
    <col min="2" max="2" width="26.3828125" bestFit="1" customWidth="1"/>
    <col min="4" max="4" width="14.61328125" bestFit="1" customWidth="1"/>
    <col min="5" max="5" width="12.61328125" customWidth="1"/>
  </cols>
  <sheetData>
    <row r="1" spans="1:5" ht="18.45">
      <c r="A1" s="6" t="s">
        <v>35</v>
      </c>
    </row>
    <row r="3" spans="1:5" s="5" customFormat="1">
      <c r="A3" s="5" t="s">
        <v>23</v>
      </c>
      <c r="B3" s="5" t="s">
        <v>24</v>
      </c>
      <c r="C3" s="5" t="s">
        <v>55</v>
      </c>
      <c r="D3" s="5" t="s">
        <v>45</v>
      </c>
      <c r="E3" s="5" t="s">
        <v>25</v>
      </c>
    </row>
    <row r="4" spans="1:5" s="5" customFormat="1">
      <c r="A4" s="20" t="s">
        <v>8</v>
      </c>
      <c r="B4" s="20" t="s">
        <v>53</v>
      </c>
      <c r="C4" s="21">
        <v>750</v>
      </c>
      <c r="D4" s="20">
        <v>60</v>
      </c>
      <c r="E4" s="12" t="s">
        <v>29</v>
      </c>
    </row>
    <row r="5" spans="1:5" s="5" customFormat="1">
      <c r="A5" s="20" t="s">
        <v>8</v>
      </c>
      <c r="B5" s="20" t="s">
        <v>54</v>
      </c>
      <c r="C5" s="21">
        <f>C4*0.51+C9*0.46+C10*0.03</f>
        <v>502.66490400000009</v>
      </c>
      <c r="D5" s="21">
        <f>D4*0.51+D9*0.46+D10*0.03</f>
        <v>150.65</v>
      </c>
      <c r="E5" s="12" t="s">
        <v>29</v>
      </c>
    </row>
    <row r="6" spans="1:5" s="5" customFormat="1">
      <c r="A6" s="20" t="s">
        <v>8</v>
      </c>
      <c r="B6" s="20" t="s">
        <v>28</v>
      </c>
      <c r="C6" s="21">
        <v>460</v>
      </c>
      <c r="D6" s="21">
        <v>460</v>
      </c>
      <c r="E6" s="12" t="s">
        <v>29</v>
      </c>
    </row>
    <row r="7" spans="1:5" s="5" customFormat="1">
      <c r="A7" s="20" t="s">
        <v>8</v>
      </c>
      <c r="B7" s="20" t="s">
        <v>27</v>
      </c>
      <c r="C7" s="21">
        <v>327.60694292576358</v>
      </c>
      <c r="D7" s="21">
        <f>C7</f>
        <v>327.60694292576358</v>
      </c>
      <c r="E7" s="12" t="s">
        <v>29</v>
      </c>
    </row>
    <row r="8" spans="1:5" s="5" customFormat="1">
      <c r="A8" s="20" t="s">
        <v>8</v>
      </c>
      <c r="B8" s="20" t="s">
        <v>26</v>
      </c>
      <c r="C8" s="14">
        <v>304</v>
      </c>
      <c r="D8" s="21">
        <v>304</v>
      </c>
      <c r="E8" s="12" t="s">
        <v>29</v>
      </c>
    </row>
    <row r="9" spans="1:5" s="5" customFormat="1">
      <c r="A9" s="20" t="s">
        <v>8</v>
      </c>
      <c r="B9" s="20" t="s">
        <v>85</v>
      </c>
      <c r="C9" s="21">
        <v>218.24639999999999</v>
      </c>
      <c r="D9" s="21">
        <v>218</v>
      </c>
      <c r="E9" s="12" t="s">
        <v>29</v>
      </c>
    </row>
    <row r="10" spans="1:5" s="5" customFormat="1">
      <c r="A10" s="20" t="s">
        <v>8</v>
      </c>
      <c r="B10" s="20" t="s">
        <v>52</v>
      </c>
      <c r="C10" s="21">
        <v>659.05200000000184</v>
      </c>
      <c r="D10" s="21">
        <v>659</v>
      </c>
      <c r="E10" s="12" t="s">
        <v>29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8E44-8EDA-4361-967E-FF748C12E663}">
  <sheetPr codeName="Sheet5"/>
  <dimension ref="A1:I51"/>
  <sheetViews>
    <sheetView zoomScale="60" zoomScaleNormal="60" workbookViewId="0">
      <pane xSplit="1" ySplit="3" topLeftCell="B25" activePane="bottomRight" state="frozen"/>
      <selection pane="topRight" activeCell="D1" sqref="D1"/>
      <selection pane="bottomLeft" activeCell="A4" sqref="A4"/>
      <selection pane="bottomRight" activeCell="G37" sqref="G37"/>
    </sheetView>
  </sheetViews>
  <sheetFormatPr defaultRowHeight="14.6"/>
  <cols>
    <col min="1" max="1" width="37.23046875" bestFit="1" customWidth="1"/>
    <col min="2" max="7" width="8.69140625" customWidth="1"/>
    <col min="8" max="8" width="9.23046875" customWidth="1"/>
    <col min="9" max="9" width="10.69140625" bestFit="1" customWidth="1"/>
  </cols>
  <sheetData>
    <row r="1" spans="1:9" ht="18.45">
      <c r="A1" s="6" t="s">
        <v>34</v>
      </c>
      <c r="B1" s="6"/>
      <c r="C1" s="6"/>
      <c r="D1" s="6"/>
      <c r="E1" s="6"/>
      <c r="F1" s="6"/>
      <c r="G1" s="6"/>
    </row>
    <row r="2" spans="1:9" ht="18.45">
      <c r="A2" s="6"/>
      <c r="B2" s="24"/>
      <c r="C2" s="6"/>
      <c r="D2" s="6"/>
      <c r="E2" s="6"/>
      <c r="F2" s="6"/>
      <c r="G2" s="6"/>
    </row>
    <row r="3" spans="1:9">
      <c r="B3" s="5" t="s">
        <v>0</v>
      </c>
      <c r="C3" s="5" t="s">
        <v>157</v>
      </c>
      <c r="D3" s="5" t="s">
        <v>40</v>
      </c>
      <c r="E3" s="5" t="s">
        <v>38</v>
      </c>
      <c r="F3" s="5" t="s">
        <v>39</v>
      </c>
      <c r="G3" s="5" t="s">
        <v>146</v>
      </c>
      <c r="H3" s="5" t="s">
        <v>30</v>
      </c>
      <c r="I3" s="5" t="s">
        <v>22</v>
      </c>
    </row>
    <row r="4" spans="1:9">
      <c r="A4" t="str">
        <f>'Mat_com_%'!A4</f>
        <v>ICEV-g micro</v>
      </c>
      <c r="B4" s="1">
        <v>0</v>
      </c>
      <c r="C4" s="1">
        <v>0</v>
      </c>
      <c r="D4" s="1">
        <v>0</v>
      </c>
      <c r="E4" s="1">
        <v>38</v>
      </c>
      <c r="F4" s="1">
        <v>0</v>
      </c>
      <c r="G4" s="1">
        <v>0</v>
      </c>
      <c r="H4" s="9">
        <f>SUM(B4:G4)</f>
        <v>38</v>
      </c>
      <c r="I4" t="s">
        <v>31</v>
      </c>
    </row>
    <row r="5" spans="1:9">
      <c r="A5" s="10" t="str">
        <f>'Mat_com_%'!A5</f>
        <v>ICEV-g PC</v>
      </c>
      <c r="B5" s="1">
        <v>0</v>
      </c>
      <c r="C5" s="11">
        <v>0</v>
      </c>
      <c r="D5" s="11">
        <v>0</v>
      </c>
      <c r="E5" s="11">
        <v>60</v>
      </c>
      <c r="F5" s="11">
        <v>0</v>
      </c>
      <c r="G5" s="1">
        <v>0</v>
      </c>
      <c r="H5" s="9">
        <f>SUM(B5:F5)</f>
        <v>60</v>
      </c>
      <c r="I5" t="s">
        <v>31</v>
      </c>
    </row>
    <row r="6" spans="1:9">
      <c r="A6" t="str">
        <f>'Mat_com_%'!A6</f>
        <v>ICEV-g van/SUV</v>
      </c>
      <c r="B6" s="1">
        <v>0</v>
      </c>
      <c r="C6" s="1">
        <v>0</v>
      </c>
      <c r="D6" s="1">
        <v>0</v>
      </c>
      <c r="E6" s="1">
        <v>78.400000000000006</v>
      </c>
      <c r="F6" s="1">
        <v>0</v>
      </c>
      <c r="G6" s="1">
        <v>0</v>
      </c>
      <c r="H6" s="9">
        <f t="shared" ref="H6:H51" si="0">SUM(B6:F6)</f>
        <v>78.400000000000006</v>
      </c>
      <c r="I6" t="s">
        <v>31</v>
      </c>
    </row>
    <row r="7" spans="1:9">
      <c r="A7" t="str">
        <f>'Mat_com_%'!A7</f>
        <v>ICEV-g LT</v>
      </c>
      <c r="B7" s="1">
        <v>0</v>
      </c>
      <c r="C7" s="1">
        <v>0</v>
      </c>
      <c r="D7" s="1">
        <v>0</v>
      </c>
      <c r="E7" s="1">
        <v>105.2</v>
      </c>
      <c r="F7" s="1">
        <v>0</v>
      </c>
      <c r="G7" s="1">
        <v>0</v>
      </c>
      <c r="H7" s="9">
        <f t="shared" si="0"/>
        <v>105.2</v>
      </c>
      <c r="I7" t="s">
        <v>31</v>
      </c>
    </row>
    <row r="8" spans="1:9">
      <c r="A8" t="str">
        <f>'Mat_com_%'!A8</f>
        <v>ICEV-d micro</v>
      </c>
      <c r="B8" s="1">
        <v>0</v>
      </c>
      <c r="C8" s="1">
        <v>0</v>
      </c>
      <c r="D8" s="1">
        <v>0</v>
      </c>
      <c r="E8" s="1">
        <v>0</v>
      </c>
      <c r="F8" s="1">
        <v>37.1</v>
      </c>
      <c r="G8" s="1">
        <v>0</v>
      </c>
      <c r="H8" s="9">
        <f>SUM(B8:F8)</f>
        <v>37.1</v>
      </c>
      <c r="I8" t="s">
        <v>31</v>
      </c>
    </row>
    <row r="9" spans="1:9">
      <c r="A9" t="str">
        <f>'Mat_com_%'!A9</f>
        <v>ICEV-d PC</v>
      </c>
      <c r="B9" s="1">
        <v>0</v>
      </c>
      <c r="C9" s="1">
        <v>0</v>
      </c>
      <c r="D9" s="1">
        <v>0</v>
      </c>
      <c r="E9" s="1">
        <v>0</v>
      </c>
      <c r="F9" s="1">
        <v>58.2</v>
      </c>
      <c r="G9" s="1">
        <v>0</v>
      </c>
      <c r="H9" s="9">
        <f t="shared" si="0"/>
        <v>58.2</v>
      </c>
      <c r="I9" t="s">
        <v>31</v>
      </c>
    </row>
    <row r="10" spans="1:9">
      <c r="A10" t="str">
        <f>'Mat_com_%'!A10</f>
        <v>ICEV-d van/SUV</v>
      </c>
      <c r="B10" s="1">
        <v>0</v>
      </c>
      <c r="C10" s="1">
        <v>0</v>
      </c>
      <c r="D10" s="1">
        <v>0</v>
      </c>
      <c r="E10" s="1">
        <v>0</v>
      </c>
      <c r="F10" s="1">
        <v>75.7</v>
      </c>
      <c r="G10" s="1">
        <v>0</v>
      </c>
      <c r="H10" s="9">
        <f t="shared" si="0"/>
        <v>75.7</v>
      </c>
      <c r="I10" t="s">
        <v>31</v>
      </c>
    </row>
    <row r="11" spans="1:9">
      <c r="A11" t="str">
        <f>'Mat_com_%'!A11</f>
        <v>ICEV-d LT</v>
      </c>
      <c r="B11" s="1">
        <v>0</v>
      </c>
      <c r="C11" s="1">
        <v>0</v>
      </c>
      <c r="D11" s="1">
        <v>0</v>
      </c>
      <c r="E11" s="1">
        <v>0</v>
      </c>
      <c r="F11" s="1">
        <v>100</v>
      </c>
      <c r="G11" s="1">
        <v>0</v>
      </c>
      <c r="H11" s="9">
        <f t="shared" si="0"/>
        <v>100</v>
      </c>
      <c r="I11" t="s">
        <v>31</v>
      </c>
    </row>
    <row r="12" spans="1:9">
      <c r="A12" t="str">
        <f>'Mat_com_%'!A12</f>
        <v>HEV micro</v>
      </c>
      <c r="B12" s="1">
        <v>0</v>
      </c>
      <c r="C12" s="1">
        <v>0</v>
      </c>
      <c r="D12" s="1">
        <v>0</v>
      </c>
      <c r="E12" s="1">
        <v>33.9</v>
      </c>
      <c r="F12" s="1">
        <v>0</v>
      </c>
      <c r="G12" s="1">
        <v>0</v>
      </c>
      <c r="H12" s="9">
        <f>SUM(B12:F12)</f>
        <v>33.9</v>
      </c>
      <c r="I12" t="s">
        <v>31</v>
      </c>
    </row>
    <row r="13" spans="1:9">
      <c r="A13" t="str">
        <f>'Mat_com_%'!A13</f>
        <v>HEV PC</v>
      </c>
      <c r="B13" s="1">
        <v>0</v>
      </c>
      <c r="C13" s="1">
        <v>0</v>
      </c>
      <c r="D13" s="1">
        <v>0</v>
      </c>
      <c r="E13" s="1">
        <v>39.9</v>
      </c>
      <c r="F13" s="1">
        <v>0</v>
      </c>
      <c r="G13" s="1">
        <v>0</v>
      </c>
      <c r="H13" s="9">
        <f t="shared" si="0"/>
        <v>39.9</v>
      </c>
      <c r="I13" t="s">
        <v>31</v>
      </c>
    </row>
    <row r="14" spans="1:9">
      <c r="A14" t="str">
        <f>'Mat_com_%'!A14</f>
        <v>HEV van/SUV</v>
      </c>
      <c r="B14" s="1">
        <v>0</v>
      </c>
      <c r="C14" s="1">
        <v>0</v>
      </c>
      <c r="D14" s="1">
        <v>0</v>
      </c>
      <c r="E14" s="1">
        <v>50.4</v>
      </c>
      <c r="F14" s="1">
        <v>0</v>
      </c>
      <c r="G14" s="1">
        <v>0</v>
      </c>
      <c r="H14" s="9">
        <f t="shared" si="0"/>
        <v>50.4</v>
      </c>
      <c r="I14" t="s">
        <v>31</v>
      </c>
    </row>
    <row r="15" spans="1:9">
      <c r="A15" t="str">
        <f>'Mat_com_%'!A15</f>
        <v>HEV LT</v>
      </c>
      <c r="B15" s="1">
        <v>0</v>
      </c>
      <c r="C15" s="1">
        <v>0</v>
      </c>
      <c r="D15" s="1">
        <v>0</v>
      </c>
      <c r="E15" s="1">
        <v>62.3</v>
      </c>
      <c r="F15" s="1">
        <v>0</v>
      </c>
      <c r="G15" s="1">
        <v>0</v>
      </c>
      <c r="H15" s="9">
        <f t="shared" si="0"/>
        <v>62.3</v>
      </c>
      <c r="I15" t="s">
        <v>31</v>
      </c>
    </row>
    <row r="16" spans="1:9">
      <c r="A16" t="str">
        <f>'Mat_com_%'!A16</f>
        <v>PHEV micro</v>
      </c>
      <c r="B16" s="1">
        <f>14.48/2</f>
        <v>7.24</v>
      </c>
      <c r="C16" s="1">
        <v>0</v>
      </c>
      <c r="D16" s="1">
        <v>0</v>
      </c>
      <c r="E16" s="23">
        <f>32.9/2</f>
        <v>16.45</v>
      </c>
      <c r="F16" s="1">
        <v>0</v>
      </c>
      <c r="G16" s="1">
        <v>0</v>
      </c>
      <c r="H16" s="9">
        <f t="shared" si="0"/>
        <v>23.689999999999998</v>
      </c>
      <c r="I16" t="s">
        <v>31</v>
      </c>
    </row>
    <row r="17" spans="1:9">
      <c r="A17" t="str">
        <f>'Mat_com_%'!A17</f>
        <v>PHEV PC</v>
      </c>
      <c r="B17" s="1">
        <f>16.09/2</f>
        <v>8.0449999999999999</v>
      </c>
      <c r="C17" s="1">
        <v>0</v>
      </c>
      <c r="D17" s="1">
        <v>0</v>
      </c>
      <c r="E17" s="23">
        <f>35.7/2</f>
        <v>17.850000000000001</v>
      </c>
      <c r="F17" s="1">
        <v>0</v>
      </c>
      <c r="G17" s="1">
        <v>0</v>
      </c>
      <c r="H17" s="9">
        <f t="shared" si="0"/>
        <v>25.895000000000003</v>
      </c>
      <c r="I17" t="s">
        <v>31</v>
      </c>
    </row>
    <row r="18" spans="1:9">
      <c r="A18" t="str">
        <f>'Mat_com_%'!A18</f>
        <v>PHEV van/SUV</v>
      </c>
      <c r="B18" s="1">
        <f>21.13/2</f>
        <v>10.565</v>
      </c>
      <c r="C18" s="1">
        <v>0</v>
      </c>
      <c r="D18" s="1">
        <v>0</v>
      </c>
      <c r="E18" s="1">
        <f>50/2</f>
        <v>25</v>
      </c>
      <c r="F18" s="1">
        <v>0</v>
      </c>
      <c r="G18" s="1">
        <v>0</v>
      </c>
      <c r="H18" s="9">
        <f t="shared" si="0"/>
        <v>35.564999999999998</v>
      </c>
      <c r="I18" t="s">
        <v>31</v>
      </c>
    </row>
    <row r="19" spans="1:9">
      <c r="A19" t="str">
        <f>'Mat_com_%'!A19</f>
        <v>PHEV LT</v>
      </c>
      <c r="B19" s="1">
        <f>28.9/2</f>
        <v>14.45</v>
      </c>
      <c r="C19" s="1">
        <v>0</v>
      </c>
      <c r="D19" s="1">
        <v>0</v>
      </c>
      <c r="E19" s="1">
        <f>64.6/2</f>
        <v>32.299999999999997</v>
      </c>
      <c r="F19" s="1">
        <v>0</v>
      </c>
      <c r="G19" s="1">
        <v>0</v>
      </c>
      <c r="H19" s="9">
        <f t="shared" si="0"/>
        <v>46.75</v>
      </c>
      <c r="I19" t="s">
        <v>31</v>
      </c>
    </row>
    <row r="20" spans="1:9">
      <c r="A20" t="str">
        <f>'Mat_com_%'!A20</f>
        <v>BEV micro</v>
      </c>
      <c r="B20" s="1">
        <f>14.85</f>
        <v>14.85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9">
        <f>SUM(B20:F20)</f>
        <v>14.85</v>
      </c>
      <c r="I20" t="s">
        <v>31</v>
      </c>
    </row>
    <row r="21" spans="1:9">
      <c r="A21" t="str">
        <f>'Mat_com_%'!A21</f>
        <v>BEV PC</v>
      </c>
      <c r="B21" s="1">
        <f>17.34</f>
        <v>17.34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9">
        <f t="shared" si="0"/>
        <v>17.34</v>
      </c>
      <c r="I21" t="s">
        <v>31</v>
      </c>
    </row>
    <row r="22" spans="1:9">
      <c r="A22" t="str">
        <f>'Mat_com_%'!A22</f>
        <v>BEV van/SUV</v>
      </c>
      <c r="B22" s="1">
        <v>24.61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9">
        <f t="shared" si="0"/>
        <v>24.61</v>
      </c>
      <c r="I22" t="s">
        <v>31</v>
      </c>
    </row>
    <row r="23" spans="1:9">
      <c r="A23" t="str">
        <f>'Mat_com_%'!A23</f>
        <v>BEV LT</v>
      </c>
      <c r="B23" s="9">
        <v>30.76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f t="shared" si="0"/>
        <v>30.76</v>
      </c>
      <c r="I23" t="s">
        <v>31</v>
      </c>
    </row>
    <row r="24" spans="1:9">
      <c r="A24" t="str">
        <f>'Mat_com_%'!A24</f>
        <v>HFCEV micro</v>
      </c>
      <c r="B24" s="9">
        <v>0</v>
      </c>
      <c r="C24" s="9">
        <v>0</v>
      </c>
      <c r="D24" s="9">
        <v>24.5</v>
      </c>
      <c r="E24" s="9">
        <v>0</v>
      </c>
      <c r="F24" s="9">
        <v>0</v>
      </c>
      <c r="G24" s="9">
        <v>0</v>
      </c>
      <c r="H24" s="9">
        <f>SUM(B24:F24)</f>
        <v>24.5</v>
      </c>
      <c r="I24" t="s">
        <v>31</v>
      </c>
    </row>
    <row r="25" spans="1:9">
      <c r="A25" t="str">
        <f>'Mat_com_%'!A25</f>
        <v>HFCEV PC</v>
      </c>
      <c r="B25" s="9">
        <v>0</v>
      </c>
      <c r="C25" s="9">
        <v>0</v>
      </c>
      <c r="D25" s="9">
        <v>29.8</v>
      </c>
      <c r="E25" s="9">
        <v>0</v>
      </c>
      <c r="F25" s="9">
        <v>0</v>
      </c>
      <c r="G25" s="9">
        <v>0</v>
      </c>
      <c r="H25" s="9">
        <f t="shared" si="0"/>
        <v>29.8</v>
      </c>
      <c r="I25" t="s">
        <v>31</v>
      </c>
    </row>
    <row r="26" spans="1:9">
      <c r="A26" t="str">
        <f>'Mat_com_%'!A26</f>
        <v>HFCEV van/SUV</v>
      </c>
      <c r="B26" s="9">
        <v>0</v>
      </c>
      <c r="C26" s="9">
        <v>0</v>
      </c>
      <c r="D26" s="9">
        <v>39.6</v>
      </c>
      <c r="E26" s="9">
        <v>0</v>
      </c>
      <c r="F26" s="9">
        <v>0</v>
      </c>
      <c r="G26" s="9">
        <v>0</v>
      </c>
      <c r="H26" s="9">
        <f t="shared" si="0"/>
        <v>39.6</v>
      </c>
      <c r="I26" t="s">
        <v>31</v>
      </c>
    </row>
    <row r="27" spans="1:9">
      <c r="A27" t="str">
        <f>'Mat_com_%'!A27</f>
        <v>HFCEV LT</v>
      </c>
      <c r="B27" s="9">
        <v>0</v>
      </c>
      <c r="C27" s="9">
        <v>0</v>
      </c>
      <c r="D27" s="9">
        <v>49.1</v>
      </c>
      <c r="E27" s="9">
        <v>0</v>
      </c>
      <c r="F27" s="9">
        <v>0</v>
      </c>
      <c r="G27" s="9">
        <v>0</v>
      </c>
      <c r="H27" s="9">
        <f t="shared" si="0"/>
        <v>49.1</v>
      </c>
      <c r="I27" t="s">
        <v>31</v>
      </c>
    </row>
    <row r="28" spans="1:9">
      <c r="A28" t="str">
        <f>'Mat_com_%'!A28</f>
        <v>ICEV-g micro LW</v>
      </c>
      <c r="B28" s="9">
        <v>0</v>
      </c>
      <c r="C28" s="9">
        <v>0</v>
      </c>
      <c r="D28" s="9">
        <v>0</v>
      </c>
      <c r="E28" s="9">
        <v>35.200000000000003</v>
      </c>
      <c r="F28" s="9">
        <v>0</v>
      </c>
      <c r="G28" s="9">
        <v>0</v>
      </c>
      <c r="H28" s="9">
        <f>SUM(B28:F28)</f>
        <v>35.200000000000003</v>
      </c>
      <c r="I28" t="s">
        <v>31</v>
      </c>
    </row>
    <row r="29" spans="1:9">
      <c r="A29" s="10" t="str">
        <f>'Mat_com_%'!A29</f>
        <v>ICEV-g PC LW</v>
      </c>
      <c r="B29" s="9">
        <v>0</v>
      </c>
      <c r="C29" s="31">
        <v>0</v>
      </c>
      <c r="D29" s="31">
        <v>0</v>
      </c>
      <c r="E29" s="31">
        <v>53.8</v>
      </c>
      <c r="F29" s="31">
        <v>0</v>
      </c>
      <c r="G29" s="9">
        <v>0</v>
      </c>
      <c r="H29" s="9">
        <f t="shared" si="0"/>
        <v>53.8</v>
      </c>
      <c r="I29" t="s">
        <v>31</v>
      </c>
    </row>
    <row r="30" spans="1:9">
      <c r="A30" t="str">
        <f>'Mat_com_%'!A30</f>
        <v>ICEV-g van/SUV LW</v>
      </c>
      <c r="B30" s="9">
        <v>0</v>
      </c>
      <c r="C30" s="9">
        <v>0</v>
      </c>
      <c r="D30" s="9">
        <v>0</v>
      </c>
      <c r="E30" s="9">
        <v>70.7</v>
      </c>
      <c r="F30" s="9">
        <v>0</v>
      </c>
      <c r="G30" s="9">
        <v>0</v>
      </c>
      <c r="H30" s="9">
        <f t="shared" si="0"/>
        <v>70.7</v>
      </c>
      <c r="I30" t="s">
        <v>31</v>
      </c>
    </row>
    <row r="31" spans="1:9">
      <c r="A31" t="str">
        <f>'Mat_com_%'!A31</f>
        <v>ICEV-g LT LW</v>
      </c>
      <c r="B31" s="9">
        <v>0</v>
      </c>
      <c r="C31" s="9">
        <v>0</v>
      </c>
      <c r="D31" s="9">
        <v>0</v>
      </c>
      <c r="E31" s="9">
        <v>93.5</v>
      </c>
      <c r="F31" s="9">
        <v>0</v>
      </c>
      <c r="G31" s="9">
        <v>0</v>
      </c>
      <c r="H31" s="9">
        <f t="shared" si="0"/>
        <v>93.5</v>
      </c>
      <c r="I31" t="s">
        <v>31</v>
      </c>
    </row>
    <row r="32" spans="1:9">
      <c r="A32" t="str">
        <f>'Mat_com_%'!A32</f>
        <v>ICEV-d micro LW</v>
      </c>
      <c r="B32" s="9">
        <v>0</v>
      </c>
      <c r="C32" s="9">
        <v>0</v>
      </c>
      <c r="D32" s="9">
        <v>0</v>
      </c>
      <c r="E32" s="9">
        <v>0</v>
      </c>
      <c r="F32" s="9">
        <v>34.5</v>
      </c>
      <c r="G32" s="9">
        <v>0</v>
      </c>
      <c r="H32" s="9">
        <f>SUM(B32:F32)</f>
        <v>34.5</v>
      </c>
      <c r="I32" t="s">
        <v>31</v>
      </c>
    </row>
    <row r="33" spans="1:9">
      <c r="A33" t="str">
        <f>'Mat_com_%'!A33</f>
        <v>ICEV-d PC LW</v>
      </c>
      <c r="B33" s="9">
        <v>0</v>
      </c>
      <c r="C33" s="9">
        <v>0</v>
      </c>
      <c r="D33" s="9">
        <v>0</v>
      </c>
      <c r="E33" s="9">
        <v>0</v>
      </c>
      <c r="F33" s="9">
        <v>52.3</v>
      </c>
      <c r="G33" s="9">
        <v>0</v>
      </c>
      <c r="H33" s="9">
        <f t="shared" si="0"/>
        <v>52.3</v>
      </c>
      <c r="I33" t="s">
        <v>31</v>
      </c>
    </row>
    <row r="34" spans="1:9">
      <c r="A34" t="str">
        <f>'Mat_com_%'!A34</f>
        <v>ICEV-d van/SUV LW</v>
      </c>
      <c r="B34" s="9">
        <v>0</v>
      </c>
      <c r="C34" s="9">
        <v>0</v>
      </c>
      <c r="D34" s="9">
        <v>0</v>
      </c>
      <c r="E34" s="9">
        <v>0</v>
      </c>
      <c r="F34" s="9">
        <v>68.599999999999994</v>
      </c>
      <c r="G34" s="9">
        <v>0</v>
      </c>
      <c r="H34" s="9">
        <f t="shared" si="0"/>
        <v>68.599999999999994</v>
      </c>
      <c r="I34" t="s">
        <v>31</v>
      </c>
    </row>
    <row r="35" spans="1:9">
      <c r="A35" t="str">
        <f>'Mat_com_%'!A35</f>
        <v>ICEV-d LT LW</v>
      </c>
      <c r="B35" s="9">
        <v>0</v>
      </c>
      <c r="C35" s="9">
        <v>0</v>
      </c>
      <c r="D35" s="9">
        <v>0</v>
      </c>
      <c r="E35" s="9">
        <v>0</v>
      </c>
      <c r="F35" s="9">
        <v>89.6</v>
      </c>
      <c r="G35" s="9">
        <v>0</v>
      </c>
      <c r="H35" s="9">
        <f t="shared" si="0"/>
        <v>89.6</v>
      </c>
      <c r="I35" t="s">
        <v>31</v>
      </c>
    </row>
    <row r="36" spans="1:9">
      <c r="A36" t="str">
        <f>'Mat_com_%'!A36</f>
        <v>HEV micro LW</v>
      </c>
      <c r="B36" s="9">
        <v>0</v>
      </c>
      <c r="C36" s="9">
        <v>0</v>
      </c>
      <c r="D36" s="9">
        <v>0</v>
      </c>
      <c r="E36" s="9">
        <v>32.200000000000003</v>
      </c>
      <c r="F36" s="9">
        <v>0</v>
      </c>
      <c r="G36" s="9">
        <v>0</v>
      </c>
      <c r="H36" s="9">
        <f>SUM(B36:F36)</f>
        <v>32.200000000000003</v>
      </c>
      <c r="I36" t="s">
        <v>31</v>
      </c>
    </row>
    <row r="37" spans="1:9">
      <c r="A37" t="str">
        <f>'Mat_com_%'!A37</f>
        <v>HEV PC LW</v>
      </c>
      <c r="B37" s="9">
        <v>0</v>
      </c>
      <c r="C37" s="9">
        <v>0</v>
      </c>
      <c r="D37" s="9">
        <v>0</v>
      </c>
      <c r="E37" s="9">
        <v>37.9</v>
      </c>
      <c r="F37" s="9">
        <v>0</v>
      </c>
      <c r="G37" s="9">
        <v>0</v>
      </c>
      <c r="H37" s="9">
        <f t="shared" si="0"/>
        <v>37.9</v>
      </c>
      <c r="I37" t="s">
        <v>31</v>
      </c>
    </row>
    <row r="38" spans="1:9">
      <c r="A38" t="str">
        <f>'Mat_com_%'!A38</f>
        <v>HEV van/SUV LW</v>
      </c>
      <c r="B38" s="9">
        <v>0</v>
      </c>
      <c r="C38" s="9">
        <v>0</v>
      </c>
      <c r="D38" s="9">
        <v>0</v>
      </c>
      <c r="E38" s="9">
        <v>47.3</v>
      </c>
      <c r="F38" s="9">
        <v>0</v>
      </c>
      <c r="G38" s="9">
        <v>0</v>
      </c>
      <c r="H38" s="9">
        <f t="shared" si="0"/>
        <v>47.3</v>
      </c>
      <c r="I38" t="s">
        <v>31</v>
      </c>
    </row>
    <row r="39" spans="1:9">
      <c r="A39" t="str">
        <f>'Mat_com_%'!A39</f>
        <v>HEV LT LW</v>
      </c>
      <c r="B39" s="9">
        <v>0</v>
      </c>
      <c r="C39" s="9">
        <v>0</v>
      </c>
      <c r="D39" s="9">
        <v>0</v>
      </c>
      <c r="E39" s="9">
        <v>59</v>
      </c>
      <c r="F39" s="9">
        <v>0</v>
      </c>
      <c r="G39" s="9">
        <v>0</v>
      </c>
      <c r="H39" s="9">
        <f t="shared" si="0"/>
        <v>59</v>
      </c>
      <c r="I39" t="s">
        <v>31</v>
      </c>
    </row>
    <row r="40" spans="1:9">
      <c r="A40" t="str">
        <f>'Mat_com_%'!A40</f>
        <v>PHEV micro LW</v>
      </c>
      <c r="B40" s="9">
        <v>6.7032000000000007</v>
      </c>
      <c r="C40" s="9">
        <v>0</v>
      </c>
      <c r="D40" s="9">
        <v>0</v>
      </c>
      <c r="E40" s="9">
        <v>15.608499999999998</v>
      </c>
      <c r="F40" s="9">
        <v>0</v>
      </c>
      <c r="G40" s="9">
        <v>0</v>
      </c>
      <c r="H40" s="9">
        <f>SUM(B40:F40)</f>
        <v>22.311699999999998</v>
      </c>
      <c r="I40" t="s">
        <v>31</v>
      </c>
    </row>
    <row r="41" spans="1:9">
      <c r="A41" t="str">
        <f>'Mat_com_%'!A41</f>
        <v>PHEV PC LW</v>
      </c>
      <c r="B41" s="9">
        <v>7.5801599999999993</v>
      </c>
      <c r="C41" s="9">
        <v>0</v>
      </c>
      <c r="D41" s="9">
        <v>0</v>
      </c>
      <c r="E41" s="30">
        <v>16.716200000000001</v>
      </c>
      <c r="F41" s="9">
        <v>0</v>
      </c>
      <c r="G41" s="9">
        <v>0</v>
      </c>
      <c r="H41" s="9">
        <f t="shared" si="0"/>
        <v>24.29636</v>
      </c>
      <c r="I41" t="s">
        <v>31</v>
      </c>
    </row>
    <row r="42" spans="1:9">
      <c r="A42" t="str">
        <f>'Mat_com_%'!A42</f>
        <v>PHEV van/SUV LW</v>
      </c>
      <c r="B42" s="9">
        <v>9.707040000000001</v>
      </c>
      <c r="C42" s="9">
        <v>0</v>
      </c>
      <c r="D42" s="9">
        <v>0</v>
      </c>
      <c r="E42" s="9">
        <v>22.959599999999998</v>
      </c>
      <c r="F42" s="9">
        <v>0</v>
      </c>
      <c r="G42" s="9">
        <v>0</v>
      </c>
      <c r="H42" s="9">
        <f>SUM(B42:F42)</f>
        <v>32.666640000000001</v>
      </c>
      <c r="I42" t="s">
        <v>31</v>
      </c>
    </row>
    <row r="43" spans="1:9">
      <c r="A43" t="str">
        <f>'Mat_com_%'!A43</f>
        <v>PHEV LT LW</v>
      </c>
      <c r="B43" s="9">
        <v>13.8096</v>
      </c>
      <c r="C43" s="9">
        <v>0</v>
      </c>
      <c r="D43" s="9">
        <v>0</v>
      </c>
      <c r="E43" s="9">
        <v>28.900899999999996</v>
      </c>
      <c r="F43" s="9">
        <v>0</v>
      </c>
      <c r="G43" s="9">
        <v>0</v>
      </c>
      <c r="H43" s="9">
        <f t="shared" si="0"/>
        <v>42.710499999999996</v>
      </c>
      <c r="I43" t="s">
        <v>31</v>
      </c>
    </row>
    <row r="44" spans="1:9">
      <c r="A44" t="str">
        <f>'Mat_com_%'!A44</f>
        <v>BEV micro LW</v>
      </c>
      <c r="B44" s="9">
        <v>13.98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f>SUM(B44:F44)</f>
        <v>13.98</v>
      </c>
      <c r="I44" t="s">
        <v>31</v>
      </c>
    </row>
    <row r="45" spans="1:9">
      <c r="A45" t="str">
        <f>'Mat_com_%'!A45</f>
        <v>BEV PC LW</v>
      </c>
      <c r="B45" s="9">
        <v>15.66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f t="shared" si="0"/>
        <v>15.66</v>
      </c>
      <c r="I45" t="s">
        <v>31</v>
      </c>
    </row>
    <row r="46" spans="1:9">
      <c r="A46" t="str">
        <f>'Mat_com_%'!A46</f>
        <v>BEV van/SUV LW</v>
      </c>
      <c r="B46" s="9">
        <v>21.872320330073197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f>SUM(B46:F46)</f>
        <v>21.872320330073197</v>
      </c>
      <c r="I46" t="s">
        <v>31</v>
      </c>
    </row>
    <row r="47" spans="1:9">
      <c r="A47" t="str">
        <f>'Mat_com_%'!A47</f>
        <v>BEV LT LW</v>
      </c>
      <c r="B47" s="9">
        <v>27.53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f t="shared" si="0"/>
        <v>27.53</v>
      </c>
      <c r="I47" t="s">
        <v>31</v>
      </c>
    </row>
    <row r="48" spans="1:9">
      <c r="A48" t="str">
        <f>'Mat_com_%'!A48</f>
        <v>HFCEV micro LW</v>
      </c>
      <c r="B48" s="9">
        <v>0</v>
      </c>
      <c r="C48" s="9">
        <v>0</v>
      </c>
      <c r="D48" s="9">
        <v>23.2</v>
      </c>
      <c r="E48" s="9">
        <v>0</v>
      </c>
      <c r="F48" s="9">
        <v>0</v>
      </c>
      <c r="G48" s="9">
        <v>0</v>
      </c>
      <c r="H48" s="9">
        <f>SUM(B48:F48)</f>
        <v>23.2</v>
      </c>
      <c r="I48" t="s">
        <v>31</v>
      </c>
    </row>
    <row r="49" spans="1:9">
      <c r="A49" t="str">
        <f>'Mat_com_%'!A49</f>
        <v>HFCEV PC LW</v>
      </c>
      <c r="B49" s="9">
        <v>0</v>
      </c>
      <c r="C49" s="9">
        <v>0</v>
      </c>
      <c r="D49" s="9">
        <v>26.5</v>
      </c>
      <c r="E49" s="9">
        <v>0</v>
      </c>
      <c r="F49" s="9">
        <v>0</v>
      </c>
      <c r="G49" s="9">
        <v>0</v>
      </c>
      <c r="H49" s="9">
        <f t="shared" si="0"/>
        <v>26.5</v>
      </c>
      <c r="I49" t="s">
        <v>31</v>
      </c>
    </row>
    <row r="50" spans="1:9">
      <c r="A50" t="str">
        <f>'Mat_com_%'!A50</f>
        <v>HFCEV van/SUV LW</v>
      </c>
      <c r="B50" s="9">
        <v>0</v>
      </c>
      <c r="C50" s="9">
        <v>0</v>
      </c>
      <c r="D50" s="9">
        <v>35.6</v>
      </c>
      <c r="E50" s="9">
        <v>0</v>
      </c>
      <c r="F50" s="9">
        <v>0</v>
      </c>
      <c r="G50" s="9">
        <v>0</v>
      </c>
      <c r="H50" s="9">
        <f t="shared" si="0"/>
        <v>35.6</v>
      </c>
      <c r="I50" t="s">
        <v>31</v>
      </c>
    </row>
    <row r="51" spans="1:9">
      <c r="A51" t="str">
        <f>'Mat_com_%'!A51</f>
        <v>HFCEV LT LW</v>
      </c>
      <c r="B51" s="9">
        <v>0</v>
      </c>
      <c r="C51" s="9">
        <v>0</v>
      </c>
      <c r="D51" s="9">
        <v>43</v>
      </c>
      <c r="E51" s="9">
        <v>0</v>
      </c>
      <c r="F51" s="9">
        <v>0</v>
      </c>
      <c r="G51" s="9">
        <v>0</v>
      </c>
      <c r="H51" s="9">
        <f t="shared" si="0"/>
        <v>43</v>
      </c>
      <c r="I51" t="s">
        <v>31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983D-CBC9-4D4A-A480-D877CCF69B0A}">
  <dimension ref="A1:M27"/>
  <sheetViews>
    <sheetView zoomScale="60" zoomScaleNormal="6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36" sqref="O36"/>
    </sheetView>
  </sheetViews>
  <sheetFormatPr defaultRowHeight="14.6"/>
  <cols>
    <col min="1" max="1" width="19" customWidth="1"/>
    <col min="8" max="8" width="12.84375" bestFit="1" customWidth="1"/>
    <col min="9" max="9" width="12" customWidth="1"/>
  </cols>
  <sheetData>
    <row r="1" spans="1:13" ht="18.45">
      <c r="A1" s="6" t="s">
        <v>158</v>
      </c>
    </row>
    <row r="3" spans="1:13" s="5" customFormat="1">
      <c r="B3" s="5" t="s">
        <v>0</v>
      </c>
      <c r="C3" s="5" t="s">
        <v>57</v>
      </c>
      <c r="D3" s="5" t="s">
        <v>56</v>
      </c>
      <c r="E3" s="5" t="s">
        <v>38</v>
      </c>
      <c r="F3" s="5" t="s">
        <v>39</v>
      </c>
      <c r="G3" s="5" t="s">
        <v>146</v>
      </c>
      <c r="H3" s="5" t="s">
        <v>22</v>
      </c>
    </row>
    <row r="4" spans="1:13">
      <c r="A4" s="10" t="str">
        <f>'Mat_com_%'!A4</f>
        <v>ICEV-g micro</v>
      </c>
      <c r="B4" s="19">
        <f>0.6*Ass_en!B7</f>
        <v>1.75271975630983</v>
      </c>
      <c r="C4" s="19">
        <f>0.6*Ass_en!C7</f>
        <v>1.6946257615317621</v>
      </c>
      <c r="D4" s="19">
        <f>0.6*Ass_en!D7</f>
        <v>0</v>
      </c>
      <c r="E4" s="19">
        <f>0.6*Ass_en!E7</f>
        <v>0</v>
      </c>
      <c r="F4" s="19">
        <f>0.6*Ass_en!F7</f>
        <v>0</v>
      </c>
      <c r="G4" s="19">
        <f>0.6*Ass_en!G7</f>
        <v>0</v>
      </c>
      <c r="H4" s="10" t="s">
        <v>46</v>
      </c>
      <c r="I4" s="10"/>
      <c r="J4" s="13"/>
    </row>
    <row r="5" spans="1:13">
      <c r="A5" s="10" t="str">
        <f>'Mat_com_%'!A5</f>
        <v>ICEV-g PC</v>
      </c>
      <c r="B5" s="19">
        <f>0.6*Ass_en!B8</f>
        <v>1.75271975630983</v>
      </c>
      <c r="C5" s="19">
        <f>0.6*Ass_en!C8</f>
        <v>1.6946257615317621</v>
      </c>
      <c r="D5" s="19">
        <f>0.6*Ass_en!D8</f>
        <v>0</v>
      </c>
      <c r="E5" s="19">
        <f>0.6*Ass_en!E8</f>
        <v>0</v>
      </c>
      <c r="F5" s="19">
        <f>0.6*Ass_en!F8</f>
        <v>0</v>
      </c>
      <c r="G5" s="19">
        <f>0.6*Ass_en!G8</f>
        <v>0</v>
      </c>
      <c r="H5" s="10" t="s">
        <v>46</v>
      </c>
      <c r="I5" s="10"/>
      <c r="J5" s="13"/>
    </row>
    <row r="6" spans="1:13">
      <c r="A6" s="10" t="str">
        <f>'Mat_com_%'!A6</f>
        <v>ICEV-g van/SUV</v>
      </c>
      <c r="B6" s="19">
        <f>0.6*Ass_en!B9</f>
        <v>1.75271975630983</v>
      </c>
      <c r="C6" s="19">
        <f>0.6*Ass_en!C9</f>
        <v>1.6946257615317621</v>
      </c>
      <c r="D6" s="19">
        <f>0.6*Ass_en!D9</f>
        <v>0</v>
      </c>
      <c r="E6" s="19">
        <f>0.6*Ass_en!E9</f>
        <v>0</v>
      </c>
      <c r="F6" s="19">
        <f>0.6*Ass_en!F9</f>
        <v>0</v>
      </c>
      <c r="G6" s="19">
        <f>0.6*Ass_en!G9</f>
        <v>0</v>
      </c>
      <c r="H6" s="10" t="s">
        <v>46</v>
      </c>
      <c r="I6" s="10"/>
      <c r="J6" s="13"/>
    </row>
    <row r="7" spans="1:13">
      <c r="A7" s="10" t="str">
        <f>'Mat_com_%'!A7</f>
        <v>ICEV-g LT</v>
      </c>
      <c r="B7" s="19">
        <f>0.6*Ass_en!B10</f>
        <v>1.75271975630983</v>
      </c>
      <c r="C7" s="19">
        <f>0.6*Ass_en!C10</f>
        <v>1.6946257615317621</v>
      </c>
      <c r="D7" s="19">
        <f>0.6*Ass_en!D10</f>
        <v>0</v>
      </c>
      <c r="E7" s="19">
        <f>0.6*Ass_en!E10</f>
        <v>0</v>
      </c>
      <c r="F7" s="19">
        <f>0.6*Ass_en!F10</f>
        <v>0</v>
      </c>
      <c r="G7" s="19">
        <f>0.6*Ass_en!G10</f>
        <v>0</v>
      </c>
      <c r="H7" s="10" t="s">
        <v>46</v>
      </c>
      <c r="I7" s="10"/>
      <c r="J7" s="13"/>
      <c r="K7" s="15"/>
      <c r="L7" s="15"/>
      <c r="M7" s="15"/>
    </row>
    <row r="8" spans="1:13">
      <c r="A8" s="10" t="str">
        <f>'Mat_com_%'!A8</f>
        <v>ICEV-d micro</v>
      </c>
      <c r="B8" s="19">
        <f>0.6*Ass_en!B11</f>
        <v>1.75271975630983</v>
      </c>
      <c r="C8" s="19">
        <f>0.6*Ass_en!C11</f>
        <v>1.6946257615317621</v>
      </c>
      <c r="D8" s="19">
        <f>0.6*Ass_en!D11</f>
        <v>0</v>
      </c>
      <c r="E8" s="19">
        <f>0.6*Ass_en!E11</f>
        <v>0</v>
      </c>
      <c r="F8" s="19">
        <f>0.6*Ass_en!F11</f>
        <v>0</v>
      </c>
      <c r="G8" s="19">
        <f>0.6*Ass_en!G11</f>
        <v>0</v>
      </c>
      <c r="H8" s="10" t="s">
        <v>46</v>
      </c>
      <c r="I8" s="10"/>
      <c r="J8" s="13"/>
    </row>
    <row r="9" spans="1:13">
      <c r="A9" s="10" t="str">
        <f>'Mat_com_%'!A9</f>
        <v>ICEV-d PC</v>
      </c>
      <c r="B9" s="19">
        <f>0.6*Ass_en!B12</f>
        <v>1.7091528706632544</v>
      </c>
      <c r="C9" s="19">
        <f>0.6*Ass_en!C12</f>
        <v>1.6525029027572156</v>
      </c>
      <c r="D9" s="19">
        <f>0.6*Ass_en!D12</f>
        <v>0</v>
      </c>
      <c r="E9" s="19">
        <f>0.6*Ass_en!E12</f>
        <v>0</v>
      </c>
      <c r="F9" s="19">
        <f>0.6*Ass_en!F12</f>
        <v>0</v>
      </c>
      <c r="G9" s="19">
        <f>0.6*Ass_en!G12</f>
        <v>0</v>
      </c>
      <c r="H9" s="10" t="s">
        <v>46</v>
      </c>
      <c r="I9" s="10"/>
      <c r="J9" s="13"/>
    </row>
    <row r="10" spans="1:13">
      <c r="A10" s="10" t="str">
        <f>'Mat_com_%'!A10</f>
        <v>ICEV-d van/SUV</v>
      </c>
      <c r="B10" s="19">
        <f>0.6*Ass_en!B13</f>
        <v>1.7091528706632544</v>
      </c>
      <c r="C10" s="19">
        <f>0.6*Ass_en!C13</f>
        <v>1.6525029027572156</v>
      </c>
      <c r="D10" s="19">
        <f>0.6*Ass_en!D13</f>
        <v>0</v>
      </c>
      <c r="E10" s="19">
        <f>0.6*Ass_en!E13</f>
        <v>0</v>
      </c>
      <c r="F10" s="19">
        <f>0.6*Ass_en!F13</f>
        <v>0</v>
      </c>
      <c r="G10" s="19">
        <f>0.6*Ass_en!G13</f>
        <v>0</v>
      </c>
      <c r="H10" s="10" t="s">
        <v>46</v>
      </c>
      <c r="I10" s="10"/>
      <c r="J10" s="13"/>
    </row>
    <row r="11" spans="1:13">
      <c r="A11" s="10" t="str">
        <f>'Mat_com_%'!A11</f>
        <v>ICEV-d LT</v>
      </c>
      <c r="B11" s="19">
        <f>0.6*Ass_en!B14</f>
        <v>1.7091528706632544</v>
      </c>
      <c r="C11" s="19">
        <f>0.6*Ass_en!C14</f>
        <v>1.6525029027572156</v>
      </c>
      <c r="D11" s="19">
        <f>0.6*Ass_en!D14</f>
        <v>0</v>
      </c>
      <c r="E11" s="19">
        <f>0.6*Ass_en!E14</f>
        <v>0</v>
      </c>
      <c r="F11" s="19">
        <f>0.6*Ass_en!F14</f>
        <v>0</v>
      </c>
      <c r="G11" s="19">
        <f>0.6*Ass_en!G14</f>
        <v>0</v>
      </c>
      <c r="H11" s="10" t="s">
        <v>46</v>
      </c>
      <c r="I11" s="10"/>
      <c r="J11" s="13"/>
    </row>
    <row r="12" spans="1:13">
      <c r="A12" s="10" t="str">
        <f>'Mat_com_%'!A12</f>
        <v>HEV micro</v>
      </c>
      <c r="B12" s="19">
        <f>0.6*Ass_en!B15</f>
        <v>1.7091528706632544</v>
      </c>
      <c r="C12" s="19">
        <f>0.6*Ass_en!C15</f>
        <v>1.6525029027572156</v>
      </c>
      <c r="D12" s="19">
        <f>0.6*Ass_en!D15</f>
        <v>0</v>
      </c>
      <c r="E12" s="19">
        <f>0.6*Ass_en!E15</f>
        <v>0</v>
      </c>
      <c r="F12" s="19">
        <f>0.6*Ass_en!F15</f>
        <v>0</v>
      </c>
      <c r="G12" s="19">
        <f>0.6*Ass_en!G15</f>
        <v>0</v>
      </c>
      <c r="H12" s="10" t="s">
        <v>46</v>
      </c>
      <c r="I12" s="10"/>
      <c r="J12" s="13"/>
    </row>
    <row r="13" spans="1:13">
      <c r="A13" s="10" t="str">
        <f>'Mat_com_%'!A13</f>
        <v>HEV PC</v>
      </c>
      <c r="B13" s="19">
        <f>0.6*Ass_en!B16</f>
        <v>1.8659207752419145</v>
      </c>
      <c r="C13" s="19">
        <f>0.6*Ass_en!C16</f>
        <v>1.8040747263325243</v>
      </c>
      <c r="D13" s="19">
        <f>0.6*Ass_en!D16</f>
        <v>0</v>
      </c>
      <c r="E13" s="19">
        <f>0.6*Ass_en!E16</f>
        <v>0</v>
      </c>
      <c r="F13" s="19">
        <f>0.6*Ass_en!F16</f>
        <v>0</v>
      </c>
      <c r="G13" s="19">
        <f>0.6*Ass_en!G16</f>
        <v>0</v>
      </c>
      <c r="H13" s="10" t="s">
        <v>46</v>
      </c>
      <c r="I13" s="10"/>
      <c r="J13" s="13"/>
    </row>
    <row r="14" spans="1:13">
      <c r="A14" s="10" t="str">
        <f>'Mat_com_%'!A14</f>
        <v>HEV van/SUV</v>
      </c>
      <c r="B14" s="19">
        <f>0.6*Ass_en!B17</f>
        <v>1.8659207752419145</v>
      </c>
      <c r="C14" s="19">
        <f>0.6*Ass_en!C17</f>
        <v>1.8040747263325243</v>
      </c>
      <c r="D14" s="19">
        <f>0.6*Ass_en!D17</f>
        <v>0</v>
      </c>
      <c r="E14" s="19">
        <f>0.6*Ass_en!E17</f>
        <v>0</v>
      </c>
      <c r="F14" s="19">
        <f>0.6*Ass_en!F17</f>
        <v>0</v>
      </c>
      <c r="G14" s="19">
        <f>0.6*Ass_en!G17</f>
        <v>0</v>
      </c>
      <c r="H14" s="10" t="s">
        <v>46</v>
      </c>
      <c r="I14" s="10"/>
      <c r="J14" s="13"/>
    </row>
    <row r="15" spans="1:13">
      <c r="A15" s="10" t="str">
        <f>'Mat_com_%'!A15</f>
        <v>HEV LT</v>
      </c>
      <c r="B15" s="19">
        <f>0.6*Ass_en!B18</f>
        <v>1.8659207752419145</v>
      </c>
      <c r="C15" s="19">
        <f>0.6*Ass_en!C18</f>
        <v>1.8040747263325243</v>
      </c>
      <c r="D15" s="19">
        <f>0.6*Ass_en!D18</f>
        <v>0</v>
      </c>
      <c r="E15" s="19">
        <f>0.6*Ass_en!E18</f>
        <v>0</v>
      </c>
      <c r="F15" s="19">
        <f>0.6*Ass_en!F18</f>
        <v>0</v>
      </c>
      <c r="G15" s="19">
        <f>0.6*Ass_en!G18</f>
        <v>0</v>
      </c>
      <c r="H15" s="10" t="s">
        <v>46</v>
      </c>
      <c r="I15" s="10"/>
      <c r="J15" s="13"/>
    </row>
    <row r="16" spans="1:13">
      <c r="A16" s="10" t="str">
        <f>'Mat_com_%'!A16</f>
        <v>PHEV micro</v>
      </c>
      <c r="B16" s="19">
        <f>0.6*Ass_en!B19</f>
        <v>1.8659207752419145</v>
      </c>
      <c r="C16" s="19">
        <f>0.6*Ass_en!C19</f>
        <v>1.8040747263325243</v>
      </c>
      <c r="D16" s="19">
        <f>0.6*Ass_en!D19</f>
        <v>0</v>
      </c>
      <c r="E16" s="19">
        <f>0.6*Ass_en!E19</f>
        <v>0</v>
      </c>
      <c r="F16" s="19">
        <f>0.6*Ass_en!F19</f>
        <v>0</v>
      </c>
      <c r="G16" s="19">
        <f>0.6*Ass_en!G19</f>
        <v>0</v>
      </c>
      <c r="H16" s="10" t="s">
        <v>46</v>
      </c>
      <c r="I16" s="10"/>
      <c r="J16" s="13"/>
    </row>
    <row r="17" spans="1:10">
      <c r="A17" s="10" t="str">
        <f>'Mat_com_%'!A17</f>
        <v>PHEV PC</v>
      </c>
      <c r="B17" s="19">
        <f>0.6*Ass_en!B20</f>
        <v>2.1943980315005049</v>
      </c>
      <c r="C17" s="19">
        <f>0.6*Ass_en!C20</f>
        <v>2.1216645854809357</v>
      </c>
      <c r="D17" s="19">
        <f>0.6*Ass_en!D20</f>
        <v>0</v>
      </c>
      <c r="E17" s="19">
        <f>0.6*Ass_en!E20</f>
        <v>0</v>
      </c>
      <c r="F17" s="19">
        <f>0.6*Ass_en!F20</f>
        <v>0</v>
      </c>
      <c r="G17" s="19">
        <f>0.6*Ass_en!G20</f>
        <v>0</v>
      </c>
      <c r="H17" s="10" t="s">
        <v>46</v>
      </c>
      <c r="I17" s="10"/>
      <c r="J17" s="13"/>
    </row>
    <row r="18" spans="1:10">
      <c r="A18" s="10" t="str">
        <f>'Mat_com_%'!A18</f>
        <v>PHEV van/SUV</v>
      </c>
      <c r="B18" s="19">
        <f>0.6*Ass_en!B21</f>
        <v>2.1943980315005049</v>
      </c>
      <c r="C18" s="19">
        <f>0.6*Ass_en!C21</f>
        <v>2.1216645854809357</v>
      </c>
      <c r="D18" s="19">
        <f>0.6*Ass_en!D21</f>
        <v>0</v>
      </c>
      <c r="E18" s="19">
        <f>0.6*Ass_en!E21</f>
        <v>0</v>
      </c>
      <c r="F18" s="19">
        <f>0.6*Ass_en!F21</f>
        <v>0</v>
      </c>
      <c r="G18" s="19">
        <f>0.6*Ass_en!G21</f>
        <v>0</v>
      </c>
      <c r="H18" s="10" t="s">
        <v>46</v>
      </c>
      <c r="I18" s="10"/>
      <c r="J18" s="13"/>
    </row>
    <row r="19" spans="1:10">
      <c r="A19" s="10" t="str">
        <f>'Mat_com_%'!A19</f>
        <v>PHEV LT</v>
      </c>
      <c r="B19" s="19">
        <f>0.6*Ass_en!B22</f>
        <v>2.1943980315005049</v>
      </c>
      <c r="C19" s="19">
        <f>0.6*Ass_en!C22</f>
        <v>2.1216645854809357</v>
      </c>
      <c r="D19" s="19">
        <f>0.6*Ass_en!D22</f>
        <v>0</v>
      </c>
      <c r="E19" s="19">
        <f>0.6*Ass_en!E22</f>
        <v>0</v>
      </c>
      <c r="F19" s="19">
        <f>0.6*Ass_en!F22</f>
        <v>0</v>
      </c>
      <c r="G19" s="19">
        <f>0.6*Ass_en!G22</f>
        <v>0</v>
      </c>
      <c r="H19" s="10" t="s">
        <v>46</v>
      </c>
      <c r="I19" s="10"/>
      <c r="J19" s="13"/>
    </row>
    <row r="20" spans="1:10">
      <c r="A20" s="10" t="str">
        <f>'Mat_com_%'!A20</f>
        <v>BEV micro</v>
      </c>
      <c r="B20" s="19">
        <f>0.6*Ass_en!B23</f>
        <v>2.1943980315005049</v>
      </c>
      <c r="C20" s="19">
        <f>0.6*Ass_en!C23</f>
        <v>2.1216645854809357</v>
      </c>
      <c r="D20" s="19">
        <f>0.6*Ass_en!D23</f>
        <v>0</v>
      </c>
      <c r="E20" s="19">
        <f>0.6*Ass_en!E23</f>
        <v>0</v>
      </c>
      <c r="F20" s="19">
        <f>0.6*Ass_en!F23</f>
        <v>0</v>
      </c>
      <c r="G20" s="19">
        <f>0.6*Ass_en!G23</f>
        <v>0</v>
      </c>
      <c r="H20" s="10" t="s">
        <v>46</v>
      </c>
      <c r="I20" s="10"/>
      <c r="J20" s="13"/>
    </row>
    <row r="21" spans="1:10">
      <c r="A21" s="10" t="str">
        <f>'Mat_com_%'!A21</f>
        <v>BEV PC</v>
      </c>
      <c r="B21" s="19">
        <f>0.6*Ass_en!B24</f>
        <v>1.8659207752419145</v>
      </c>
      <c r="C21" s="19">
        <f>0.6*Ass_en!C24</f>
        <v>1.8040747263325243</v>
      </c>
      <c r="D21" s="19">
        <f>0.6*Ass_en!D24</f>
        <v>0</v>
      </c>
      <c r="E21" s="19">
        <f>0.6*Ass_en!E24</f>
        <v>0</v>
      </c>
      <c r="F21" s="19">
        <f>0.6*Ass_en!F24</f>
        <v>0</v>
      </c>
      <c r="G21" s="19">
        <f>0.6*Ass_en!G24</f>
        <v>0</v>
      </c>
      <c r="H21" s="10" t="s">
        <v>46</v>
      </c>
      <c r="I21" s="10"/>
      <c r="J21" s="13"/>
    </row>
    <row r="22" spans="1:10">
      <c r="A22" s="10" t="str">
        <f>'Mat_com_%'!A22</f>
        <v>BEV van/SUV</v>
      </c>
      <c r="B22" s="19">
        <f>0.6*Ass_en!B25</f>
        <v>1.8659207752419145</v>
      </c>
      <c r="C22" s="19">
        <f>0.6*Ass_en!C25</f>
        <v>1.8040747263325243</v>
      </c>
      <c r="D22" s="19">
        <f>0.6*Ass_en!D25</f>
        <v>0</v>
      </c>
      <c r="E22" s="19">
        <f>0.6*Ass_en!E25</f>
        <v>0</v>
      </c>
      <c r="F22" s="19">
        <f>0.6*Ass_en!F25</f>
        <v>0</v>
      </c>
      <c r="G22" s="19">
        <f>0.6*Ass_en!G25</f>
        <v>0</v>
      </c>
      <c r="H22" s="10" t="s">
        <v>46</v>
      </c>
      <c r="I22" s="10"/>
      <c r="J22" s="13"/>
    </row>
    <row r="23" spans="1:10">
      <c r="A23" s="10" t="str">
        <f>'Mat_com_%'!A23</f>
        <v>BEV LT</v>
      </c>
      <c r="B23" s="19">
        <f>0.6*Ass_en!B26</f>
        <v>1.8659207752419145</v>
      </c>
      <c r="C23" s="19">
        <f>0.6*Ass_en!C26</f>
        <v>1.8040747263325243</v>
      </c>
      <c r="D23" s="19">
        <f>0.6*Ass_en!D26</f>
        <v>0</v>
      </c>
      <c r="E23" s="19">
        <f>0.6*Ass_en!E26</f>
        <v>0</v>
      </c>
      <c r="F23" s="19">
        <f>0.6*Ass_en!F26</f>
        <v>0</v>
      </c>
      <c r="G23" s="19">
        <f>0.6*Ass_en!G26</f>
        <v>0</v>
      </c>
      <c r="H23" s="10" t="s">
        <v>46</v>
      </c>
      <c r="I23" s="10"/>
      <c r="J23" s="13"/>
    </row>
    <row r="24" spans="1:10">
      <c r="A24" s="10" t="str">
        <f>'Mat_com_%'!A24</f>
        <v>HFCEV micro</v>
      </c>
      <c r="B24" s="19">
        <f>0.6*Ass_en!B27</f>
        <v>1.8659207752419145</v>
      </c>
      <c r="C24" s="19">
        <f>0.6*Ass_en!C27</f>
        <v>1.8040747263325243</v>
      </c>
      <c r="D24" s="19">
        <f>0.6*Ass_en!D27</f>
        <v>0</v>
      </c>
      <c r="E24" s="19">
        <f>0.6*Ass_en!E27</f>
        <v>0</v>
      </c>
      <c r="F24" s="19">
        <f>0.6*Ass_en!F27</f>
        <v>0</v>
      </c>
      <c r="G24" s="19">
        <f>0.6*Ass_en!G27</f>
        <v>0</v>
      </c>
      <c r="H24" s="10" t="s">
        <v>46</v>
      </c>
      <c r="I24" s="10"/>
      <c r="J24" s="13"/>
    </row>
    <row r="25" spans="1:10">
      <c r="A25" s="10" t="str">
        <f>'Mat_com_%'!A25</f>
        <v>HFCEV PC</v>
      </c>
      <c r="B25" s="19">
        <f>0.6*Ass_en!B28</f>
        <v>0</v>
      </c>
      <c r="C25" s="19">
        <f>0.6*Ass_en!C28</f>
        <v>0</v>
      </c>
      <c r="D25" s="19">
        <f>0.6*Ass_en!D28</f>
        <v>0</v>
      </c>
      <c r="E25" s="19">
        <f>0.6*Ass_en!E28</f>
        <v>0</v>
      </c>
      <c r="F25" s="19">
        <f>0.6*Ass_en!F28</f>
        <v>0</v>
      </c>
      <c r="G25" s="19">
        <f>0.6*Ass_en!G28</f>
        <v>0</v>
      </c>
      <c r="H25" s="10" t="s">
        <v>46</v>
      </c>
      <c r="I25" s="10"/>
      <c r="J25" s="13"/>
    </row>
    <row r="26" spans="1:10">
      <c r="A26" s="10" t="str">
        <f>'Mat_com_%'!A26</f>
        <v>HFCEV van/SUV</v>
      </c>
      <c r="B26" s="19">
        <f>0.6*Ass_en!B29</f>
        <v>0</v>
      </c>
      <c r="C26" s="19">
        <f>0.6*Ass_en!C29</f>
        <v>0</v>
      </c>
      <c r="D26" s="19">
        <f>0.6*Ass_en!D29</f>
        <v>0</v>
      </c>
      <c r="E26" s="19">
        <f>0.6*Ass_en!E29</f>
        <v>0</v>
      </c>
      <c r="F26" s="19">
        <f>0.6*Ass_en!F29</f>
        <v>0</v>
      </c>
      <c r="G26" s="19">
        <f>0.6*Ass_en!G29</f>
        <v>0</v>
      </c>
      <c r="H26" s="10" t="s">
        <v>46</v>
      </c>
      <c r="I26" s="10"/>
      <c r="J26" s="13"/>
    </row>
    <row r="27" spans="1:10">
      <c r="A27" s="10" t="str">
        <f>'Mat_com_%'!A27</f>
        <v>HFCEV LT</v>
      </c>
      <c r="B27" s="19">
        <f>0.6*Ass_en!B30</f>
        <v>0</v>
      </c>
      <c r="C27" s="19">
        <f>0.6*Ass_en!C30</f>
        <v>0</v>
      </c>
      <c r="D27" s="19">
        <f>0.6*Ass_en!D30</f>
        <v>0</v>
      </c>
      <c r="E27" s="19">
        <f>0.6*Ass_en!E30</f>
        <v>0</v>
      </c>
      <c r="F27" s="19">
        <f>0.6*Ass_en!F30</f>
        <v>0</v>
      </c>
      <c r="G27" s="19">
        <f>0.6*Ass_en!G30</f>
        <v>0</v>
      </c>
      <c r="H27" s="10" t="s">
        <v>46</v>
      </c>
      <c r="I27" s="10"/>
      <c r="J27" s="1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75DB-6E6B-4441-B6A9-BC0B373D5089}">
  <dimension ref="A1:I27"/>
  <sheetViews>
    <sheetView zoomScale="60" zoomScaleNormal="60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Q36" sqref="Q36"/>
    </sheetView>
  </sheetViews>
  <sheetFormatPr defaultRowHeight="14.6"/>
  <cols>
    <col min="1" max="1" width="19" customWidth="1"/>
    <col min="8" max="8" width="12.84375" bestFit="1" customWidth="1"/>
    <col min="9" max="9" width="12" customWidth="1"/>
  </cols>
  <sheetData>
    <row r="1" spans="1:9" ht="18.45">
      <c r="A1" s="6" t="s">
        <v>48</v>
      </c>
    </row>
    <row r="3" spans="1:9" s="5" customFormat="1">
      <c r="B3" s="5" t="s">
        <v>0</v>
      </c>
      <c r="C3" s="5" t="s">
        <v>57</v>
      </c>
      <c r="D3" s="5" t="s">
        <v>56</v>
      </c>
      <c r="E3" s="5" t="s">
        <v>38</v>
      </c>
      <c r="F3" s="5" t="s">
        <v>39</v>
      </c>
      <c r="G3" s="5" t="s">
        <v>146</v>
      </c>
      <c r="H3" s="5" t="s">
        <v>22</v>
      </c>
    </row>
    <row r="4" spans="1:9">
      <c r="A4" s="10" t="str">
        <f>'Mat_com_%'!A4</f>
        <v>ICEV-g micro</v>
      </c>
      <c r="B4" s="19" t="e">
        <f>#REF!/#REF!</f>
        <v>#REF!</v>
      </c>
      <c r="C4" s="19" t="e">
        <f>#REF!/#REF!</f>
        <v>#REF!</v>
      </c>
      <c r="D4" s="19">
        <v>0</v>
      </c>
      <c r="E4" s="19">
        <v>0</v>
      </c>
      <c r="F4" s="19">
        <v>0</v>
      </c>
      <c r="G4" s="19">
        <v>0</v>
      </c>
      <c r="H4" s="10" t="s">
        <v>46</v>
      </c>
      <c r="I4" s="10"/>
    </row>
    <row r="5" spans="1:9">
      <c r="A5" s="10" t="str">
        <f>'Mat_com_%'!A5</f>
        <v>ICEV-g PC</v>
      </c>
      <c r="B5" s="19" t="e">
        <f>#REF!/#REF!</f>
        <v>#REF!</v>
      </c>
      <c r="C5" s="19" t="e">
        <f>#REF!/#REF!</f>
        <v>#REF!</v>
      </c>
      <c r="D5" s="19">
        <v>0</v>
      </c>
      <c r="E5" s="19">
        <v>0</v>
      </c>
      <c r="F5" s="19">
        <v>0</v>
      </c>
      <c r="G5" s="19">
        <v>0</v>
      </c>
      <c r="H5" s="10" t="s">
        <v>46</v>
      </c>
      <c r="I5" s="10"/>
    </row>
    <row r="6" spans="1:9">
      <c r="A6" s="10" t="str">
        <f>'Mat_com_%'!A6</f>
        <v>ICEV-g van/SUV</v>
      </c>
      <c r="B6" s="19" t="e">
        <f>#REF!/#REF!</f>
        <v>#REF!</v>
      </c>
      <c r="C6" s="19" t="e">
        <f>#REF!/#REF!</f>
        <v>#REF!</v>
      </c>
      <c r="D6" s="19">
        <v>0</v>
      </c>
      <c r="E6" s="19">
        <v>0</v>
      </c>
      <c r="F6" s="19">
        <v>0</v>
      </c>
      <c r="G6" s="19">
        <v>0</v>
      </c>
      <c r="H6" s="10" t="s">
        <v>46</v>
      </c>
      <c r="I6" s="10"/>
    </row>
    <row r="7" spans="1:9">
      <c r="A7" s="10" t="str">
        <f>'Mat_com_%'!A7</f>
        <v>ICEV-g LT</v>
      </c>
      <c r="B7" s="19">
        <v>2.9211995938497166</v>
      </c>
      <c r="C7" s="19">
        <v>2.8243762692196035</v>
      </c>
      <c r="D7" s="19">
        <v>0</v>
      </c>
      <c r="E7" s="19">
        <v>0</v>
      </c>
      <c r="F7" s="19">
        <v>0</v>
      </c>
      <c r="G7" s="19">
        <v>0</v>
      </c>
      <c r="H7" s="10" t="s">
        <v>46</v>
      </c>
      <c r="I7" s="10"/>
    </row>
    <row r="8" spans="1:9">
      <c r="A8" s="10" t="str">
        <f>'Mat_com_%'!A8</f>
        <v>ICEV-d micro</v>
      </c>
      <c r="B8" s="19">
        <v>2.9211995938497166</v>
      </c>
      <c r="C8" s="19">
        <v>2.8243762692196035</v>
      </c>
      <c r="D8" s="19">
        <v>0</v>
      </c>
      <c r="E8" s="19">
        <v>0</v>
      </c>
      <c r="F8" s="19">
        <v>0</v>
      </c>
      <c r="G8" s="19">
        <v>0</v>
      </c>
      <c r="H8" s="10" t="s">
        <v>46</v>
      </c>
      <c r="I8" s="10"/>
    </row>
    <row r="9" spans="1:9">
      <c r="A9" s="10" t="str">
        <f>'Mat_com_%'!A9</f>
        <v>ICEV-d PC</v>
      </c>
      <c r="B9" s="19">
        <v>2.9211995938497166</v>
      </c>
      <c r="C9" s="19">
        <v>2.8243762692196035</v>
      </c>
      <c r="D9" s="19">
        <v>0</v>
      </c>
      <c r="E9" s="19">
        <v>0</v>
      </c>
      <c r="F9" s="19">
        <v>0</v>
      </c>
      <c r="G9" s="19">
        <v>0</v>
      </c>
      <c r="H9" s="10" t="s">
        <v>46</v>
      </c>
      <c r="I9" s="10"/>
    </row>
    <row r="10" spans="1:9">
      <c r="A10" s="10" t="str">
        <f>'Mat_com_%'!A10</f>
        <v>ICEV-d van/SUV</v>
      </c>
      <c r="B10" s="19">
        <v>2.9211995938497166</v>
      </c>
      <c r="C10" s="19">
        <v>2.8243762692196035</v>
      </c>
      <c r="D10" s="19">
        <v>0</v>
      </c>
      <c r="E10" s="19">
        <v>0</v>
      </c>
      <c r="F10" s="19">
        <v>0</v>
      </c>
      <c r="G10" s="19">
        <v>0</v>
      </c>
      <c r="H10" s="10" t="s">
        <v>46</v>
      </c>
      <c r="I10" s="10"/>
    </row>
    <row r="11" spans="1:9">
      <c r="A11" s="10" t="str">
        <f>'Mat_com_%'!A11</f>
        <v>ICEV-d LT</v>
      </c>
      <c r="B11" s="19">
        <v>2.9211995938497166</v>
      </c>
      <c r="C11" s="19">
        <v>2.8243762692196035</v>
      </c>
      <c r="D11" s="19">
        <v>0</v>
      </c>
      <c r="E11" s="19">
        <v>0</v>
      </c>
      <c r="F11" s="19">
        <v>0</v>
      </c>
      <c r="G11" s="19">
        <v>0</v>
      </c>
      <c r="H11" s="10" t="s">
        <v>46</v>
      </c>
      <c r="I11" s="10"/>
    </row>
    <row r="12" spans="1:9">
      <c r="A12" s="10" t="str">
        <f>'Mat_com_%'!A12</f>
        <v>HEV micro</v>
      </c>
      <c r="B12" s="19">
        <v>2.8485881177720906</v>
      </c>
      <c r="C12" s="19">
        <v>2.7541715045953592</v>
      </c>
      <c r="D12" s="19">
        <v>0</v>
      </c>
      <c r="E12" s="19">
        <v>0</v>
      </c>
      <c r="F12" s="19">
        <v>0</v>
      </c>
      <c r="G12" s="19">
        <v>0</v>
      </c>
      <c r="H12" s="10" t="s">
        <v>46</v>
      </c>
      <c r="I12" s="10"/>
    </row>
    <row r="13" spans="1:9">
      <c r="A13" s="10" t="str">
        <f>'Mat_com_%'!A13</f>
        <v>HEV PC</v>
      </c>
      <c r="B13" s="19">
        <v>2.8485881177720906</v>
      </c>
      <c r="C13" s="19">
        <v>2.7541715045953592</v>
      </c>
      <c r="D13" s="19">
        <v>0</v>
      </c>
      <c r="E13" s="19">
        <v>0</v>
      </c>
      <c r="F13" s="19">
        <v>0</v>
      </c>
      <c r="G13" s="19">
        <v>0</v>
      </c>
      <c r="H13" s="10" t="s">
        <v>46</v>
      </c>
      <c r="I13" s="10"/>
    </row>
    <row r="14" spans="1:9">
      <c r="A14" s="10" t="str">
        <f>'Mat_com_%'!A14</f>
        <v>HEV van/SUV</v>
      </c>
      <c r="B14" s="19">
        <v>2.8485881177720906</v>
      </c>
      <c r="C14" s="19">
        <v>2.7541715045953592</v>
      </c>
      <c r="D14" s="19">
        <v>0</v>
      </c>
      <c r="E14" s="19">
        <v>0</v>
      </c>
      <c r="F14" s="19">
        <v>0</v>
      </c>
      <c r="G14" s="19">
        <v>0</v>
      </c>
      <c r="H14" s="10" t="s">
        <v>46</v>
      </c>
      <c r="I14" s="10"/>
    </row>
    <row r="15" spans="1:9">
      <c r="A15" s="10" t="str">
        <f>'Mat_com_%'!A15</f>
        <v>HEV LT</v>
      </c>
      <c r="B15" s="19">
        <v>2.8485881177720906</v>
      </c>
      <c r="C15" s="19">
        <v>2.7541715045953592</v>
      </c>
      <c r="D15" s="19">
        <v>0</v>
      </c>
      <c r="E15" s="19">
        <v>0</v>
      </c>
      <c r="F15" s="19">
        <v>0</v>
      </c>
      <c r="G15" s="19">
        <v>0</v>
      </c>
      <c r="H15" s="10" t="s">
        <v>46</v>
      </c>
      <c r="I15" s="10"/>
    </row>
    <row r="16" spans="1:9">
      <c r="A16" s="10" t="str">
        <f>'Mat_com_%'!A16</f>
        <v>PHEV micro</v>
      </c>
      <c r="B16" s="19">
        <v>3.1098679587365243</v>
      </c>
      <c r="C16" s="19">
        <v>3.0067912105542072</v>
      </c>
      <c r="D16" s="19">
        <v>0</v>
      </c>
      <c r="E16" s="19">
        <v>0</v>
      </c>
      <c r="F16" s="19">
        <v>0</v>
      </c>
      <c r="G16" s="19">
        <v>0</v>
      </c>
      <c r="H16" s="10" t="s">
        <v>46</v>
      </c>
      <c r="I16" s="10"/>
    </row>
    <row r="17" spans="1:9">
      <c r="A17" s="10" t="str">
        <f>'Mat_com_%'!A17</f>
        <v>PHEV PC</v>
      </c>
      <c r="B17" s="19">
        <v>3.1098679587365243</v>
      </c>
      <c r="C17" s="19">
        <v>3.0067912105542072</v>
      </c>
      <c r="D17" s="19">
        <v>0</v>
      </c>
      <c r="E17" s="19">
        <v>0</v>
      </c>
      <c r="F17" s="19">
        <v>0</v>
      </c>
      <c r="G17" s="19">
        <v>0</v>
      </c>
      <c r="H17" s="10" t="s">
        <v>46</v>
      </c>
      <c r="I17" s="10"/>
    </row>
    <row r="18" spans="1:9">
      <c r="A18" s="10" t="str">
        <f>'Mat_com_%'!A18</f>
        <v>PHEV van/SUV</v>
      </c>
      <c r="B18" s="19">
        <v>3.1098679587365243</v>
      </c>
      <c r="C18" s="19">
        <v>3.0067912105542072</v>
      </c>
      <c r="D18" s="19">
        <v>0</v>
      </c>
      <c r="E18" s="19">
        <v>0</v>
      </c>
      <c r="F18" s="19">
        <v>0</v>
      </c>
      <c r="G18" s="19">
        <v>0</v>
      </c>
      <c r="H18" s="10" t="s">
        <v>46</v>
      </c>
      <c r="I18" s="10"/>
    </row>
    <row r="19" spans="1:9">
      <c r="A19" s="10" t="str">
        <f>'Mat_com_%'!A19</f>
        <v>PHEV LT</v>
      </c>
      <c r="B19" s="19">
        <v>3.1098679587365243</v>
      </c>
      <c r="C19" s="19">
        <v>3.0067912105542072</v>
      </c>
      <c r="D19" s="19">
        <v>0</v>
      </c>
      <c r="E19" s="19">
        <v>0</v>
      </c>
      <c r="F19" s="19">
        <v>0</v>
      </c>
      <c r="G19" s="19">
        <v>0</v>
      </c>
      <c r="H19" s="10" t="s">
        <v>46</v>
      </c>
      <c r="I19" s="10"/>
    </row>
    <row r="20" spans="1:9">
      <c r="A20" s="10" t="str">
        <f>'Mat_com_%'!A20</f>
        <v>BEV micro</v>
      </c>
      <c r="B20" s="19">
        <v>3.6573300525008419</v>
      </c>
      <c r="C20" s="19">
        <v>3.5361076424682265</v>
      </c>
      <c r="D20" s="19">
        <v>0</v>
      </c>
      <c r="E20" s="19">
        <v>0</v>
      </c>
      <c r="F20" s="19">
        <v>0</v>
      </c>
      <c r="G20" s="19">
        <v>0</v>
      </c>
      <c r="H20" s="10" t="s">
        <v>46</v>
      </c>
      <c r="I20" s="10"/>
    </row>
    <row r="21" spans="1:9">
      <c r="A21" s="10" t="str">
        <f>'Mat_com_%'!A21</f>
        <v>BEV PC</v>
      </c>
      <c r="B21" s="19">
        <v>3.6573300525008419</v>
      </c>
      <c r="C21" s="19">
        <v>3.5361076424682265</v>
      </c>
      <c r="D21" s="19">
        <v>0</v>
      </c>
      <c r="E21" s="19">
        <v>0</v>
      </c>
      <c r="F21" s="19">
        <v>0</v>
      </c>
      <c r="G21" s="19">
        <v>0</v>
      </c>
      <c r="H21" s="10" t="s">
        <v>46</v>
      </c>
      <c r="I21" s="10"/>
    </row>
    <row r="22" spans="1:9">
      <c r="A22" s="10" t="str">
        <f>'Mat_com_%'!A22</f>
        <v>BEV van/SUV</v>
      </c>
      <c r="B22" s="19">
        <v>3.6573300525008419</v>
      </c>
      <c r="C22" s="19">
        <v>3.5361076424682265</v>
      </c>
      <c r="D22" s="19">
        <v>0</v>
      </c>
      <c r="E22" s="19">
        <v>0</v>
      </c>
      <c r="F22" s="19">
        <v>0</v>
      </c>
      <c r="G22" s="19">
        <v>0</v>
      </c>
      <c r="H22" s="10" t="s">
        <v>46</v>
      </c>
      <c r="I22" s="10"/>
    </row>
    <row r="23" spans="1:9">
      <c r="A23" s="10" t="str">
        <f>'Mat_com_%'!A23</f>
        <v>BEV LT</v>
      </c>
      <c r="B23" s="19">
        <v>3.6573300525008419</v>
      </c>
      <c r="C23" s="19">
        <v>3.5361076424682265</v>
      </c>
      <c r="D23" s="19">
        <v>0</v>
      </c>
      <c r="E23" s="19">
        <v>0</v>
      </c>
      <c r="F23" s="19">
        <v>0</v>
      </c>
      <c r="G23" s="19">
        <v>0</v>
      </c>
      <c r="H23" s="10" t="s">
        <v>46</v>
      </c>
      <c r="I23" s="10"/>
    </row>
    <row r="24" spans="1:9">
      <c r="A24" s="10" t="str">
        <f>'Mat_com_%'!A24</f>
        <v>HFCEV micro</v>
      </c>
      <c r="B24" s="19">
        <v>3.1098679587365243</v>
      </c>
      <c r="C24" s="19">
        <v>3.0067912105542072</v>
      </c>
      <c r="D24" s="19">
        <v>0</v>
      </c>
      <c r="E24" s="19">
        <v>0</v>
      </c>
      <c r="F24" s="19">
        <v>0</v>
      </c>
      <c r="G24" s="19">
        <v>0</v>
      </c>
      <c r="H24" s="10" t="s">
        <v>46</v>
      </c>
      <c r="I24" s="10"/>
    </row>
    <row r="25" spans="1:9">
      <c r="A25" s="10" t="str">
        <f>'Mat_com_%'!A25</f>
        <v>HFCEV PC</v>
      </c>
      <c r="B25" s="19">
        <v>3.1098679587365243</v>
      </c>
      <c r="C25" s="19">
        <v>3.0067912105542072</v>
      </c>
      <c r="D25" s="19">
        <v>0</v>
      </c>
      <c r="E25" s="19">
        <v>0</v>
      </c>
      <c r="F25" s="19">
        <v>0</v>
      </c>
      <c r="G25" s="19">
        <v>0</v>
      </c>
      <c r="H25" s="10" t="s">
        <v>46</v>
      </c>
      <c r="I25" s="10"/>
    </row>
    <row r="26" spans="1:9">
      <c r="A26" s="10" t="str">
        <f>'Mat_com_%'!A26</f>
        <v>HFCEV van/SUV</v>
      </c>
      <c r="B26" s="19">
        <v>3.1098679587365243</v>
      </c>
      <c r="C26" s="19">
        <v>3.0067912105542072</v>
      </c>
      <c r="D26" s="19">
        <v>0</v>
      </c>
      <c r="E26" s="19">
        <v>0</v>
      </c>
      <c r="F26" s="19">
        <v>0</v>
      </c>
      <c r="G26" s="19">
        <v>0</v>
      </c>
      <c r="H26" s="10" t="s">
        <v>46</v>
      </c>
      <c r="I26" s="10"/>
    </row>
    <row r="27" spans="1:9">
      <c r="A27" s="10" t="str">
        <f>'Mat_com_%'!A27</f>
        <v>HFCEV LT</v>
      </c>
      <c r="B27" s="19">
        <v>3.1098679587365243</v>
      </c>
      <c r="C27" s="19">
        <v>3.0067912105542072</v>
      </c>
      <c r="D27" s="19">
        <v>0</v>
      </c>
      <c r="E27" s="19">
        <v>0</v>
      </c>
      <c r="F27" s="19">
        <v>0</v>
      </c>
      <c r="G27" s="19">
        <v>0</v>
      </c>
      <c r="H27" s="10" t="s">
        <v>46</v>
      </c>
      <c r="I2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CF65-1675-49B8-BA63-B5F360462263}">
  <sheetPr codeName="Sheet20"/>
  <dimension ref="A1:E65"/>
  <sheetViews>
    <sheetView zoomScale="60" zoomScaleNormal="6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5" sqref="I15"/>
    </sheetView>
  </sheetViews>
  <sheetFormatPr defaultRowHeight="14.6"/>
  <cols>
    <col min="1" max="1" width="19" customWidth="1"/>
    <col min="4" max="4" width="12.84375" bestFit="1" customWidth="1"/>
  </cols>
  <sheetData>
    <row r="1" spans="1:5" ht="18.45">
      <c r="A1" s="6" t="s">
        <v>86</v>
      </c>
    </row>
    <row r="3" spans="1:5" s="5" customFormat="1">
      <c r="A3" s="5" t="s">
        <v>20</v>
      </c>
      <c r="D3" s="5" t="s">
        <v>22</v>
      </c>
    </row>
    <row r="4" spans="1:5">
      <c r="A4" s="10" t="str">
        <f>'Mat_com_%'!A4</f>
        <v>ICEV-g micro</v>
      </c>
      <c r="B4" s="18">
        <v>1532</v>
      </c>
      <c r="C4" s="18">
        <v>1532</v>
      </c>
      <c r="D4" s="10" t="s">
        <v>51</v>
      </c>
      <c r="E4" s="13"/>
    </row>
    <row r="5" spans="1:5">
      <c r="A5" s="10" t="str">
        <f>'Mat_com_%'!A5</f>
        <v>ICEV-g PC</v>
      </c>
      <c r="B5" s="18">
        <v>1532</v>
      </c>
      <c r="C5" s="18">
        <v>1532</v>
      </c>
      <c r="D5" s="10" t="s">
        <v>51</v>
      </c>
      <c r="E5" s="13"/>
    </row>
    <row r="6" spans="1:5">
      <c r="A6" s="10" t="str">
        <f>'Mat_com_%'!A6</f>
        <v>ICEV-g van/SUV</v>
      </c>
      <c r="B6" s="18">
        <v>1532</v>
      </c>
      <c r="C6" s="18">
        <v>1532</v>
      </c>
      <c r="D6" s="10" t="s">
        <v>51</v>
      </c>
      <c r="E6" s="13"/>
    </row>
    <row r="7" spans="1:5">
      <c r="A7" s="10" t="str">
        <f>'Mat_com_%'!A7</f>
        <v>ICEV-g LT</v>
      </c>
      <c r="B7" s="18">
        <v>1532</v>
      </c>
      <c r="C7" s="18">
        <v>1532</v>
      </c>
      <c r="D7" s="10" t="s">
        <v>51</v>
      </c>
      <c r="E7" s="13"/>
    </row>
    <row r="8" spans="1:5">
      <c r="A8" s="10" t="str">
        <f>'Mat_com_%'!A8</f>
        <v>ICEV-d micro</v>
      </c>
      <c r="B8" s="18">
        <v>1532</v>
      </c>
      <c r="C8" s="18">
        <v>1532</v>
      </c>
      <c r="D8" s="10" t="s">
        <v>51</v>
      </c>
      <c r="E8" s="13"/>
    </row>
    <row r="9" spans="1:5">
      <c r="A9" s="10" t="str">
        <f>'Mat_com_%'!A9</f>
        <v>ICEV-d PC</v>
      </c>
      <c r="B9" s="18">
        <v>1532</v>
      </c>
      <c r="C9" s="18">
        <v>1532</v>
      </c>
      <c r="D9" s="10" t="s">
        <v>51</v>
      </c>
      <c r="E9" s="13"/>
    </row>
    <row r="10" spans="1:5">
      <c r="A10" s="10" t="str">
        <f>'Mat_com_%'!A10</f>
        <v>ICEV-d van/SUV</v>
      </c>
      <c r="B10" s="18">
        <v>1532</v>
      </c>
      <c r="C10" s="18">
        <v>1532</v>
      </c>
      <c r="D10" s="10" t="s">
        <v>51</v>
      </c>
      <c r="E10" s="13"/>
    </row>
    <row r="11" spans="1:5">
      <c r="A11" s="10" t="str">
        <f>'Mat_com_%'!A11</f>
        <v>ICEV-d LT</v>
      </c>
      <c r="B11" s="18">
        <v>1532</v>
      </c>
      <c r="C11" s="18">
        <v>1532</v>
      </c>
      <c r="D11" s="10" t="s">
        <v>51</v>
      </c>
      <c r="E11" s="13"/>
    </row>
    <row r="12" spans="1:5">
      <c r="A12" s="10" t="str">
        <f>'Mat_com_%'!A12</f>
        <v>HEV micro</v>
      </c>
      <c r="B12" s="18">
        <v>1683</v>
      </c>
      <c r="C12" s="18">
        <v>1683</v>
      </c>
      <c r="D12" s="10" t="s">
        <v>51</v>
      </c>
      <c r="E12" s="13"/>
    </row>
    <row r="13" spans="1:5">
      <c r="A13" s="10" t="str">
        <f>'Mat_com_%'!A13</f>
        <v>HEV PC</v>
      </c>
      <c r="B13" s="18">
        <v>1683</v>
      </c>
      <c r="C13" s="18">
        <v>1683</v>
      </c>
      <c r="D13" s="10" t="s">
        <v>51</v>
      </c>
      <c r="E13" s="13"/>
    </row>
    <row r="14" spans="1:5">
      <c r="A14" s="10" t="str">
        <f>'Mat_com_%'!A14</f>
        <v>HEV van/SUV</v>
      </c>
      <c r="B14" s="18">
        <v>1683</v>
      </c>
      <c r="C14" s="18">
        <v>1683</v>
      </c>
      <c r="D14" s="10" t="s">
        <v>51</v>
      </c>
      <c r="E14" s="13"/>
    </row>
    <row r="15" spans="1:5">
      <c r="A15" s="10" t="str">
        <f>'Mat_com_%'!A15</f>
        <v>HEV LT</v>
      </c>
      <c r="B15" s="18">
        <v>1683</v>
      </c>
      <c r="C15" s="18">
        <v>1683</v>
      </c>
      <c r="D15" s="10" t="s">
        <v>51</v>
      </c>
      <c r="E15" s="13"/>
    </row>
    <row r="16" spans="1:5">
      <c r="A16" s="10" t="str">
        <f>'Mat_com_%'!A16</f>
        <v>PHEV micro</v>
      </c>
      <c r="B16" s="18">
        <f t="shared" ref="B16:C19" si="0">AVERAGE(1746,1959)</f>
        <v>1852.5</v>
      </c>
      <c r="C16" s="18">
        <f t="shared" si="0"/>
        <v>1852.5</v>
      </c>
      <c r="D16" s="10" t="s">
        <v>51</v>
      </c>
      <c r="E16" s="13"/>
    </row>
    <row r="17" spans="1:5">
      <c r="A17" s="10" t="str">
        <f>'Mat_com_%'!A17</f>
        <v>PHEV PC</v>
      </c>
      <c r="B17" s="18">
        <f>AVERAGE(1746,1959)</f>
        <v>1852.5</v>
      </c>
      <c r="C17" s="18">
        <f>AVERAGE(1746,1959)</f>
        <v>1852.5</v>
      </c>
      <c r="D17" s="10" t="s">
        <v>51</v>
      </c>
      <c r="E17" s="13"/>
    </row>
    <row r="18" spans="1:5">
      <c r="A18" s="10" t="str">
        <f>'Mat_com_%'!A18</f>
        <v>PHEV van/SUV</v>
      </c>
      <c r="B18" s="18">
        <f t="shared" si="0"/>
        <v>1852.5</v>
      </c>
      <c r="C18" s="18">
        <f t="shared" si="0"/>
        <v>1852.5</v>
      </c>
      <c r="D18" s="10" t="s">
        <v>51</v>
      </c>
      <c r="E18" s="13"/>
    </row>
    <row r="19" spans="1:5">
      <c r="A19" s="10" t="str">
        <f>'Mat_com_%'!A19</f>
        <v>PHEV LT</v>
      </c>
      <c r="B19" s="18">
        <f t="shared" si="0"/>
        <v>1852.5</v>
      </c>
      <c r="C19" s="18">
        <f t="shared" si="0"/>
        <v>1852.5</v>
      </c>
      <c r="D19" s="10" t="s">
        <v>51</v>
      </c>
      <c r="E19" s="13"/>
    </row>
    <row r="20" spans="1:5">
      <c r="A20" s="10" t="str">
        <f>'Mat_com_%'!A20</f>
        <v>BEV micro</v>
      </c>
      <c r="B20" s="18">
        <f>1959</f>
        <v>1959</v>
      </c>
      <c r="C20" s="18">
        <f>1959</f>
        <v>1959</v>
      </c>
      <c r="D20" s="10" t="s">
        <v>51</v>
      </c>
      <c r="E20" s="13"/>
    </row>
    <row r="21" spans="1:5">
      <c r="A21" s="10" t="str">
        <f>'Mat_com_%'!A21</f>
        <v>BEV PC</v>
      </c>
      <c r="B21" s="18">
        <f>1959</f>
        <v>1959</v>
      </c>
      <c r="C21" s="18">
        <f>1959</f>
        <v>1959</v>
      </c>
      <c r="D21" s="10" t="s">
        <v>51</v>
      </c>
      <c r="E21" s="13"/>
    </row>
    <row r="22" spans="1:5">
      <c r="A22" s="10" t="str">
        <f>'Mat_com_%'!A22</f>
        <v>BEV van/SUV</v>
      </c>
      <c r="B22" s="18">
        <f>1959</f>
        <v>1959</v>
      </c>
      <c r="C22" s="18">
        <f>1959</f>
        <v>1959</v>
      </c>
      <c r="D22" s="10" t="s">
        <v>51</v>
      </c>
      <c r="E22" s="13"/>
    </row>
    <row r="23" spans="1:5">
      <c r="A23" s="10" t="str">
        <f>'Mat_com_%'!A23</f>
        <v>BEV LT</v>
      </c>
      <c r="B23" s="18">
        <f>1959</f>
        <v>1959</v>
      </c>
      <c r="C23" s="18">
        <f>1959</f>
        <v>1959</v>
      </c>
      <c r="D23" s="10" t="s">
        <v>51</v>
      </c>
      <c r="E23" s="13"/>
    </row>
    <row r="24" spans="1:5">
      <c r="A24" s="10" t="str">
        <f>'Mat_com_%'!A24</f>
        <v>HFCEV micro</v>
      </c>
      <c r="B24" s="18">
        <f t="shared" ref="B24:C26" si="1">B16</f>
        <v>1852.5</v>
      </c>
      <c r="C24" s="18">
        <f t="shared" si="1"/>
        <v>1852.5</v>
      </c>
      <c r="D24" s="10" t="s">
        <v>51</v>
      </c>
      <c r="E24" s="13"/>
    </row>
    <row r="25" spans="1:5">
      <c r="A25" s="10" t="str">
        <f>'Mat_com_%'!A25</f>
        <v>HFCEV PC</v>
      </c>
      <c r="B25" s="18">
        <f t="shared" si="1"/>
        <v>1852.5</v>
      </c>
      <c r="C25" s="18">
        <f t="shared" si="1"/>
        <v>1852.5</v>
      </c>
      <c r="D25" s="10" t="s">
        <v>51</v>
      </c>
      <c r="E25" s="13"/>
    </row>
    <row r="26" spans="1:5">
      <c r="A26" s="10" t="str">
        <f>'Mat_com_%'!A26</f>
        <v>HFCEV van/SUV</v>
      </c>
      <c r="B26" s="18">
        <f t="shared" si="1"/>
        <v>1852.5</v>
      </c>
      <c r="C26" s="18">
        <f t="shared" si="1"/>
        <v>1852.5</v>
      </c>
      <c r="D26" s="10" t="s">
        <v>51</v>
      </c>
      <c r="E26" s="13"/>
    </row>
    <row r="27" spans="1:5">
      <c r="A27" s="10" t="str">
        <f>'Mat_com_%'!A27</f>
        <v>HFCEV LT</v>
      </c>
      <c r="B27" s="18">
        <f>B19</f>
        <v>1852.5</v>
      </c>
      <c r="C27" s="18">
        <f>C19</f>
        <v>1852.5</v>
      </c>
      <c r="D27" s="10" t="s">
        <v>51</v>
      </c>
      <c r="E27" s="13"/>
    </row>
    <row r="28" spans="1:5">
      <c r="A28" s="10"/>
      <c r="B28" s="8"/>
      <c r="C28" s="8"/>
    </row>
    <row r="29" spans="1:5">
      <c r="A29" s="10"/>
      <c r="B29" s="8"/>
      <c r="C29" s="8"/>
    </row>
    <row r="30" spans="1:5">
      <c r="A30" s="10"/>
      <c r="B30" s="8"/>
      <c r="C30" s="8"/>
    </row>
    <row r="31" spans="1:5">
      <c r="A31" s="10"/>
      <c r="B31" s="8"/>
      <c r="C31" s="8"/>
    </row>
    <row r="32" spans="1:5">
      <c r="A32" s="10"/>
      <c r="B32" s="8"/>
      <c r="C32" s="8"/>
    </row>
    <row r="33" spans="1:3">
      <c r="A33" s="10"/>
      <c r="B33" s="8"/>
      <c r="C33" s="8"/>
    </row>
    <row r="34" spans="1:3">
      <c r="A34" s="10"/>
      <c r="B34" s="8"/>
      <c r="C34" s="8"/>
    </row>
    <row r="35" spans="1:3">
      <c r="A35" s="10"/>
      <c r="B35" s="8"/>
      <c r="C35" s="8"/>
    </row>
    <row r="36" spans="1:3">
      <c r="A36" s="10"/>
      <c r="B36" s="8"/>
      <c r="C36" s="8"/>
    </row>
    <row r="37" spans="1:3">
      <c r="A37" s="10"/>
      <c r="B37" s="8"/>
      <c r="C37" s="8"/>
    </row>
    <row r="38" spans="1:3">
      <c r="A38" s="10"/>
      <c r="B38" s="8"/>
      <c r="C38" s="8"/>
    </row>
    <row r="39" spans="1:3">
      <c r="A39" s="10"/>
      <c r="B39" s="8"/>
      <c r="C39" s="8"/>
    </row>
    <row r="40" spans="1:3">
      <c r="A40" s="10"/>
      <c r="B40" s="8"/>
      <c r="C40" s="8"/>
    </row>
    <row r="41" spans="1:3">
      <c r="A41" s="10"/>
      <c r="B41" s="8"/>
      <c r="C41" s="8"/>
    </row>
    <row r="42" spans="1:3">
      <c r="A42" s="10"/>
      <c r="B42" s="8"/>
      <c r="C42" s="8"/>
    </row>
    <row r="43" spans="1:3">
      <c r="A43" s="10"/>
      <c r="B43" s="8"/>
      <c r="C43" s="8"/>
    </row>
    <row r="44" spans="1:3">
      <c r="A44" s="10"/>
      <c r="B44" s="8"/>
      <c r="C44" s="8"/>
    </row>
    <row r="45" spans="1:3">
      <c r="A45" s="10"/>
      <c r="B45" s="8"/>
      <c r="C45" s="8"/>
    </row>
    <row r="46" spans="1:3">
      <c r="A46" s="10"/>
      <c r="B46" s="8"/>
      <c r="C46" s="8"/>
    </row>
    <row r="47" spans="1:3">
      <c r="A47" s="10"/>
      <c r="B47" s="8"/>
      <c r="C47" s="8"/>
    </row>
    <row r="48" spans="1:3">
      <c r="A48" s="10"/>
      <c r="B48" s="8"/>
      <c r="C48" s="8"/>
    </row>
    <row r="49" spans="1:3">
      <c r="A49" s="10"/>
      <c r="B49" s="8"/>
      <c r="C49" s="8"/>
    </row>
    <row r="50" spans="1:3">
      <c r="A50" s="10"/>
      <c r="B50" s="8"/>
      <c r="C50" s="8"/>
    </row>
    <row r="51" spans="1:3">
      <c r="A51" s="10"/>
      <c r="B51" s="8"/>
      <c r="C51" s="8"/>
    </row>
    <row r="52" spans="1:3">
      <c r="A52" s="10"/>
      <c r="B52" s="8"/>
      <c r="C52" s="8"/>
    </row>
    <row r="53" spans="1:3">
      <c r="A53" s="10"/>
      <c r="B53" s="8"/>
      <c r="C53" s="8"/>
    </row>
    <row r="54" spans="1:3">
      <c r="A54" s="10"/>
      <c r="B54" s="8"/>
      <c r="C54" s="8"/>
    </row>
    <row r="55" spans="1:3">
      <c r="A55" s="10"/>
      <c r="B55" s="8"/>
      <c r="C55" s="8"/>
    </row>
    <row r="56" spans="1:3">
      <c r="A56" s="10"/>
      <c r="B56" s="8"/>
      <c r="C56" s="8"/>
    </row>
    <row r="57" spans="1:3">
      <c r="A57" s="10"/>
      <c r="B57" s="8"/>
      <c r="C57" s="8"/>
    </row>
    <row r="58" spans="1:3">
      <c r="A58" s="10"/>
      <c r="B58" s="8"/>
      <c r="C58" s="8"/>
    </row>
    <row r="59" spans="1:3">
      <c r="A59" s="10"/>
      <c r="B59" s="8"/>
      <c r="C59" s="8"/>
    </row>
    <row r="60" spans="1:3">
      <c r="A60" s="10"/>
      <c r="B60" s="8"/>
      <c r="C60" s="8"/>
    </row>
    <row r="61" spans="1:3">
      <c r="A61" s="10"/>
      <c r="B61" s="8"/>
      <c r="C61" s="8"/>
    </row>
    <row r="62" spans="1:3">
      <c r="A62" s="10"/>
      <c r="B62" s="8"/>
      <c r="C62" s="8"/>
    </row>
    <row r="63" spans="1:3">
      <c r="A63" s="10"/>
      <c r="B63" s="8"/>
      <c r="C63" s="8"/>
    </row>
    <row r="64" spans="1:3">
      <c r="A64" s="10"/>
      <c r="B64" s="8"/>
      <c r="C64" s="8"/>
    </row>
    <row r="65" spans="1:3">
      <c r="A65" s="10"/>
      <c r="B65" s="8"/>
      <c r="C65" s="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0FF55-8494-4F25-9B6A-5F09C851F83E}">
  <sheetPr codeName="Sheet21"/>
  <dimension ref="A1:I37"/>
  <sheetViews>
    <sheetView zoomScale="60" zoomScaleNormal="6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F24" sqref="F24"/>
    </sheetView>
  </sheetViews>
  <sheetFormatPr defaultRowHeight="14.6"/>
  <cols>
    <col min="1" max="1" width="43.84375" bestFit="1" customWidth="1"/>
    <col min="2" max="2" width="14.3828125" customWidth="1"/>
    <col min="3" max="5" width="9.61328125" bestFit="1" customWidth="1"/>
    <col min="6" max="6" width="9.61328125" customWidth="1"/>
    <col min="7" max="7" width="10.61328125" bestFit="1" customWidth="1"/>
  </cols>
  <sheetData>
    <row r="1" spans="1:9" ht="18.45">
      <c r="A1" s="6" t="s">
        <v>106</v>
      </c>
    </row>
    <row r="3" spans="1:9">
      <c r="C3" s="5" t="s">
        <v>97</v>
      </c>
      <c r="D3" s="5" t="s">
        <v>98</v>
      </c>
      <c r="E3" s="5" t="s">
        <v>99</v>
      </c>
      <c r="F3" s="5" t="s">
        <v>108</v>
      </c>
      <c r="G3" s="5" t="s">
        <v>100</v>
      </c>
      <c r="I3" s="5"/>
    </row>
    <row r="4" spans="1:9">
      <c r="A4" s="5" t="s">
        <v>136</v>
      </c>
      <c r="C4" s="5"/>
      <c r="D4" s="5"/>
      <c r="E4" s="5"/>
      <c r="F4" s="5"/>
      <c r="G4" s="5"/>
      <c r="I4" s="5"/>
    </row>
    <row r="5" spans="1:9">
      <c r="A5" t="s">
        <v>101</v>
      </c>
      <c r="B5" t="s">
        <v>51</v>
      </c>
      <c r="C5" s="4">
        <v>1683</v>
      </c>
      <c r="D5" s="4">
        <v>1746</v>
      </c>
      <c r="E5" s="4">
        <v>1959</v>
      </c>
      <c r="F5" s="4"/>
      <c r="G5" s="4">
        <v>2104</v>
      </c>
    </row>
    <row r="6" spans="1:9">
      <c r="A6" t="s">
        <v>102</v>
      </c>
      <c r="B6" t="s">
        <v>51</v>
      </c>
      <c r="C6" s="4">
        <f>C5*0.6%</f>
        <v>10.098000000000001</v>
      </c>
      <c r="D6" s="4">
        <f>D5*2.3%</f>
        <v>40.158000000000001</v>
      </c>
      <c r="E6" s="4">
        <f>E5*4.18%</f>
        <v>81.886199999999988</v>
      </c>
      <c r="F6" s="4"/>
      <c r="G6" s="4">
        <f>G5*6.6%</f>
        <v>138.864</v>
      </c>
    </row>
    <row r="7" spans="1:9">
      <c r="A7" t="s">
        <v>103</v>
      </c>
      <c r="B7" t="s">
        <v>104</v>
      </c>
      <c r="C7" s="4">
        <v>1060</v>
      </c>
      <c r="D7" s="4">
        <v>3654</v>
      </c>
      <c r="E7" s="4">
        <v>7452</v>
      </c>
      <c r="F7" s="4"/>
      <c r="G7" s="4">
        <v>12637</v>
      </c>
    </row>
    <row r="8" spans="1:9">
      <c r="A8" t="s">
        <v>103</v>
      </c>
      <c r="B8" t="s">
        <v>87</v>
      </c>
      <c r="C8" s="4">
        <f>C7*$B$37</f>
        <v>297.38888936000001</v>
      </c>
      <c r="D8" s="4">
        <f>D7*$B$37</f>
        <v>1025.150001624</v>
      </c>
      <c r="E8" s="4">
        <f>E7*$B$37</f>
        <v>2090.7000033119998</v>
      </c>
      <c r="F8" s="4"/>
      <c r="G8" s="4">
        <f>G7*$B$37</f>
        <v>3545.3805611719999</v>
      </c>
    </row>
    <row r="9" spans="1:9">
      <c r="B9" t="s">
        <v>133</v>
      </c>
      <c r="C9" s="25">
        <f>C8/1000</f>
        <v>0.29738888936000002</v>
      </c>
      <c r="D9" s="25">
        <f t="shared" ref="D9:G9" si="0">D8/1000</f>
        <v>1.0251500016240001</v>
      </c>
      <c r="E9" s="25">
        <f t="shared" si="0"/>
        <v>2.090700003312</v>
      </c>
      <c r="F9" s="25"/>
      <c r="G9" s="25">
        <f t="shared" si="0"/>
        <v>3.5453805611719997</v>
      </c>
    </row>
    <row r="10" spans="1:9">
      <c r="B10" t="s">
        <v>105</v>
      </c>
      <c r="C10" s="4">
        <f>C8/C6</f>
        <v>29.450276228956227</v>
      </c>
      <c r="D10" s="4">
        <f t="shared" ref="D10:G10" si="1">D8/D6</f>
        <v>25.527914777229942</v>
      </c>
      <c r="E10" s="4">
        <f t="shared" si="1"/>
        <v>25.53177462517494</v>
      </c>
      <c r="F10" s="4">
        <f>E10</f>
        <v>25.53177462517494</v>
      </c>
      <c r="G10" s="4">
        <f t="shared" si="1"/>
        <v>25.531315252131581</v>
      </c>
    </row>
    <row r="12" spans="1:9">
      <c r="A12" t="s">
        <v>84</v>
      </c>
      <c r="B12" s="13" t="s">
        <v>33</v>
      </c>
    </row>
    <row r="15" spans="1:9">
      <c r="A15" s="5" t="s">
        <v>139</v>
      </c>
    </row>
    <row r="16" spans="1:9">
      <c r="A16" t="s">
        <v>103</v>
      </c>
      <c r="B16" t="s">
        <v>140</v>
      </c>
      <c r="G16">
        <v>586</v>
      </c>
    </row>
    <row r="17" spans="1:7">
      <c r="B17" t="s">
        <v>141</v>
      </c>
      <c r="G17" s="3">
        <f>G16*B37</f>
        <v>164.405555816</v>
      </c>
    </row>
    <row r="19" spans="1:7">
      <c r="A19" t="s">
        <v>84</v>
      </c>
    </row>
    <row r="22" spans="1:7">
      <c r="A22" s="5" t="s">
        <v>137</v>
      </c>
    </row>
    <row r="23" spans="1:7">
      <c r="A23" t="s">
        <v>138</v>
      </c>
      <c r="B23" t="s">
        <v>51</v>
      </c>
      <c r="C23">
        <v>38</v>
      </c>
      <c r="F23">
        <v>97</v>
      </c>
      <c r="G23">
        <v>462</v>
      </c>
    </row>
    <row r="24" spans="1:7">
      <c r="A24" t="s">
        <v>142</v>
      </c>
      <c r="B24" t="s">
        <v>87</v>
      </c>
      <c r="C24">
        <v>1</v>
      </c>
      <c r="F24">
        <v>8</v>
      </c>
      <c r="G24">
        <v>52</v>
      </c>
    </row>
    <row r="26" spans="1:7">
      <c r="A26" t="s">
        <v>143</v>
      </c>
      <c r="B26" t="s">
        <v>87</v>
      </c>
      <c r="C26" s="8">
        <f>C10*C23</f>
        <v>1119.1104967003366</v>
      </c>
      <c r="E26" s="8"/>
      <c r="F26" s="8">
        <f>F10*F23</f>
        <v>2476.5821386419693</v>
      </c>
      <c r="G26" s="8">
        <f>G10*G23</f>
        <v>11795.467646484791</v>
      </c>
    </row>
    <row r="27" spans="1:7">
      <c r="B27" t="s">
        <v>133</v>
      </c>
      <c r="C27" s="27">
        <f>C26/1000</f>
        <v>1.1191104967003367</v>
      </c>
      <c r="E27" s="8"/>
      <c r="F27" s="27">
        <f>F26/1000</f>
        <v>2.4765821386419695</v>
      </c>
      <c r="G27" s="27">
        <f t="shared" ref="G27" si="2">G26/1000</f>
        <v>11.795467646484791</v>
      </c>
    </row>
    <row r="28" spans="1:7">
      <c r="C28" s="27"/>
      <c r="E28" s="8"/>
      <c r="F28" s="27"/>
      <c r="G28" s="27"/>
    </row>
    <row r="29" spans="1:7">
      <c r="A29" s="20" t="s">
        <v>144</v>
      </c>
      <c r="B29" t="s">
        <v>87</v>
      </c>
      <c r="C29" s="8"/>
      <c r="D29" s="8"/>
      <c r="E29" s="8"/>
      <c r="F29" s="8"/>
      <c r="G29" s="8">
        <f>G24*G17</f>
        <v>8549.0889024320004</v>
      </c>
    </row>
    <row r="30" spans="1:7">
      <c r="A30" s="5"/>
      <c r="B30" t="s">
        <v>133</v>
      </c>
      <c r="C30" s="27"/>
      <c r="E30" s="8"/>
      <c r="F30" s="27"/>
      <c r="G30" s="27">
        <f>G29/1000</f>
        <v>8.5490889024320005</v>
      </c>
    </row>
    <row r="32" spans="1:7">
      <c r="A32" t="s">
        <v>134</v>
      </c>
      <c r="B32" t="s">
        <v>31</v>
      </c>
      <c r="C32" s="9" t="e">
        <f>Arch!#REF!</f>
        <v>#REF!</v>
      </c>
      <c r="E32" s="9"/>
      <c r="F32" s="9" t="e">
        <f>Arch!#REF!</f>
        <v>#REF!</v>
      </c>
      <c r="G32" s="9" t="e">
        <f>Arch!#REF!</f>
        <v>#REF!</v>
      </c>
    </row>
    <row r="33" spans="1:7">
      <c r="B33" t="s">
        <v>133</v>
      </c>
      <c r="C33" s="3" t="e">
        <f>C32*200000/100/1000</f>
        <v>#REF!</v>
      </c>
      <c r="E33" s="3"/>
      <c r="F33" s="3" t="e">
        <f>F32*200000/100/1000</f>
        <v>#REF!</v>
      </c>
      <c r="G33" s="3" t="e">
        <f t="shared" ref="G33" si="3">G32*200000/100/1000</f>
        <v>#REF!</v>
      </c>
    </row>
    <row r="35" spans="1:7">
      <c r="A35" s="5" t="s">
        <v>135</v>
      </c>
      <c r="B35" s="5"/>
      <c r="C35" s="28" t="e">
        <f>C27/C33</f>
        <v>#REF!</v>
      </c>
      <c r="E35" s="28"/>
      <c r="F35" s="28" t="e">
        <f>F27/F33</f>
        <v>#REF!</v>
      </c>
      <c r="G35" s="28" t="e">
        <f>G27/G33</f>
        <v>#REF!</v>
      </c>
    </row>
    <row r="37" spans="1:7">
      <c r="A37" t="s">
        <v>107</v>
      </c>
      <c r="B37">
        <v>0.28055555599999998</v>
      </c>
    </row>
  </sheetData>
  <hyperlinks>
    <hyperlink ref="B12" r:id="rId1" xr:uid="{EC264C8D-6AC1-4C4F-A69F-4D4D0EB59A7E}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21156-DD6A-4592-98AF-9190652226EA}">
  <sheetPr codeName="Sheet22"/>
  <dimension ref="A1:F27"/>
  <sheetViews>
    <sheetView zoomScale="60" zoomScaleNormal="6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4.6"/>
  <cols>
    <col min="1" max="1" width="19" customWidth="1"/>
    <col min="2" max="3" width="9.84375" bestFit="1" customWidth="1"/>
    <col min="4" max="4" width="12.84375" bestFit="1" customWidth="1"/>
    <col min="5" max="5" width="12.23046875" customWidth="1"/>
  </cols>
  <sheetData>
    <row r="1" spans="1:6" ht="18.45">
      <c r="A1" s="6" t="s">
        <v>145</v>
      </c>
    </row>
    <row r="2" spans="1:6">
      <c r="B2" s="15">
        <f>B4/(B4+C4)</f>
        <v>0.5084259025498612</v>
      </c>
      <c r="C2" s="17">
        <f>1-B2</f>
        <v>0.4915740974501388</v>
      </c>
      <c r="E2" s="11">
        <v>0.27777777777777701</v>
      </c>
    </row>
    <row r="3" spans="1:6" s="5" customFormat="1">
      <c r="A3" s="5" t="s">
        <v>20</v>
      </c>
      <c r="B3" s="5" t="s">
        <v>0</v>
      </c>
      <c r="C3" s="5" t="s">
        <v>47</v>
      </c>
      <c r="D3" s="5" t="s">
        <v>22</v>
      </c>
    </row>
    <row r="4" spans="1:6">
      <c r="A4" s="10" t="str">
        <f>'Mat_com_%'!A4</f>
        <v>ICEV-g micro</v>
      </c>
      <c r="B4" s="18">
        <f>$E$2*Ass_MJ!B4</f>
        <v>4475.2777777777656</v>
      </c>
      <c r="C4" s="18">
        <f>$E$2*Ass_MJ!C4</f>
        <v>4326.9444444444325</v>
      </c>
      <c r="D4" s="10" t="s">
        <v>46</v>
      </c>
      <c r="E4" s="10"/>
      <c r="F4" s="13"/>
    </row>
    <row r="5" spans="1:6">
      <c r="A5" s="10" t="str">
        <f>'Mat_com_%'!A5</f>
        <v>ICEV-g PC</v>
      </c>
      <c r="B5" s="18">
        <f>$E$2*Ass_MJ!B5</f>
        <v>4475.2777777777656</v>
      </c>
      <c r="C5" s="18">
        <f>$E$2*Ass_MJ!C5</f>
        <v>4326.9444444444325</v>
      </c>
      <c r="D5" s="10" t="s">
        <v>46</v>
      </c>
      <c r="E5" s="10"/>
      <c r="F5" s="13"/>
    </row>
    <row r="6" spans="1:6">
      <c r="A6" s="10" t="str">
        <f>'Mat_com_%'!A6</f>
        <v>ICEV-g van/SUV</v>
      </c>
      <c r="B6" s="18">
        <f>$E$2*Ass_MJ!B6</f>
        <v>4475.2777777777656</v>
      </c>
      <c r="C6" s="18">
        <f>$E$2*Ass_MJ!C6</f>
        <v>4326.9444444444325</v>
      </c>
      <c r="D6" s="10" t="s">
        <v>46</v>
      </c>
      <c r="E6" s="10"/>
      <c r="F6" s="13"/>
    </row>
    <row r="7" spans="1:6">
      <c r="A7" s="10" t="str">
        <f>'Mat_com_%'!A7</f>
        <v>ICEV-g LT</v>
      </c>
      <c r="B7" s="18">
        <f>$E$2*Ass_MJ!B7</f>
        <v>4475.2777777777656</v>
      </c>
      <c r="C7" s="18">
        <f>$E$2*Ass_MJ!C7</f>
        <v>4326.9444444444325</v>
      </c>
      <c r="D7" s="10" t="s">
        <v>46</v>
      </c>
      <c r="E7" s="10"/>
      <c r="F7" s="13"/>
    </row>
    <row r="8" spans="1:6">
      <c r="A8" s="10" t="str">
        <f>'Mat_com_%'!A8</f>
        <v>ICEV-d micro</v>
      </c>
      <c r="B8" s="18">
        <f>$E$2*Ass_MJ!B8</f>
        <v>4475.2777777777656</v>
      </c>
      <c r="C8" s="18">
        <f>$E$2*Ass_MJ!C8</f>
        <v>4326.9444444444325</v>
      </c>
      <c r="D8" s="10" t="s">
        <v>46</v>
      </c>
      <c r="E8" s="10"/>
      <c r="F8" s="13"/>
    </row>
    <row r="9" spans="1:6">
      <c r="A9" s="10" t="str">
        <f>'Mat_com_%'!A9</f>
        <v>ICEV-d PC</v>
      </c>
      <c r="B9" s="18">
        <f>$E$2*Ass_MJ!B9</f>
        <v>4475.2777777777656</v>
      </c>
      <c r="C9" s="18">
        <f>$E$2*Ass_MJ!C9</f>
        <v>4326.9444444444325</v>
      </c>
      <c r="D9" s="10" t="s">
        <v>46</v>
      </c>
      <c r="E9" s="10"/>
      <c r="F9" s="13"/>
    </row>
    <row r="10" spans="1:6">
      <c r="A10" s="10" t="str">
        <f>'Mat_com_%'!A10</f>
        <v>ICEV-d van/SUV</v>
      </c>
      <c r="B10" s="18">
        <f>$E$2*Ass_MJ!B10</f>
        <v>4475.2777777777656</v>
      </c>
      <c r="C10" s="18">
        <f>$E$2*Ass_MJ!C10</f>
        <v>4326.9444444444325</v>
      </c>
      <c r="D10" s="10" t="s">
        <v>46</v>
      </c>
      <c r="E10" s="10"/>
      <c r="F10" s="13"/>
    </row>
    <row r="11" spans="1:6">
      <c r="A11" s="10" t="str">
        <f>'Mat_com_%'!A11</f>
        <v>ICEV-d LT</v>
      </c>
      <c r="B11" s="18">
        <f>$E$2*Ass_MJ!B11</f>
        <v>4475.2777777777656</v>
      </c>
      <c r="C11" s="18">
        <f>$E$2*Ass_MJ!C11</f>
        <v>4326.9444444444325</v>
      </c>
      <c r="D11" s="10" t="s">
        <v>46</v>
      </c>
      <c r="E11" s="10"/>
      <c r="F11" s="13"/>
    </row>
    <row r="12" spans="1:6">
      <c r="A12" s="10" t="str">
        <f>'Mat_com_%'!A12</f>
        <v>HEV micro</v>
      </c>
      <c r="B12" s="18">
        <f>$E$2*Ass_MJ!B12</f>
        <v>4794.1738022104282</v>
      </c>
      <c r="C12" s="18">
        <f>$E$2*Ass_MJ!C12</f>
        <v>4635.2706422339897</v>
      </c>
      <c r="D12" s="10" t="s">
        <v>46</v>
      </c>
      <c r="E12" s="10"/>
      <c r="F12" s="13"/>
    </row>
    <row r="13" spans="1:6">
      <c r="A13" s="10" t="str">
        <f>'Mat_com_%'!A13</f>
        <v>HEV PC</v>
      </c>
      <c r="B13" s="18">
        <f>$E$2*Ass_MJ!B13</f>
        <v>4794.1738022104282</v>
      </c>
      <c r="C13" s="18">
        <f>$E$2*Ass_MJ!C13</f>
        <v>4635.2706422339897</v>
      </c>
      <c r="D13" s="10" t="s">
        <v>46</v>
      </c>
      <c r="E13" s="10"/>
      <c r="F13" s="13"/>
    </row>
    <row r="14" spans="1:6">
      <c r="A14" s="10" t="str">
        <f>'Mat_com_%'!A14</f>
        <v>HEV van/SUV</v>
      </c>
      <c r="B14" s="18">
        <f>$E$2*Ass_MJ!B14</f>
        <v>4794.1738022104282</v>
      </c>
      <c r="C14" s="18">
        <f>$E$2*Ass_MJ!C14</f>
        <v>4635.2706422339897</v>
      </c>
      <c r="D14" s="10" t="s">
        <v>46</v>
      </c>
      <c r="E14" s="10"/>
      <c r="F14" s="13"/>
    </row>
    <row r="15" spans="1:6">
      <c r="A15" s="10" t="str">
        <f>'Mat_com_%'!A15</f>
        <v>HEV LT</v>
      </c>
      <c r="B15" s="18">
        <f>$E$2*Ass_MJ!B15</f>
        <v>4794.1738022104282</v>
      </c>
      <c r="C15" s="18">
        <f>$E$2*Ass_MJ!C15</f>
        <v>4635.2706422339897</v>
      </c>
      <c r="D15" s="10" t="s">
        <v>46</v>
      </c>
      <c r="E15" s="10"/>
      <c r="F15" s="13"/>
    </row>
    <row r="16" spans="1:6">
      <c r="A16" s="10" t="str">
        <f>'Mat_com_%'!A16</f>
        <v>PHEV micro</v>
      </c>
      <c r="B16" s="18">
        <f>$E$2*Ass_MJ!B16</f>
        <v>5761.0303935594111</v>
      </c>
      <c r="C16" s="18">
        <f>$E$2*Ass_MJ!C16</f>
        <v>5570.0807175516684</v>
      </c>
      <c r="D16" s="10" t="s">
        <v>46</v>
      </c>
      <c r="E16" s="10"/>
      <c r="F16" s="13"/>
    </row>
    <row r="17" spans="1:6">
      <c r="A17" s="10" t="str">
        <f>'Mat_com_%'!A17</f>
        <v>PHEV PC</v>
      </c>
      <c r="B17" s="18">
        <f>$E$2*Ass_MJ!B17</f>
        <v>5761.0303935594111</v>
      </c>
      <c r="C17" s="18">
        <f>$E$2*Ass_MJ!C17</f>
        <v>5570.0807175516684</v>
      </c>
      <c r="D17" s="10" t="s">
        <v>46</v>
      </c>
      <c r="E17" s="10"/>
      <c r="F17" s="13"/>
    </row>
    <row r="18" spans="1:6">
      <c r="A18" s="10" t="str">
        <f>'Mat_com_%'!A18</f>
        <v>PHEV van/SUV</v>
      </c>
      <c r="B18" s="18">
        <f>$E$2*Ass_MJ!B18</f>
        <v>5761.0303935594111</v>
      </c>
      <c r="C18" s="18">
        <f>$E$2*Ass_MJ!C18</f>
        <v>5570.0807175516684</v>
      </c>
      <c r="D18" s="10" t="s">
        <v>46</v>
      </c>
      <c r="E18" s="10"/>
      <c r="F18" s="13"/>
    </row>
    <row r="19" spans="1:6">
      <c r="A19" s="10" t="str">
        <f>'Mat_com_%'!A19</f>
        <v>PHEV LT</v>
      </c>
      <c r="B19" s="18">
        <f>$E$2*Ass_MJ!B19</f>
        <v>5761.0303935594111</v>
      </c>
      <c r="C19" s="18">
        <f>$E$2*Ass_MJ!C19</f>
        <v>5570.0807175516684</v>
      </c>
      <c r="D19" s="10" t="s">
        <v>46</v>
      </c>
      <c r="E19" s="10"/>
      <c r="F19" s="13"/>
    </row>
    <row r="20" spans="1:6">
      <c r="A20" s="10" t="str">
        <f>'Mat_com_%'!A20</f>
        <v>BEV micro</v>
      </c>
      <c r="B20" s="18">
        <f>$E$2*Ass_MJ!B20</f>
        <v>7164.7095728491495</v>
      </c>
      <c r="C20" s="18">
        <f>$E$2*Ass_MJ!C20</f>
        <v>6927.2348715952558</v>
      </c>
      <c r="D20" s="10" t="s">
        <v>46</v>
      </c>
      <c r="E20" s="10"/>
      <c r="F20" s="13"/>
    </row>
    <row r="21" spans="1:6">
      <c r="A21" s="10" t="str">
        <f>'Mat_com_%'!A21</f>
        <v>BEV PC</v>
      </c>
      <c r="B21" s="18">
        <f>$E$2*Ass_MJ!B21</f>
        <v>7164.7095728491495</v>
      </c>
      <c r="C21" s="18">
        <f>$E$2*Ass_MJ!C21</f>
        <v>6927.2348715952558</v>
      </c>
      <c r="D21" s="10" t="s">
        <v>46</v>
      </c>
      <c r="E21" s="10"/>
      <c r="F21" s="13"/>
    </row>
    <row r="22" spans="1:6">
      <c r="A22" s="10" t="str">
        <f>'Mat_com_%'!A22</f>
        <v>BEV van/SUV</v>
      </c>
      <c r="B22" s="18">
        <f>$E$2*Ass_MJ!B22</f>
        <v>7164.7095728491495</v>
      </c>
      <c r="C22" s="18">
        <f>$E$2*Ass_MJ!C22</f>
        <v>6927.2348715952558</v>
      </c>
      <c r="D22" s="10" t="s">
        <v>46</v>
      </c>
      <c r="E22" s="10"/>
      <c r="F22" s="13"/>
    </row>
    <row r="23" spans="1:6">
      <c r="A23" s="10" t="str">
        <f>'Mat_com_%'!A23</f>
        <v>BEV LT</v>
      </c>
      <c r="B23" s="18">
        <f>$E$2*Ass_MJ!B23</f>
        <v>7164.7095728491495</v>
      </c>
      <c r="C23" s="18">
        <f>$E$2*Ass_MJ!C23</f>
        <v>6927.2348715952558</v>
      </c>
      <c r="D23" s="10" t="s">
        <v>46</v>
      </c>
      <c r="E23" s="10"/>
      <c r="F23" s="13"/>
    </row>
    <row r="24" spans="1:6">
      <c r="A24" s="10" t="str">
        <f>'Mat_com_%'!A24</f>
        <v>HFCEV micro</v>
      </c>
      <c r="B24" s="18">
        <f>$E$2*Ass_MJ!B24</f>
        <v>5761.0303935594111</v>
      </c>
      <c r="C24" s="18">
        <f>$E$2*Ass_MJ!C24</f>
        <v>5570.0807175516684</v>
      </c>
      <c r="D24" s="10" t="s">
        <v>46</v>
      </c>
      <c r="E24" s="10"/>
      <c r="F24" s="13"/>
    </row>
    <row r="25" spans="1:6">
      <c r="A25" s="10" t="str">
        <f>'Mat_com_%'!A25</f>
        <v>HFCEV PC</v>
      </c>
      <c r="B25" s="18">
        <f>$E$2*Ass_MJ!B25</f>
        <v>5761.0303935594111</v>
      </c>
      <c r="C25" s="18">
        <f>$E$2*Ass_MJ!C25</f>
        <v>5570.0807175516684</v>
      </c>
      <c r="D25" s="10" t="s">
        <v>46</v>
      </c>
      <c r="E25" s="10"/>
      <c r="F25" s="13"/>
    </row>
    <row r="26" spans="1:6">
      <c r="A26" s="10" t="str">
        <f>'Mat_com_%'!A26</f>
        <v>HFCEV van/SUV</v>
      </c>
      <c r="B26" s="18">
        <f>$E$2*Ass_MJ!B26</f>
        <v>5761.0303935594111</v>
      </c>
      <c r="C26" s="18">
        <f>$E$2*Ass_MJ!C26</f>
        <v>5570.0807175516684</v>
      </c>
      <c r="D26" s="10" t="s">
        <v>46</v>
      </c>
      <c r="E26" s="10"/>
      <c r="F26" s="13"/>
    </row>
    <row r="27" spans="1:6">
      <c r="A27" s="10" t="str">
        <f>'Mat_com_%'!A27</f>
        <v>HFCEV LT</v>
      </c>
      <c r="B27" s="18">
        <f>$E$2*Ass_MJ!B27</f>
        <v>5761.0303935594111</v>
      </c>
      <c r="C27" s="18">
        <f>$E$2*Ass_MJ!C27</f>
        <v>5570.0807175516684</v>
      </c>
      <c r="D27" s="10" t="s">
        <v>46</v>
      </c>
      <c r="E27" s="10"/>
      <c r="F27" s="13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E339D-BCC2-4341-A5F6-46E5873512C8}">
  <sheetPr codeName="Sheet23"/>
  <dimension ref="A1:F27"/>
  <sheetViews>
    <sheetView zoomScale="60" zoomScaleNormal="6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17" sqref="Q17"/>
    </sheetView>
  </sheetViews>
  <sheetFormatPr defaultRowHeight="14.6"/>
  <cols>
    <col min="1" max="1" width="19" customWidth="1"/>
    <col min="2" max="3" width="9.84375" bestFit="1" customWidth="1"/>
    <col min="4" max="4" width="12.84375" bestFit="1" customWidth="1"/>
    <col min="5" max="5" width="12.23046875" customWidth="1"/>
  </cols>
  <sheetData>
    <row r="1" spans="1:6" ht="18.45">
      <c r="A1" s="6" t="s">
        <v>49</v>
      </c>
    </row>
    <row r="2" spans="1:6">
      <c r="B2" s="15">
        <f>B4/(B4+C4)</f>
        <v>0.5084259025498612</v>
      </c>
      <c r="C2" s="17">
        <f>1-B2</f>
        <v>0.4915740974501388</v>
      </c>
      <c r="E2" s="1">
        <v>0.27777777777777701</v>
      </c>
      <c r="F2">
        <v>1000</v>
      </c>
    </row>
    <row r="3" spans="1:6" s="5" customFormat="1">
      <c r="A3" s="5" t="s">
        <v>20</v>
      </c>
      <c r="B3" s="5" t="s">
        <v>0</v>
      </c>
      <c r="C3" s="5" t="s">
        <v>47</v>
      </c>
      <c r="D3" s="5" t="s">
        <v>22</v>
      </c>
    </row>
    <row r="4" spans="1:6">
      <c r="A4" s="10" t="str">
        <f>'Mat_com_%'!A4</f>
        <v>ICEV-g micro</v>
      </c>
      <c r="B4" s="4">
        <v>16111</v>
      </c>
      <c r="C4" s="4">
        <f t="shared" ref="C4:C11" si="0">((15577)/1000)*1000</f>
        <v>15577</v>
      </c>
      <c r="D4" s="10" t="s">
        <v>50</v>
      </c>
      <c r="E4" s="10"/>
      <c r="F4" s="13"/>
    </row>
    <row r="5" spans="1:6">
      <c r="A5" s="10" t="str">
        <f>'Mat_com_%'!A5</f>
        <v>ICEV-g PC</v>
      </c>
      <c r="B5" s="4">
        <v>16111</v>
      </c>
      <c r="C5" s="4">
        <f t="shared" si="0"/>
        <v>15577</v>
      </c>
      <c r="D5" s="10" t="s">
        <v>50</v>
      </c>
      <c r="E5" s="10"/>
      <c r="F5" s="13"/>
    </row>
    <row r="6" spans="1:6">
      <c r="A6" s="10" t="str">
        <f>'Mat_com_%'!A6</f>
        <v>ICEV-g van/SUV</v>
      </c>
      <c r="B6" s="4">
        <v>16111</v>
      </c>
      <c r="C6" s="4">
        <f t="shared" si="0"/>
        <v>15577</v>
      </c>
      <c r="D6" s="10" t="s">
        <v>50</v>
      </c>
      <c r="E6" s="10"/>
      <c r="F6" s="13"/>
    </row>
    <row r="7" spans="1:6">
      <c r="A7" s="10" t="str">
        <f>'Mat_com_%'!A7</f>
        <v>ICEV-g LT</v>
      </c>
      <c r="B7" s="4">
        <v>16111</v>
      </c>
      <c r="C7" s="4">
        <f t="shared" si="0"/>
        <v>15577</v>
      </c>
      <c r="D7" s="10" t="s">
        <v>50</v>
      </c>
      <c r="E7" s="10"/>
      <c r="F7" s="13"/>
    </row>
    <row r="8" spans="1:6">
      <c r="A8" s="10" t="str">
        <f>'Mat_com_%'!A8</f>
        <v>ICEV-d micro</v>
      </c>
      <c r="B8" s="4">
        <v>16111</v>
      </c>
      <c r="C8" s="4">
        <f t="shared" si="0"/>
        <v>15577</v>
      </c>
      <c r="D8" s="10" t="s">
        <v>50</v>
      </c>
      <c r="E8" s="10"/>
      <c r="F8" s="13"/>
    </row>
    <row r="9" spans="1:6">
      <c r="A9" s="10" t="str">
        <f>'Mat_com_%'!A9</f>
        <v>ICEV-d PC</v>
      </c>
      <c r="B9" s="4">
        <v>16111</v>
      </c>
      <c r="C9" s="4">
        <f t="shared" si="0"/>
        <v>15577</v>
      </c>
      <c r="D9" s="10" t="s">
        <v>50</v>
      </c>
      <c r="E9" s="10"/>
      <c r="F9" s="13"/>
    </row>
    <row r="10" spans="1:6">
      <c r="A10" s="10" t="str">
        <f>'Mat_com_%'!A10</f>
        <v>ICEV-d van/SUV</v>
      </c>
      <c r="B10" s="4">
        <v>16111</v>
      </c>
      <c r="C10" s="4">
        <f t="shared" si="0"/>
        <v>15577</v>
      </c>
      <c r="D10" s="10" t="s">
        <v>50</v>
      </c>
      <c r="E10" s="10"/>
      <c r="F10" s="13"/>
    </row>
    <row r="11" spans="1:6">
      <c r="A11" s="10" t="str">
        <f>'Mat_com_%'!A11</f>
        <v>ICEV-d LT</v>
      </c>
      <c r="B11" s="4">
        <v>16111</v>
      </c>
      <c r="C11" s="4">
        <f t="shared" si="0"/>
        <v>15577</v>
      </c>
      <c r="D11" s="10" t="s">
        <v>50</v>
      </c>
      <c r="E11" s="10"/>
      <c r="F11" s="13"/>
    </row>
    <row r="12" spans="1:6">
      <c r="A12" s="10" t="str">
        <f>'Mat_com_%'!A12</f>
        <v>HEV micro</v>
      </c>
      <c r="B12" s="4">
        <f t="shared" ref="B12:C15" si="1">((33946*B$2)/1000)*1000</f>
        <v>17259.02568795759</v>
      </c>
      <c r="C12" s="4">
        <f t="shared" si="1"/>
        <v>16686.97431204241</v>
      </c>
      <c r="D12" s="10" t="s">
        <v>50</v>
      </c>
      <c r="E12" s="10"/>
      <c r="F12" s="13"/>
    </row>
    <row r="13" spans="1:6">
      <c r="A13" s="10" t="str">
        <f>'Mat_com_%'!A13</f>
        <v>HEV PC</v>
      </c>
      <c r="B13" s="4">
        <f t="shared" si="1"/>
        <v>17259.02568795759</v>
      </c>
      <c r="C13" s="4">
        <f t="shared" si="1"/>
        <v>16686.97431204241</v>
      </c>
      <c r="D13" s="10" t="s">
        <v>50</v>
      </c>
      <c r="E13" s="10"/>
      <c r="F13" s="13"/>
    </row>
    <row r="14" spans="1:6">
      <c r="A14" s="10" t="str">
        <f>'Mat_com_%'!A14</f>
        <v>HEV van/SUV</v>
      </c>
      <c r="B14" s="4">
        <f t="shared" si="1"/>
        <v>17259.02568795759</v>
      </c>
      <c r="C14" s="4">
        <f t="shared" si="1"/>
        <v>16686.97431204241</v>
      </c>
      <c r="D14" s="10" t="s">
        <v>50</v>
      </c>
      <c r="E14" s="10"/>
      <c r="F14" s="13"/>
    </row>
    <row r="15" spans="1:6">
      <c r="A15" s="10" t="str">
        <f>'Mat_com_%'!A15</f>
        <v>HEV LT</v>
      </c>
      <c r="B15" s="4">
        <f t="shared" si="1"/>
        <v>17259.02568795759</v>
      </c>
      <c r="C15" s="4">
        <f t="shared" si="1"/>
        <v>16686.97431204241</v>
      </c>
      <c r="D15" s="10" t="s">
        <v>50</v>
      </c>
      <c r="E15" s="10"/>
      <c r="F15" s="13"/>
    </row>
    <row r="16" spans="1:6">
      <c r="A16" s="10" t="str">
        <f>'Mat_com_%'!A16</f>
        <v>PHEV micro</v>
      </c>
      <c r="B16" s="4">
        <f t="shared" ref="B16:C19" si="2">((AVERAGE(37366,44218)*B$2)/1000)*1000</f>
        <v>20739.709416813937</v>
      </c>
      <c r="C16" s="4">
        <f t="shared" si="2"/>
        <v>20052.290583186063</v>
      </c>
      <c r="D16" s="10" t="s">
        <v>50</v>
      </c>
      <c r="E16" s="10"/>
      <c r="F16" s="13"/>
    </row>
    <row r="17" spans="1:6">
      <c r="A17" s="10" t="str">
        <f>'Mat_com_%'!A17</f>
        <v>PHEV PC</v>
      </c>
      <c r="B17" s="4">
        <f t="shared" si="2"/>
        <v>20739.709416813937</v>
      </c>
      <c r="C17" s="4">
        <f t="shared" si="2"/>
        <v>20052.290583186063</v>
      </c>
      <c r="D17" s="10" t="s">
        <v>50</v>
      </c>
      <c r="E17" s="10"/>
      <c r="F17" s="13"/>
    </row>
    <row r="18" spans="1:6">
      <c r="A18" s="10" t="str">
        <f>'Mat_com_%'!A18</f>
        <v>PHEV van/SUV</v>
      </c>
      <c r="B18" s="4">
        <f t="shared" si="2"/>
        <v>20739.709416813937</v>
      </c>
      <c r="C18" s="4">
        <f t="shared" si="2"/>
        <v>20052.290583186063</v>
      </c>
      <c r="D18" s="10" t="s">
        <v>50</v>
      </c>
      <c r="E18" s="10"/>
      <c r="F18" s="13"/>
    </row>
    <row r="19" spans="1:6">
      <c r="A19" s="10" t="str">
        <f>'Mat_com_%'!A19</f>
        <v>PHEV LT</v>
      </c>
      <c r="B19" s="4">
        <f t="shared" si="2"/>
        <v>20739.709416813937</v>
      </c>
      <c r="C19" s="4">
        <f t="shared" si="2"/>
        <v>20052.290583186063</v>
      </c>
      <c r="D19" s="10" t="s">
        <v>50</v>
      </c>
      <c r="E19" s="10"/>
      <c r="F19" s="13"/>
    </row>
    <row r="20" spans="1:6">
      <c r="A20" s="10" t="str">
        <f>'Mat_com_%'!A20</f>
        <v>BEV micro</v>
      </c>
      <c r="B20" s="4">
        <f t="shared" ref="B20:C23" si="3">((50731*B$2)/1000)*1000</f>
        <v>25792.95446225701</v>
      </c>
      <c r="C20" s="4">
        <f t="shared" si="3"/>
        <v>24938.04553774299</v>
      </c>
      <c r="D20" s="10" t="s">
        <v>50</v>
      </c>
      <c r="E20" s="10"/>
      <c r="F20" s="13"/>
    </row>
    <row r="21" spans="1:6">
      <c r="A21" s="10" t="str">
        <f>'Mat_com_%'!A21</f>
        <v>BEV PC</v>
      </c>
      <c r="B21" s="4">
        <f t="shared" si="3"/>
        <v>25792.95446225701</v>
      </c>
      <c r="C21" s="4">
        <f t="shared" si="3"/>
        <v>24938.04553774299</v>
      </c>
      <c r="D21" s="10" t="s">
        <v>50</v>
      </c>
      <c r="E21" s="10"/>
      <c r="F21" s="13"/>
    </row>
    <row r="22" spans="1:6">
      <c r="A22" s="10" t="str">
        <f>'Mat_com_%'!A22</f>
        <v>BEV van/SUV</v>
      </c>
      <c r="B22" s="4">
        <f t="shared" si="3"/>
        <v>25792.95446225701</v>
      </c>
      <c r="C22" s="4">
        <f t="shared" si="3"/>
        <v>24938.04553774299</v>
      </c>
      <c r="D22" s="10" t="s">
        <v>50</v>
      </c>
      <c r="E22" s="10"/>
      <c r="F22" s="13"/>
    </row>
    <row r="23" spans="1:6">
      <c r="A23" s="10" t="str">
        <f>'Mat_com_%'!A23</f>
        <v>BEV LT</v>
      </c>
      <c r="B23" s="4">
        <f t="shared" si="3"/>
        <v>25792.95446225701</v>
      </c>
      <c r="C23" s="4">
        <f t="shared" si="3"/>
        <v>24938.04553774299</v>
      </c>
      <c r="D23" s="10" t="s">
        <v>50</v>
      </c>
      <c r="E23" s="10"/>
      <c r="F23" s="13"/>
    </row>
    <row r="24" spans="1:6">
      <c r="A24" s="10" t="str">
        <f>'Mat_com_%'!A24</f>
        <v>HFCEV micro</v>
      </c>
      <c r="B24" s="4">
        <f t="shared" ref="B24:C27" si="4">((B$16)/1000)*1000</f>
        <v>20739.709416813937</v>
      </c>
      <c r="C24" s="4">
        <f t="shared" si="4"/>
        <v>20052.290583186063</v>
      </c>
      <c r="D24" s="10" t="s">
        <v>50</v>
      </c>
      <c r="E24" s="10"/>
      <c r="F24" s="13"/>
    </row>
    <row r="25" spans="1:6">
      <c r="A25" s="10" t="str">
        <f>'Mat_com_%'!A25</f>
        <v>HFCEV PC</v>
      </c>
      <c r="B25" s="4">
        <f t="shared" si="4"/>
        <v>20739.709416813937</v>
      </c>
      <c r="C25" s="4">
        <f t="shared" si="4"/>
        <v>20052.290583186063</v>
      </c>
      <c r="D25" s="10" t="s">
        <v>50</v>
      </c>
      <c r="E25" s="10"/>
      <c r="F25" s="13"/>
    </row>
    <row r="26" spans="1:6">
      <c r="A26" s="10" t="str">
        <f>'Mat_com_%'!A26</f>
        <v>HFCEV van/SUV</v>
      </c>
      <c r="B26" s="4">
        <f t="shared" si="4"/>
        <v>20739.709416813937</v>
      </c>
      <c r="C26" s="4">
        <f t="shared" si="4"/>
        <v>20052.290583186063</v>
      </c>
      <c r="D26" s="10" t="s">
        <v>50</v>
      </c>
      <c r="E26" s="10"/>
      <c r="F26" s="13"/>
    </row>
    <row r="27" spans="1:6">
      <c r="A27" s="10" t="str">
        <f>'Mat_com_%'!A27</f>
        <v>HFCEV LT</v>
      </c>
      <c r="B27" s="4">
        <f t="shared" si="4"/>
        <v>20739.709416813937</v>
      </c>
      <c r="C27" s="4">
        <f t="shared" si="4"/>
        <v>20052.290583186063</v>
      </c>
      <c r="D27" s="10" t="s">
        <v>50</v>
      </c>
      <c r="E27" s="10"/>
      <c r="F27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65B55-0BC1-4CA6-ACF8-5CA0B099617B}">
  <sheetPr codeName="Sheet1"/>
  <dimension ref="A1:X28"/>
  <sheetViews>
    <sheetView zoomScale="60" zoomScaleNormal="6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18" sqref="O18"/>
    </sheetView>
  </sheetViews>
  <sheetFormatPr defaultRowHeight="14.6"/>
  <cols>
    <col min="1" max="1" width="36.23046875" bestFit="1" customWidth="1"/>
    <col min="2" max="24" width="13.61328125" customWidth="1"/>
  </cols>
  <sheetData>
    <row r="1" spans="1:24" ht="18.45">
      <c r="A1" s="6" t="s">
        <v>132</v>
      </c>
    </row>
    <row r="3" spans="1:24" ht="140.6">
      <c r="A3" s="5"/>
      <c r="B3" s="41" t="s">
        <v>109</v>
      </c>
      <c r="C3" s="41" t="s">
        <v>110</v>
      </c>
      <c r="D3" s="41" t="s">
        <v>111</v>
      </c>
      <c r="E3" s="41" t="s">
        <v>112</v>
      </c>
      <c r="F3" s="41" t="s">
        <v>113</v>
      </c>
      <c r="G3" s="41" t="s">
        <v>114</v>
      </c>
      <c r="H3" s="41" t="s">
        <v>115</v>
      </c>
      <c r="I3" s="41" t="s">
        <v>116</v>
      </c>
      <c r="J3" s="41" t="s">
        <v>117</v>
      </c>
      <c r="K3" s="41" t="s">
        <v>118</v>
      </c>
      <c r="L3" s="41" t="s">
        <v>119</v>
      </c>
      <c r="M3" s="41" t="s">
        <v>120</v>
      </c>
      <c r="N3" s="41" t="s">
        <v>121</v>
      </c>
      <c r="O3" s="41" t="s">
        <v>122</v>
      </c>
      <c r="P3" s="41" t="s">
        <v>123</v>
      </c>
      <c r="Q3" s="41" t="s">
        <v>124</v>
      </c>
      <c r="R3" s="41" t="s">
        <v>125</v>
      </c>
      <c r="S3" s="41" t="s">
        <v>126</v>
      </c>
      <c r="T3" s="41" t="s">
        <v>127</v>
      </c>
      <c r="U3" s="41" t="s">
        <v>128</v>
      </c>
      <c r="V3" s="41" t="s">
        <v>129</v>
      </c>
      <c r="W3" s="41" t="s">
        <v>131</v>
      </c>
      <c r="X3" s="41" t="s">
        <v>130</v>
      </c>
    </row>
    <row r="4" spans="1:24">
      <c r="A4" t="s">
        <v>76</v>
      </c>
      <c r="B4" s="4">
        <v>730</v>
      </c>
      <c r="C4" s="4">
        <v>35.299999999999997</v>
      </c>
      <c r="D4" s="4"/>
      <c r="E4" s="4"/>
      <c r="F4" s="4">
        <v>35.299999999999997</v>
      </c>
      <c r="G4" s="4"/>
      <c r="H4" s="4"/>
      <c r="I4" s="4">
        <v>311.5</v>
      </c>
      <c r="J4" s="4">
        <v>819.73684210526312</v>
      </c>
      <c r="K4" s="4"/>
      <c r="L4" s="25"/>
      <c r="M4" s="25">
        <v>38</v>
      </c>
      <c r="N4" s="25">
        <v>38</v>
      </c>
      <c r="O4" s="25"/>
      <c r="P4" s="4">
        <v>2360</v>
      </c>
      <c r="Q4" s="4">
        <v>3445</v>
      </c>
      <c r="R4" s="4">
        <v>1490</v>
      </c>
      <c r="S4" s="4">
        <v>58.661448999999998</v>
      </c>
      <c r="T4" s="4">
        <v>1475</v>
      </c>
      <c r="U4" s="4">
        <v>58.070897499999994</v>
      </c>
      <c r="V4" s="25">
        <v>2.2000000000000002</v>
      </c>
      <c r="W4" s="25">
        <v>12.6</v>
      </c>
      <c r="X4" s="26">
        <v>0.24</v>
      </c>
    </row>
    <row r="5" spans="1:24">
      <c r="A5" s="10" t="s">
        <v>58</v>
      </c>
      <c r="B5" s="4">
        <v>1297.2731200000001</v>
      </c>
      <c r="C5" s="4">
        <v>100</v>
      </c>
      <c r="D5" s="4">
        <v>0</v>
      </c>
      <c r="E5" s="4">
        <v>0</v>
      </c>
      <c r="F5" s="4">
        <v>100</v>
      </c>
      <c r="G5" s="4">
        <v>0</v>
      </c>
      <c r="H5" s="4"/>
      <c r="I5" s="4">
        <v>444.70996679999996</v>
      </c>
      <c r="J5" s="4">
        <v>741.18327799999997</v>
      </c>
      <c r="K5" s="4">
        <v>0</v>
      </c>
      <c r="L5" s="25">
        <v>0</v>
      </c>
      <c r="M5" s="25">
        <v>60</v>
      </c>
      <c r="N5" s="25">
        <v>60</v>
      </c>
      <c r="O5" s="25"/>
      <c r="P5" s="4">
        <v>2700</v>
      </c>
      <c r="Q5" s="4">
        <v>4648</v>
      </c>
      <c r="R5" s="4">
        <v>1778.0000000000002</v>
      </c>
      <c r="S5" s="4">
        <v>70.000037800000001</v>
      </c>
      <c r="T5" s="4">
        <v>1448</v>
      </c>
      <c r="U5" s="4">
        <v>57.007904799999999</v>
      </c>
      <c r="V5" s="25">
        <v>2.5739999999999998</v>
      </c>
      <c r="W5" s="25">
        <v>8.6</v>
      </c>
      <c r="X5" s="26">
        <v>0.28999999999999998</v>
      </c>
    </row>
    <row r="6" spans="1:24">
      <c r="A6" t="s">
        <v>70</v>
      </c>
      <c r="B6" s="4">
        <v>1713</v>
      </c>
      <c r="C6" s="4">
        <v>137</v>
      </c>
      <c r="D6" s="4"/>
      <c r="E6" s="4"/>
      <c r="F6" s="4">
        <v>137</v>
      </c>
      <c r="G6" s="4"/>
      <c r="H6" s="4"/>
      <c r="I6" s="4">
        <v>515.45927970000002</v>
      </c>
      <c r="J6" s="4">
        <v>657.47357104591833</v>
      </c>
      <c r="K6" s="4"/>
      <c r="L6" s="25"/>
      <c r="M6" s="25">
        <v>78.400000000000006</v>
      </c>
      <c r="N6" s="25">
        <v>78.400000000000006</v>
      </c>
      <c r="O6" s="25"/>
      <c r="P6" s="4">
        <v>2789</v>
      </c>
      <c r="Q6" s="4">
        <v>4410</v>
      </c>
      <c r="R6" s="4">
        <v>1839</v>
      </c>
      <c r="S6" s="4">
        <v>72.400000000000006</v>
      </c>
      <c r="T6" s="4">
        <v>1684</v>
      </c>
      <c r="U6" s="4">
        <v>66.299248399999996</v>
      </c>
      <c r="V6" s="25">
        <v>3.097</v>
      </c>
      <c r="W6" s="25">
        <v>8.3000000000000007</v>
      </c>
      <c r="X6" s="26">
        <v>0.37</v>
      </c>
    </row>
    <row r="7" spans="1:24">
      <c r="A7" t="s">
        <v>59</v>
      </c>
      <c r="B7" s="4">
        <v>2037.5</v>
      </c>
      <c r="C7" s="4">
        <v>240</v>
      </c>
      <c r="D7" s="4">
        <v>0</v>
      </c>
      <c r="E7" s="4">
        <v>0</v>
      </c>
      <c r="F7" s="4">
        <v>240</v>
      </c>
      <c r="G7" s="4">
        <v>0</v>
      </c>
      <c r="H7" s="4"/>
      <c r="I7" s="4">
        <v>992.35000000000014</v>
      </c>
      <c r="J7" s="4">
        <v>943.29847908745262</v>
      </c>
      <c r="K7" s="4">
        <v>0</v>
      </c>
      <c r="L7" s="25">
        <v>0</v>
      </c>
      <c r="M7" s="25">
        <v>105.2</v>
      </c>
      <c r="N7" s="25">
        <v>105.2</v>
      </c>
      <c r="O7" s="25"/>
      <c r="P7" s="4">
        <v>3633.5</v>
      </c>
      <c r="Q7" s="4">
        <v>5839.5</v>
      </c>
      <c r="R7" s="4">
        <v>2029</v>
      </c>
      <c r="S7" s="4">
        <v>79.881932899999995</v>
      </c>
      <c r="T7" s="4">
        <v>1937</v>
      </c>
      <c r="U7" s="4">
        <v>76.259883700000003</v>
      </c>
      <c r="V7" s="25">
        <v>3.9329999999999998</v>
      </c>
      <c r="W7" s="25">
        <v>6.9</v>
      </c>
      <c r="X7" s="26">
        <v>0.37</v>
      </c>
    </row>
    <row r="8" spans="1:24">
      <c r="A8" t="s">
        <v>77</v>
      </c>
      <c r="B8" s="4">
        <v>743.16000000000008</v>
      </c>
      <c r="C8" s="4">
        <v>35.75</v>
      </c>
      <c r="D8" s="4"/>
      <c r="E8" s="4"/>
      <c r="F8" s="4">
        <v>35.75</v>
      </c>
      <c r="G8" s="4"/>
      <c r="H8" s="4"/>
      <c r="I8" s="4">
        <v>311.5</v>
      </c>
      <c r="J8" s="4">
        <v>839.62264150943395</v>
      </c>
      <c r="K8" s="4"/>
      <c r="L8" s="25"/>
      <c r="M8" s="25">
        <v>37.1</v>
      </c>
      <c r="N8" s="25">
        <v>37.1</v>
      </c>
      <c r="O8" s="25"/>
      <c r="P8" s="4">
        <v>2360</v>
      </c>
      <c r="Q8" s="4">
        <v>3445</v>
      </c>
      <c r="R8" s="4">
        <v>1490</v>
      </c>
      <c r="S8" s="4">
        <v>58.661448999999998</v>
      </c>
      <c r="T8" s="4">
        <v>1475</v>
      </c>
      <c r="U8" s="4">
        <v>58.070897499999994</v>
      </c>
      <c r="V8" s="25">
        <v>2.2000000000000002</v>
      </c>
      <c r="W8" s="25">
        <v>12.6</v>
      </c>
      <c r="X8" s="26">
        <v>0.24</v>
      </c>
    </row>
    <row r="9" spans="1:24">
      <c r="A9" t="s">
        <v>60</v>
      </c>
      <c r="B9" s="4">
        <v>1316.2731199999998</v>
      </c>
      <c r="C9" s="4">
        <v>100</v>
      </c>
      <c r="D9" s="4">
        <v>0</v>
      </c>
      <c r="E9" s="4">
        <v>0</v>
      </c>
      <c r="F9" s="4">
        <v>100</v>
      </c>
      <c r="G9" s="4">
        <v>0</v>
      </c>
      <c r="H9" s="4"/>
      <c r="I9" s="4">
        <v>444.70996679999996</v>
      </c>
      <c r="J9" s="4">
        <v>764.1064721649484</v>
      </c>
      <c r="K9" s="4">
        <v>0</v>
      </c>
      <c r="L9" s="25">
        <v>0</v>
      </c>
      <c r="M9" s="25">
        <v>58.2</v>
      </c>
      <c r="N9" s="25">
        <v>58.2</v>
      </c>
      <c r="O9" s="25"/>
      <c r="P9" s="4">
        <v>2700</v>
      </c>
      <c r="Q9" s="4">
        <v>4648</v>
      </c>
      <c r="R9" s="4">
        <v>1778.0000000000002</v>
      </c>
      <c r="S9" s="4">
        <v>70.000037800000001</v>
      </c>
      <c r="T9" s="4">
        <v>1448</v>
      </c>
      <c r="U9" s="4">
        <v>57.007904799999999</v>
      </c>
      <c r="V9" s="25">
        <v>2.5739999999999998</v>
      </c>
      <c r="W9" s="25">
        <v>8.6</v>
      </c>
      <c r="X9" s="26">
        <v>0.28999999999999998</v>
      </c>
    </row>
    <row r="10" spans="1:24">
      <c r="A10" t="s">
        <v>71</v>
      </c>
      <c r="B10" s="4">
        <v>1735.6999999999998</v>
      </c>
      <c r="C10" s="4">
        <v>137</v>
      </c>
      <c r="D10" s="4"/>
      <c r="E10" s="4"/>
      <c r="F10" s="4">
        <v>137</v>
      </c>
      <c r="G10" s="4"/>
      <c r="H10" s="4"/>
      <c r="I10" s="4">
        <v>515.45927970000002</v>
      </c>
      <c r="J10" s="4">
        <v>680.9237512549538</v>
      </c>
      <c r="K10" s="4"/>
      <c r="L10" s="25"/>
      <c r="M10" s="25">
        <v>75.7</v>
      </c>
      <c r="N10" s="25">
        <v>75.7</v>
      </c>
      <c r="O10" s="25"/>
      <c r="P10" s="4">
        <v>2789</v>
      </c>
      <c r="Q10" s="4">
        <v>4410</v>
      </c>
      <c r="R10" s="4">
        <v>1839</v>
      </c>
      <c r="S10" s="4">
        <v>72.401613900000001</v>
      </c>
      <c r="T10" s="4">
        <v>1684</v>
      </c>
      <c r="U10" s="4">
        <v>66.299248399999996</v>
      </c>
      <c r="V10" s="25">
        <v>3.097</v>
      </c>
      <c r="W10" s="25">
        <v>8.3000000000000007</v>
      </c>
      <c r="X10" s="26">
        <v>0.37</v>
      </c>
    </row>
    <row r="11" spans="1:24">
      <c r="A11" t="s">
        <v>61</v>
      </c>
      <c r="B11" s="4">
        <v>2070.5</v>
      </c>
      <c r="C11" s="4">
        <v>240</v>
      </c>
      <c r="D11" s="4">
        <v>0</v>
      </c>
      <c r="E11" s="4">
        <v>0</v>
      </c>
      <c r="F11" s="4">
        <v>240</v>
      </c>
      <c r="G11" s="4">
        <v>0</v>
      </c>
      <c r="H11" s="4"/>
      <c r="I11" s="4">
        <v>992.35000000000014</v>
      </c>
      <c r="J11" s="4">
        <v>992.35000000000014</v>
      </c>
      <c r="K11" s="4">
        <v>0</v>
      </c>
      <c r="L11" s="25">
        <v>0</v>
      </c>
      <c r="M11" s="25">
        <v>100</v>
      </c>
      <c r="N11" s="25">
        <v>100</v>
      </c>
      <c r="O11" s="25"/>
      <c r="P11" s="4">
        <v>3633.5</v>
      </c>
      <c r="Q11" s="4">
        <v>5839.5</v>
      </c>
      <c r="R11" s="4">
        <v>2029</v>
      </c>
      <c r="S11" s="4">
        <v>79.881932899999995</v>
      </c>
      <c r="T11" s="4">
        <v>1937</v>
      </c>
      <c r="U11" s="4">
        <v>76.259883700000003</v>
      </c>
      <c r="V11" s="25">
        <v>3.9329999999999998</v>
      </c>
      <c r="W11" s="25">
        <v>6.9</v>
      </c>
      <c r="X11" s="26">
        <v>0.37</v>
      </c>
    </row>
    <row r="12" spans="1:24">
      <c r="A12" t="s">
        <v>78</v>
      </c>
      <c r="B12" s="4">
        <v>803.16200000000003</v>
      </c>
      <c r="C12" s="4">
        <v>27</v>
      </c>
      <c r="D12" s="4">
        <v>21.6</v>
      </c>
      <c r="E12" s="4"/>
      <c r="F12" s="4">
        <v>34.019999999999996</v>
      </c>
      <c r="G12" s="4">
        <v>1</v>
      </c>
      <c r="H12" s="4">
        <v>17.28</v>
      </c>
      <c r="I12" s="4">
        <v>311.5</v>
      </c>
      <c r="J12" s="4">
        <v>918.87905604719765</v>
      </c>
      <c r="K12" s="4"/>
      <c r="L12" s="25"/>
      <c r="M12" s="25">
        <v>33.9</v>
      </c>
      <c r="N12" s="25">
        <v>33.9</v>
      </c>
      <c r="O12" s="25"/>
      <c r="P12" s="4">
        <v>2360</v>
      </c>
      <c r="Q12" s="4">
        <v>3445</v>
      </c>
      <c r="R12" s="4">
        <v>1490</v>
      </c>
      <c r="S12" s="4">
        <v>58.661448999999998</v>
      </c>
      <c r="T12" s="4">
        <v>1475</v>
      </c>
      <c r="U12" s="4">
        <v>58.070897499999994</v>
      </c>
      <c r="V12" s="25">
        <v>2.2000000000000002</v>
      </c>
      <c r="W12" s="25">
        <v>10.5</v>
      </c>
      <c r="X12" s="26">
        <v>0.24</v>
      </c>
    </row>
    <row r="13" spans="1:24">
      <c r="A13" t="s">
        <v>62</v>
      </c>
      <c r="B13" s="4">
        <v>1401.6531199999999</v>
      </c>
      <c r="C13" s="4">
        <v>80</v>
      </c>
      <c r="D13" s="4">
        <v>64</v>
      </c>
      <c r="E13" s="4"/>
      <c r="F13" s="4">
        <v>100.8</v>
      </c>
      <c r="G13" s="4">
        <v>1</v>
      </c>
      <c r="H13" s="4">
        <v>51.2</v>
      </c>
      <c r="I13" s="4">
        <v>444.70996679999996</v>
      </c>
      <c r="J13" s="4">
        <v>1114.5613203007517</v>
      </c>
      <c r="K13" s="4"/>
      <c r="L13" s="25"/>
      <c r="M13" s="25">
        <v>39.9</v>
      </c>
      <c r="N13" s="25">
        <v>39.9</v>
      </c>
      <c r="O13" s="25"/>
      <c r="P13" s="4">
        <v>2700</v>
      </c>
      <c r="Q13" s="4">
        <v>4648</v>
      </c>
      <c r="R13" s="4">
        <v>1778.0000000000002</v>
      </c>
      <c r="S13" s="4">
        <v>70.000037800000001</v>
      </c>
      <c r="T13" s="4">
        <v>1448</v>
      </c>
      <c r="U13" s="4">
        <v>57.007904799999999</v>
      </c>
      <c r="V13" s="25">
        <v>2.5739999999999998</v>
      </c>
      <c r="W13" s="25">
        <v>7.9</v>
      </c>
      <c r="X13" s="26">
        <v>0.28999999999999998</v>
      </c>
    </row>
    <row r="14" spans="1:24">
      <c r="A14" t="s">
        <v>72</v>
      </c>
      <c r="B14" s="4">
        <v>1832.384</v>
      </c>
      <c r="C14" s="4">
        <v>109</v>
      </c>
      <c r="D14" s="4">
        <v>87.2</v>
      </c>
      <c r="E14" s="4"/>
      <c r="F14" s="4">
        <v>137.33999999999997</v>
      </c>
      <c r="G14" s="4">
        <v>1</v>
      </c>
      <c r="H14" s="4">
        <v>69.760000000000005</v>
      </c>
      <c r="I14" s="4">
        <v>515.45927970000002</v>
      </c>
      <c r="J14" s="4">
        <v>1022.7366660714287</v>
      </c>
      <c r="K14" s="4"/>
      <c r="L14" s="25"/>
      <c r="M14" s="25">
        <v>50.4</v>
      </c>
      <c r="N14" s="25">
        <v>50.4</v>
      </c>
      <c r="O14" s="25"/>
      <c r="P14" s="4">
        <v>2789</v>
      </c>
      <c r="Q14" s="4">
        <v>4410</v>
      </c>
      <c r="R14" s="4">
        <v>1839</v>
      </c>
      <c r="S14" s="4">
        <v>72.401613900000001</v>
      </c>
      <c r="T14" s="4">
        <v>1684</v>
      </c>
      <c r="U14" s="4">
        <v>66.299248399999996</v>
      </c>
      <c r="V14" s="25">
        <v>3.097</v>
      </c>
      <c r="W14" s="25">
        <v>7.8</v>
      </c>
      <c r="X14" s="26">
        <v>0.37</v>
      </c>
    </row>
    <row r="15" spans="1:24">
      <c r="A15" t="s">
        <v>63</v>
      </c>
      <c r="B15" s="4">
        <v>2200.328</v>
      </c>
      <c r="C15" s="4">
        <v>190.5</v>
      </c>
      <c r="D15" s="4">
        <v>152.4</v>
      </c>
      <c r="E15" s="4"/>
      <c r="F15" s="4">
        <v>240.02999999999997</v>
      </c>
      <c r="G15" s="4">
        <v>1</v>
      </c>
      <c r="H15" s="4">
        <v>121.92000000000002</v>
      </c>
      <c r="I15" s="4">
        <v>992.35000000000014</v>
      </c>
      <c r="J15" s="4">
        <v>1592.8571428571431</v>
      </c>
      <c r="K15" s="4"/>
      <c r="L15" s="25"/>
      <c r="M15" s="25">
        <v>62.3</v>
      </c>
      <c r="N15" s="25">
        <v>62.3</v>
      </c>
      <c r="O15" s="25"/>
      <c r="P15" s="4">
        <v>3633.5</v>
      </c>
      <c r="Q15" s="4">
        <v>5839.5</v>
      </c>
      <c r="R15" s="4">
        <v>2029</v>
      </c>
      <c r="S15" s="4">
        <v>79.881932899999995</v>
      </c>
      <c r="T15" s="4">
        <v>1937</v>
      </c>
      <c r="U15" s="4">
        <v>76.259883700000003</v>
      </c>
      <c r="V15" s="25">
        <v>3.9329999999999998</v>
      </c>
      <c r="W15" s="25">
        <v>7.1</v>
      </c>
      <c r="X15" s="26">
        <v>0.37</v>
      </c>
    </row>
    <row r="16" spans="1:24">
      <c r="A16" t="s">
        <v>79</v>
      </c>
      <c r="B16" s="4">
        <v>811.1965457392472</v>
      </c>
      <c r="C16" s="4">
        <v>21.6</v>
      </c>
      <c r="D16" s="4">
        <v>27</v>
      </c>
      <c r="E16" s="4"/>
      <c r="F16" s="4">
        <v>34.019999999999996</v>
      </c>
      <c r="G16" s="4">
        <v>5.0672946673791754</v>
      </c>
      <c r="H16" s="4">
        <v>15.12</v>
      </c>
      <c r="I16" s="4">
        <v>311.5</v>
      </c>
      <c r="J16" s="4">
        <v>1314.956731705834</v>
      </c>
      <c r="K16" s="4">
        <v>35</v>
      </c>
      <c r="L16" s="25">
        <v>0.5</v>
      </c>
      <c r="M16" s="25">
        <v>23.688992381970248</v>
      </c>
      <c r="N16" s="25">
        <v>32.9</v>
      </c>
      <c r="O16" s="25">
        <v>14.477984763940499</v>
      </c>
      <c r="P16" s="4">
        <v>2360</v>
      </c>
      <c r="Q16" s="4">
        <v>3445</v>
      </c>
      <c r="R16" s="4">
        <v>1490</v>
      </c>
      <c r="S16" s="4">
        <v>58.661448999999998</v>
      </c>
      <c r="T16" s="4">
        <v>1475</v>
      </c>
      <c r="U16" s="4">
        <v>58.070897499999994</v>
      </c>
      <c r="V16" s="25">
        <v>2.2000000000000002</v>
      </c>
      <c r="W16" s="25">
        <v>12.2</v>
      </c>
      <c r="X16" s="26">
        <v>0.24</v>
      </c>
    </row>
    <row r="17" spans="1:24">
      <c r="A17" t="s">
        <v>64</v>
      </c>
      <c r="B17" s="4">
        <v>1423.1813685988045</v>
      </c>
      <c r="C17" s="4">
        <v>64</v>
      </c>
      <c r="D17" s="4">
        <v>80</v>
      </c>
      <c r="E17" s="4"/>
      <c r="F17" s="4">
        <v>100.8</v>
      </c>
      <c r="G17" s="4">
        <v>8.0467769396149986</v>
      </c>
      <c r="H17" s="4">
        <v>44.8</v>
      </c>
      <c r="I17" s="4">
        <v>444.70996679999996</v>
      </c>
      <c r="J17" s="4">
        <v>1717.2405965304317</v>
      </c>
      <c r="K17" s="4">
        <v>50</v>
      </c>
      <c r="L17" s="25">
        <v>0.5</v>
      </c>
      <c r="M17" s="25">
        <v>25.896776939615002</v>
      </c>
      <c r="N17" s="25">
        <v>35.700000000000003</v>
      </c>
      <c r="O17" s="25">
        <v>16.093553879229997</v>
      </c>
      <c r="P17" s="4">
        <v>2700</v>
      </c>
      <c r="Q17" s="4">
        <v>4648</v>
      </c>
      <c r="R17" s="4">
        <v>1778.0000000000002</v>
      </c>
      <c r="S17" s="4">
        <v>70.000037800000001</v>
      </c>
      <c r="T17" s="4">
        <v>1448</v>
      </c>
      <c r="U17" s="4">
        <v>57.007904799999999</v>
      </c>
      <c r="V17" s="25">
        <v>2.5739999999999998</v>
      </c>
      <c r="W17" s="25">
        <v>8.8000000000000007</v>
      </c>
      <c r="X17" s="26">
        <v>0.28999999999999998</v>
      </c>
    </row>
    <row r="18" spans="1:24">
      <c r="A18" t="s">
        <v>73</v>
      </c>
      <c r="B18" s="4">
        <v>1868.6516931412875</v>
      </c>
      <c r="C18" s="4">
        <v>87.2</v>
      </c>
      <c r="D18" s="4">
        <v>109</v>
      </c>
      <c r="E18" s="4"/>
      <c r="F18" s="4">
        <v>137.33999999999997</v>
      </c>
      <c r="G18" s="4">
        <v>10.563336523046715</v>
      </c>
      <c r="H18" s="4">
        <v>61.04</v>
      </c>
      <c r="I18" s="4">
        <v>515.45927970000002</v>
      </c>
      <c r="J18" s="4">
        <v>1449.412035245788</v>
      </c>
      <c r="K18" s="4">
        <v>50</v>
      </c>
      <c r="L18" s="25">
        <v>0.5</v>
      </c>
      <c r="M18" s="25">
        <v>35.563336523046715</v>
      </c>
      <c r="N18" s="25">
        <v>50</v>
      </c>
      <c r="O18" s="25">
        <v>21.12667304609343</v>
      </c>
      <c r="P18" s="4">
        <v>2789</v>
      </c>
      <c r="Q18" s="4">
        <v>4410</v>
      </c>
      <c r="R18" s="4">
        <v>1839</v>
      </c>
      <c r="S18" s="4">
        <v>72.401613900000001</v>
      </c>
      <c r="T18" s="4">
        <v>1684</v>
      </c>
      <c r="U18" s="4">
        <v>66.299248399999996</v>
      </c>
      <c r="V18" s="25">
        <v>3.097</v>
      </c>
      <c r="W18" s="25">
        <v>8.9</v>
      </c>
      <c r="X18" s="26">
        <v>0.37</v>
      </c>
    </row>
    <row r="19" spans="1:24">
      <c r="A19" t="s">
        <v>65</v>
      </c>
      <c r="B19" s="4">
        <v>2251.5769999999998</v>
      </c>
      <c r="C19" s="4">
        <v>152.4</v>
      </c>
      <c r="D19" s="4">
        <v>190.5</v>
      </c>
      <c r="E19" s="4"/>
      <c r="F19" s="4">
        <v>240.02999999999997</v>
      </c>
      <c r="G19" s="4">
        <v>14.45</v>
      </c>
      <c r="H19" s="4">
        <v>106.67999999999999</v>
      </c>
      <c r="I19" s="4">
        <v>992.35000000000014</v>
      </c>
      <c r="J19" s="4">
        <v>2122.6737967914441</v>
      </c>
      <c r="K19" s="4">
        <v>50</v>
      </c>
      <c r="L19" s="25">
        <v>0.5</v>
      </c>
      <c r="M19" s="25">
        <v>46.75</v>
      </c>
      <c r="N19" s="25">
        <v>64.599999999999994</v>
      </c>
      <c r="O19" s="25">
        <v>28.9</v>
      </c>
      <c r="P19" s="4">
        <v>3633.5</v>
      </c>
      <c r="Q19" s="4">
        <v>5839.5</v>
      </c>
      <c r="R19" s="4">
        <v>2029</v>
      </c>
      <c r="S19" s="4">
        <v>79.881932899999995</v>
      </c>
      <c r="T19" s="4">
        <v>1937</v>
      </c>
      <c r="U19" s="4">
        <v>76.259883700000003</v>
      </c>
      <c r="V19" s="25">
        <v>3.9329999999999998</v>
      </c>
      <c r="W19" s="25">
        <v>7.9</v>
      </c>
      <c r="X19" s="26">
        <v>0.37</v>
      </c>
    </row>
    <row r="20" spans="1:24">
      <c r="A20" t="s">
        <v>80</v>
      </c>
      <c r="B20" s="4">
        <v>843.45</v>
      </c>
      <c r="C20" s="4"/>
      <c r="D20" s="4">
        <v>35.299999999999997</v>
      </c>
      <c r="E20" s="4"/>
      <c r="F20" s="4">
        <v>35.299999999999997</v>
      </c>
      <c r="G20" s="4">
        <v>22</v>
      </c>
      <c r="H20" s="4">
        <v>38.83</v>
      </c>
      <c r="I20" s="4"/>
      <c r="J20" s="4">
        <v>0</v>
      </c>
      <c r="K20" s="4">
        <v>148.1400836820084</v>
      </c>
      <c r="L20" s="25"/>
      <c r="M20" s="25">
        <v>14.85080840593038</v>
      </c>
      <c r="N20" s="25"/>
      <c r="O20" s="25">
        <v>14.85080840593038</v>
      </c>
      <c r="P20" s="4">
        <v>2360</v>
      </c>
      <c r="Q20" s="4">
        <v>3445</v>
      </c>
      <c r="R20" s="4">
        <v>1490</v>
      </c>
      <c r="S20" s="4">
        <v>58.661448999999998</v>
      </c>
      <c r="T20" s="4">
        <v>1475</v>
      </c>
      <c r="U20" s="4">
        <v>58.070897499999994</v>
      </c>
      <c r="V20" s="25">
        <v>2.2000000000000002</v>
      </c>
      <c r="W20" s="25">
        <v>11.6</v>
      </c>
      <c r="X20" s="26">
        <v>0.24</v>
      </c>
    </row>
    <row r="21" spans="1:24">
      <c r="A21" t="s">
        <v>66</v>
      </c>
      <c r="B21" s="4">
        <v>1646.4021233200001</v>
      </c>
      <c r="C21" s="4">
        <v>0</v>
      </c>
      <c r="D21" s="4">
        <v>100</v>
      </c>
      <c r="E21" s="4"/>
      <c r="F21" s="4">
        <v>100</v>
      </c>
      <c r="G21" s="4">
        <v>52</v>
      </c>
      <c r="H21" s="4">
        <v>110.00000000000001</v>
      </c>
      <c r="I21" s="4"/>
      <c r="J21" s="4">
        <v>0</v>
      </c>
      <c r="K21" s="4">
        <v>299.94867383512542</v>
      </c>
      <c r="L21" s="25"/>
      <c r="M21" s="25">
        <v>17.336299352529611</v>
      </c>
      <c r="N21" s="25"/>
      <c r="O21" s="25">
        <v>17.336299352529611</v>
      </c>
      <c r="P21" s="4">
        <v>2700</v>
      </c>
      <c r="Q21" s="4">
        <v>4648</v>
      </c>
      <c r="R21" s="4">
        <v>1778.0000000000002</v>
      </c>
      <c r="S21" s="4">
        <v>70.000037800000001</v>
      </c>
      <c r="T21" s="4">
        <v>1448</v>
      </c>
      <c r="U21" s="4">
        <v>57.007904799999999</v>
      </c>
      <c r="V21" s="25">
        <v>2.5739999999999998</v>
      </c>
      <c r="W21" s="25">
        <v>8</v>
      </c>
      <c r="X21" s="26">
        <v>0.28999999999999998</v>
      </c>
    </row>
    <row r="22" spans="1:24">
      <c r="A22" t="s">
        <v>74</v>
      </c>
      <c r="B22" s="4">
        <v>2237.65407203</v>
      </c>
      <c r="C22" s="4"/>
      <c r="D22" s="4">
        <v>137</v>
      </c>
      <c r="E22" s="4"/>
      <c r="F22" s="4">
        <v>137</v>
      </c>
      <c r="G22" s="4">
        <v>74</v>
      </c>
      <c r="H22" s="4">
        <v>150.70000000000002</v>
      </c>
      <c r="I22" s="4"/>
      <c r="J22" s="4">
        <v>0</v>
      </c>
      <c r="K22" s="4">
        <v>300.73525252525252</v>
      </c>
      <c r="L22" s="25"/>
      <c r="M22" s="25">
        <v>24.606360371332347</v>
      </c>
      <c r="N22" s="25"/>
      <c r="O22" s="25">
        <v>24.606360371332347</v>
      </c>
      <c r="P22" s="4">
        <v>2789</v>
      </c>
      <c r="Q22" s="4">
        <v>4410</v>
      </c>
      <c r="R22" s="4">
        <v>1839</v>
      </c>
      <c r="S22" s="4">
        <v>72.401613900000001</v>
      </c>
      <c r="T22" s="4">
        <v>1684</v>
      </c>
      <c r="U22" s="4">
        <v>66.299248399999996</v>
      </c>
      <c r="V22" s="25">
        <v>3.097</v>
      </c>
      <c r="W22" s="25">
        <v>7.9</v>
      </c>
      <c r="X22" s="26">
        <v>0.37</v>
      </c>
    </row>
    <row r="23" spans="1:24">
      <c r="A23" t="s">
        <v>67</v>
      </c>
      <c r="B23" s="4">
        <v>2665.94</v>
      </c>
      <c r="C23" s="4"/>
      <c r="D23" s="4">
        <v>240</v>
      </c>
      <c r="E23" s="4"/>
      <c r="F23" s="4">
        <v>240</v>
      </c>
      <c r="G23" s="4">
        <v>92.25</v>
      </c>
      <c r="H23" s="4">
        <v>264</v>
      </c>
      <c r="I23" s="4"/>
      <c r="J23" s="4">
        <v>0</v>
      </c>
      <c r="K23" s="4">
        <v>299.92245454545451</v>
      </c>
      <c r="L23" s="25"/>
      <c r="M23" s="25">
        <v>30.757950464165436</v>
      </c>
      <c r="N23" s="25"/>
      <c r="O23" s="25">
        <v>30.757950464165436</v>
      </c>
      <c r="P23" s="4">
        <v>3633.5</v>
      </c>
      <c r="Q23" s="4">
        <v>5839.5</v>
      </c>
      <c r="R23" s="4">
        <v>2029</v>
      </c>
      <c r="S23" s="4">
        <v>79.881932899999995</v>
      </c>
      <c r="T23" s="4">
        <v>1937</v>
      </c>
      <c r="U23" s="4">
        <v>76.259883700000003</v>
      </c>
      <c r="V23" s="25">
        <v>3.9329999999999998</v>
      </c>
      <c r="W23" s="25">
        <v>6.3</v>
      </c>
      <c r="X23" s="26">
        <v>0.37</v>
      </c>
    </row>
    <row r="24" spans="1:24">
      <c r="A24" t="s">
        <v>81</v>
      </c>
      <c r="B24" s="4">
        <v>807.01846153846157</v>
      </c>
      <c r="C24" s="4"/>
      <c r="D24" s="4">
        <v>35.299999999999997</v>
      </c>
      <c r="E24" s="4">
        <v>35.299999999999997</v>
      </c>
      <c r="F24" s="4">
        <v>35.299999999999997</v>
      </c>
      <c r="G24" s="4">
        <v>1</v>
      </c>
      <c r="H24" s="4">
        <v>17.649999999999999</v>
      </c>
      <c r="I24" s="4">
        <v>63.46153846153846</v>
      </c>
      <c r="J24" s="4">
        <v>259.02668759811615</v>
      </c>
      <c r="K24" s="4"/>
      <c r="L24" s="25"/>
      <c r="M24" s="25">
        <v>24.5</v>
      </c>
      <c r="N24" s="25">
        <v>24.5</v>
      </c>
      <c r="O24" s="25"/>
      <c r="P24" s="4">
        <v>2360</v>
      </c>
      <c r="Q24" s="4">
        <v>3445</v>
      </c>
      <c r="R24" s="4">
        <v>1490</v>
      </c>
      <c r="S24" s="4">
        <v>58.661448999999998</v>
      </c>
      <c r="T24" s="4">
        <v>1475</v>
      </c>
      <c r="U24" s="4">
        <v>58.070897499999994</v>
      </c>
      <c r="V24" s="25">
        <v>2.2000000000000002</v>
      </c>
      <c r="W24" s="25">
        <v>11.3</v>
      </c>
      <c r="X24" s="26">
        <v>0.24</v>
      </c>
    </row>
    <row r="25" spans="1:24">
      <c r="A25" t="s">
        <v>68</v>
      </c>
      <c r="B25" s="4">
        <v>1458.1021233199999</v>
      </c>
      <c r="C25" s="4">
        <v>0</v>
      </c>
      <c r="D25" s="4">
        <v>100</v>
      </c>
      <c r="E25" s="4">
        <v>100</v>
      </c>
      <c r="F25" s="4">
        <v>100</v>
      </c>
      <c r="G25" s="4">
        <v>1</v>
      </c>
      <c r="H25" s="4">
        <v>50</v>
      </c>
      <c r="I25" s="4">
        <v>150</v>
      </c>
      <c r="J25" s="4">
        <v>503.35570469798654</v>
      </c>
      <c r="K25" s="4"/>
      <c r="L25" s="25"/>
      <c r="M25" s="25">
        <v>29.8</v>
      </c>
      <c r="N25" s="25">
        <v>29.8</v>
      </c>
      <c r="O25" s="25"/>
      <c r="P25" s="4">
        <v>2700</v>
      </c>
      <c r="Q25" s="4">
        <v>4648</v>
      </c>
      <c r="R25" s="4">
        <v>1778.0000000000002</v>
      </c>
      <c r="S25" s="4">
        <v>70.000037800000001</v>
      </c>
      <c r="T25" s="4">
        <v>1448</v>
      </c>
      <c r="U25" s="4">
        <v>57.007904799999999</v>
      </c>
      <c r="V25" s="25">
        <v>2.5739999999999998</v>
      </c>
      <c r="W25" s="25">
        <v>8.5</v>
      </c>
      <c r="X25" s="26">
        <v>0.28999999999999998</v>
      </c>
    </row>
    <row r="26" spans="1:24">
      <c r="A26" t="s">
        <v>75</v>
      </c>
      <c r="B26" s="4">
        <v>1926.4925335684616</v>
      </c>
      <c r="C26" s="4"/>
      <c r="D26" s="4">
        <v>137</v>
      </c>
      <c r="E26" s="4">
        <v>137</v>
      </c>
      <c r="F26" s="4">
        <v>137</v>
      </c>
      <c r="G26" s="4">
        <v>1</v>
      </c>
      <c r="H26" s="4">
        <v>68.5</v>
      </c>
      <c r="I26" s="4">
        <v>213.46153846153848</v>
      </c>
      <c r="J26" s="4">
        <v>539.04428904428914</v>
      </c>
      <c r="K26" s="4"/>
      <c r="L26" s="25"/>
      <c r="M26" s="25">
        <v>39.6</v>
      </c>
      <c r="N26" s="25">
        <v>39.6</v>
      </c>
      <c r="O26" s="25"/>
      <c r="P26" s="4">
        <v>2789</v>
      </c>
      <c r="Q26" s="4">
        <v>4410</v>
      </c>
      <c r="R26" s="4">
        <v>1839</v>
      </c>
      <c r="S26" s="4">
        <v>72.401613900000001</v>
      </c>
      <c r="T26" s="4">
        <v>1684</v>
      </c>
      <c r="U26" s="4">
        <v>66.299248399999996</v>
      </c>
      <c r="V26" s="25">
        <v>3.097</v>
      </c>
      <c r="W26" s="25">
        <v>8.3000000000000007</v>
      </c>
      <c r="X26" s="26">
        <v>0.37</v>
      </c>
    </row>
    <row r="27" spans="1:24">
      <c r="A27" t="s">
        <v>69</v>
      </c>
      <c r="B27" s="4">
        <v>2279.5967307692308</v>
      </c>
      <c r="C27" s="4"/>
      <c r="D27" s="4">
        <v>240</v>
      </c>
      <c r="E27" s="4">
        <v>192</v>
      </c>
      <c r="F27" s="4">
        <v>240</v>
      </c>
      <c r="G27" s="4">
        <v>1</v>
      </c>
      <c r="H27" s="4">
        <v>96</v>
      </c>
      <c r="I27" s="4">
        <v>266.10576923076923</v>
      </c>
      <c r="J27" s="4">
        <v>541.96694344352181</v>
      </c>
      <c r="K27" s="4"/>
      <c r="L27" s="25"/>
      <c r="M27" s="25">
        <v>49.1</v>
      </c>
      <c r="N27" s="25">
        <v>49.1</v>
      </c>
      <c r="O27" s="25"/>
      <c r="P27" s="4">
        <v>3633.5</v>
      </c>
      <c r="Q27" s="4">
        <v>5839.5</v>
      </c>
      <c r="R27" s="4">
        <v>2029</v>
      </c>
      <c r="S27" s="4">
        <v>79.881932899999995</v>
      </c>
      <c r="T27" s="4">
        <v>1937</v>
      </c>
      <c r="U27" s="4">
        <v>76.259883700000003</v>
      </c>
      <c r="V27" s="25">
        <v>3.9329999999999998</v>
      </c>
      <c r="W27" s="25">
        <v>7.7</v>
      </c>
      <c r="X27" s="26">
        <v>0.37</v>
      </c>
    </row>
    <row r="28" spans="1:24">
      <c r="L28" s="2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E29"/>
  <sheetViews>
    <sheetView zoomScale="60" zoomScaleNormal="6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4.6"/>
  <cols>
    <col min="1" max="1" width="19" customWidth="1"/>
    <col min="3" max="3" width="10.15234375" bestFit="1" customWidth="1"/>
    <col min="4" max="4" width="12.84375" customWidth="1"/>
  </cols>
  <sheetData>
    <row r="1" spans="1:5" ht="18.45">
      <c r="A1" s="6" t="s">
        <v>37</v>
      </c>
    </row>
    <row r="3" spans="1:5" s="5" customFormat="1">
      <c r="A3" s="5" t="s">
        <v>20</v>
      </c>
      <c r="B3" s="5" t="s">
        <v>21</v>
      </c>
      <c r="C3" s="5" t="s">
        <v>22</v>
      </c>
    </row>
    <row r="4" spans="1:5">
      <c r="A4" s="10" t="str">
        <f>'Mat_com_%'!A4</f>
        <v>ICEV-g micro</v>
      </c>
      <c r="B4" s="11">
        <f t="shared" ref="B4:B10" si="0">2011/1532</f>
        <v>1.3126631853785902</v>
      </c>
      <c r="C4" s="10" t="s">
        <v>32</v>
      </c>
      <c r="D4" s="10"/>
      <c r="E4" s="13"/>
    </row>
    <row r="5" spans="1:5">
      <c r="A5" s="10" t="str">
        <f>'Mat_com_%'!A5</f>
        <v>ICEV-g PC</v>
      </c>
      <c r="B5" s="11">
        <f>2011/1532</f>
        <v>1.3126631853785902</v>
      </c>
      <c r="C5" s="10" t="s">
        <v>32</v>
      </c>
      <c r="D5" s="10"/>
      <c r="E5" s="13"/>
    </row>
    <row r="6" spans="1:5">
      <c r="A6" s="10" t="str">
        <f>'Mat_com_%'!A6</f>
        <v>ICEV-g van/SUV</v>
      </c>
      <c r="B6" s="11">
        <f t="shared" si="0"/>
        <v>1.3126631853785902</v>
      </c>
      <c r="C6" s="10" t="s">
        <v>32</v>
      </c>
      <c r="D6" s="10"/>
      <c r="E6" s="13"/>
    </row>
    <row r="7" spans="1:5">
      <c r="A7" s="10" t="str">
        <f>'Mat_com_%'!A7</f>
        <v>ICEV-g LT</v>
      </c>
      <c r="B7" s="11">
        <f t="shared" si="0"/>
        <v>1.3126631853785902</v>
      </c>
      <c r="C7" s="10" t="s">
        <v>32</v>
      </c>
      <c r="D7" s="10"/>
      <c r="E7" s="13"/>
    </row>
    <row r="8" spans="1:5">
      <c r="A8" s="10" t="str">
        <f>'Mat_com_%'!A8</f>
        <v>ICEV-d micro</v>
      </c>
      <c r="B8" s="11">
        <f t="shared" si="0"/>
        <v>1.3126631853785902</v>
      </c>
      <c r="C8" s="10" t="s">
        <v>32</v>
      </c>
      <c r="D8" s="10"/>
      <c r="E8" s="13"/>
    </row>
    <row r="9" spans="1:5">
      <c r="A9" s="10" t="str">
        <f>'Mat_com_%'!A9</f>
        <v>ICEV-d PC</v>
      </c>
      <c r="B9" s="11">
        <f t="shared" si="0"/>
        <v>1.3126631853785902</v>
      </c>
      <c r="C9" s="10" t="s">
        <v>32</v>
      </c>
      <c r="D9" s="10"/>
      <c r="E9" s="13"/>
    </row>
    <row r="10" spans="1:5">
      <c r="A10" s="10" t="str">
        <f>'Mat_com_%'!A10</f>
        <v>ICEV-d van/SUV</v>
      </c>
      <c r="B10" s="11">
        <f t="shared" si="0"/>
        <v>1.3126631853785902</v>
      </c>
      <c r="C10" s="10" t="s">
        <v>32</v>
      </c>
      <c r="D10" s="10"/>
      <c r="E10" s="13"/>
    </row>
    <row r="11" spans="1:5">
      <c r="A11" s="10" t="str">
        <f>'Mat_com_%'!A11</f>
        <v>ICEV-d LT</v>
      </c>
      <c r="B11" s="11">
        <f>2033/1683</f>
        <v>1.207961972667855</v>
      </c>
      <c r="C11" s="10" t="s">
        <v>32</v>
      </c>
      <c r="D11" s="10"/>
      <c r="E11" s="13"/>
    </row>
    <row r="12" spans="1:5">
      <c r="A12" s="10" t="str">
        <f>'Mat_com_%'!A12</f>
        <v>HEV micro</v>
      </c>
      <c r="B12" s="11">
        <f>2033/1683</f>
        <v>1.207961972667855</v>
      </c>
      <c r="C12" s="10" t="s">
        <v>32</v>
      </c>
      <c r="D12" s="10"/>
      <c r="E12" s="13"/>
    </row>
    <row r="13" spans="1:5">
      <c r="A13" s="10" t="str">
        <f>'Mat_com_%'!A13</f>
        <v>HEV PC</v>
      </c>
      <c r="B13" s="11">
        <f>2033/1683</f>
        <v>1.207961972667855</v>
      </c>
      <c r="C13" s="10" t="s">
        <v>32</v>
      </c>
      <c r="D13" s="10"/>
      <c r="E13" s="13"/>
    </row>
    <row r="14" spans="1:5">
      <c r="A14" s="10" t="str">
        <f>'Mat_com_%'!A14</f>
        <v>HEV van/SUV</v>
      </c>
      <c r="B14" s="11">
        <f>2033/1683</f>
        <v>1.207961972667855</v>
      </c>
      <c r="C14" s="10" t="s">
        <v>32</v>
      </c>
      <c r="D14" s="10"/>
      <c r="E14" s="13"/>
    </row>
    <row r="15" spans="1:5">
      <c r="A15" s="10" t="str">
        <f>'Mat_com_%'!A15</f>
        <v>HEV LT</v>
      </c>
      <c r="B15" s="11">
        <f>2284/1746</f>
        <v>1.3081328751431844</v>
      </c>
      <c r="C15" s="10" t="s">
        <v>32</v>
      </c>
      <c r="D15" s="10"/>
      <c r="E15" s="13"/>
    </row>
    <row r="16" spans="1:5">
      <c r="A16" s="10" t="str">
        <f>'Mat_com_%'!A16</f>
        <v>PHEV micro</v>
      </c>
      <c r="B16" s="11">
        <f>2284/1746</f>
        <v>1.3081328751431844</v>
      </c>
      <c r="C16" s="10" t="s">
        <v>32</v>
      </c>
      <c r="D16" s="10"/>
      <c r="E16" s="13"/>
    </row>
    <row r="17" spans="1:5">
      <c r="A17" s="10" t="str">
        <f>'Mat_com_%'!A17</f>
        <v>PHEV PC</v>
      </c>
      <c r="B17" s="11">
        <f>2284/1746</f>
        <v>1.3081328751431844</v>
      </c>
      <c r="C17" s="10" t="s">
        <v>32</v>
      </c>
      <c r="D17" s="10"/>
      <c r="E17" s="13"/>
    </row>
    <row r="18" spans="1:5">
      <c r="A18" s="10" t="str">
        <f>'Mat_com_%'!A18</f>
        <v>PHEV van/SUV</v>
      </c>
      <c r="B18" s="11">
        <f>2284/1746</f>
        <v>1.3081328751431844</v>
      </c>
      <c r="C18" s="10" t="s">
        <v>32</v>
      </c>
      <c r="D18" s="10"/>
      <c r="E18" s="13"/>
    </row>
    <row r="19" spans="1:5">
      <c r="A19" s="10" t="str">
        <f>'Mat_com_%'!A19</f>
        <v>PHEV LT</v>
      </c>
      <c r="B19" s="11">
        <f>3244/2104</f>
        <v>1.5418250950570342</v>
      </c>
      <c r="C19" s="10" t="s">
        <v>32</v>
      </c>
      <c r="D19" s="10"/>
      <c r="E19" s="13"/>
    </row>
    <row r="20" spans="1:5">
      <c r="A20" s="10" t="str">
        <f>'Mat_com_%'!A20</f>
        <v>BEV micro</v>
      </c>
      <c r="B20" s="11">
        <f>3244/2104</f>
        <v>1.5418250950570342</v>
      </c>
      <c r="C20" s="10" t="s">
        <v>32</v>
      </c>
      <c r="D20" s="10"/>
      <c r="E20" s="13"/>
    </row>
    <row r="21" spans="1:5">
      <c r="A21" s="10" t="str">
        <f>'Mat_com_%'!A21</f>
        <v>BEV PC</v>
      </c>
      <c r="B21" s="11">
        <f>3244/2104</f>
        <v>1.5418250950570342</v>
      </c>
      <c r="C21" s="10" t="s">
        <v>32</v>
      </c>
      <c r="D21" s="10"/>
      <c r="E21" s="13"/>
    </row>
    <row r="22" spans="1:5">
      <c r="A22" s="10" t="str">
        <f>'Mat_com_%'!A22</f>
        <v>BEV van/SUV</v>
      </c>
      <c r="B22" s="11">
        <f>3244/2104</f>
        <v>1.5418250950570342</v>
      </c>
      <c r="C22" s="10" t="s">
        <v>32</v>
      </c>
      <c r="D22" s="10"/>
      <c r="E22" s="13"/>
    </row>
    <row r="23" spans="1:5">
      <c r="A23" s="10" t="str">
        <f>'Mat_com_%'!A23</f>
        <v>BEV LT</v>
      </c>
      <c r="B23" s="11">
        <v>1.41</v>
      </c>
      <c r="C23" s="10" t="s">
        <v>32</v>
      </c>
      <c r="D23" s="10"/>
      <c r="E23" s="13"/>
    </row>
    <row r="24" spans="1:5">
      <c r="A24" s="10" t="str">
        <f>'Mat_com_%'!A24</f>
        <v>HFCEV micro</v>
      </c>
      <c r="B24" s="11">
        <v>1.41</v>
      </c>
      <c r="C24" s="10" t="s">
        <v>32</v>
      </c>
      <c r="D24" s="10"/>
      <c r="E24" s="13"/>
    </row>
    <row r="25" spans="1:5">
      <c r="A25" s="10" t="str">
        <f>'Mat_com_%'!A25</f>
        <v>HFCEV PC</v>
      </c>
      <c r="B25" s="11">
        <v>1.41</v>
      </c>
      <c r="C25" s="10" t="s">
        <v>32</v>
      </c>
      <c r="D25" s="10"/>
      <c r="E25" s="13"/>
    </row>
    <row r="26" spans="1:5">
      <c r="A26" s="10" t="str">
        <f>'Mat_com_%'!A26</f>
        <v>HFCEV van/SUV</v>
      </c>
      <c r="B26" s="11">
        <v>1.41</v>
      </c>
      <c r="C26" s="10" t="s">
        <v>32</v>
      </c>
      <c r="D26" s="10"/>
      <c r="E26" s="13"/>
    </row>
    <row r="27" spans="1:5">
      <c r="A27" s="10" t="str">
        <f>'Mat_com_%'!A27</f>
        <v>HFCEV LT</v>
      </c>
      <c r="B27" s="11">
        <v>1.41</v>
      </c>
      <c r="C27" s="10" t="s">
        <v>32</v>
      </c>
      <c r="D27" s="10"/>
      <c r="E27" s="13"/>
    </row>
    <row r="28" spans="1:5">
      <c r="A28" s="10"/>
    </row>
    <row r="29" spans="1:5">
      <c r="A29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665EC-6AA6-4318-AF1A-D7607486DA41}">
  <sheetPr codeName="Sheet8"/>
  <dimension ref="A1:L195"/>
  <sheetViews>
    <sheetView zoomScale="60" zoomScaleNormal="6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C29" sqref="C29"/>
    </sheetView>
  </sheetViews>
  <sheetFormatPr defaultRowHeight="14.6"/>
  <cols>
    <col min="1" max="1" width="37.69140625" bestFit="1" customWidth="1"/>
    <col min="2" max="2" width="15.15234375" customWidth="1"/>
    <col min="3" max="3" width="12.69140625" bestFit="1" customWidth="1"/>
    <col min="4" max="6" width="11.69140625" bestFit="1" customWidth="1"/>
    <col min="7" max="7" width="18.3828125" bestFit="1" customWidth="1"/>
    <col min="8" max="8" width="11.69140625" bestFit="1" customWidth="1"/>
  </cols>
  <sheetData>
    <row r="1" spans="1:12" ht="18.45">
      <c r="A1" s="6" t="s">
        <v>41</v>
      </c>
    </row>
    <row r="2" spans="1:12" ht="18.45">
      <c r="A2" s="6"/>
      <c r="B2" s="5" t="s">
        <v>42</v>
      </c>
      <c r="C2" s="5" t="s">
        <v>42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</row>
    <row r="3" spans="1:12" s="5" customFormat="1">
      <c r="A3" s="5" t="s">
        <v>82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17</v>
      </c>
      <c r="J3" s="5" t="s">
        <v>18</v>
      </c>
      <c r="K3" s="5" t="s">
        <v>83</v>
      </c>
    </row>
    <row r="4" spans="1:12">
      <c r="A4" t="s">
        <v>76</v>
      </c>
      <c r="B4" s="22">
        <f>'Mat_com_%'!$J4*'Mat_com_%'!B4</f>
        <v>454.05781629083623</v>
      </c>
      <c r="C4" s="22">
        <f>'Mat_com_%'!$J4*'Mat_com_%'!C4</f>
        <v>0</v>
      </c>
      <c r="D4" s="22">
        <f>'Mat_com_%'!$J4*'Mat_com_%'!D4</f>
        <v>74.222612428753635</v>
      </c>
      <c r="E4" s="22">
        <f>'Mat_com_%'!$J4*'Mat_com_%'!E4</f>
        <v>13.674067339034975</v>
      </c>
      <c r="F4" s="22">
        <f>'Mat_com_%'!$J4*'Mat_com_%'!F4</f>
        <v>32.187516534683155</v>
      </c>
      <c r="G4" s="22">
        <f>'Mat_com_%'!$J4*'Mat_com_%'!G4</f>
        <v>13.561523574927692</v>
      </c>
      <c r="H4" s="22">
        <f>'Mat_com_%'!$J4*'Mat_com_%'!H4</f>
        <v>82.325763444478071</v>
      </c>
      <c r="I4" s="3">
        <f t="shared" ref="I4:I8" si="0">J4-SUM(B4:H4)</f>
        <v>59.970700387286229</v>
      </c>
      <c r="J4" s="22">
        <f>'Mat_com_%'!J4</f>
        <v>730</v>
      </c>
      <c r="K4" s="3" t="str">
        <f t="shared" ref="K4:K35" si="1">IF(SUM(B4:I4)=J4,"true","false")</f>
        <v>true</v>
      </c>
      <c r="L4" s="3"/>
    </row>
    <row r="5" spans="1:12">
      <c r="A5" s="10" t="s">
        <v>58</v>
      </c>
      <c r="B5" s="22">
        <f>806.9</f>
        <v>806.9</v>
      </c>
      <c r="C5" s="22">
        <v>0</v>
      </c>
      <c r="D5" s="22">
        <v>131.9</v>
      </c>
      <c r="E5" s="22">
        <v>24.3</v>
      </c>
      <c r="F5" s="22">
        <v>57.2</v>
      </c>
      <c r="G5" s="22">
        <v>24.1</v>
      </c>
      <c r="H5" s="22">
        <v>146.30000000000001</v>
      </c>
      <c r="I5" s="3">
        <f t="shared" si="0"/>
        <v>106.57312000000024</v>
      </c>
      <c r="J5" s="22">
        <f>'Mat_com_%'!J5</f>
        <v>1297.2731200000001</v>
      </c>
      <c r="K5" s="3" t="str">
        <f t="shared" si="1"/>
        <v>true</v>
      </c>
      <c r="L5" s="3"/>
    </row>
    <row r="6" spans="1:12">
      <c r="A6" t="s">
        <v>70</v>
      </c>
      <c r="B6" s="22">
        <f>'Mat_com_%'!$J6*'Mat_com_%'!B6</f>
        <v>1065.4808757619212</v>
      </c>
      <c r="C6" s="22">
        <f>'Mat_com_%'!$J6*'Mat_com_%'!C6</f>
        <v>0</v>
      </c>
      <c r="D6" s="22">
        <f>'Mat_com_%'!$J6*'Mat_com_%'!D6</f>
        <v>174.16895217870544</v>
      </c>
      <c r="E6" s="22">
        <f>'Mat_com_%'!$J6*'Mat_com_%'!E6</f>
        <v>32.087229248995769</v>
      </c>
      <c r="F6" s="22">
        <f>'Mat_com_%'!$J6*'Mat_com_%'!F6</f>
        <v>75.530432635496211</v>
      </c>
      <c r="G6" s="22">
        <f>'Mat_com_%'!$J6*'Mat_com_%'!G6</f>
        <v>31.823136827193338</v>
      </c>
      <c r="H6" s="22">
        <f>'Mat_com_%'!$J6*'Mat_com_%'!H6</f>
        <v>193.18360654848072</v>
      </c>
      <c r="I6" s="3">
        <f t="shared" si="0"/>
        <v>140.72576679920712</v>
      </c>
      <c r="J6" s="22">
        <f>'Mat_com_%'!J6</f>
        <v>1713</v>
      </c>
      <c r="K6" s="3" t="str">
        <f t="shared" si="1"/>
        <v>true</v>
      </c>
      <c r="L6" s="3"/>
    </row>
    <row r="7" spans="1:12">
      <c r="A7" t="s">
        <v>59</v>
      </c>
      <c r="B7" s="22">
        <f>'Mat_com_%'!$J7*'Mat_com_%'!B7</f>
        <v>1267.3189050583271</v>
      </c>
      <c r="C7" s="22">
        <f>'Mat_com_%'!$J7*'Mat_com_%'!C7</f>
        <v>0</v>
      </c>
      <c r="D7" s="22">
        <f>'Mat_com_%'!$J7*'Mat_com_%'!D7</f>
        <v>207.16242852545963</v>
      </c>
      <c r="E7" s="22">
        <f>'Mat_com_%'!$J7*'Mat_com_%'!E7</f>
        <v>38.165633155183237</v>
      </c>
      <c r="F7" s="22">
        <f>'Mat_com_%'!$J7*'Mat_com_%'!F7</f>
        <v>89.838445122488935</v>
      </c>
      <c r="G7" s="22">
        <f>'Mat_com_%'!$J7*'Mat_com_%'!G7</f>
        <v>37.851512717692017</v>
      </c>
      <c r="H7" s="22">
        <f>'Mat_com_%'!$J7*'Mat_com_%'!H7</f>
        <v>229.77910002482747</v>
      </c>
      <c r="I7" s="3">
        <f t="shared" si="0"/>
        <v>167.38397539602147</v>
      </c>
      <c r="J7" s="22">
        <f>'Mat_com_%'!J7</f>
        <v>2037.5</v>
      </c>
      <c r="K7" s="3" t="str">
        <f t="shared" si="1"/>
        <v>true</v>
      </c>
      <c r="L7" s="3"/>
    </row>
    <row r="8" spans="1:12">
      <c r="A8" t="s">
        <v>77</v>
      </c>
      <c r="B8" s="22">
        <f>'Mat_com_%'!$J8*'Mat_com_%'!B8</f>
        <v>461.89772833771764</v>
      </c>
      <c r="C8" s="22">
        <f>'Mat_com_%'!$J8*'Mat_com_%'!C8</f>
        <v>0</v>
      </c>
      <c r="D8" s="22">
        <f>'Mat_com_%'!$J8*'Mat_com_%'!D8</f>
        <v>75.478646863198136</v>
      </c>
      <c r="E8" s="22">
        <f>'Mat_com_%'!$J8*'Mat_com_%'!E8</f>
        <v>13.933651550979027</v>
      </c>
      <c r="F8" s="22">
        <f>'Mat_com_%'!$J8*'Mat_com_%'!F8</f>
        <v>32.775107494408154</v>
      </c>
      <c r="G8" s="22">
        <f>'Mat_com_%'!$J8*'Mat_com_%'!G8</f>
        <v>13.820828461497413</v>
      </c>
      <c r="H8" s="22">
        <f>'Mat_com_%'!$J8*'Mat_com_%'!H8</f>
        <v>83.771143940096579</v>
      </c>
      <c r="I8" s="3">
        <f t="shared" si="0"/>
        <v>60.852893352103138</v>
      </c>
      <c r="J8" s="22">
        <f>'Mat_com_%'!J8</f>
        <v>742.53</v>
      </c>
      <c r="K8" s="3" t="str">
        <f t="shared" si="1"/>
        <v>true</v>
      </c>
      <c r="L8" s="3"/>
    </row>
    <row r="9" spans="1:12">
      <c r="A9" t="s">
        <v>60</v>
      </c>
      <c r="B9" s="22">
        <v>818.8</v>
      </c>
      <c r="C9" s="22">
        <v>0</v>
      </c>
      <c r="D9" s="22">
        <v>133.80000000000001</v>
      </c>
      <c r="E9" s="22">
        <v>24.7</v>
      </c>
      <c r="F9" s="22">
        <v>58.1</v>
      </c>
      <c r="G9" s="22">
        <v>24.5</v>
      </c>
      <c r="H9" s="22">
        <v>148.5</v>
      </c>
      <c r="I9" s="3">
        <f>J9-SUM(B9:H9)</f>
        <v>107.87311999999997</v>
      </c>
      <c r="J9" s="22">
        <f>'Mat_com_%'!J9</f>
        <v>1316.2731199999998</v>
      </c>
      <c r="K9" s="3" t="str">
        <f t="shared" si="1"/>
        <v>true</v>
      </c>
      <c r="L9" s="3"/>
    </row>
    <row r="10" spans="1:12">
      <c r="A10" t="s">
        <v>71</v>
      </c>
      <c r="B10" s="22">
        <f>'Mat_com_%'!$J10*'Mat_com_%'!B10</f>
        <v>1079.7084118833939</v>
      </c>
      <c r="C10" s="22">
        <f>'Mat_com_%'!$J10*'Mat_com_%'!C10</f>
        <v>0</v>
      </c>
      <c r="D10" s="22">
        <f>'Mat_com_%'!$J10*'Mat_com_%'!D10</f>
        <v>176.43500917195666</v>
      </c>
      <c r="E10" s="22">
        <f>'Mat_com_%'!$J10*'Mat_com_%'!E10</f>
        <v>32.570588389740877</v>
      </c>
      <c r="F10" s="22">
        <f>'Mat_com_%'!$J10*'Mat_com_%'!F10</f>
        <v>76.613408317568627</v>
      </c>
      <c r="G10" s="22">
        <f>'Mat_com_%'!$J10*'Mat_com_%'!G10</f>
        <v>32.306858929095199</v>
      </c>
      <c r="H10" s="22">
        <f>'Mat_com_%'!$J10*'Mat_com_%'!H10</f>
        <v>195.81912452941378</v>
      </c>
      <c r="I10" s="22">
        <f>'Mat_com_%'!$J10*'Mat_com_%'!I10</f>
        <v>142.24659877883093</v>
      </c>
      <c r="J10" s="22">
        <f>'Mat_com_%'!J10</f>
        <v>1735.6999999999998</v>
      </c>
      <c r="K10" s="3" t="str">
        <f t="shared" si="1"/>
        <v>true</v>
      </c>
      <c r="L10" s="3"/>
    </row>
    <row r="11" spans="1:12">
      <c r="A11" t="s">
        <v>61</v>
      </c>
      <c r="B11" s="22">
        <f>'Mat_com_%'!$J11*'Mat_com_%'!B11</f>
        <v>1287.9738818946632</v>
      </c>
      <c r="C11" s="22">
        <f>'Mat_com_%'!$J11*'Mat_com_%'!C11</f>
        <v>0</v>
      </c>
      <c r="D11" s="22">
        <f>'Mat_com_%'!$J11*'Mat_com_%'!D11</f>
        <v>210.46764215621153</v>
      </c>
      <c r="E11" s="22">
        <f>'Mat_com_%'!$J11*'Mat_com_%'!E11</f>
        <v>38.853144702977758</v>
      </c>
      <c r="F11" s="22">
        <f>'Mat_com_%'!$J11*'Mat_com_%'!F11</f>
        <v>91.391405151538777</v>
      </c>
      <c r="G11" s="22">
        <f>'Mat_com_%'!$J11*'Mat_com_%'!G11</f>
        <v>38.538544341010322</v>
      </c>
      <c r="H11" s="22">
        <f>'Mat_com_%'!$J11*'Mat_com_%'!H11</f>
        <v>233.5907687608177</v>
      </c>
      <c r="I11" s="22">
        <f>'Mat_com_%'!$J11*'Mat_com_%'!I11</f>
        <v>169.6846129927807</v>
      </c>
      <c r="J11" s="22">
        <f>'Mat_com_%'!J11</f>
        <v>2070.5</v>
      </c>
      <c r="K11" s="3" t="str">
        <f t="shared" si="1"/>
        <v>true</v>
      </c>
      <c r="L11" s="3"/>
    </row>
    <row r="12" spans="1:12">
      <c r="A12" t="s">
        <v>78</v>
      </c>
      <c r="B12" s="22">
        <f>'Mat_com_%'!$J12*'Mat_com_%'!B12</f>
        <v>512.41598388995226</v>
      </c>
      <c r="C12" s="22">
        <f>'Mat_com_%'!$J12*'Mat_com_%'!C12</f>
        <v>0</v>
      </c>
      <c r="D12" s="22">
        <f>'Mat_com_%'!$J12*'Mat_com_%'!D12</f>
        <v>58.145681251612757</v>
      </c>
      <c r="E12" s="22">
        <f>'Mat_com_%'!$J12*'Mat_com_%'!E12</f>
        <v>10.207032803537546</v>
      </c>
      <c r="F12" s="22">
        <f>'Mat_com_%'!$J12*'Mat_com_%'!F12</f>
        <v>45.931647615918948</v>
      </c>
      <c r="G12" s="22">
        <f>'Mat_com_%'!$J12*'Mat_com_%'!G12</f>
        <v>31.767956028987637</v>
      </c>
      <c r="H12" s="22">
        <f>'Mat_com_%'!$J12*'Mat_com_%'!H12</f>
        <v>85.95697849720662</v>
      </c>
      <c r="I12" s="22">
        <f>'Mat_com_%'!$J12*'Mat_com_%'!I12</f>
        <v>59.850553912784278</v>
      </c>
      <c r="J12" s="22">
        <f>'Mat_com_%'!J12</f>
        <v>804.27583400000003</v>
      </c>
      <c r="K12" s="3" t="str">
        <f t="shared" si="1"/>
        <v>true</v>
      </c>
      <c r="L12" s="32"/>
    </row>
    <row r="13" spans="1:12">
      <c r="A13" t="s">
        <v>62</v>
      </c>
      <c r="B13" s="22">
        <v>893.6</v>
      </c>
      <c r="C13" s="22">
        <v>0</v>
      </c>
      <c r="D13" s="22">
        <v>101.4</v>
      </c>
      <c r="E13" s="22">
        <v>17.8</v>
      </c>
      <c r="F13" s="22">
        <v>80.099999999999994</v>
      </c>
      <c r="G13" s="22">
        <v>55.4</v>
      </c>
      <c r="H13" s="22">
        <v>149.9</v>
      </c>
      <c r="I13" s="3">
        <f>J13-SUM(B13:H13)</f>
        <v>104.37311999999997</v>
      </c>
      <c r="J13" s="22">
        <f>'Mat_com_%'!J13</f>
        <v>1402.57312</v>
      </c>
      <c r="K13" s="3" t="str">
        <f t="shared" si="1"/>
        <v>true</v>
      </c>
      <c r="L13" s="32"/>
    </row>
    <row r="14" spans="1:12">
      <c r="A14" t="s">
        <v>72</v>
      </c>
      <c r="B14" s="22">
        <f>'Mat_com_%'!$J14*'Mat_com_%'!B14</f>
        <v>1169.7933847242132</v>
      </c>
      <c r="C14" s="22">
        <f>'Mat_com_%'!$J14*'Mat_com_%'!C14</f>
        <v>0</v>
      </c>
      <c r="D14" s="22">
        <f>'Mat_com_%'!$J14*'Mat_com_%'!D14</f>
        <v>132.74065489148973</v>
      </c>
      <c r="E14" s="22">
        <f>'Mat_com_%'!$J14*'Mat_com_%'!E14</f>
        <v>23.301613975034687</v>
      </c>
      <c r="F14" s="22">
        <f>'Mat_com_%'!$J14*'Mat_com_%'!F14</f>
        <v>104.85726288765608</v>
      </c>
      <c r="G14" s="22">
        <f>'Mat_com_%'!$J14*'Mat_com_%'!G14</f>
        <v>72.52300079870345</v>
      </c>
      <c r="H14" s="22">
        <f>'Mat_com_%'!$J14*'Mat_com_%'!H14</f>
        <v>196.23100757627523</v>
      </c>
      <c r="I14" s="22">
        <f>'Mat_com_%'!$J14*'Mat_com_%'!I14</f>
        <v>136.63270514662761</v>
      </c>
      <c r="J14" s="22">
        <f>'Mat_com_%'!J14</f>
        <v>1836.07963</v>
      </c>
      <c r="K14" s="3" t="str">
        <f t="shared" si="1"/>
        <v>true</v>
      </c>
      <c r="L14" s="32"/>
    </row>
    <row r="15" spans="1:12">
      <c r="A15" t="s">
        <v>63</v>
      </c>
      <c r="B15" s="22">
        <f>'Mat_com_%'!$J15*'Mat_com_%'!B15</f>
        <v>1407.9917059867794</v>
      </c>
      <c r="C15" s="22">
        <f>'Mat_com_%'!$J15*'Mat_com_%'!C15</f>
        <v>0</v>
      </c>
      <c r="D15" s="22">
        <f>'Mat_com_%'!$J15*'Mat_com_%'!D15</f>
        <v>159.769873530729</v>
      </c>
      <c r="E15" s="22">
        <f>'Mat_com_%'!$J15*'Mat_com_%'!E15</f>
        <v>28.046388055690102</v>
      </c>
      <c r="F15" s="22">
        <f>'Mat_com_%'!$J15*'Mat_com_%'!F15</f>
        <v>126.20874625060544</v>
      </c>
      <c r="G15" s="22">
        <f>'Mat_com_%'!$J15*'Mat_com_%'!G15</f>
        <v>87.29044372388941</v>
      </c>
      <c r="H15" s="22">
        <f>'Mat_com_%'!$J15*'Mat_com_%'!H15</f>
        <v>236.18840278359247</v>
      </c>
      <c r="I15" s="22">
        <f>'Mat_com_%'!$J15*'Mat_com_%'!I15</f>
        <v>164.45443966871397</v>
      </c>
      <c r="J15" s="22">
        <f>'Mat_com_%'!J15</f>
        <v>2209.9499999999998</v>
      </c>
      <c r="K15" s="3" t="str">
        <f t="shared" si="1"/>
        <v>true</v>
      </c>
      <c r="L15" s="32"/>
    </row>
    <row r="16" spans="1:12">
      <c r="A16" t="s">
        <v>79</v>
      </c>
      <c r="B16" s="22">
        <f>'Mat_com_%'!$J16*'Mat_com_%'!B16</f>
        <v>494.58050186546689</v>
      </c>
      <c r="C16" s="22">
        <f>'Mat_com_%'!$J16*'Mat_com_%'!C16</f>
        <v>0</v>
      </c>
      <c r="D16" s="22">
        <f>'Mat_com_%'!$J16*'Mat_com_%'!D16</f>
        <v>54.908340059545921</v>
      </c>
      <c r="E16" s="22">
        <f>'Mat_com_%'!$J16*'Mat_com_%'!E16</f>
        <v>24.963601862515077</v>
      </c>
      <c r="F16" s="22">
        <f>'Mat_com_%'!$J16*'Mat_com_%'!F16</f>
        <v>51.433128663372131</v>
      </c>
      <c r="G16" s="22">
        <f>'Mat_com_%'!$J16*'Mat_com_%'!G16</f>
        <v>45.525269289876682</v>
      </c>
      <c r="H16" s="22">
        <f>'Mat_com_%'!$J16*'Mat_com_%'!H16</f>
        <v>19.055742489019632</v>
      </c>
      <c r="I16" s="22">
        <f>'Mat_com_%'!$J16*'Mat_com_%'!I16</f>
        <v>147.79675577020376</v>
      </c>
      <c r="J16" s="22">
        <f>'Mat_com_%'!J16</f>
        <v>838.26334000000008</v>
      </c>
      <c r="K16" s="3" t="str">
        <f t="shared" si="1"/>
        <v>true</v>
      </c>
      <c r="L16" s="32"/>
    </row>
    <row r="17" spans="1:12">
      <c r="A17" t="s">
        <v>64</v>
      </c>
      <c r="B17" s="22">
        <v>853.9</v>
      </c>
      <c r="C17" s="22">
        <v>0</v>
      </c>
      <c r="D17" s="22">
        <v>94.8</v>
      </c>
      <c r="E17" s="22">
        <v>43.1</v>
      </c>
      <c r="F17" s="22">
        <v>88.8</v>
      </c>
      <c r="G17" s="22">
        <v>78.599999999999994</v>
      </c>
      <c r="H17" s="22">
        <v>32.9</v>
      </c>
      <c r="I17" s="3">
        <f>J17-SUM(B17:H17)</f>
        <v>255.17311999999993</v>
      </c>
      <c r="J17" s="22">
        <f>'Mat_com_%'!J17</f>
        <v>1447.2731199999998</v>
      </c>
      <c r="K17" s="3" t="str">
        <f t="shared" si="1"/>
        <v>true</v>
      </c>
      <c r="L17" s="32"/>
    </row>
    <row r="18" spans="1:12">
      <c r="A18" t="s">
        <v>73</v>
      </c>
      <c r="B18" s="22">
        <f>'Mat_com_%'!$J18*'Mat_com_%'!B18</f>
        <v>1113.48686940997</v>
      </c>
      <c r="C18" s="22">
        <f>'Mat_com_%'!$J18*'Mat_com_%'!C18</f>
        <v>0</v>
      </c>
      <c r="D18" s="22">
        <f>'Mat_com_%'!$J18*'Mat_com_%'!D18</f>
        <v>123.61934092992759</v>
      </c>
      <c r="E18" s="22">
        <f>'Mat_com_%'!$J18*'Mat_com_%'!E18</f>
        <v>56.20246407257256</v>
      </c>
      <c r="F18" s="22">
        <f>'Mat_com_%'!$J18*'Mat_com_%'!F18</f>
        <v>115.79533201031191</v>
      </c>
      <c r="G18" s="22">
        <f>'Mat_com_%'!$J18*'Mat_com_%'!G18</f>
        <v>102.49451684696527</v>
      </c>
      <c r="H18" s="22">
        <f>'Mat_com_%'!$J18*'Mat_com_%'!H18</f>
        <v>42.901648909225926</v>
      </c>
      <c r="I18" s="22">
        <f>'Mat_com_%'!$J18*'Mat_com_%'!I18</f>
        <v>332.7461278210265</v>
      </c>
      <c r="J18" s="22">
        <f>'Mat_com_%'!J18</f>
        <v>1887.2462999999998</v>
      </c>
      <c r="K18" s="3" t="str">
        <f t="shared" si="1"/>
        <v>true</v>
      </c>
      <c r="L18" s="32"/>
    </row>
    <row r="19" spans="1:12">
      <c r="A19" t="s">
        <v>65</v>
      </c>
      <c r="B19" s="22">
        <f>'Mat_com_%'!$J19*'Mat_com_%'!B19</f>
        <v>1344.0339443324976</v>
      </c>
      <c r="C19" s="22">
        <f>'Mat_com_%'!$J19*'Mat_com_%'!C19</f>
        <v>0</v>
      </c>
      <c r="D19" s="22">
        <f>'Mat_com_%'!$J19*'Mat_com_%'!D19</f>
        <v>149.21468312767394</v>
      </c>
      <c r="E19" s="22">
        <f>'Mat_com_%'!$J19*'Mat_com_%'!E19</f>
        <v>67.839165008467788</v>
      </c>
      <c r="F19" s="22">
        <f>'Mat_com_%'!$J19*'Mat_com_%'!F19</f>
        <v>139.77071584111229</v>
      </c>
      <c r="G19" s="22">
        <f>'Mat_com_%'!$J19*'Mat_com_%'!G19</f>
        <v>123.71597145395749</v>
      </c>
      <c r="H19" s="22">
        <f>'Mat_com_%'!$J19*'Mat_com_%'!H19</f>
        <v>51.784420621313004</v>
      </c>
      <c r="I19" s="22">
        <f>'Mat_com_%'!$J19*'Mat_com_%'!I19</f>
        <v>401.64109961497792</v>
      </c>
      <c r="J19" s="22">
        <f>'Mat_com_%'!J19</f>
        <v>2278</v>
      </c>
      <c r="K19" s="3" t="str">
        <f t="shared" si="1"/>
        <v>true</v>
      </c>
      <c r="L19" s="32"/>
    </row>
    <row r="20" spans="1:12">
      <c r="A20" t="s">
        <v>80</v>
      </c>
      <c r="B20" s="22">
        <f>'Mat_com_%'!$J20*'Mat_com_%'!B20</f>
        <v>592.82173184222336</v>
      </c>
      <c r="C20" s="22">
        <f>'Mat_com_%'!$J20*'Mat_com_%'!C20</f>
        <v>0</v>
      </c>
      <c r="D20" s="22">
        <f>'Mat_com_%'!$J20*'Mat_com_%'!D20</f>
        <v>17.97722151454111</v>
      </c>
      <c r="E20" s="22">
        <f>'Mat_com_%'!$J20*'Mat_com_%'!E20</f>
        <v>39.915525735676027</v>
      </c>
      <c r="F20" s="22">
        <f>'Mat_com_%'!$J20*'Mat_com_%'!F20</f>
        <v>50.945617580191069</v>
      </c>
      <c r="G20" s="22">
        <f>'Mat_com_%'!$J20*'Mat_com_%'!G20</f>
        <v>67.704044415780231</v>
      </c>
      <c r="H20" s="22">
        <f>'Mat_com_%'!$J20*'Mat_com_%'!H20</f>
        <v>104.57258345407641</v>
      </c>
      <c r="I20" s="22">
        <f>'Mat_com_%'!$J20*'Mat_com_%'!I20</f>
        <v>169.84033245751195</v>
      </c>
      <c r="J20" s="22">
        <f>'Mat_com_%'!J20</f>
        <v>1043.777057</v>
      </c>
      <c r="K20" s="3" t="str">
        <f t="shared" si="1"/>
        <v>true</v>
      </c>
      <c r="L20" s="32"/>
    </row>
    <row r="21" spans="1:12">
      <c r="A21" t="s">
        <v>66</v>
      </c>
      <c r="B21" s="22">
        <v>972.8</v>
      </c>
      <c r="C21" s="22">
        <v>0</v>
      </c>
      <c r="D21" s="22">
        <v>29.5</v>
      </c>
      <c r="E21" s="22">
        <v>65.5</v>
      </c>
      <c r="F21" s="22">
        <v>83.6</v>
      </c>
      <c r="G21" s="22">
        <v>111.1</v>
      </c>
      <c r="H21" s="22">
        <v>171.6</v>
      </c>
      <c r="I21" s="3">
        <f>J21-SUM(B21:H21)</f>
        <v>278.70212332000051</v>
      </c>
      <c r="J21" s="22">
        <f>'Mat_com_%'!J21</f>
        <v>1712.8021233200002</v>
      </c>
      <c r="K21" s="3" t="str">
        <f t="shared" si="1"/>
        <v>true</v>
      </c>
      <c r="L21" s="32"/>
    </row>
    <row r="22" spans="1:12">
      <c r="A22" t="s">
        <v>74</v>
      </c>
      <c r="B22" s="22">
        <f>'Mat_com_%'!$J22*'Mat_com_%'!B22</f>
        <v>1242.2801343627559</v>
      </c>
      <c r="C22" s="22">
        <f>'Mat_com_%'!$J22*'Mat_com_%'!C22</f>
        <v>0</v>
      </c>
      <c r="D22" s="22">
        <f>'Mat_com_%'!$J22*'Mat_com_%'!D22</f>
        <v>37.671940752160054</v>
      </c>
      <c r="E22" s="22">
        <f>'Mat_com_%'!$J22*'Mat_com_%'!E22</f>
        <v>83.644478619202843</v>
      </c>
      <c r="F22" s="22">
        <f>'Mat_com_%'!$J22*'Mat_com_%'!F22</f>
        <v>106.75844904679934</v>
      </c>
      <c r="G22" s="22">
        <f>'Mat_com_%'!$J22*'Mat_com_%'!G22</f>
        <v>141.87635991745699</v>
      </c>
      <c r="H22" s="22">
        <f>'Mat_com_%'!$J22*'Mat_com_%'!H22</f>
        <v>219.1357638329039</v>
      </c>
      <c r="I22" s="22">
        <f>'Mat_com_%'!$J22*'Mat_com_%'!I22</f>
        <v>355.90677549872083</v>
      </c>
      <c r="J22" s="22">
        <f>'Mat_com_%'!J22</f>
        <v>2187.2739020299996</v>
      </c>
      <c r="K22" s="3" t="str">
        <f t="shared" si="1"/>
        <v>true</v>
      </c>
      <c r="L22" s="32"/>
    </row>
    <row r="23" spans="1:12">
      <c r="A23" t="s">
        <v>67</v>
      </c>
      <c r="B23" s="22">
        <f>'Mat_com_%'!$J23*'Mat_com_%'!B23</f>
        <v>1503.5358474499437</v>
      </c>
      <c r="C23" s="22">
        <f>'Mat_com_%'!$J23*'Mat_com_%'!C23</f>
        <v>0</v>
      </c>
      <c r="D23" s="22">
        <f>'Mat_com_%'!$J23*'Mat_com_%'!D23</f>
        <v>45.594477281839374</v>
      </c>
      <c r="E23" s="22">
        <f>'Mat_com_%'!$J23*'Mat_com_%'!E23</f>
        <v>101.23519532069422</v>
      </c>
      <c r="F23" s="22">
        <f>'Mat_com_%'!$J23*'Mat_com_%'!F23</f>
        <v>129.21011189022954</v>
      </c>
      <c r="G23" s="22">
        <f>'Mat_com_%'!$J23*'Mat_com_%'!G23</f>
        <v>171.71343816991032</v>
      </c>
      <c r="H23" s="22">
        <f>'Mat_com_%'!$J23*'Mat_com_%'!H23</f>
        <v>265.22075598520803</v>
      </c>
      <c r="I23" s="22">
        <f>'Mat_com_%'!$J23*'Mat_com_%'!I23</f>
        <v>430.75517390217493</v>
      </c>
      <c r="J23" s="22">
        <f>'Mat_com_%'!J23</f>
        <v>2647.2649999999999</v>
      </c>
      <c r="K23" s="3" t="str">
        <f t="shared" si="1"/>
        <v>true</v>
      </c>
      <c r="L23" s="32"/>
    </row>
    <row r="24" spans="1:12">
      <c r="A24" t="s">
        <v>81</v>
      </c>
      <c r="B24" s="22">
        <f>'Mat_com_%'!$J24*'Mat_com_%'!B24</f>
        <v>463.05937166694667</v>
      </c>
      <c r="C24" s="22">
        <f>'Mat_com_%'!$J24*'Mat_com_%'!C24</f>
        <v>25.501333104388859</v>
      </c>
      <c r="D24" s="22">
        <f>'Mat_com_%'!$J24*'Mat_com_%'!D24</f>
        <v>16.253596923676415</v>
      </c>
      <c r="E24" s="22">
        <f>'Mat_com_%'!$J24*'Mat_com_%'!E24</f>
        <v>17.822909730100346</v>
      </c>
      <c r="F24" s="22">
        <f>'Mat_com_%'!$J24*'Mat_com_%'!F24</f>
        <v>27.070645910812786</v>
      </c>
      <c r="G24" s="22">
        <f>'Mat_com_%'!$J24*'Mat_com_%'!G24</f>
        <v>26.84645836703794</v>
      </c>
      <c r="H24" s="22">
        <f>'Mat_com_%'!$J24*'Mat_com_%'!H24</f>
        <v>97.801815971777046</v>
      </c>
      <c r="I24" s="22">
        <f>'Mat_com_%'!$J24*'Mat_com_%'!I24</f>
        <v>142.86470232525986</v>
      </c>
      <c r="J24" s="22">
        <f>'Mat_com_%'!J24</f>
        <v>817.22083399999997</v>
      </c>
      <c r="K24" s="3" t="str">
        <f t="shared" si="1"/>
        <v>true</v>
      </c>
      <c r="L24" s="32"/>
    </row>
    <row r="25" spans="1:12">
      <c r="A25" t="s">
        <v>68</v>
      </c>
      <c r="B25" s="22">
        <v>826.2</v>
      </c>
      <c r="C25" s="22">
        <v>45.5</v>
      </c>
      <c r="D25" s="22">
        <v>29</v>
      </c>
      <c r="E25" s="22">
        <v>31.8</v>
      </c>
      <c r="F25" s="22">
        <v>48.3</v>
      </c>
      <c r="G25" s="22">
        <v>47.9</v>
      </c>
      <c r="H25" s="22">
        <v>174.5</v>
      </c>
      <c r="I25" s="3">
        <f>J25-SUM(B25:H25)</f>
        <v>254.90212331999987</v>
      </c>
      <c r="J25" s="22">
        <f>'Mat_com_%'!J25</f>
        <v>1458.1021233199999</v>
      </c>
      <c r="K25" s="3" t="str">
        <f t="shared" si="1"/>
        <v>true</v>
      </c>
      <c r="L25" s="3"/>
    </row>
    <row r="26" spans="1:12">
      <c r="A26" t="s">
        <v>75</v>
      </c>
      <c r="B26" s="22">
        <f>'Mat_com_%'!$J26*'Mat_com_%'!B26</f>
        <v>1085.1641150506352</v>
      </c>
      <c r="C26" s="22">
        <f>'Mat_com_%'!$J26*'Mat_com_%'!C26</f>
        <v>59.761519286860207</v>
      </c>
      <c r="D26" s="22">
        <f>'Mat_com_%'!$J26*'Mat_com_%'!D26</f>
        <v>38.089759545471345</v>
      </c>
      <c r="E26" s="22">
        <f>'Mat_com_%'!$J26*'Mat_com_%'!E26</f>
        <v>41.76739150158582</v>
      </c>
      <c r="F26" s="22">
        <f>'Mat_com_%'!$J26*'Mat_com_%'!F26</f>
        <v>63.439151242974681</v>
      </c>
      <c r="G26" s="22">
        <f>'Mat_com_%'!$J26*'Mat_com_%'!G26</f>
        <v>62.91377524924404</v>
      </c>
      <c r="H26" s="22">
        <f>'Mat_com_%'!$J26*'Mat_com_%'!H26</f>
        <v>229.19527726499135</v>
      </c>
      <c r="I26" s="22">
        <f>'Mat_com_%'!$J26*'Mat_com_%'!I26</f>
        <v>334.79864085823715</v>
      </c>
      <c r="J26" s="22">
        <f>'Mat_com_%'!J26</f>
        <v>1915.1296299999999</v>
      </c>
      <c r="K26" s="3" t="str">
        <f t="shared" si="1"/>
        <v>true</v>
      </c>
      <c r="L26" s="32"/>
    </row>
    <row r="27" spans="1:12">
      <c r="A27" t="s">
        <v>69</v>
      </c>
      <c r="B27" s="22">
        <f>'Mat_com_%'!$J27*'Mat_com_%'!B27</f>
        <v>1329.7120290760954</v>
      </c>
      <c r="C27" s="22">
        <f>'Mat_com_%'!$J27*'Mat_com_%'!C27</f>
        <v>73.229118037959751</v>
      </c>
      <c r="D27" s="22">
        <f>'Mat_com_%'!$J27*'Mat_com_%'!D27</f>
        <v>46.673503804413905</v>
      </c>
      <c r="E27" s="22">
        <f>'Mat_com_%'!$J27*'Mat_com_%'!E27</f>
        <v>51.179911068288355</v>
      </c>
      <c r="F27" s="22">
        <f>'Mat_com_%'!$J27*'Mat_com_%'!F27</f>
        <v>77.735525301834187</v>
      </c>
      <c r="G27" s="22">
        <f>'Mat_com_%'!$J27*'Mat_com_%'!G27</f>
        <v>77.09175283556641</v>
      </c>
      <c r="H27" s="22">
        <f>'Mat_com_%'!$J27*'Mat_com_%'!H27</f>
        <v>280.84573840931813</v>
      </c>
      <c r="I27" s="22">
        <f>'Mat_com_%'!$J27*'Mat_com_%'!I27</f>
        <v>410.24742146652397</v>
      </c>
      <c r="J27" s="22">
        <f>'Mat_com_%'!J27</f>
        <v>2346.7150000000001</v>
      </c>
      <c r="K27" s="3" t="str">
        <f t="shared" si="1"/>
        <v>true</v>
      </c>
      <c r="L27" s="32"/>
    </row>
    <row r="28" spans="1:12">
      <c r="A28" t="str">
        <f t="shared" ref="A28:A46" si="2">A4&amp;" LW"</f>
        <v>ICEV-g micro LW</v>
      </c>
      <c r="B28" s="22">
        <f>'Mat_com_%'!$J28*'Mat_com_%'!B28</f>
        <v>184.06532619746258</v>
      </c>
      <c r="C28" s="22">
        <f>'Mat_com_%'!$J28*'Mat_com_%'!C28</f>
        <v>6.3024507900078897</v>
      </c>
      <c r="D28" s="22">
        <f>'Mat_com_%'!$J28*'Mat_com_%'!D28</f>
        <v>21.608402708598479</v>
      </c>
      <c r="E28" s="22">
        <f>'Mat_com_%'!$J28*'Mat_com_%'!E28</f>
        <v>136.17795456981332</v>
      </c>
      <c r="F28" s="22">
        <f>'Mat_com_%'!$J28*'Mat_com_%'!F28</f>
        <v>99.995134409321594</v>
      </c>
      <c r="G28" s="22">
        <f>'Mat_com_%'!$J28*'Mat_com_%'!G28</f>
        <v>17.613099082789908</v>
      </c>
      <c r="H28" s="22">
        <f>'Mat_com_%'!$J28*'Mat_com_%'!H28</f>
        <v>78.443003582776768</v>
      </c>
      <c r="I28" s="22">
        <f>'Mat_com_%'!$J28*'Mat_com_%'!I28</f>
        <v>46.364628659229489</v>
      </c>
      <c r="J28" s="22">
        <f>'Mat_com_%'!J28</f>
        <v>590.57000000000005</v>
      </c>
      <c r="K28" s="3" t="str">
        <f t="shared" si="1"/>
        <v>true</v>
      </c>
      <c r="L28" s="32"/>
    </row>
    <row r="29" spans="1:12">
      <c r="A29" s="10" t="str">
        <f t="shared" si="2"/>
        <v>ICEV-g PC LW</v>
      </c>
      <c r="B29" s="22">
        <v>327.10000000000002</v>
      </c>
      <c r="C29" s="22">
        <v>11.2</v>
      </c>
      <c r="D29" s="22">
        <v>38.4</v>
      </c>
      <c r="E29" s="22">
        <v>242</v>
      </c>
      <c r="F29" s="22">
        <v>177.7</v>
      </c>
      <c r="G29" s="22">
        <v>31.3</v>
      </c>
      <c r="H29" s="22">
        <v>139.4</v>
      </c>
      <c r="I29" s="3">
        <f>J29-SUM(B29:H29)</f>
        <v>82.393954080000071</v>
      </c>
      <c r="J29" s="22">
        <f>'Mat_com_%'!J29</f>
        <v>1049.4939540800001</v>
      </c>
      <c r="K29" s="3" t="str">
        <f t="shared" si="1"/>
        <v>true</v>
      </c>
      <c r="L29" s="32"/>
    </row>
    <row r="30" spans="1:12">
      <c r="A30" t="str">
        <f t="shared" si="2"/>
        <v>ICEV-g van/SUV LW</v>
      </c>
      <c r="B30" s="22">
        <f>'Mat_com_%'!$J30*'Mat_com_%'!B30</f>
        <v>431.92315585788134</v>
      </c>
      <c r="C30" s="22">
        <f>'Mat_com_%'!$J30*'Mat_com_%'!C30</f>
        <v>14.789175620936321</v>
      </c>
      <c r="D30" s="22">
        <f>'Mat_com_%'!$J30*'Mat_com_%'!D30</f>
        <v>50.705744986067387</v>
      </c>
      <c r="E30" s="22">
        <f>'Mat_com_%'!$J30*'Mat_com_%'!E30</f>
        <v>319.55183038094549</v>
      </c>
      <c r="F30" s="22">
        <f>'Mat_com_%'!$J30*'Mat_com_%'!F30</f>
        <v>234.64611677146286</v>
      </c>
      <c r="G30" s="22">
        <f>'Mat_com_%'!$J30*'Mat_com_%'!G30</f>
        <v>41.330464012080974</v>
      </c>
      <c r="H30" s="22">
        <f>'Mat_com_%'!$J30*'Mat_com_%'!H30</f>
        <v>184.07241799629671</v>
      </c>
      <c r="I30" s="22">
        <f>'Mat_com_%'!$J30*'Mat_com_%'!I30</f>
        <v>108.79809437432891</v>
      </c>
      <c r="J30" s="22">
        <f>'Mat_com_%'!J30</f>
        <v>1385.817</v>
      </c>
      <c r="K30" s="3" t="str">
        <f t="shared" si="1"/>
        <v>true</v>
      </c>
      <c r="L30" s="32"/>
    </row>
    <row r="31" spans="1:12">
      <c r="A31" t="str">
        <f t="shared" si="2"/>
        <v>ICEV-g LT LW</v>
      </c>
      <c r="B31" s="22">
        <f>'Mat_com_%'!$J31*'Mat_com_%'!B31</f>
        <v>513.74397551689037</v>
      </c>
      <c r="C31" s="22">
        <f>'Mat_com_%'!$J31*'Mat_com_%'!C31</f>
        <v>17.590744499508322</v>
      </c>
      <c r="D31" s="22">
        <f>'Mat_com_%'!$J31*'Mat_com_%'!D31</f>
        <v>60.311123998314251</v>
      </c>
      <c r="E31" s="22">
        <f>'Mat_com_%'!$J31*'Mat_com_%'!E31</f>
        <v>380.08572936437622</v>
      </c>
      <c r="F31" s="22">
        <f>'Mat_com_%'!$J31*'Mat_com_%'!F31</f>
        <v>279.09600871094898</v>
      </c>
      <c r="G31" s="22">
        <f>'Mat_com_%'!$J31*'Mat_com_%'!G31</f>
        <v>49.159848467375937</v>
      </c>
      <c r="H31" s="22">
        <f>'Mat_com_%'!$J31*'Mat_com_%'!H31</f>
        <v>218.94194493138036</v>
      </c>
      <c r="I31" s="22">
        <f>'Mat_com_%'!$J31*'Mat_com_%'!I31</f>
        <v>129.40812451120559</v>
      </c>
      <c r="J31" s="22">
        <f>'Mat_com_%'!J31</f>
        <v>1648.3375000000001</v>
      </c>
      <c r="K31" s="3" t="str">
        <f t="shared" si="1"/>
        <v>true</v>
      </c>
      <c r="L31" s="32"/>
    </row>
    <row r="32" spans="1:12">
      <c r="A32" t="str">
        <f t="shared" si="2"/>
        <v>ICEV-d micro LW</v>
      </c>
      <c r="B32" s="22">
        <f>'Mat_com_%'!$J32*'Mat_com_%'!B32</f>
        <v>187.28632853947516</v>
      </c>
      <c r="C32" s="22">
        <f>'Mat_com_%'!$J32*'Mat_com_%'!C32</f>
        <v>6.3745045557110531</v>
      </c>
      <c r="D32" s="22">
        <f>'Mat_com_%'!$J32*'Mat_com_%'!D32</f>
        <v>22.000502448914254</v>
      </c>
      <c r="E32" s="22">
        <f>'Mat_com_%'!$J32*'Mat_com_%'!E32</f>
        <v>138.60316542815977</v>
      </c>
      <c r="F32" s="22">
        <f>'Mat_com_%'!$J32*'Mat_com_%'!F32</f>
        <v>101.7664267124136</v>
      </c>
      <c r="G32" s="22">
        <f>'Mat_com_%'!$J32*'Mat_com_%'!G32</f>
        <v>17.938871227576236</v>
      </c>
      <c r="H32" s="22">
        <f>'Mat_com_%'!$J32*'Mat_com_%'!H32</f>
        <v>79.822335808240169</v>
      </c>
      <c r="I32" s="22">
        <f>'Mat_com_%'!$J32*'Mat_com_%'!I32</f>
        <v>46.914635279509795</v>
      </c>
      <c r="J32" s="22">
        <f>'Mat_com_%'!J32</f>
        <v>600.70677000000001</v>
      </c>
      <c r="K32" s="3" t="str">
        <f t="shared" si="1"/>
        <v>true</v>
      </c>
      <c r="L32" s="32"/>
    </row>
    <row r="33" spans="1:12">
      <c r="A33" t="str">
        <f t="shared" si="2"/>
        <v>ICEV-d PC LW</v>
      </c>
      <c r="B33" s="22">
        <v>332</v>
      </c>
      <c r="C33" s="22">
        <v>11.3</v>
      </c>
      <c r="D33" s="22">
        <v>39</v>
      </c>
      <c r="E33" s="22">
        <v>245.7</v>
      </c>
      <c r="F33" s="22">
        <v>180.4</v>
      </c>
      <c r="G33" s="22">
        <v>31.8</v>
      </c>
      <c r="H33" s="22">
        <v>141.5</v>
      </c>
      <c r="I33" s="3">
        <f>J33-SUM(B33:H33)</f>
        <v>83.16495408000003</v>
      </c>
      <c r="J33" s="22">
        <f>'Mat_com_%'!J33</f>
        <v>1064.86495408</v>
      </c>
      <c r="K33" s="3" t="str">
        <f t="shared" si="1"/>
        <v>true</v>
      </c>
      <c r="L33" s="32"/>
    </row>
    <row r="34" spans="1:12">
      <c r="A34" t="str">
        <f t="shared" si="2"/>
        <v>ICEV-d van/SUV LW</v>
      </c>
      <c r="B34" s="22">
        <f>'Mat_com_%'!$J34*'Mat_com_%'!B34</f>
        <v>437.79090467182073</v>
      </c>
      <c r="C34" s="22">
        <f>'Mat_com_%'!$J34*'Mat_com_%'!C34</f>
        <v>14.900714526480646</v>
      </c>
      <c r="D34" s="22">
        <f>'Mat_com_%'!$J34*'Mat_com_%'!D34</f>
        <v>51.427244825906655</v>
      </c>
      <c r="E34" s="22">
        <f>'Mat_com_%'!$J34*'Mat_com_%'!E34</f>
        <v>323.99164240321187</v>
      </c>
      <c r="F34" s="22">
        <f>'Mat_com_%'!$J34*'Mat_com_%'!F34</f>
        <v>237.88397350239896</v>
      </c>
      <c r="G34" s="22">
        <f>'Mat_com_%'!$J34*'Mat_com_%'!G34</f>
        <v>41.93298424266235</v>
      </c>
      <c r="H34" s="22">
        <f>'Mat_com_%'!$J34*'Mat_com_%'!H34</f>
        <v>186.58859340681516</v>
      </c>
      <c r="I34" s="22">
        <f>'Mat_com_%'!$J34*'Mat_com_%'!I34</f>
        <v>109.66524242070373</v>
      </c>
      <c r="J34" s="22">
        <f>'Mat_com_%'!J34</f>
        <v>1404.1813</v>
      </c>
      <c r="K34" s="3" t="str">
        <f t="shared" si="1"/>
        <v>true</v>
      </c>
      <c r="L34" s="32"/>
    </row>
    <row r="35" spans="1:12">
      <c r="A35" t="str">
        <f t="shared" si="2"/>
        <v>ICEV-d LT LW</v>
      </c>
      <c r="B35" s="22">
        <f>'Mat_com_%'!$J35*'Mat_com_%'!B35</f>
        <v>522.23660086593588</v>
      </c>
      <c r="C35" s="22">
        <f>'Mat_com_%'!$J35*'Mat_com_%'!C35</f>
        <v>17.774920451159868</v>
      </c>
      <c r="D35" s="22">
        <f>'Mat_com_%'!$J35*'Mat_com_%'!D35</f>
        <v>61.347070583649099</v>
      </c>
      <c r="E35" s="22">
        <f>'Mat_com_%'!$J35*'Mat_com_%'!E35</f>
        <v>386.48654467698924</v>
      </c>
      <c r="F35" s="22">
        <f>'Mat_com_%'!$J35*'Mat_com_%'!F35</f>
        <v>283.76952649462299</v>
      </c>
      <c r="G35" s="22">
        <f>'Mat_com_%'!$J35*'Mat_com_%'!G35</f>
        <v>50.021457552821573</v>
      </c>
      <c r="H35" s="22">
        <f>'Mat_com_%'!$J35*'Mat_com_%'!H35</f>
        <v>222.57975609195762</v>
      </c>
      <c r="I35" s="22">
        <f>'Mat_com_%'!$J35*'Mat_com_%'!I35</f>
        <v>130.81862328286405</v>
      </c>
      <c r="J35" s="22">
        <f>'Mat_com_%'!J35</f>
        <v>1675.0345000000002</v>
      </c>
      <c r="K35" s="3" t="str">
        <f t="shared" si="1"/>
        <v>true</v>
      </c>
      <c r="L35" s="32"/>
    </row>
    <row r="36" spans="1:12">
      <c r="A36" t="str">
        <f t="shared" si="2"/>
        <v>HEV micro LW</v>
      </c>
      <c r="B36" s="22">
        <f>'Mat_com_%'!$J36*'Mat_com_%'!B36</f>
        <v>210.56305873365091</v>
      </c>
      <c r="C36" s="22">
        <f>'Mat_com_%'!$J36*'Mat_com_%'!C36</f>
        <v>5.2182021636062723</v>
      </c>
      <c r="D36" s="22">
        <f>'Mat_com_%'!$J36*'Mat_com_%'!D36</f>
        <v>23.79729558128135</v>
      </c>
      <c r="E36" s="22">
        <f>'Mat_com_%'!$J36*'Mat_com_%'!E36</f>
        <v>134.12499846895682</v>
      </c>
      <c r="F36" s="22">
        <f>'Mat_com_%'!$J36*'Mat_com_%'!F36</f>
        <v>104.01998598661294</v>
      </c>
      <c r="G36" s="22">
        <f>'Mat_com_%'!$J36*'Mat_com_%'!G36</f>
        <v>28.728783340293877</v>
      </c>
      <c r="H36" s="22">
        <f>'Mat_com_%'!$J36*'Mat_com_%'!H36</f>
        <v>76.036660098262828</v>
      </c>
      <c r="I36" s="22">
        <f>'Mat_com_%'!$J36*'Mat_com_%'!I36</f>
        <v>44.846166147335026</v>
      </c>
      <c r="J36" s="22">
        <f>'Mat_com_%'!J36</f>
        <v>627.33515052000007</v>
      </c>
      <c r="K36" s="3" t="str">
        <f t="shared" ref="K36:K67" si="3">IF(SUM(B36:I36)=J36,"true","false")</f>
        <v>true</v>
      </c>
      <c r="L36" s="32"/>
    </row>
    <row r="37" spans="1:12">
      <c r="A37" t="str">
        <f t="shared" si="2"/>
        <v>HEV PC LW</v>
      </c>
      <c r="B37" s="22">
        <v>367.2</v>
      </c>
      <c r="C37" s="22">
        <v>9.1</v>
      </c>
      <c r="D37" s="22">
        <v>41.5</v>
      </c>
      <c r="E37" s="22">
        <v>233.9</v>
      </c>
      <c r="F37" s="22">
        <v>181.4</v>
      </c>
      <c r="G37" s="22">
        <v>50.1</v>
      </c>
      <c r="H37" s="22">
        <v>132.6</v>
      </c>
      <c r="I37" s="3">
        <f>J37-SUM(B37:H37)</f>
        <v>78.207033600000045</v>
      </c>
      <c r="J37" s="22">
        <f>'Mat_com_%'!J37</f>
        <v>1094.0070336000001</v>
      </c>
      <c r="K37" s="3" t="str">
        <f t="shared" si="3"/>
        <v>true</v>
      </c>
      <c r="L37" s="32"/>
    </row>
    <row r="38" spans="1:12">
      <c r="A38" t="str">
        <f t="shared" si="2"/>
        <v>HEV van/SUV LW</v>
      </c>
      <c r="B38" s="22">
        <f>$J38*'Mat_com_%'!B36</f>
        <v>480.69396919285026</v>
      </c>
      <c r="C38" s="22">
        <f>$J38*'Mat_com_%'!C36</f>
        <v>11.912622874877281</v>
      </c>
      <c r="D38" s="22">
        <f>$J38*'Mat_com_%'!D36</f>
        <v>54.326796627187598</v>
      </c>
      <c r="E38" s="22">
        <f>$J38*'Mat_com_%'!E36</f>
        <v>306.19368026745013</v>
      </c>
      <c r="F38" s="22">
        <f>$J38*'Mat_com_%'!F36</f>
        <v>237.4670098354658</v>
      </c>
      <c r="G38" s="22">
        <f>$J38*'Mat_com_%'!G36</f>
        <v>65.584879783665031</v>
      </c>
      <c r="H38" s="22">
        <f>$J38*'Mat_com_%'!H36</f>
        <v>173.58393331964038</v>
      </c>
      <c r="I38" s="22">
        <f>$J38*'Mat_com_%'!I36</f>
        <v>102.37921949886338</v>
      </c>
      <c r="J38" s="22">
        <f>'Mat_com_%'!J38</f>
        <v>1432.1421114</v>
      </c>
      <c r="K38" s="3" t="str">
        <f t="shared" si="3"/>
        <v>true</v>
      </c>
      <c r="L38" s="32"/>
    </row>
    <row r="39" spans="1:12">
      <c r="A39" t="str">
        <f t="shared" si="2"/>
        <v>HEV LT LW</v>
      </c>
      <c r="B39" s="22">
        <f>$J39*'Mat_com_%'!B37</f>
        <v>578.574926631989</v>
      </c>
      <c r="C39" s="22">
        <f>$J39*'Mat_com_%'!C37</f>
        <v>14.33832198352696</v>
      </c>
      <c r="D39" s="22">
        <f>$J39*'Mat_com_%'!D37</f>
        <v>65.389050803996568</v>
      </c>
      <c r="E39" s="22">
        <f>$J39*'Mat_com_%'!E37</f>
        <v>368.5421441699952</v>
      </c>
      <c r="F39" s="22">
        <f>$J39*'Mat_com_%'!F37</f>
        <v>285.82105580349344</v>
      </c>
      <c r="G39" s="22">
        <f>$J39*'Mat_com_%'!G37</f>
        <v>78.939552898318766</v>
      </c>
      <c r="H39" s="22">
        <f>$J39*'Mat_com_%'!H37</f>
        <v>208.92983461710713</v>
      </c>
      <c r="I39" s="22">
        <f>$J39*'Mat_com_%'!I37</f>
        <v>123.22611309157278</v>
      </c>
      <c r="J39" s="22">
        <f>'Mat_com_%'!J39</f>
        <v>1723.761</v>
      </c>
      <c r="K39" s="3" t="str">
        <f t="shared" si="3"/>
        <v>true</v>
      </c>
      <c r="L39" s="32"/>
    </row>
    <row r="40" spans="1:12">
      <c r="A40" t="str">
        <f t="shared" si="2"/>
        <v>PHEV micro LW</v>
      </c>
      <c r="B40" s="22">
        <f>$J40*'Mat_com_%'!B42</f>
        <v>201.62018116801625</v>
      </c>
      <c r="C40" s="22">
        <f>$J40*'Mat_com_%'!C42</f>
        <v>4.7494555747708498</v>
      </c>
      <c r="D40" s="22">
        <f>$J40*'Mat_com_%'!D42</f>
        <v>21.256709706596368</v>
      </c>
      <c r="E40" s="22">
        <f>$J40*'Mat_com_%'!E42</f>
        <v>130.66794849613461</v>
      </c>
      <c r="F40" s="22">
        <f>$J40*'Mat_com_%'!F42</f>
        <v>104.77762359463986</v>
      </c>
      <c r="G40" s="22">
        <f>$J40*'Mat_com_%'!G42</f>
        <v>35.736757190653833</v>
      </c>
      <c r="H40" s="22">
        <f>$J40*'Mat_com_%'!H42</f>
        <v>69.909669253029463</v>
      </c>
      <c r="I40" s="22">
        <f>$J40*'Mat_com_%'!I42</f>
        <v>78.979795722825415</v>
      </c>
      <c r="J40" s="22">
        <f>'Mat_com_%'!J40</f>
        <v>647.69814070666666</v>
      </c>
      <c r="K40" s="3" t="str">
        <f t="shared" si="3"/>
        <v>true</v>
      </c>
      <c r="L40" s="32"/>
    </row>
    <row r="41" spans="1:12">
      <c r="A41" t="str">
        <f t="shared" si="2"/>
        <v>PHEV PC LW</v>
      </c>
      <c r="B41" s="22">
        <v>348.1</v>
      </c>
      <c r="C41" s="22">
        <v>8.1999999999999993</v>
      </c>
      <c r="D41" s="22">
        <v>36.700000000000003</v>
      </c>
      <c r="E41" s="22">
        <v>225.6</v>
      </c>
      <c r="F41" s="22">
        <v>180.9</v>
      </c>
      <c r="G41" s="22">
        <v>61.7</v>
      </c>
      <c r="H41" s="22">
        <v>120.7</v>
      </c>
      <c r="I41" s="3">
        <f>J41-SUM(B41:H41)</f>
        <v>136.35969738666631</v>
      </c>
      <c r="J41" s="22">
        <f>'Mat_com_%'!J41</f>
        <v>1118.2596973866664</v>
      </c>
      <c r="K41" s="3" t="str">
        <f t="shared" si="3"/>
        <v>true</v>
      </c>
      <c r="L41" s="32"/>
    </row>
    <row r="42" spans="1:12">
      <c r="A42" t="str">
        <f t="shared" si="2"/>
        <v>PHEV van/SUV LW</v>
      </c>
      <c r="B42" s="22">
        <f>'Mat_com_%'!$J42*'Mat_com_%'!B42</f>
        <v>453.92291748636922</v>
      </c>
      <c r="C42" s="22">
        <f>'Mat_com_%'!$J42*'Mat_com_%'!C42</f>
        <v>10.692812190141415</v>
      </c>
      <c r="D42" s="22">
        <f>'Mat_com_%'!$J42*'Mat_com_%'!D42</f>
        <v>47.85685455831586</v>
      </c>
      <c r="E42" s="22">
        <f>'Mat_com_%'!$J42*'Mat_com_%'!E42</f>
        <v>294.18273537754919</v>
      </c>
      <c r="F42" s="22">
        <f>'Mat_com_%'!$J42*'Mat_com_%'!F42</f>
        <v>235.89386892641247</v>
      </c>
      <c r="G42" s="22">
        <f>'Mat_com_%'!$J42*'Mat_com_%'!G42</f>
        <v>80.456891723381148</v>
      </c>
      <c r="H42" s="22">
        <f>'Mat_com_%'!$J42*'Mat_com_%'!H42</f>
        <v>157.39297943293525</v>
      </c>
      <c r="I42" s="22">
        <f>'Mat_com_%'!$J42*'Mat_com_%'!I42</f>
        <v>177.81324810489514</v>
      </c>
      <c r="J42" s="22">
        <f>'Mat_com_%'!J42</f>
        <v>1458.2123077999997</v>
      </c>
      <c r="K42" s="3" t="str">
        <f t="shared" si="3"/>
        <v>true</v>
      </c>
      <c r="L42" s="32"/>
    </row>
    <row r="43" spans="1:12">
      <c r="A43" t="str">
        <f t="shared" si="2"/>
        <v>PHEV LT LW</v>
      </c>
      <c r="B43" s="22">
        <f>'Mat_com_%'!$J43*'Mat_com_%'!B43</f>
        <v>547.90750207535132</v>
      </c>
      <c r="C43" s="22">
        <f>'Mat_com_%'!$J43*'Mat_com_%'!C43</f>
        <v>12.906755291634244</v>
      </c>
      <c r="D43" s="22">
        <f>'Mat_com_%'!$J43*'Mat_com_%'!D43</f>
        <v>57.765599902802052</v>
      </c>
      <c r="E43" s="22">
        <f>'Mat_com_%'!$J43*'Mat_com_%'!E43</f>
        <v>355.0931699747178</v>
      </c>
      <c r="F43" s="22">
        <f>'Mat_com_%'!$J43*'Mat_com_%'!F43</f>
        <v>284.73561368983354</v>
      </c>
      <c r="G43" s="22">
        <f>'Mat_com_%'!$J43*'Mat_com_%'!G43</f>
        <v>97.115463596808894</v>
      </c>
      <c r="H43" s="22">
        <f>'Mat_com_%'!$J43*'Mat_com_%'!H43</f>
        <v>189.98114191466505</v>
      </c>
      <c r="I43" s="22">
        <f>'Mat_com_%'!$J43*'Mat_com_%'!I43</f>
        <v>214.6294202208536</v>
      </c>
      <c r="J43" s="22">
        <f>'Mat_com_%'!J43</f>
        <v>1760.1346666666666</v>
      </c>
      <c r="K43" s="3" t="str">
        <f t="shared" si="3"/>
        <v>true</v>
      </c>
      <c r="L43" s="32"/>
    </row>
    <row r="44" spans="1:12">
      <c r="A44" t="str">
        <f t="shared" si="2"/>
        <v>BEV micro LW</v>
      </c>
      <c r="B44" s="22">
        <f>'Mat_com_%'!$J44*'Mat_com_%'!B44</f>
        <v>151.31335939188332</v>
      </c>
      <c r="C44" s="22">
        <f>'Mat_com_%'!$J44*'Mat_com_%'!C44</f>
        <v>0</v>
      </c>
      <c r="D44" s="22">
        <f>'Mat_com_%'!$J44*'Mat_com_%'!D44</f>
        <v>21.267967147711346</v>
      </c>
      <c r="E44" s="22">
        <f>'Mat_com_%'!$J44*'Mat_com_%'!E44</f>
        <v>198.78541213706131</v>
      </c>
      <c r="F44" s="22">
        <f>'Mat_com_%'!$J44*'Mat_com_%'!F44</f>
        <v>135.28620936366531</v>
      </c>
      <c r="G44" s="22">
        <f>'Mat_com_%'!$J44*'Mat_com_%'!G44</f>
        <v>61.731950488915736</v>
      </c>
      <c r="H44" s="22">
        <f>'Mat_com_%'!$J44*'Mat_com_%'!H44</f>
        <v>104.57258345407641</v>
      </c>
      <c r="I44" s="22">
        <f>'Mat_com_%'!$J44*'Mat_com_%'!I44</f>
        <v>118.22552722268664</v>
      </c>
      <c r="J44" s="22">
        <f>'Mat_com_%'!J44</f>
        <v>791.18300920600007</v>
      </c>
      <c r="K44" s="3" t="str">
        <f t="shared" si="3"/>
        <v>true</v>
      </c>
      <c r="L44" s="32"/>
    </row>
    <row r="45" spans="1:12">
      <c r="A45" t="str">
        <f t="shared" si="2"/>
        <v>BEV PC LW</v>
      </c>
      <c r="B45" s="22">
        <v>248.3</v>
      </c>
      <c r="C45" s="22">
        <v>0</v>
      </c>
      <c r="D45" s="22">
        <v>34.9</v>
      </c>
      <c r="E45" s="22">
        <v>326.2</v>
      </c>
      <c r="F45" s="22">
        <v>222</v>
      </c>
      <c r="G45" s="22">
        <v>101.3</v>
      </c>
      <c r="H45" s="22">
        <v>171.6</v>
      </c>
      <c r="I45" s="3">
        <f>J45-SUM(B45:H45)</f>
        <v>194.00400947656021</v>
      </c>
      <c r="J45" s="22">
        <f>'Mat_com_%'!J45</f>
        <v>1298.3040094765602</v>
      </c>
      <c r="K45" s="3" t="str">
        <f t="shared" si="3"/>
        <v>true</v>
      </c>
      <c r="L45" s="32"/>
    </row>
    <row r="46" spans="1:12">
      <c r="A46" t="str">
        <f t="shared" si="2"/>
        <v>BEV van/SUV LW</v>
      </c>
      <c r="B46" s="22">
        <f>'Mat_com_%'!$J46*'Mat_com_%'!B46</f>
        <v>317.08280978852008</v>
      </c>
      <c r="C46" s="22">
        <f>'Mat_com_%'!$J46*'Mat_com_%'!C46</f>
        <v>0</v>
      </c>
      <c r="D46" s="22">
        <f>'Mat_com_%'!$J46*'Mat_com_%'!D46</f>
        <v>44.567821432216469</v>
      </c>
      <c r="E46" s="22">
        <f>'Mat_com_%'!$J46*'Mat_com_%'!E46</f>
        <v>416.56227367303757</v>
      </c>
      <c r="F46" s="22">
        <f>'Mat_com_%'!$J46*'Mat_com_%'!F46</f>
        <v>283.49731684676385</v>
      </c>
      <c r="G46" s="22">
        <f>'Mat_com_%'!$J46*'Mat_com_%'!G46</f>
        <v>129.36161349809535</v>
      </c>
      <c r="H46" s="22">
        <f>'Mat_com_%'!$J46*'Mat_com_%'!H46</f>
        <v>219.1357638329039</v>
      </c>
      <c r="I46" s="22">
        <f>'Mat_com_%'!$J46*'Mat_com_%'!I46</f>
        <v>247.74601866720252</v>
      </c>
      <c r="J46" s="22">
        <f>'Mat_com_%'!J46</f>
        <v>1657.9536177387397</v>
      </c>
      <c r="K46" s="3" t="str">
        <f t="shared" si="3"/>
        <v>true</v>
      </c>
      <c r="L46" s="32"/>
    </row>
    <row r="47" spans="1:12">
      <c r="A47" t="str">
        <f t="shared" ref="A47" si="4">A23&amp;" LW"</f>
        <v>BEV LT LW</v>
      </c>
      <c r="B47" s="22">
        <f>'Mat_com_%'!$J47*'Mat_com_%'!B47</f>
        <v>383.76639691799045</v>
      </c>
      <c r="C47" s="22">
        <f>'Mat_com_%'!$J47*'Mat_com_%'!C47</f>
        <v>0</v>
      </c>
      <c r="D47" s="22">
        <f>'Mat_com_%'!$J47*'Mat_com_%'!D47</f>
        <v>53.940584987667599</v>
      </c>
      <c r="E47" s="22">
        <f>'Mat_com_%'!$J47*'Mat_com_%'!E47</f>
        <v>504.16672845206784</v>
      </c>
      <c r="F47" s="22">
        <f>'Mat_com_%'!$J47*'Mat_com_%'!F47</f>
        <v>343.11776123960482</v>
      </c>
      <c r="G47" s="22">
        <f>'Mat_com_%'!$J47*'Mat_com_%'!G47</f>
        <v>156.56679825933315</v>
      </c>
      <c r="H47" s="22">
        <f>'Mat_com_%'!$J47*'Mat_com_%'!H47</f>
        <v>265.22075598520803</v>
      </c>
      <c r="I47" s="22">
        <f>'Mat_com_%'!$J47*'Mat_com_%'!I47</f>
        <v>299.847844158128</v>
      </c>
      <c r="J47" s="22">
        <f>'Mat_com_%'!J47</f>
        <v>2006.6268699999998</v>
      </c>
      <c r="K47" s="3" t="str">
        <f t="shared" si="3"/>
        <v>true</v>
      </c>
      <c r="L47" s="32"/>
    </row>
    <row r="48" spans="1:12">
      <c r="A48" t="str">
        <f>A24&amp;" LW"</f>
        <v>HFCEV micro LW</v>
      </c>
      <c r="B48" s="22">
        <f>'Mat_com_%'!$J48*'Mat_com_%'!B48</f>
        <v>126.49782157495747</v>
      </c>
      <c r="C48" s="22">
        <f>'Mat_com_%'!$J48*'Mat_com_%'!C48</f>
        <v>10.256580127699255</v>
      </c>
      <c r="D48" s="22">
        <f>'Mat_com_%'!$J48*'Mat_com_%'!D48</f>
        <v>19.392222536524272</v>
      </c>
      <c r="E48" s="22">
        <f>'Mat_com_%'!$J48*'Mat_com_%'!E48</f>
        <v>172.8485962504071</v>
      </c>
      <c r="F48" s="22">
        <f>'Mat_com_%'!$J48*'Mat_com_%'!F48</f>
        <v>102.7339419348237</v>
      </c>
      <c r="G48" s="22">
        <f>'Mat_com_%'!$J48*'Mat_com_%'!G48</f>
        <v>27.350880340531347</v>
      </c>
      <c r="H48" s="22">
        <f>'Mat_com_%'!$J48*'Mat_com_%'!H48</f>
        <v>81.940547249706611</v>
      </c>
      <c r="I48" s="22">
        <f>'Mat_com_%'!$J48*'Mat_com_%'!I48</f>
        <v>31.033993785350173</v>
      </c>
      <c r="J48" s="22">
        <f>'Mat_com_%'!J48</f>
        <v>572.05458379999993</v>
      </c>
      <c r="K48" s="3" t="str">
        <f t="shared" si="3"/>
        <v>true</v>
      </c>
      <c r="L48" s="32"/>
    </row>
    <row r="49" spans="1:12">
      <c r="A49" t="str">
        <f>A25&amp;" LW"</f>
        <v>HFCEV PC LW</v>
      </c>
      <c r="B49" s="22">
        <v>225.7</v>
      </c>
      <c r="C49" s="22">
        <v>18.3</v>
      </c>
      <c r="D49" s="22">
        <v>34.6</v>
      </c>
      <c r="E49" s="22">
        <v>308.39999999999998</v>
      </c>
      <c r="F49" s="22">
        <v>183.3</v>
      </c>
      <c r="G49" s="22">
        <v>48.8</v>
      </c>
      <c r="H49" s="22">
        <v>146.19999999999999</v>
      </c>
      <c r="I49" s="3">
        <f>J49-SUM(B49:H49)</f>
        <v>55.371486323999875</v>
      </c>
      <c r="J49" s="22">
        <f>'Mat_com_%'!J49</f>
        <v>1020.6714863239998</v>
      </c>
      <c r="K49" s="3" t="str">
        <f t="shared" si="3"/>
        <v>true</v>
      </c>
      <c r="L49" s="32"/>
    </row>
    <row r="50" spans="1:12">
      <c r="A50" t="str">
        <f>A26&amp;" LW"</f>
        <v>HFCEV van/SUV LW</v>
      </c>
      <c r="B50" s="22">
        <f>$J50*'Mat_com_%'!B48</f>
        <v>296.44340446251312</v>
      </c>
      <c r="C50" s="22">
        <f>$J50*'Mat_com_%'!C48</f>
        <v>24.03595171317674</v>
      </c>
      <c r="D50" s="22">
        <f>$J50*'Mat_com_%'!D48</f>
        <v>45.445023457700287</v>
      </c>
      <c r="E50" s="22">
        <f>$J50*'Mat_com_%'!E48</f>
        <v>405.06489116632275</v>
      </c>
      <c r="F50" s="22">
        <f>$J50*'Mat_com_%'!F48</f>
        <v>240.75354912706544</v>
      </c>
      <c r="G50" s="22">
        <f>$J50*'Mat_com_%'!G48</f>
        <v>64.095871235137977</v>
      </c>
      <c r="H50" s="22">
        <f>$J50*'Mat_com_%'!H48</f>
        <v>192.02492570854861</v>
      </c>
      <c r="I50" s="22">
        <f>$J50*'Mat_com_%'!I48</f>
        <v>72.727124129534829</v>
      </c>
      <c r="J50" s="22">
        <f>'Mat_com_%'!J50</f>
        <v>1340.5907409999998</v>
      </c>
      <c r="K50" s="3" t="str">
        <f t="shared" si="3"/>
        <v>true</v>
      </c>
      <c r="L50" s="32"/>
    </row>
    <row r="51" spans="1:12">
      <c r="A51" t="str">
        <f>A27&amp;" LW"</f>
        <v>HFCEV LT LW</v>
      </c>
      <c r="B51" s="22">
        <f>$J51*'Mat_com_%'!B49</f>
        <v>363.24861409159365</v>
      </c>
      <c r="C51" s="22">
        <f>$J51*'Mat_com_%'!C49</f>
        <v>29.452590331750841</v>
      </c>
      <c r="D51" s="22">
        <f>$J51*'Mat_com_%'!D49</f>
        <v>55.686318332162791</v>
      </c>
      <c r="E51" s="22">
        <f>$J51*'Mat_com_%'!E49</f>
        <v>496.34857149245676</v>
      </c>
      <c r="F51" s="22">
        <f>$J51*'Mat_com_%'!F49</f>
        <v>295.0087326672093</v>
      </c>
      <c r="G51" s="22">
        <f>$J51*'Mat_com_%'!G49</f>
        <v>78.540240884668904</v>
      </c>
      <c r="H51" s="22">
        <f>$J51*'Mat_com_%'!H49</f>
        <v>235.29883642087282</v>
      </c>
      <c r="I51" s="22">
        <f>$J51*'Mat_com_%'!I49</f>
        <v>89.116595779284836</v>
      </c>
      <c r="J51" s="22">
        <f>'Mat_com_%'!J51</f>
        <v>1642.7004999999999</v>
      </c>
      <c r="K51" s="3" t="str">
        <f t="shared" si="3"/>
        <v>true</v>
      </c>
      <c r="L51" s="32"/>
    </row>
    <row r="52" spans="1:12">
      <c r="A52" s="10" t="str">
        <f>Mat_com!A4&amp;" REC"</f>
        <v>ICEV-g micro REC</v>
      </c>
      <c r="B52" s="8"/>
      <c r="C52" s="8"/>
      <c r="D52" s="8"/>
      <c r="E52" s="8"/>
      <c r="F52" s="8"/>
      <c r="G52" s="8"/>
      <c r="H52" s="8"/>
      <c r="I52" s="8"/>
      <c r="J52" s="8"/>
      <c r="K52" s="3"/>
    </row>
    <row r="53" spans="1:12">
      <c r="A53" s="10" t="str">
        <f>Mat_com!A5&amp;" REC"</f>
        <v>ICEV-g PC REC</v>
      </c>
      <c r="B53" s="8"/>
      <c r="C53" s="8"/>
      <c r="D53" s="8"/>
      <c r="E53" s="8"/>
      <c r="F53" s="8"/>
      <c r="G53" s="8"/>
      <c r="H53" s="8"/>
      <c r="I53" s="8"/>
      <c r="J53" s="8"/>
      <c r="K53" s="3"/>
    </row>
    <row r="54" spans="1:12">
      <c r="A54" s="10" t="str">
        <f>Mat_com!A6&amp;" REC"</f>
        <v>ICEV-g van/SUV REC</v>
      </c>
      <c r="B54" s="8"/>
      <c r="C54" s="8"/>
      <c r="D54" s="8"/>
      <c r="E54" s="8"/>
      <c r="F54" s="8"/>
      <c r="G54" s="8"/>
      <c r="H54" s="8"/>
      <c r="I54" s="8"/>
      <c r="J54" s="8"/>
      <c r="K54" s="3"/>
    </row>
    <row r="55" spans="1:12">
      <c r="A55" s="10" t="str">
        <f>Mat_com!A7&amp;" REC"</f>
        <v>ICEV-g LT REC</v>
      </c>
      <c r="B55" s="8"/>
      <c r="C55" s="8"/>
      <c r="D55" s="8"/>
      <c r="E55" s="8"/>
      <c r="F55" s="8"/>
      <c r="G55" s="8"/>
      <c r="H55" s="8"/>
      <c r="I55" s="8"/>
      <c r="J55" s="8"/>
      <c r="K55" s="3"/>
    </row>
    <row r="56" spans="1:12">
      <c r="A56" s="10" t="str">
        <f>Mat_com!A8&amp;" REC"</f>
        <v>ICEV-d micro REC</v>
      </c>
      <c r="B56" s="8"/>
      <c r="C56" s="8"/>
      <c r="D56" s="8"/>
      <c r="E56" s="8"/>
      <c r="F56" s="8"/>
      <c r="G56" s="8"/>
      <c r="H56" s="8"/>
      <c r="I56" s="8"/>
      <c r="J56" s="8"/>
      <c r="K56" s="3"/>
    </row>
    <row r="57" spans="1:12">
      <c r="A57" s="10" t="str">
        <f>Mat_com!A9&amp;" REC"</f>
        <v>ICEV-d PC REC</v>
      </c>
      <c r="B57" s="8"/>
      <c r="C57" s="8"/>
      <c r="D57" s="8"/>
      <c r="E57" s="8"/>
      <c r="F57" s="8"/>
      <c r="G57" s="8"/>
      <c r="H57" s="8"/>
      <c r="I57" s="8"/>
      <c r="J57" s="8"/>
      <c r="K57" s="3"/>
    </row>
    <row r="58" spans="1:12">
      <c r="A58" s="10" t="str">
        <f>Mat_com!A10&amp;" REC"</f>
        <v>ICEV-d van/SUV REC</v>
      </c>
      <c r="B58" s="8"/>
      <c r="C58" s="8"/>
      <c r="D58" s="8"/>
      <c r="E58" s="8"/>
      <c r="F58" s="8"/>
      <c r="G58" s="8"/>
      <c r="H58" s="8"/>
      <c r="I58" s="8"/>
      <c r="J58" s="8"/>
      <c r="K58" s="3"/>
    </row>
    <row r="59" spans="1:12">
      <c r="A59" s="10" t="str">
        <f>Mat_com!A11&amp;" REC"</f>
        <v>ICEV-d LT REC</v>
      </c>
      <c r="B59" s="8"/>
      <c r="C59" s="8"/>
      <c r="D59" s="8"/>
      <c r="E59" s="8"/>
      <c r="F59" s="8"/>
      <c r="G59" s="8"/>
      <c r="H59" s="8"/>
      <c r="I59" s="8"/>
      <c r="J59" s="8"/>
      <c r="K59" s="3"/>
    </row>
    <row r="60" spans="1:12">
      <c r="A60" s="10" t="str">
        <f>Mat_com!A12&amp;" REC"</f>
        <v>HEV micro REC</v>
      </c>
      <c r="B60" s="8"/>
      <c r="C60" s="8"/>
      <c r="D60" s="8"/>
      <c r="E60" s="8"/>
      <c r="F60" s="8"/>
      <c r="G60" s="8"/>
      <c r="H60" s="8"/>
      <c r="I60" s="8"/>
      <c r="J60" s="8"/>
      <c r="K60" s="3"/>
    </row>
    <row r="61" spans="1:12">
      <c r="A61" s="10" t="str">
        <f>Mat_com!A13&amp;" REC"</f>
        <v>HEV PC REC</v>
      </c>
      <c r="B61" s="8"/>
      <c r="C61" s="8"/>
      <c r="D61" s="8"/>
      <c r="E61" s="8"/>
      <c r="F61" s="8"/>
      <c r="G61" s="8"/>
      <c r="H61" s="8"/>
      <c r="I61" s="8"/>
      <c r="J61" s="8"/>
      <c r="K61" s="3"/>
    </row>
    <row r="62" spans="1:12">
      <c r="A62" s="10" t="str">
        <f>Mat_com!A14&amp;" REC"</f>
        <v>HEV van/SUV REC</v>
      </c>
      <c r="B62" s="8"/>
      <c r="C62" s="8"/>
      <c r="D62" s="8"/>
      <c r="E62" s="8"/>
      <c r="F62" s="8"/>
      <c r="G62" s="8"/>
      <c r="H62" s="8"/>
      <c r="I62" s="8"/>
      <c r="J62" s="8"/>
      <c r="K62" s="3"/>
    </row>
    <row r="63" spans="1:12">
      <c r="A63" s="10" t="str">
        <f>Mat_com!A15&amp;" REC"</f>
        <v>HEV LT REC</v>
      </c>
      <c r="B63" s="8"/>
      <c r="C63" s="8"/>
      <c r="D63" s="8"/>
      <c r="E63" s="8"/>
      <c r="F63" s="8"/>
      <c r="G63" s="8"/>
      <c r="H63" s="8"/>
      <c r="I63" s="8"/>
      <c r="J63" s="8"/>
      <c r="K63" s="3"/>
    </row>
    <row r="64" spans="1:12">
      <c r="A64" s="10" t="str">
        <f>Mat_com!A16&amp;" REC"</f>
        <v>PHEV micro REC</v>
      </c>
      <c r="B64" s="8"/>
      <c r="C64" s="8"/>
      <c r="D64" s="8"/>
      <c r="E64" s="8"/>
      <c r="F64" s="8"/>
      <c r="G64" s="8"/>
      <c r="H64" s="8"/>
      <c r="I64" s="8"/>
      <c r="J64" s="8"/>
      <c r="K64" s="3"/>
    </row>
    <row r="65" spans="1:11">
      <c r="A65" s="10" t="str">
        <f>Mat_com!A17&amp;" REC"</f>
        <v>PHEV PC REC</v>
      </c>
      <c r="B65" s="8"/>
      <c r="C65" s="8"/>
      <c r="D65" s="8"/>
      <c r="E65" s="8"/>
      <c r="F65" s="8"/>
      <c r="G65" s="8"/>
      <c r="H65" s="8"/>
      <c r="I65" s="8"/>
      <c r="J65" s="8"/>
      <c r="K65" s="3"/>
    </row>
    <row r="66" spans="1:11">
      <c r="A66" s="10" t="str">
        <f>Mat_com!A18&amp;" REC"</f>
        <v>PHEV van/SUV REC</v>
      </c>
      <c r="B66" s="8"/>
      <c r="C66" s="8"/>
      <c r="D66" s="8"/>
      <c r="E66" s="8"/>
      <c r="F66" s="8"/>
      <c r="G66" s="8"/>
      <c r="H66" s="8"/>
      <c r="I66" s="8"/>
      <c r="J66" s="8"/>
      <c r="K66" s="3"/>
    </row>
    <row r="67" spans="1:11">
      <c r="A67" s="10" t="str">
        <f>Mat_com!A19&amp;" REC"</f>
        <v>PHEV LT REC</v>
      </c>
      <c r="B67" s="8"/>
      <c r="C67" s="8"/>
      <c r="D67" s="8"/>
      <c r="E67" s="8"/>
      <c r="F67" s="8"/>
      <c r="G67" s="8"/>
      <c r="H67" s="8"/>
      <c r="I67" s="8"/>
      <c r="J67" s="8"/>
      <c r="K67" s="3"/>
    </row>
    <row r="68" spans="1:11">
      <c r="A68" s="10" t="str">
        <f>Mat_com!A20&amp;" REC"</f>
        <v>BEV micro REC</v>
      </c>
      <c r="B68" s="8"/>
      <c r="C68" s="8"/>
      <c r="D68" s="8"/>
      <c r="E68" s="8"/>
      <c r="F68" s="8"/>
      <c r="G68" s="8"/>
      <c r="H68" s="8"/>
      <c r="I68" s="8"/>
      <c r="J68" s="8"/>
      <c r="K68" s="3"/>
    </row>
    <row r="69" spans="1:11">
      <c r="A69" s="10" t="str">
        <f>Mat_com!A21&amp;" REC"</f>
        <v>BEV PC REC</v>
      </c>
      <c r="B69" s="8"/>
      <c r="C69" s="8"/>
      <c r="D69" s="8"/>
      <c r="E69" s="8"/>
      <c r="F69" s="8"/>
      <c r="G69" s="8"/>
      <c r="H69" s="8"/>
      <c r="I69" s="8"/>
      <c r="J69" s="8"/>
      <c r="K69" s="3"/>
    </row>
    <row r="70" spans="1:11">
      <c r="A70" s="10" t="str">
        <f>Mat_com!A22&amp;" REC"</f>
        <v>BEV van/SUV REC</v>
      </c>
      <c r="K70" s="3"/>
    </row>
    <row r="71" spans="1:11">
      <c r="A71" s="10" t="str">
        <f>Mat_com!A23&amp;" REC"</f>
        <v>BEV LT REC</v>
      </c>
      <c r="K71" s="3"/>
    </row>
    <row r="72" spans="1:11">
      <c r="A72" s="10" t="str">
        <f>Mat_com!A24&amp;" REC"</f>
        <v>HFCEV micro REC</v>
      </c>
      <c r="K72" s="3"/>
    </row>
    <row r="73" spans="1:11">
      <c r="A73" s="10" t="str">
        <f>Mat_com!A25&amp;" REC"</f>
        <v>HFCEV PC REC</v>
      </c>
      <c r="K73" s="3"/>
    </row>
    <row r="74" spans="1:11">
      <c r="A74" s="10" t="str">
        <f>Mat_com!A26&amp;" REC"</f>
        <v>HFCEV van/SUV REC</v>
      </c>
      <c r="K74" s="3"/>
    </row>
    <row r="75" spans="1:11">
      <c r="A75" s="10" t="str">
        <f>Mat_com!A27&amp;" REC"</f>
        <v>HFCEV LT REC</v>
      </c>
      <c r="K75" s="3"/>
    </row>
    <row r="76" spans="1:11">
      <c r="A76" s="10" t="str">
        <f>Mat_com!A4&amp;" REM"</f>
        <v>ICEV-g micro REM</v>
      </c>
      <c r="K76" s="3"/>
    </row>
    <row r="77" spans="1:11">
      <c r="A77" s="10" t="str">
        <f>Mat_com!A5&amp;" REM"</f>
        <v>ICEV-g PC REM</v>
      </c>
      <c r="K77" s="3"/>
    </row>
    <row r="78" spans="1:11">
      <c r="A78" s="10" t="str">
        <f>Mat_com!A6&amp;" REM"</f>
        <v>ICEV-g van/SUV REM</v>
      </c>
      <c r="K78" s="3"/>
    </row>
    <row r="79" spans="1:11">
      <c r="A79" s="10" t="str">
        <f>Mat_com!A7&amp;" REM"</f>
        <v>ICEV-g LT REM</v>
      </c>
      <c r="K79" s="3"/>
    </row>
    <row r="80" spans="1:11">
      <c r="A80" s="10" t="str">
        <f>Mat_com!A8&amp;" REM"</f>
        <v>ICEV-d micro REM</v>
      </c>
      <c r="K80" s="3"/>
    </row>
    <row r="81" spans="1:11">
      <c r="A81" s="10" t="str">
        <f>Mat_com!A9&amp;" REM"</f>
        <v>ICEV-d PC REM</v>
      </c>
      <c r="K81" s="3"/>
    </row>
    <row r="82" spans="1:11">
      <c r="A82" s="10" t="str">
        <f>Mat_com!A10&amp;" REM"</f>
        <v>ICEV-d van/SUV REM</v>
      </c>
      <c r="K82" s="3"/>
    </row>
    <row r="83" spans="1:11">
      <c r="A83" s="10" t="str">
        <f>Mat_com!A11&amp;" REM"</f>
        <v>ICEV-d LT REM</v>
      </c>
      <c r="K83" s="3"/>
    </row>
    <row r="84" spans="1:11">
      <c r="A84" s="10" t="str">
        <f>Mat_com!A12&amp;" REM"</f>
        <v>HEV micro REM</v>
      </c>
      <c r="K84" s="3"/>
    </row>
    <row r="85" spans="1:11">
      <c r="A85" s="10" t="str">
        <f>Mat_com!A13&amp;" REM"</f>
        <v>HEV PC REM</v>
      </c>
      <c r="K85" s="3"/>
    </row>
    <row r="86" spans="1:11">
      <c r="A86" s="10" t="str">
        <f>Mat_com!A14&amp;" REM"</f>
        <v>HEV van/SUV REM</v>
      </c>
      <c r="K86" s="3"/>
    </row>
    <row r="87" spans="1:11">
      <c r="A87" s="10" t="str">
        <f>Mat_com!A15&amp;" REM"</f>
        <v>HEV LT REM</v>
      </c>
      <c r="K87" s="3"/>
    </row>
    <row r="88" spans="1:11">
      <c r="A88" s="10" t="str">
        <f>Mat_com!A16&amp;" REM"</f>
        <v>PHEV micro REM</v>
      </c>
      <c r="K88" s="3"/>
    </row>
    <row r="89" spans="1:11">
      <c r="A89" s="10" t="str">
        <f>Mat_com!A17&amp;" REM"</f>
        <v>PHEV PC REM</v>
      </c>
      <c r="K89" s="3"/>
    </row>
    <row r="90" spans="1:11">
      <c r="A90" s="10" t="str">
        <f>Mat_com!A18&amp;" REM"</f>
        <v>PHEV van/SUV REM</v>
      </c>
      <c r="K90" s="3"/>
    </row>
    <row r="91" spans="1:11">
      <c r="A91" s="10" t="str">
        <f>Mat_com!A19&amp;" REM"</f>
        <v>PHEV LT REM</v>
      </c>
      <c r="K91" s="3"/>
    </row>
    <row r="92" spans="1:11">
      <c r="A92" s="10" t="str">
        <f>Mat_com!A20&amp;" REM"</f>
        <v>BEV micro REM</v>
      </c>
      <c r="K92" s="3"/>
    </row>
    <row r="93" spans="1:11">
      <c r="A93" s="10" t="str">
        <f>Mat_com!A21&amp;" REM"</f>
        <v>BEV PC REM</v>
      </c>
      <c r="K93" s="3"/>
    </row>
    <row r="94" spans="1:11">
      <c r="A94" s="10" t="str">
        <f>Mat_com!A22&amp;" REM"</f>
        <v>BEV van/SUV REM</v>
      </c>
      <c r="K94" s="3"/>
    </row>
    <row r="95" spans="1:11">
      <c r="A95" s="10" t="str">
        <f>Mat_com!A23&amp;" REM"</f>
        <v>BEV LT REM</v>
      </c>
      <c r="K95" s="3"/>
    </row>
    <row r="96" spans="1:11">
      <c r="A96" s="10" t="str">
        <f>Mat_com!A24&amp;" REM"</f>
        <v>HFCEV micro REM</v>
      </c>
      <c r="K96" s="3"/>
    </row>
    <row r="97" spans="1:11">
      <c r="A97" s="10" t="str">
        <f>Mat_com!A25&amp;" REM"</f>
        <v>HFCEV PC REM</v>
      </c>
      <c r="K97" s="3"/>
    </row>
    <row r="98" spans="1:11">
      <c r="A98" s="10" t="str">
        <f>Mat_com!A26&amp;" REM"</f>
        <v>HFCEV van/SUV REM</v>
      </c>
      <c r="K98" s="3"/>
    </row>
    <row r="99" spans="1:11">
      <c r="A99" s="10" t="str">
        <f>Mat_com!A27&amp;" REM"</f>
        <v>HFCEV LT REM</v>
      </c>
      <c r="K99" s="3"/>
    </row>
    <row r="100" spans="1:11">
      <c r="A100" s="10" t="str">
        <f>Mat_com!A4&amp;" DWN"</f>
        <v>ICEV-g micro DWN</v>
      </c>
      <c r="K100" s="3"/>
    </row>
    <row r="101" spans="1:11">
      <c r="A101" s="10" t="str">
        <f>Mat_com!A5&amp;" DWN"</f>
        <v>ICEV-g PC DWN</v>
      </c>
      <c r="K101" s="3"/>
    </row>
    <row r="102" spans="1:11">
      <c r="A102" s="10" t="str">
        <f>Mat_com!A6&amp;" DWN"</f>
        <v>ICEV-g van/SUV DWN</v>
      </c>
      <c r="K102" s="3"/>
    </row>
    <row r="103" spans="1:11">
      <c r="A103" s="10" t="str">
        <f>Mat_com!A7&amp;" DWN"</f>
        <v>ICEV-g LT DWN</v>
      </c>
      <c r="K103" s="3"/>
    </row>
    <row r="104" spans="1:11">
      <c r="A104" s="10" t="str">
        <f>Mat_com!A8&amp;" DWN"</f>
        <v>ICEV-d micro DWN</v>
      </c>
      <c r="K104" s="3"/>
    </row>
    <row r="105" spans="1:11">
      <c r="A105" s="10" t="str">
        <f>Mat_com!A9&amp;" DWN"</f>
        <v>ICEV-d PC DWN</v>
      </c>
      <c r="K105" s="3"/>
    </row>
    <row r="106" spans="1:11">
      <c r="A106" s="10" t="str">
        <f>Mat_com!A10&amp;" DWN"</f>
        <v>ICEV-d van/SUV DWN</v>
      </c>
      <c r="K106" s="3"/>
    </row>
    <row r="107" spans="1:11">
      <c r="A107" s="10" t="str">
        <f>Mat_com!A11&amp;" DWN"</f>
        <v>ICEV-d LT DWN</v>
      </c>
      <c r="K107" s="3"/>
    </row>
    <row r="108" spans="1:11">
      <c r="A108" s="10" t="str">
        <f>Mat_com!A12&amp;" DWN"</f>
        <v>HEV micro DWN</v>
      </c>
      <c r="K108" s="3"/>
    </row>
    <row r="109" spans="1:11">
      <c r="A109" s="10" t="str">
        <f>Mat_com!A13&amp;" DWN"</f>
        <v>HEV PC DWN</v>
      </c>
      <c r="K109" s="3"/>
    </row>
    <row r="110" spans="1:11">
      <c r="A110" s="10" t="str">
        <f>Mat_com!A14&amp;" DWN"</f>
        <v>HEV van/SUV DWN</v>
      </c>
      <c r="K110" s="3"/>
    </row>
    <row r="111" spans="1:11">
      <c r="A111" s="10" t="str">
        <f>Mat_com!A15&amp;" DWN"</f>
        <v>HEV LT DWN</v>
      </c>
      <c r="K111" s="3"/>
    </row>
    <row r="112" spans="1:11">
      <c r="A112" s="10" t="str">
        <f>Mat_com!A16&amp;" DWN"</f>
        <v>PHEV micro DWN</v>
      </c>
      <c r="K112" s="3"/>
    </row>
    <row r="113" spans="1:11">
      <c r="A113" s="10" t="str">
        <f>Mat_com!A17&amp;" DWN"</f>
        <v>PHEV PC DWN</v>
      </c>
      <c r="K113" s="3"/>
    </row>
    <row r="114" spans="1:11">
      <c r="A114" s="10" t="str">
        <f>Mat_com!A18&amp;" DWN"</f>
        <v>PHEV van/SUV DWN</v>
      </c>
      <c r="K114" s="3"/>
    </row>
    <row r="115" spans="1:11">
      <c r="A115" s="10" t="str">
        <f>Mat_com!A19&amp;" DWN"</f>
        <v>PHEV LT DWN</v>
      </c>
      <c r="K115" s="3"/>
    </row>
    <row r="116" spans="1:11">
      <c r="A116" s="10" t="str">
        <f>Mat_com!A20&amp;" DWN"</f>
        <v>BEV micro DWN</v>
      </c>
      <c r="K116" s="3"/>
    </row>
    <row r="117" spans="1:11">
      <c r="A117" s="10" t="str">
        <f>Mat_com!A21&amp;" DWN"</f>
        <v>BEV PC DWN</v>
      </c>
      <c r="K117" s="3"/>
    </row>
    <row r="118" spans="1:11">
      <c r="A118" s="10" t="str">
        <f>Mat_com!A22&amp;" DWN"</f>
        <v>BEV van/SUV DWN</v>
      </c>
      <c r="K118" s="3"/>
    </row>
    <row r="119" spans="1:11">
      <c r="A119" s="10" t="str">
        <f>Mat_com!A23&amp;" DWN"</f>
        <v>BEV LT DWN</v>
      </c>
      <c r="K119" s="3"/>
    </row>
    <row r="120" spans="1:11">
      <c r="A120" s="10" t="str">
        <f>Mat_com!A24&amp;" DWN"</f>
        <v>HFCEV micro DWN</v>
      </c>
      <c r="K120" s="3"/>
    </row>
    <row r="121" spans="1:11">
      <c r="A121" s="10" t="str">
        <f>Mat_com!A25&amp;" DWN"</f>
        <v>HFCEV PC DWN</v>
      </c>
      <c r="K121" s="3"/>
    </row>
    <row r="122" spans="1:11">
      <c r="A122" s="10" t="str">
        <f>Mat_com!A26&amp;" DWN"</f>
        <v>HFCEV van/SUV DWN</v>
      </c>
      <c r="K122" s="3"/>
    </row>
    <row r="123" spans="1:11">
      <c r="A123" s="10" t="str">
        <f>Mat_com!A27&amp;" DWN"</f>
        <v>HFCEV LT DWN</v>
      </c>
      <c r="K123" s="3"/>
    </row>
    <row r="124" spans="1:11">
      <c r="A124" s="10" t="str">
        <f>Mat_com!A4&amp;" MIU"</f>
        <v>ICEV-g micro MIU</v>
      </c>
      <c r="K124" s="3"/>
    </row>
    <row r="125" spans="1:11">
      <c r="A125" s="10" t="str">
        <f>Mat_com!A5&amp;" MIU"</f>
        <v>ICEV-g PC MIU</v>
      </c>
      <c r="K125" s="3"/>
    </row>
    <row r="126" spans="1:11">
      <c r="A126" s="10" t="str">
        <f>Mat_com!A6&amp;" MIU"</f>
        <v>ICEV-g van/SUV MIU</v>
      </c>
      <c r="K126" s="3"/>
    </row>
    <row r="127" spans="1:11">
      <c r="A127" s="10" t="str">
        <f>Mat_com!A7&amp;" MIU"</f>
        <v>ICEV-g LT MIU</v>
      </c>
      <c r="K127" s="3"/>
    </row>
    <row r="128" spans="1:11">
      <c r="A128" s="10" t="str">
        <f>Mat_com!A8&amp;" MIU"</f>
        <v>ICEV-d micro MIU</v>
      </c>
      <c r="K128" s="3"/>
    </row>
    <row r="129" spans="1:11">
      <c r="A129" s="10" t="str">
        <f>Mat_com!A9&amp;" MIU"</f>
        <v>ICEV-d PC MIU</v>
      </c>
      <c r="K129" s="3"/>
    </row>
    <row r="130" spans="1:11">
      <c r="A130" s="10" t="str">
        <f>Mat_com!A10&amp;" MIU"</f>
        <v>ICEV-d van/SUV MIU</v>
      </c>
      <c r="K130" s="3"/>
    </row>
    <row r="131" spans="1:11">
      <c r="A131" s="10" t="str">
        <f>Mat_com!A11&amp;" MIU"</f>
        <v>ICEV-d LT MIU</v>
      </c>
      <c r="K131" s="3"/>
    </row>
    <row r="132" spans="1:11">
      <c r="A132" s="10" t="str">
        <f>Mat_com!A12&amp;" MIU"</f>
        <v>HEV micro MIU</v>
      </c>
      <c r="K132" s="3"/>
    </row>
    <row r="133" spans="1:11">
      <c r="A133" s="10" t="str">
        <f>Mat_com!A13&amp;" MIU"</f>
        <v>HEV PC MIU</v>
      </c>
      <c r="K133" s="3"/>
    </row>
    <row r="134" spans="1:11">
      <c r="A134" s="10" t="str">
        <f>Mat_com!A14&amp;" MIU"</f>
        <v>HEV van/SUV MIU</v>
      </c>
      <c r="K134" s="3"/>
    </row>
    <row r="135" spans="1:11">
      <c r="A135" s="10" t="str">
        <f>Mat_com!A15&amp;" MIU"</f>
        <v>HEV LT MIU</v>
      </c>
      <c r="K135" s="3"/>
    </row>
    <row r="136" spans="1:11">
      <c r="A136" s="10" t="str">
        <f>Mat_com!A16&amp;" MIU"</f>
        <v>PHEV micro MIU</v>
      </c>
      <c r="K136" s="3"/>
    </row>
    <row r="137" spans="1:11">
      <c r="A137" s="10" t="str">
        <f>Mat_com!A17&amp;" MIU"</f>
        <v>PHEV PC MIU</v>
      </c>
      <c r="K137" s="3"/>
    </row>
    <row r="138" spans="1:11">
      <c r="A138" s="10" t="str">
        <f>Mat_com!A18&amp;" MIU"</f>
        <v>PHEV van/SUV MIU</v>
      </c>
      <c r="K138" s="3"/>
    </row>
    <row r="139" spans="1:11">
      <c r="A139" s="10" t="str">
        <f>Mat_com!A19&amp;" MIU"</f>
        <v>PHEV LT MIU</v>
      </c>
      <c r="K139" s="3"/>
    </row>
    <row r="140" spans="1:11">
      <c r="A140" s="10" t="str">
        <f>Mat_com!A20&amp;" MIU"</f>
        <v>BEV micro MIU</v>
      </c>
      <c r="K140" s="3"/>
    </row>
    <row r="141" spans="1:11">
      <c r="A141" s="10" t="str">
        <f>Mat_com!A21&amp;" MIU"</f>
        <v>BEV PC MIU</v>
      </c>
      <c r="K141" s="3"/>
    </row>
    <row r="142" spans="1:11">
      <c r="A142" s="10" t="str">
        <f>Mat_com!A22&amp;" MIU"</f>
        <v>BEV van/SUV MIU</v>
      </c>
      <c r="K142" s="3"/>
    </row>
    <row r="143" spans="1:11">
      <c r="A143" s="10" t="str">
        <f>Mat_com!A23&amp;" MIU"</f>
        <v>BEV LT MIU</v>
      </c>
      <c r="K143" s="3"/>
    </row>
    <row r="144" spans="1:11">
      <c r="A144" s="10" t="str">
        <f>Mat_com!A24&amp;" MIU"</f>
        <v>HFCEV micro MIU</v>
      </c>
      <c r="K144" s="3"/>
    </row>
    <row r="145" spans="1:11">
      <c r="A145" s="10" t="str">
        <f>Mat_com!A25&amp;" MIU"</f>
        <v>HFCEV PC MIU</v>
      </c>
      <c r="K145" s="3"/>
    </row>
    <row r="146" spans="1:11">
      <c r="A146" s="10" t="str">
        <f>Mat_com!A26&amp;" MIU"</f>
        <v>HFCEV van/SUV MIU</v>
      </c>
      <c r="K146" s="3"/>
    </row>
    <row r="147" spans="1:11">
      <c r="A147" s="10" t="str">
        <f>Mat_com!A27&amp;" MIU"</f>
        <v>HFCEV LT MIU</v>
      </c>
      <c r="K147" s="3"/>
    </row>
    <row r="148" spans="1:11">
      <c r="A148" s="10" t="str">
        <f>Mat_com!A4&amp;" all"</f>
        <v>ICEV-g micro all</v>
      </c>
      <c r="K148" s="3"/>
    </row>
    <row r="149" spans="1:11">
      <c r="A149" s="10" t="str">
        <f>Mat_com!A5&amp;" all"</f>
        <v>ICEV-g PC all</v>
      </c>
      <c r="K149" s="3"/>
    </row>
    <row r="150" spans="1:11">
      <c r="A150" s="10" t="str">
        <f>Mat_com!A6&amp;" all"</f>
        <v>ICEV-g van/SUV all</v>
      </c>
      <c r="K150" s="3"/>
    </row>
    <row r="151" spans="1:11">
      <c r="A151" s="10" t="str">
        <f>Mat_com!A7&amp;" all"</f>
        <v>ICEV-g LT all</v>
      </c>
      <c r="K151" s="3"/>
    </row>
    <row r="152" spans="1:11">
      <c r="A152" s="10" t="str">
        <f>Mat_com!A8&amp;" all"</f>
        <v>ICEV-d micro all</v>
      </c>
      <c r="K152" s="3"/>
    </row>
    <row r="153" spans="1:11">
      <c r="A153" s="10" t="str">
        <f>Mat_com!A9&amp;" all"</f>
        <v>ICEV-d PC all</v>
      </c>
      <c r="K153" s="3"/>
    </row>
    <row r="154" spans="1:11">
      <c r="A154" s="10" t="str">
        <f>Mat_com!A10&amp;" all"</f>
        <v>ICEV-d van/SUV all</v>
      </c>
      <c r="K154" s="3"/>
    </row>
    <row r="155" spans="1:11">
      <c r="A155" s="10" t="str">
        <f>Mat_com!A11&amp;" all"</f>
        <v>ICEV-d LT all</v>
      </c>
      <c r="K155" s="3"/>
    </row>
    <row r="156" spans="1:11">
      <c r="A156" s="10" t="str">
        <f>Mat_com!A12&amp;" all"</f>
        <v>HEV micro all</v>
      </c>
      <c r="K156" s="3"/>
    </row>
    <row r="157" spans="1:11">
      <c r="A157" s="10" t="str">
        <f>Mat_com!A13&amp;" all"</f>
        <v>HEV PC all</v>
      </c>
      <c r="K157" s="3"/>
    </row>
    <row r="158" spans="1:11">
      <c r="A158" s="10" t="str">
        <f>Mat_com!A14&amp;" all"</f>
        <v>HEV van/SUV all</v>
      </c>
      <c r="K158" s="3"/>
    </row>
    <row r="159" spans="1:11">
      <c r="A159" s="10" t="str">
        <f>Mat_com!A15&amp;" all"</f>
        <v>HEV LT all</v>
      </c>
      <c r="K159" s="3"/>
    </row>
    <row r="160" spans="1:11">
      <c r="A160" s="10" t="str">
        <f>Mat_com!A16&amp;" all"</f>
        <v>PHEV micro all</v>
      </c>
      <c r="K160" s="3"/>
    </row>
    <row r="161" spans="1:11">
      <c r="A161" s="10" t="str">
        <f>Mat_com!A17&amp;" all"</f>
        <v>PHEV PC all</v>
      </c>
      <c r="K161" s="3"/>
    </row>
    <row r="162" spans="1:11">
      <c r="A162" s="10" t="str">
        <f>Mat_com!A18&amp;" all"</f>
        <v>PHEV van/SUV all</v>
      </c>
      <c r="K162" s="3"/>
    </row>
    <row r="163" spans="1:11">
      <c r="A163" s="10" t="str">
        <f>Mat_com!A19&amp;" all"</f>
        <v>PHEV LT all</v>
      </c>
      <c r="K163" s="3"/>
    </row>
    <row r="164" spans="1:11">
      <c r="A164" s="10" t="str">
        <f>Mat_com!A20&amp;" all"</f>
        <v>BEV micro all</v>
      </c>
      <c r="K164" s="3"/>
    </row>
    <row r="165" spans="1:11">
      <c r="A165" s="10" t="str">
        <f>Mat_com!A21&amp;" all"</f>
        <v>BEV PC all</v>
      </c>
      <c r="K165" s="3"/>
    </row>
    <row r="166" spans="1:11">
      <c r="A166" s="10" t="str">
        <f>Mat_com!A22&amp;" all"</f>
        <v>BEV van/SUV all</v>
      </c>
      <c r="K166" s="3"/>
    </row>
    <row r="167" spans="1:11">
      <c r="A167" s="10" t="str">
        <f>Mat_com!A23&amp;" all"</f>
        <v>BEV LT all</v>
      </c>
      <c r="K167" s="3"/>
    </row>
    <row r="168" spans="1:11">
      <c r="A168" s="10" t="str">
        <f>Mat_com!A24&amp;" all"</f>
        <v>HFCEV micro all</v>
      </c>
      <c r="K168" s="3"/>
    </row>
    <row r="169" spans="1:11">
      <c r="A169" s="10" t="str">
        <f>Mat_com!A25&amp;" all"</f>
        <v>HFCEV PC all</v>
      </c>
      <c r="K169" s="3"/>
    </row>
    <row r="170" spans="1:11">
      <c r="A170" s="10" t="str">
        <f>Mat_com!A26&amp;" all"</f>
        <v>HFCEV van/SUV all</v>
      </c>
      <c r="K170" s="3"/>
    </row>
    <row r="171" spans="1:11">
      <c r="A171" s="10" t="str">
        <f>Mat_com!A27&amp;" all"</f>
        <v>HFCEV LT all</v>
      </c>
      <c r="K171" s="3"/>
    </row>
    <row r="172" spans="1:11">
      <c r="A172" s="10" t="str">
        <f>Mat_com!A4&amp;" all but LW"</f>
        <v>ICEV-g micro all but LW</v>
      </c>
      <c r="K172" s="3"/>
    </row>
    <row r="173" spans="1:11">
      <c r="A173" s="10" t="str">
        <f>Mat_com!A5&amp;" all but LW"</f>
        <v>ICEV-g PC all but LW</v>
      </c>
      <c r="K173" s="3"/>
    </row>
    <row r="174" spans="1:11">
      <c r="A174" s="10" t="str">
        <f>Mat_com!A6&amp;" all but LW"</f>
        <v>ICEV-g van/SUV all but LW</v>
      </c>
      <c r="K174" s="3"/>
    </row>
    <row r="175" spans="1:11">
      <c r="A175" s="10" t="str">
        <f>Mat_com!A7&amp;" all but LW"</f>
        <v>ICEV-g LT all but LW</v>
      </c>
      <c r="K175" s="3"/>
    </row>
    <row r="176" spans="1:11">
      <c r="A176" s="10" t="str">
        <f>Mat_com!A8&amp;" all but LW"</f>
        <v>ICEV-d micro all but LW</v>
      </c>
      <c r="K176" s="3"/>
    </row>
    <row r="177" spans="1:11">
      <c r="A177" s="10" t="str">
        <f>Mat_com!A9&amp;" all but LW"</f>
        <v>ICEV-d PC all but LW</v>
      </c>
      <c r="K177" s="3"/>
    </row>
    <row r="178" spans="1:11">
      <c r="A178" s="10" t="str">
        <f>Mat_com!A10&amp;" all but LW"</f>
        <v>ICEV-d van/SUV all but LW</v>
      </c>
      <c r="K178" s="3"/>
    </row>
    <row r="179" spans="1:11">
      <c r="A179" s="10" t="str">
        <f>Mat_com!A11&amp;" all but LW"</f>
        <v>ICEV-d LT all but LW</v>
      </c>
      <c r="K179" s="3"/>
    </row>
    <row r="180" spans="1:11">
      <c r="A180" s="10" t="str">
        <f>Mat_com!A12&amp;" all but LW"</f>
        <v>HEV micro all but LW</v>
      </c>
      <c r="K180" s="3"/>
    </row>
    <row r="181" spans="1:11">
      <c r="A181" s="10" t="str">
        <f>Mat_com!A13&amp;" all but LW"</f>
        <v>HEV PC all but LW</v>
      </c>
      <c r="K181" s="3"/>
    </row>
    <row r="182" spans="1:11">
      <c r="A182" s="10" t="str">
        <f>Mat_com!A14&amp;" all but LW"</f>
        <v>HEV van/SUV all but LW</v>
      </c>
      <c r="K182" s="3"/>
    </row>
    <row r="183" spans="1:11">
      <c r="A183" s="10" t="str">
        <f>Mat_com!A15&amp;" all but LW"</f>
        <v>HEV LT all but LW</v>
      </c>
      <c r="K183" s="3"/>
    </row>
    <row r="184" spans="1:11">
      <c r="A184" s="10" t="str">
        <f>Mat_com!A16&amp;" all but LW"</f>
        <v>PHEV micro all but LW</v>
      </c>
      <c r="K184" s="3"/>
    </row>
    <row r="185" spans="1:11">
      <c r="A185" s="10" t="str">
        <f>Mat_com!A17&amp;" all but LW"</f>
        <v>PHEV PC all but LW</v>
      </c>
      <c r="K185" s="3"/>
    </row>
    <row r="186" spans="1:11">
      <c r="A186" s="10" t="str">
        <f>Mat_com!A18&amp;" all but LW"</f>
        <v>PHEV van/SUV all but LW</v>
      </c>
      <c r="K186" s="3"/>
    </row>
    <row r="187" spans="1:11">
      <c r="A187" s="10" t="str">
        <f>Mat_com!A19&amp;" all but LW"</f>
        <v>PHEV LT all but LW</v>
      </c>
      <c r="K187" s="3"/>
    </row>
    <row r="188" spans="1:11">
      <c r="A188" s="10" t="str">
        <f>Mat_com!A20&amp;" all but LW"</f>
        <v>BEV micro all but LW</v>
      </c>
      <c r="K188" s="3"/>
    </row>
    <row r="189" spans="1:11">
      <c r="A189" s="10" t="str">
        <f>Mat_com!A21&amp;" all but LW"</f>
        <v>BEV PC all but LW</v>
      </c>
      <c r="K189" s="3"/>
    </row>
    <row r="190" spans="1:11">
      <c r="A190" s="10" t="str">
        <f>Mat_com!A22&amp;" all but LW"</f>
        <v>BEV van/SUV all but LW</v>
      </c>
      <c r="K190" s="3"/>
    </row>
    <row r="191" spans="1:11">
      <c r="A191" s="10" t="str">
        <f>Mat_com!A23&amp;" all but LW"</f>
        <v>BEV LT all but LW</v>
      </c>
      <c r="K191" s="3"/>
    </row>
    <row r="192" spans="1:11">
      <c r="A192" s="10" t="str">
        <f>Mat_com!A24&amp;" all but LW"</f>
        <v>HFCEV micro all but LW</v>
      </c>
      <c r="K192" s="3"/>
    </row>
    <row r="193" spans="1:11">
      <c r="A193" s="10" t="str">
        <f>Mat_com!A25&amp;" all but LW"</f>
        <v>HFCEV PC all but LW</v>
      </c>
      <c r="K193" s="3"/>
    </row>
    <row r="194" spans="1:11">
      <c r="A194" s="10" t="str">
        <f>Mat_com!A26&amp;" all but LW"</f>
        <v>HFCEV van/SUV all but LW</v>
      </c>
      <c r="K194" s="3"/>
    </row>
    <row r="195" spans="1:11">
      <c r="A195" s="10" t="str">
        <f>Mat_com!A27&amp;" all but LW"</f>
        <v>HFCEV LT all but LW</v>
      </c>
      <c r="K195" s="3"/>
    </row>
  </sheetData>
  <conditionalFormatting sqref="K4:K195">
    <cfRule type="iconSet" priority="5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97AA-3530-4FB9-B392-7AD3016BA8D7}">
  <sheetPr codeName="Sheet12"/>
  <dimension ref="A1:J196"/>
  <sheetViews>
    <sheetView zoomScale="60" zoomScaleNormal="6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J51" sqref="J51"/>
    </sheetView>
  </sheetViews>
  <sheetFormatPr defaultRowHeight="14.6"/>
  <cols>
    <col min="1" max="1" width="37.69140625" bestFit="1" customWidth="1"/>
    <col min="2" max="2" width="15.15234375" customWidth="1"/>
    <col min="3" max="3" width="12.69140625" bestFit="1" customWidth="1"/>
    <col min="4" max="6" width="11.69140625" bestFit="1" customWidth="1"/>
    <col min="7" max="7" width="18.3828125" bestFit="1" customWidth="1"/>
    <col min="8" max="8" width="11.69140625" bestFit="1" customWidth="1"/>
  </cols>
  <sheetData>
    <row r="1" spans="1:10" ht="18.45">
      <c r="A1" s="6" t="s">
        <v>155</v>
      </c>
    </row>
    <row r="2" spans="1:10" ht="18.45">
      <c r="A2" s="6"/>
      <c r="B2" s="5" t="s">
        <v>42</v>
      </c>
      <c r="C2" s="5" t="s">
        <v>42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</row>
    <row r="3" spans="1:10" s="5" customFormat="1">
      <c r="A3" s="5" t="s">
        <v>82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17</v>
      </c>
      <c r="J3" s="5" t="s">
        <v>18</v>
      </c>
    </row>
    <row r="4" spans="1:10">
      <c r="A4" t="str">
        <f>Mat_com!A4</f>
        <v>ICEV-g micro</v>
      </c>
      <c r="B4" s="16">
        <f t="shared" ref="B4:I4" si="0">B6</f>
        <v>0.62199700861758389</v>
      </c>
      <c r="C4" s="16">
        <f t="shared" si="0"/>
        <v>0</v>
      </c>
      <c r="D4" s="16">
        <f t="shared" si="0"/>
        <v>0.10167481154623785</v>
      </c>
      <c r="E4" s="16">
        <f t="shared" si="0"/>
        <v>1.8731599094568459E-2</v>
      </c>
      <c r="F4" s="16">
        <f t="shared" si="0"/>
        <v>4.409248840367555E-2</v>
      </c>
      <c r="G4" s="16">
        <f t="shared" si="0"/>
        <v>1.857742955469547E-2</v>
      </c>
      <c r="H4" s="16">
        <f t="shared" si="0"/>
        <v>0.11277501841709324</v>
      </c>
      <c r="I4" s="16">
        <f t="shared" si="0"/>
        <v>8.2151644366145637E-2</v>
      </c>
      <c r="J4" s="22">
        <v>730</v>
      </c>
    </row>
    <row r="5" spans="1:10">
      <c r="A5" t="str">
        <f>Mat_com!A5</f>
        <v>ICEV-g PC</v>
      </c>
      <c r="B5" s="16">
        <f>Mat_com!B5/'Mat_com_%'!$J$5</f>
        <v>0.62199700861758389</v>
      </c>
      <c r="C5" s="16">
        <f>Mat_com!C5/'Mat_com_%'!$J$5</f>
        <v>0</v>
      </c>
      <c r="D5" s="16">
        <f>Mat_com!D5/'Mat_com_%'!$J$5</f>
        <v>0.10167481154623785</v>
      </c>
      <c r="E5" s="16">
        <f>Mat_com!E5/'Mat_com_%'!$J$5</f>
        <v>1.8731599094568459E-2</v>
      </c>
      <c r="F5" s="16">
        <f>Mat_com!F5/'Mat_com_%'!$J$5</f>
        <v>4.409248840367555E-2</v>
      </c>
      <c r="G5" s="16">
        <f>Mat_com!G5/'Mat_com_%'!$J$5</f>
        <v>1.857742955469547E-2</v>
      </c>
      <c r="H5" s="16">
        <f>Mat_com!H5/'Mat_com_%'!$J$5</f>
        <v>0.11277501841709324</v>
      </c>
      <c r="I5" s="16">
        <f>1-SUM(B5:H5)</f>
        <v>8.2151644366145637E-2</v>
      </c>
      <c r="J5" s="22">
        <v>1297.2731200000001</v>
      </c>
    </row>
    <row r="6" spans="1:10">
      <c r="A6" t="str">
        <f>Mat_com!A6</f>
        <v>ICEV-g van/SUV</v>
      </c>
      <c r="B6" s="16">
        <f>B5</f>
        <v>0.62199700861758389</v>
      </c>
      <c r="C6" s="16">
        <f t="shared" ref="C6:I6" si="1">C5</f>
        <v>0</v>
      </c>
      <c r="D6" s="16">
        <f t="shared" si="1"/>
        <v>0.10167481154623785</v>
      </c>
      <c r="E6" s="16">
        <f t="shared" si="1"/>
        <v>1.8731599094568459E-2</v>
      </c>
      <c r="F6" s="16">
        <f t="shared" si="1"/>
        <v>4.409248840367555E-2</v>
      </c>
      <c r="G6" s="16">
        <f t="shared" si="1"/>
        <v>1.857742955469547E-2</v>
      </c>
      <c r="H6" s="16">
        <f t="shared" si="1"/>
        <v>0.11277501841709324</v>
      </c>
      <c r="I6" s="16">
        <f t="shared" si="1"/>
        <v>8.2151644366145637E-2</v>
      </c>
      <c r="J6" s="22">
        <v>1713</v>
      </c>
    </row>
    <row r="7" spans="1:10">
      <c r="A7" t="str">
        <f>Mat_com!A7</f>
        <v>ICEV-g LT</v>
      </c>
      <c r="B7" s="16">
        <f t="shared" ref="B7:I7" si="2">B4</f>
        <v>0.62199700861758389</v>
      </c>
      <c r="C7" s="16">
        <f t="shared" si="2"/>
        <v>0</v>
      </c>
      <c r="D7" s="16">
        <f t="shared" si="2"/>
        <v>0.10167481154623785</v>
      </c>
      <c r="E7" s="16">
        <f t="shared" si="2"/>
        <v>1.8731599094568459E-2</v>
      </c>
      <c r="F7" s="16">
        <f t="shared" si="2"/>
        <v>4.409248840367555E-2</v>
      </c>
      <c r="G7" s="16">
        <f t="shared" si="2"/>
        <v>1.857742955469547E-2</v>
      </c>
      <c r="H7" s="16">
        <f t="shared" si="2"/>
        <v>0.11277501841709324</v>
      </c>
      <c r="I7" s="16">
        <f t="shared" si="2"/>
        <v>8.2151644366145637E-2</v>
      </c>
      <c r="J7" s="22">
        <v>2037.5</v>
      </c>
    </row>
    <row r="8" spans="1:10">
      <c r="A8" t="str">
        <f>Mat_com!A8</f>
        <v>ICEV-d micro</v>
      </c>
      <c r="B8" s="16">
        <f t="shared" ref="B8:I8" si="3">B10</f>
        <v>0.62205934889865411</v>
      </c>
      <c r="C8" s="16">
        <f t="shared" si="3"/>
        <v>0</v>
      </c>
      <c r="D8" s="16">
        <f t="shared" si="3"/>
        <v>0.10165063615368825</v>
      </c>
      <c r="E8" s="16">
        <f t="shared" si="3"/>
        <v>1.8765102488760087E-2</v>
      </c>
      <c r="F8" s="16">
        <f t="shared" si="3"/>
        <v>4.4139775489755506E-2</v>
      </c>
      <c r="G8" s="16">
        <f t="shared" si="3"/>
        <v>1.8613158339053526E-2</v>
      </c>
      <c r="H8" s="16">
        <f t="shared" si="3"/>
        <v>0.11281853115712036</v>
      </c>
      <c r="I8" s="16">
        <f t="shared" si="3"/>
        <v>8.1953447472968219E-2</v>
      </c>
      <c r="J8" s="22">
        <v>742.53</v>
      </c>
    </row>
    <row r="9" spans="1:10">
      <c r="A9" t="str">
        <f>Mat_com!A9</f>
        <v>ICEV-d PC</v>
      </c>
      <c r="B9" s="16">
        <f>Mat_com!B9/Mat_com!$J$9</f>
        <v>0.62205934889865411</v>
      </c>
      <c r="C9" s="16">
        <f>Mat_com!C9/Mat_com!$J$9</f>
        <v>0</v>
      </c>
      <c r="D9" s="16">
        <f>Mat_com!D9/Mat_com!$J$9</f>
        <v>0.10165063615368825</v>
      </c>
      <c r="E9" s="16">
        <f>Mat_com!E9/Mat_com!$J$9</f>
        <v>1.8765102488760087E-2</v>
      </c>
      <c r="F9" s="16">
        <f>Mat_com!F9/Mat_com!$J$9</f>
        <v>4.4139775489755506E-2</v>
      </c>
      <c r="G9" s="16">
        <f>Mat_com!G9/Mat_com!$J$9</f>
        <v>1.8613158339053526E-2</v>
      </c>
      <c r="H9" s="16">
        <f>Mat_com!H9/Mat_com!$J$9</f>
        <v>0.11281853115712036</v>
      </c>
      <c r="I9" s="16">
        <f>Mat_com!I9/Mat_com!$J$9</f>
        <v>8.1953447472968219E-2</v>
      </c>
      <c r="J9" s="22">
        <v>1316.2731199999998</v>
      </c>
    </row>
    <row r="10" spans="1:10">
      <c r="A10" t="str">
        <f>Mat_com!A10</f>
        <v>ICEV-d van/SUV</v>
      </c>
      <c r="B10" s="16">
        <f>B9</f>
        <v>0.62205934889865411</v>
      </c>
      <c r="C10" s="16">
        <f t="shared" ref="C10:I10" si="4">C9</f>
        <v>0</v>
      </c>
      <c r="D10" s="16">
        <f t="shared" si="4"/>
        <v>0.10165063615368825</v>
      </c>
      <c r="E10" s="16">
        <f t="shared" si="4"/>
        <v>1.8765102488760087E-2</v>
      </c>
      <c r="F10" s="16">
        <f t="shared" si="4"/>
        <v>4.4139775489755506E-2</v>
      </c>
      <c r="G10" s="16">
        <f t="shared" si="4"/>
        <v>1.8613158339053526E-2</v>
      </c>
      <c r="H10" s="16">
        <f t="shared" si="4"/>
        <v>0.11281853115712036</v>
      </c>
      <c r="I10" s="16">
        <f t="shared" si="4"/>
        <v>8.1953447472968219E-2</v>
      </c>
      <c r="J10" s="22">
        <v>1735.6999999999998</v>
      </c>
    </row>
    <row r="11" spans="1:10">
      <c r="A11" t="str">
        <f>Mat_com!A11</f>
        <v>ICEV-d LT</v>
      </c>
      <c r="B11" s="16">
        <f t="shared" ref="B11:I11" si="5">B8</f>
        <v>0.62205934889865411</v>
      </c>
      <c r="C11" s="16">
        <f t="shared" si="5"/>
        <v>0</v>
      </c>
      <c r="D11" s="16">
        <f t="shared" si="5"/>
        <v>0.10165063615368825</v>
      </c>
      <c r="E11" s="16">
        <f t="shared" si="5"/>
        <v>1.8765102488760087E-2</v>
      </c>
      <c r="F11" s="16">
        <f t="shared" si="5"/>
        <v>4.4139775489755506E-2</v>
      </c>
      <c r="G11" s="16">
        <f t="shared" si="5"/>
        <v>1.8613158339053526E-2</v>
      </c>
      <c r="H11" s="16">
        <f t="shared" si="5"/>
        <v>0.11281853115712036</v>
      </c>
      <c r="I11" s="16">
        <f t="shared" si="5"/>
        <v>8.1953447472968219E-2</v>
      </c>
      <c r="J11" s="22">
        <v>2070.5</v>
      </c>
    </row>
    <row r="12" spans="1:10">
      <c r="A12" t="str">
        <f>Mat_com!A12</f>
        <v>HEV micro</v>
      </c>
      <c r="B12" s="16">
        <f t="shared" ref="B12:I12" si="6">B14</f>
        <v>0.63711473381152495</v>
      </c>
      <c r="C12" s="16">
        <f t="shared" si="6"/>
        <v>0</v>
      </c>
      <c r="D12" s="16">
        <f t="shared" si="6"/>
        <v>7.2295696070376711E-2</v>
      </c>
      <c r="E12" s="16">
        <f t="shared" si="6"/>
        <v>1.2690960454168693E-2</v>
      </c>
      <c r="F12" s="16">
        <f t="shared" si="6"/>
        <v>5.7109322043759111E-2</v>
      </c>
      <c r="G12" s="16">
        <f t="shared" si="6"/>
        <v>3.949883197533402E-2</v>
      </c>
      <c r="H12" s="16">
        <f t="shared" si="6"/>
        <v>0.10687499843145433</v>
      </c>
      <c r="I12" s="16">
        <f t="shared" si="6"/>
        <v>7.4415457213382191E-2</v>
      </c>
      <c r="J12" s="22">
        <v>804.27583400000003</v>
      </c>
    </row>
    <row r="13" spans="1:10">
      <c r="A13" t="str">
        <f>Mat_com!A13</f>
        <v>HEV PC</v>
      </c>
      <c r="B13" s="16">
        <f>Mat_com!B13/'Mat_com_%'!$J13</f>
        <v>0.63711473381152495</v>
      </c>
      <c r="C13" s="16">
        <f>Mat_com!C13/'Mat_com_%'!$J13</f>
        <v>0</v>
      </c>
      <c r="D13" s="16">
        <f>Mat_com!D13/'Mat_com_%'!$J13</f>
        <v>7.2295696070376711E-2</v>
      </c>
      <c r="E13" s="16">
        <f>Mat_com!E13/'Mat_com_%'!$J13</f>
        <v>1.2690960454168693E-2</v>
      </c>
      <c r="F13" s="16">
        <f>Mat_com!F13/'Mat_com_%'!$J13</f>
        <v>5.7109322043759111E-2</v>
      </c>
      <c r="G13" s="16">
        <f>Mat_com!G13/'Mat_com_%'!$J13</f>
        <v>3.949883197533402E-2</v>
      </c>
      <c r="H13" s="16">
        <f>Mat_com!H13/'Mat_com_%'!$J13</f>
        <v>0.10687499843145433</v>
      </c>
      <c r="I13" s="16">
        <f>Mat_com!I13/'Mat_com_%'!$J13</f>
        <v>7.4415457213382191E-2</v>
      </c>
      <c r="J13" s="22">
        <v>1402.57312</v>
      </c>
    </row>
    <row r="14" spans="1:10">
      <c r="A14" t="str">
        <f>Mat_com!A14</f>
        <v>HEV van/SUV</v>
      </c>
      <c r="B14" s="16">
        <f>B13</f>
        <v>0.63711473381152495</v>
      </c>
      <c r="C14" s="16">
        <f t="shared" ref="C14:I14" si="7">C13</f>
        <v>0</v>
      </c>
      <c r="D14" s="16">
        <f t="shared" si="7"/>
        <v>7.2295696070376711E-2</v>
      </c>
      <c r="E14" s="16">
        <f t="shared" si="7"/>
        <v>1.2690960454168693E-2</v>
      </c>
      <c r="F14" s="16">
        <f t="shared" si="7"/>
        <v>5.7109322043759111E-2</v>
      </c>
      <c r="G14" s="16">
        <f t="shared" si="7"/>
        <v>3.949883197533402E-2</v>
      </c>
      <c r="H14" s="16">
        <f t="shared" si="7"/>
        <v>0.10687499843145433</v>
      </c>
      <c r="I14" s="16">
        <f t="shared" si="7"/>
        <v>7.4415457213382191E-2</v>
      </c>
      <c r="J14" s="22">
        <v>1836.07963</v>
      </c>
    </row>
    <row r="15" spans="1:10">
      <c r="A15" t="str">
        <f>Mat_com!A15</f>
        <v>HEV LT</v>
      </c>
      <c r="B15" s="16">
        <f t="shared" ref="B15:I15" si="8">B12</f>
        <v>0.63711473381152495</v>
      </c>
      <c r="C15" s="16">
        <f t="shared" si="8"/>
        <v>0</v>
      </c>
      <c r="D15" s="16">
        <f t="shared" si="8"/>
        <v>7.2295696070376711E-2</v>
      </c>
      <c r="E15" s="16">
        <f t="shared" si="8"/>
        <v>1.2690960454168693E-2</v>
      </c>
      <c r="F15" s="16">
        <f t="shared" si="8"/>
        <v>5.7109322043759111E-2</v>
      </c>
      <c r="G15" s="16">
        <f t="shared" si="8"/>
        <v>3.949883197533402E-2</v>
      </c>
      <c r="H15" s="16">
        <f t="shared" si="8"/>
        <v>0.10687499843145433</v>
      </c>
      <c r="I15" s="16">
        <f t="shared" si="8"/>
        <v>7.4415457213382191E-2</v>
      </c>
      <c r="J15" s="22">
        <v>2209.9499999999998</v>
      </c>
    </row>
    <row r="16" spans="1:10">
      <c r="A16" t="str">
        <f>Mat_com!A16</f>
        <v>PHEV micro</v>
      </c>
      <c r="B16" s="16">
        <f t="shared" ref="B16:I16" si="9">B18</f>
        <v>0.59000612130487162</v>
      </c>
      <c r="C16" s="16">
        <f t="shared" si="9"/>
        <v>0</v>
      </c>
      <c r="D16" s="16">
        <f t="shared" si="9"/>
        <v>6.5502494788267751E-2</v>
      </c>
      <c r="E16" s="16">
        <f t="shared" si="9"/>
        <v>2.9780142672725107E-2</v>
      </c>
      <c r="F16" s="16">
        <f t="shared" si="9"/>
        <v>6.1356767270022955E-2</v>
      </c>
      <c r="G16" s="16">
        <f t="shared" si="9"/>
        <v>5.4309030489006802E-2</v>
      </c>
      <c r="H16" s="16">
        <f t="shared" si="9"/>
        <v>2.2732405891708957E-2</v>
      </c>
      <c r="I16" s="16">
        <f t="shared" si="9"/>
        <v>0.17631303758339681</v>
      </c>
      <c r="J16" s="22">
        <v>838.26334000000008</v>
      </c>
    </row>
    <row r="17" spans="1:10">
      <c r="A17" t="str">
        <f>Mat_com!A17</f>
        <v>PHEV PC</v>
      </c>
      <c r="B17" s="16">
        <f>Mat_com!B17/'Mat_com_%'!$J17</f>
        <v>0.59000612130487162</v>
      </c>
      <c r="C17" s="16">
        <f>Mat_com!C17/'Mat_com_%'!$J17</f>
        <v>0</v>
      </c>
      <c r="D17" s="16">
        <f>Mat_com!D17/'Mat_com_%'!$J17</f>
        <v>6.5502494788267751E-2</v>
      </c>
      <c r="E17" s="16">
        <f>Mat_com!E17/'Mat_com_%'!$J17</f>
        <v>2.9780142672725107E-2</v>
      </c>
      <c r="F17" s="16">
        <f>Mat_com!F17/'Mat_com_%'!$J17</f>
        <v>6.1356767270022955E-2</v>
      </c>
      <c r="G17" s="16">
        <f>Mat_com!G17/'Mat_com_%'!$J17</f>
        <v>5.4309030489006802E-2</v>
      </c>
      <c r="H17" s="16">
        <f>Mat_com!H17/'Mat_com_%'!$J17</f>
        <v>2.2732405891708957E-2</v>
      </c>
      <c r="I17" s="16">
        <f>Mat_com!I17/'Mat_com_%'!$J17</f>
        <v>0.17631303758339681</v>
      </c>
      <c r="J17" s="22">
        <v>1447.2731199999998</v>
      </c>
    </row>
    <row r="18" spans="1:10">
      <c r="A18" t="str">
        <f>Mat_com!A18</f>
        <v>PHEV van/SUV</v>
      </c>
      <c r="B18" s="16">
        <f>B17</f>
        <v>0.59000612130487162</v>
      </c>
      <c r="C18" s="16">
        <f t="shared" ref="C18:I18" si="10">C17</f>
        <v>0</v>
      </c>
      <c r="D18" s="16">
        <f t="shared" si="10"/>
        <v>6.5502494788267751E-2</v>
      </c>
      <c r="E18" s="16">
        <f t="shared" si="10"/>
        <v>2.9780142672725107E-2</v>
      </c>
      <c r="F18" s="16">
        <f t="shared" si="10"/>
        <v>6.1356767270022955E-2</v>
      </c>
      <c r="G18" s="16">
        <f t="shared" si="10"/>
        <v>5.4309030489006802E-2</v>
      </c>
      <c r="H18" s="16">
        <f t="shared" si="10"/>
        <v>2.2732405891708957E-2</v>
      </c>
      <c r="I18" s="16">
        <f t="shared" si="10"/>
        <v>0.17631303758339681</v>
      </c>
      <c r="J18" s="22">
        <v>1887.2462999999998</v>
      </c>
    </row>
    <row r="19" spans="1:10">
      <c r="A19" t="str">
        <f>Mat_com!A19</f>
        <v>PHEV LT</v>
      </c>
      <c r="B19" s="16">
        <f t="shared" ref="B19:I19" si="11">B16</f>
        <v>0.59000612130487162</v>
      </c>
      <c r="C19" s="16">
        <f t="shared" si="11"/>
        <v>0</v>
      </c>
      <c r="D19" s="16">
        <f t="shared" si="11"/>
        <v>6.5502494788267751E-2</v>
      </c>
      <c r="E19" s="16">
        <f t="shared" si="11"/>
        <v>2.9780142672725107E-2</v>
      </c>
      <c r="F19" s="16">
        <f t="shared" si="11"/>
        <v>6.1356767270022955E-2</v>
      </c>
      <c r="G19" s="16">
        <f t="shared" si="11"/>
        <v>5.4309030489006802E-2</v>
      </c>
      <c r="H19" s="16">
        <f t="shared" si="11"/>
        <v>2.2732405891708957E-2</v>
      </c>
      <c r="I19" s="16">
        <f t="shared" si="11"/>
        <v>0.17631303758339681</v>
      </c>
      <c r="J19" s="22">
        <v>2278</v>
      </c>
    </row>
    <row r="20" spans="1:10">
      <c r="A20" t="str">
        <f>Mat_com!A20</f>
        <v>BEV micro</v>
      </c>
      <c r="B20" s="16">
        <f>B21</f>
        <v>0.56795819362623079</v>
      </c>
      <c r="C20" s="16">
        <f t="shared" ref="C20:I20" si="12">C21</f>
        <v>0</v>
      </c>
      <c r="D20" s="16">
        <f t="shared" si="12"/>
        <v>1.7223238807538867E-2</v>
      </c>
      <c r="E20" s="16">
        <f t="shared" si="12"/>
        <v>3.8241428538772743E-2</v>
      </c>
      <c r="F20" s="16">
        <f t="shared" si="12"/>
        <v>4.880890726475421E-2</v>
      </c>
      <c r="G20" s="16">
        <f t="shared" si="12"/>
        <v>6.48644688650023E-2</v>
      </c>
      <c r="H20" s="16">
        <f t="shared" si="12"/>
        <v>0.10018670438554812</v>
      </c>
      <c r="I20" s="16">
        <f t="shared" si="12"/>
        <v>0.1627170585121531</v>
      </c>
      <c r="J20" s="22">
        <v>1043.777057</v>
      </c>
    </row>
    <row r="21" spans="1:10">
      <c r="A21" t="str">
        <f>Mat_com!A21</f>
        <v>BEV PC</v>
      </c>
      <c r="B21" s="16">
        <f>Mat_com!B21/'Mat_com_%'!$J21</f>
        <v>0.56795819362623079</v>
      </c>
      <c r="C21" s="16">
        <f>Mat_com!C21/'Mat_com_%'!$J21</f>
        <v>0</v>
      </c>
      <c r="D21" s="16">
        <f>Mat_com!D21/'Mat_com_%'!$J21</f>
        <v>1.7223238807538867E-2</v>
      </c>
      <c r="E21" s="16">
        <f>Mat_com!E21/'Mat_com_%'!$J21</f>
        <v>3.8241428538772743E-2</v>
      </c>
      <c r="F21" s="16">
        <f>Mat_com!F21/'Mat_com_%'!$J21</f>
        <v>4.880890726475421E-2</v>
      </c>
      <c r="G21" s="16">
        <f>Mat_com!G21/'Mat_com_%'!$J21</f>
        <v>6.48644688650023E-2</v>
      </c>
      <c r="H21" s="16">
        <f>Mat_com!H21/'Mat_com_%'!$J21</f>
        <v>0.10018670438554812</v>
      </c>
      <c r="I21" s="16">
        <f>Mat_com!I21/'Mat_com_%'!$J21</f>
        <v>0.1627170585121531</v>
      </c>
      <c r="J21" s="22">
        <v>1712.8021233200002</v>
      </c>
    </row>
    <row r="22" spans="1:10">
      <c r="A22" t="str">
        <f>Mat_com!A22</f>
        <v>BEV van/SUV</v>
      </c>
      <c r="B22" s="16">
        <f>B21</f>
        <v>0.56795819362623079</v>
      </c>
      <c r="C22" s="16">
        <f t="shared" ref="C22:I23" si="13">C21</f>
        <v>0</v>
      </c>
      <c r="D22" s="16">
        <f t="shared" si="13"/>
        <v>1.7223238807538867E-2</v>
      </c>
      <c r="E22" s="16">
        <f t="shared" si="13"/>
        <v>3.8241428538772743E-2</v>
      </c>
      <c r="F22" s="16">
        <f t="shared" si="13"/>
        <v>4.880890726475421E-2</v>
      </c>
      <c r="G22" s="16">
        <f t="shared" si="13"/>
        <v>6.48644688650023E-2</v>
      </c>
      <c r="H22" s="16">
        <f t="shared" si="13"/>
        <v>0.10018670438554812</v>
      </c>
      <c r="I22" s="16">
        <f t="shared" si="13"/>
        <v>0.1627170585121531</v>
      </c>
      <c r="J22" s="22">
        <v>2187.2739020299996</v>
      </c>
    </row>
    <row r="23" spans="1:10">
      <c r="A23" t="str">
        <f>Mat_com!A23</f>
        <v>BEV LT</v>
      </c>
      <c r="B23" s="16">
        <f>B22</f>
        <v>0.56795819362623079</v>
      </c>
      <c r="C23" s="16">
        <f t="shared" si="13"/>
        <v>0</v>
      </c>
      <c r="D23" s="16">
        <f t="shared" si="13"/>
        <v>1.7223238807538867E-2</v>
      </c>
      <c r="E23" s="16">
        <f t="shared" si="13"/>
        <v>3.8241428538772743E-2</v>
      </c>
      <c r="F23" s="16">
        <f t="shared" si="13"/>
        <v>4.880890726475421E-2</v>
      </c>
      <c r="G23" s="16">
        <f t="shared" si="13"/>
        <v>6.48644688650023E-2</v>
      </c>
      <c r="H23" s="16">
        <f t="shared" si="13"/>
        <v>0.10018670438554812</v>
      </c>
      <c r="I23" s="16">
        <f t="shared" si="13"/>
        <v>0.1627170585121531</v>
      </c>
      <c r="J23" s="22">
        <v>2647.2649999999999</v>
      </c>
    </row>
    <row r="24" spans="1:10">
      <c r="A24" t="str">
        <f>Mat_com!A24</f>
        <v>HFCEV micro</v>
      </c>
      <c r="B24" s="16">
        <f>B25</f>
        <v>0.56662697816995045</v>
      </c>
      <c r="C24" s="16">
        <f t="shared" ref="C24:I24" si="14">C25</f>
        <v>3.1204947357459146E-2</v>
      </c>
      <c r="D24" s="16">
        <f t="shared" si="14"/>
        <v>1.9888867546512423E-2</v>
      </c>
      <c r="E24" s="16">
        <f t="shared" si="14"/>
        <v>2.1809171999279141E-2</v>
      </c>
      <c r="F24" s="16">
        <f t="shared" si="14"/>
        <v>3.312525181022586E-2</v>
      </c>
      <c r="G24" s="16">
        <f t="shared" si="14"/>
        <v>3.2850922602687758E-2</v>
      </c>
      <c r="H24" s="16">
        <f t="shared" si="14"/>
        <v>0.11967611678849716</v>
      </c>
      <c r="I24" s="16">
        <f t="shared" si="14"/>
        <v>0.17481774372538803</v>
      </c>
      <c r="J24" s="22">
        <v>817.22083399999997</v>
      </c>
    </row>
    <row r="25" spans="1:10">
      <c r="A25" t="str">
        <f>Mat_com!A25</f>
        <v>HFCEV PC</v>
      </c>
      <c r="B25" s="16">
        <f>Mat_com!B25/'Mat_com_%'!$J25</f>
        <v>0.56662697816995045</v>
      </c>
      <c r="C25" s="16">
        <f>Mat_com!C25/'Mat_com_%'!$J25</f>
        <v>3.1204947357459146E-2</v>
      </c>
      <c r="D25" s="16">
        <f>Mat_com!D25/'Mat_com_%'!$J25</f>
        <v>1.9888867546512423E-2</v>
      </c>
      <c r="E25" s="16">
        <f>Mat_com!E25/'Mat_com_%'!$J25</f>
        <v>2.1809171999279141E-2</v>
      </c>
      <c r="F25" s="16">
        <f>Mat_com!F25/'Mat_com_%'!$J25</f>
        <v>3.312525181022586E-2</v>
      </c>
      <c r="G25" s="16">
        <f>Mat_com!G25/'Mat_com_%'!$J25</f>
        <v>3.2850922602687758E-2</v>
      </c>
      <c r="H25" s="16">
        <f>Mat_com!H25/'Mat_com_%'!$J25</f>
        <v>0.11967611678849716</v>
      </c>
      <c r="I25" s="16">
        <f>Mat_com!I25/'Mat_com_%'!$J25</f>
        <v>0.17481774372538803</v>
      </c>
      <c r="J25" s="22">
        <v>1458.1021233199999</v>
      </c>
    </row>
    <row r="26" spans="1:10">
      <c r="A26" t="str">
        <f>Mat_com!A26</f>
        <v>HFCEV van/SUV</v>
      </c>
      <c r="B26" s="16">
        <f>B25</f>
        <v>0.56662697816995045</v>
      </c>
      <c r="C26" s="16">
        <f t="shared" ref="C26:I26" si="15">C25</f>
        <v>3.1204947357459146E-2</v>
      </c>
      <c r="D26" s="16">
        <f t="shared" si="15"/>
        <v>1.9888867546512423E-2</v>
      </c>
      <c r="E26" s="16">
        <f t="shared" si="15"/>
        <v>2.1809171999279141E-2</v>
      </c>
      <c r="F26" s="16">
        <f t="shared" si="15"/>
        <v>3.312525181022586E-2</v>
      </c>
      <c r="G26" s="16">
        <f t="shared" si="15"/>
        <v>3.2850922602687758E-2</v>
      </c>
      <c r="H26" s="16">
        <f t="shared" si="15"/>
        <v>0.11967611678849716</v>
      </c>
      <c r="I26" s="16">
        <f t="shared" si="15"/>
        <v>0.17481774372538803</v>
      </c>
      <c r="J26" s="22">
        <v>1915.1296299999999</v>
      </c>
    </row>
    <row r="27" spans="1:10">
      <c r="A27" t="str">
        <f>Mat_com!A27</f>
        <v>HFCEV LT</v>
      </c>
      <c r="B27" s="16">
        <f>B25</f>
        <v>0.56662697816995045</v>
      </c>
      <c r="C27" s="16">
        <f t="shared" ref="C27:I27" si="16">C25</f>
        <v>3.1204947357459146E-2</v>
      </c>
      <c r="D27" s="16">
        <f t="shared" si="16"/>
        <v>1.9888867546512423E-2</v>
      </c>
      <c r="E27" s="16">
        <f t="shared" si="16"/>
        <v>2.1809171999279141E-2</v>
      </c>
      <c r="F27" s="16">
        <f t="shared" si="16"/>
        <v>3.312525181022586E-2</v>
      </c>
      <c r="G27" s="16">
        <f t="shared" si="16"/>
        <v>3.2850922602687758E-2</v>
      </c>
      <c r="H27" s="16">
        <f t="shared" si="16"/>
        <v>0.11967611678849716</v>
      </c>
      <c r="I27" s="16">
        <f t="shared" si="16"/>
        <v>0.17481774372538803</v>
      </c>
      <c r="J27" s="22">
        <v>2346.7150000000001</v>
      </c>
    </row>
    <row r="28" spans="1:10">
      <c r="A28" t="str">
        <f>Mat_com!A28</f>
        <v>ICEV-g micro LW</v>
      </c>
      <c r="B28" s="16">
        <v>0.3116740203489215</v>
      </c>
      <c r="C28" s="16">
        <v>1.0671809929403609E-2</v>
      </c>
      <c r="D28" s="16">
        <v>3.6589062615098089E-2</v>
      </c>
      <c r="E28" s="16">
        <v>0.23058732168889939</v>
      </c>
      <c r="F28" s="16">
        <v>0.16931969861205545</v>
      </c>
      <c r="G28" s="16">
        <v>2.9823897391994016E-2</v>
      </c>
      <c r="H28" s="16">
        <v>0.1328259200141842</v>
      </c>
      <c r="I28" s="16">
        <v>7.8508269399443734E-2</v>
      </c>
      <c r="J28" s="22">
        <v>590.57000000000005</v>
      </c>
    </row>
    <row r="29" spans="1:10">
      <c r="A29" t="str">
        <f>Mat_com!A29</f>
        <v>ICEV-g PC LW</v>
      </c>
      <c r="B29" s="16">
        <v>0.3116740203489215</v>
      </c>
      <c r="C29" s="16">
        <v>1.0671809929403609E-2</v>
      </c>
      <c r="D29" s="16">
        <v>3.6589062615098089E-2</v>
      </c>
      <c r="E29" s="16">
        <v>0.23058732168889939</v>
      </c>
      <c r="F29" s="16">
        <v>0.16931969861205545</v>
      </c>
      <c r="G29" s="16">
        <v>2.9823897391994016E-2</v>
      </c>
      <c r="H29" s="16">
        <v>0.1328259200141842</v>
      </c>
      <c r="I29" s="16">
        <v>7.8508269399443734E-2</v>
      </c>
      <c r="J29" s="22">
        <v>1049.4939540800001</v>
      </c>
    </row>
    <row r="30" spans="1:10">
      <c r="A30" t="str">
        <f>Mat_com!A30</f>
        <v>ICEV-g van/SUV LW</v>
      </c>
      <c r="B30" s="16">
        <v>0.3116740203489215</v>
      </c>
      <c r="C30" s="16">
        <v>1.0671809929403609E-2</v>
      </c>
      <c r="D30" s="16">
        <v>3.6589062615098089E-2</v>
      </c>
      <c r="E30" s="16">
        <v>0.23058732168889939</v>
      </c>
      <c r="F30" s="16">
        <v>0.16931969861205545</v>
      </c>
      <c r="G30" s="16">
        <v>2.9823897391994016E-2</v>
      </c>
      <c r="H30" s="16">
        <v>0.1328259200141842</v>
      </c>
      <c r="I30" s="16">
        <v>7.8508269399443734E-2</v>
      </c>
      <c r="J30" s="22">
        <v>1385.817</v>
      </c>
    </row>
    <row r="31" spans="1:10">
      <c r="A31" t="str">
        <f>Mat_com!A31</f>
        <v>ICEV-g LT LW</v>
      </c>
      <c r="B31" s="16">
        <v>0.3116740203489215</v>
      </c>
      <c r="C31" s="16">
        <v>1.0671809929403609E-2</v>
      </c>
      <c r="D31" s="16">
        <v>3.6589062615098089E-2</v>
      </c>
      <c r="E31" s="16">
        <v>0.23058732168889939</v>
      </c>
      <c r="F31" s="16">
        <v>0.16931969861205545</v>
      </c>
      <c r="G31" s="16">
        <v>2.9823897391994016E-2</v>
      </c>
      <c r="H31" s="16">
        <v>0.1328259200141842</v>
      </c>
      <c r="I31" s="16">
        <v>7.8508269399443734E-2</v>
      </c>
      <c r="J31" s="22">
        <v>1648.3375000000001</v>
      </c>
    </row>
    <row r="32" spans="1:10">
      <c r="A32" t="str">
        <f>Mat_com!A32</f>
        <v>ICEV-d micro LW</v>
      </c>
      <c r="B32" s="16">
        <v>0.31177662362532582</v>
      </c>
      <c r="C32" s="16">
        <v>1.0611674237849946E-2</v>
      </c>
      <c r="D32" s="16">
        <v>3.6624362413818397E-2</v>
      </c>
      <c r="E32" s="16">
        <v>0.23073348320705586</v>
      </c>
      <c r="F32" s="16">
        <v>0.16941115331930354</v>
      </c>
      <c r="G32" s="16">
        <v>2.9862941660498077E-2</v>
      </c>
      <c r="H32" s="16">
        <v>0.13288069952705905</v>
      </c>
      <c r="I32" s="16">
        <v>7.8099062009089379E-2</v>
      </c>
      <c r="J32" s="22">
        <v>600.70677000000001</v>
      </c>
    </row>
    <row r="33" spans="1:10">
      <c r="A33" t="str">
        <f>Mat_com!A33</f>
        <v>ICEV-d PC LW</v>
      </c>
      <c r="B33" s="16">
        <v>0.31177662362532582</v>
      </c>
      <c r="C33" s="16">
        <v>1.0611674237849946E-2</v>
      </c>
      <c r="D33" s="16">
        <v>3.6624362413818397E-2</v>
      </c>
      <c r="E33" s="16">
        <v>0.23073348320705586</v>
      </c>
      <c r="F33" s="16">
        <v>0.16941115331930354</v>
      </c>
      <c r="G33" s="16">
        <v>2.9862941660498077E-2</v>
      </c>
      <c r="H33" s="16">
        <v>0.13288069952705905</v>
      </c>
      <c r="I33" s="16">
        <v>7.8099062009089379E-2</v>
      </c>
      <c r="J33" s="22">
        <v>1064.86495408</v>
      </c>
    </row>
    <row r="34" spans="1:10">
      <c r="A34" t="str">
        <f>Mat_com!A34</f>
        <v>ICEV-d van/SUV LW</v>
      </c>
      <c r="B34" s="16">
        <v>0.31177662362532582</v>
      </c>
      <c r="C34" s="16">
        <v>1.0611674237849946E-2</v>
      </c>
      <c r="D34" s="16">
        <v>3.6624362413818397E-2</v>
      </c>
      <c r="E34" s="16">
        <v>0.23073348320705586</v>
      </c>
      <c r="F34" s="16">
        <v>0.16941115331930354</v>
      </c>
      <c r="G34" s="16">
        <v>2.9862941660498077E-2</v>
      </c>
      <c r="H34" s="16">
        <v>0.13288069952705905</v>
      </c>
      <c r="I34" s="16">
        <v>7.8099062009089379E-2</v>
      </c>
      <c r="J34" s="22">
        <v>1404.1813</v>
      </c>
    </row>
    <row r="35" spans="1:10">
      <c r="A35" t="str">
        <f>Mat_com!A35</f>
        <v>ICEV-d LT LW</v>
      </c>
      <c r="B35" s="16">
        <v>0.31177662362532582</v>
      </c>
      <c r="C35" s="16">
        <v>1.0611674237849946E-2</v>
      </c>
      <c r="D35" s="16">
        <v>3.6624362413818397E-2</v>
      </c>
      <c r="E35" s="16">
        <v>0.23073348320705586</v>
      </c>
      <c r="F35" s="16">
        <v>0.16941115331930354</v>
      </c>
      <c r="G35" s="16">
        <v>2.9862941660498077E-2</v>
      </c>
      <c r="H35" s="16">
        <v>0.13288069952705905</v>
      </c>
      <c r="I35" s="16">
        <v>7.8099062009089379E-2</v>
      </c>
      <c r="J35" s="22">
        <v>1675.0345000000002</v>
      </c>
    </row>
    <row r="36" spans="1:10">
      <c r="A36" t="str">
        <f>Mat_com!A36</f>
        <v>HEV micro LW</v>
      </c>
      <c r="B36" s="16">
        <v>0.3356468365579619</v>
      </c>
      <c r="C36" s="16">
        <v>8.318045241496333E-3</v>
      </c>
      <c r="D36" s="16">
        <v>3.7933942584845913E-2</v>
      </c>
      <c r="E36" s="16">
        <v>0.21380118483362553</v>
      </c>
      <c r="F36" s="16">
        <v>0.16581246228653129</v>
      </c>
      <c r="G36" s="16">
        <v>4.5794952373512783E-2</v>
      </c>
      <c r="H36" s="16">
        <v>0.12120580209037514</v>
      </c>
      <c r="I36" s="16">
        <v>7.1486774031651018E-2</v>
      </c>
      <c r="J36" s="22">
        <v>627.33515052000007</v>
      </c>
    </row>
    <row r="37" spans="1:10">
      <c r="A37" t="str">
        <f>Mat_com!A37</f>
        <v>HEV PC LW</v>
      </c>
      <c r="B37" s="16">
        <v>0.3356468365579619</v>
      </c>
      <c r="C37" s="16">
        <v>8.318045241496333E-3</v>
      </c>
      <c r="D37" s="16">
        <v>3.7933942584845913E-2</v>
      </c>
      <c r="E37" s="16">
        <v>0.21380118483362553</v>
      </c>
      <c r="F37" s="16">
        <v>0.16581246228653129</v>
      </c>
      <c r="G37" s="16">
        <v>4.5794952373512783E-2</v>
      </c>
      <c r="H37" s="16">
        <v>0.12120580209037514</v>
      </c>
      <c r="I37" s="16">
        <v>7.1486774031651018E-2</v>
      </c>
      <c r="J37" s="22">
        <v>1094.0070336000001</v>
      </c>
    </row>
    <row r="38" spans="1:10">
      <c r="A38" t="str">
        <f>Mat_com!A38</f>
        <v>HEV van/SUV LW</v>
      </c>
      <c r="B38" s="16">
        <v>0.3356468365579619</v>
      </c>
      <c r="C38" s="16">
        <v>8.318045241496333E-3</v>
      </c>
      <c r="D38" s="16">
        <v>3.7933942584845913E-2</v>
      </c>
      <c r="E38" s="16">
        <v>0.21380118483362553</v>
      </c>
      <c r="F38" s="16">
        <v>0.16581246228653129</v>
      </c>
      <c r="G38" s="16">
        <v>4.5794952373512783E-2</v>
      </c>
      <c r="H38" s="16">
        <v>0.12120580209037514</v>
      </c>
      <c r="I38" s="16">
        <v>7.1486774031651018E-2</v>
      </c>
      <c r="J38" s="22">
        <v>1432.1421114</v>
      </c>
    </row>
    <row r="39" spans="1:10">
      <c r="A39" t="str">
        <f>Mat_com!A39</f>
        <v>HEV LT LW</v>
      </c>
      <c r="B39" s="16">
        <v>0.3356468365579619</v>
      </c>
      <c r="C39" s="16">
        <v>8.318045241496333E-3</v>
      </c>
      <c r="D39" s="16">
        <v>3.7933942584845913E-2</v>
      </c>
      <c r="E39" s="16">
        <v>0.21380118483362553</v>
      </c>
      <c r="F39" s="16">
        <v>0.16581246228653129</v>
      </c>
      <c r="G39" s="16">
        <v>4.5794952373512783E-2</v>
      </c>
      <c r="H39" s="16">
        <v>0.12120580209037514</v>
      </c>
      <c r="I39" s="16">
        <v>7.1486774031651018E-2</v>
      </c>
      <c r="J39" s="22">
        <v>1723.761</v>
      </c>
    </row>
    <row r="40" spans="1:10">
      <c r="A40" t="str">
        <f>Mat_com!A40</f>
        <v>PHEV micro LW</v>
      </c>
      <c r="B40" s="16">
        <v>0.31128726253257405</v>
      </c>
      <c r="C40" s="16">
        <v>7.3328226163950211E-3</v>
      </c>
      <c r="D40" s="16">
        <v>3.2818852441670404E-2</v>
      </c>
      <c r="E40" s="16">
        <v>0.20174204661691669</v>
      </c>
      <c r="F40" s="16">
        <v>0.16176922089095847</v>
      </c>
      <c r="G40" s="16">
        <v>5.5175018955069856E-2</v>
      </c>
      <c r="H40" s="16">
        <v>0.10793557192669258</v>
      </c>
      <c r="I40" s="16">
        <v>0.1219392040197229</v>
      </c>
      <c r="J40" s="22">
        <v>647.69814070666666</v>
      </c>
    </row>
    <row r="41" spans="1:10">
      <c r="A41" t="str">
        <f>Mat_com!A41</f>
        <v>PHEV PC LW</v>
      </c>
      <c r="B41" s="16">
        <v>0.31128726253257405</v>
      </c>
      <c r="C41" s="16">
        <v>7.3328226163950211E-3</v>
      </c>
      <c r="D41" s="16">
        <v>3.2818852441670404E-2</v>
      </c>
      <c r="E41" s="16">
        <v>0.20174204661691669</v>
      </c>
      <c r="F41" s="16">
        <v>0.16176922089095847</v>
      </c>
      <c r="G41" s="16">
        <v>5.5175018955069856E-2</v>
      </c>
      <c r="H41" s="16">
        <v>0.10793557192669258</v>
      </c>
      <c r="I41" s="16">
        <v>0.1219392040197229</v>
      </c>
      <c r="J41" s="22">
        <v>1118.2596973866664</v>
      </c>
    </row>
    <row r="42" spans="1:10">
      <c r="A42" t="str">
        <f>Mat_com!A42</f>
        <v>PHEV van/SUV LW</v>
      </c>
      <c r="B42" s="16">
        <v>0.31128726253257405</v>
      </c>
      <c r="C42" s="16">
        <v>7.3328226163950211E-3</v>
      </c>
      <c r="D42" s="16">
        <v>3.2818852441670404E-2</v>
      </c>
      <c r="E42" s="16">
        <v>0.20174204661691669</v>
      </c>
      <c r="F42" s="16">
        <v>0.16176922089095847</v>
      </c>
      <c r="G42" s="16">
        <v>5.5175018955069856E-2</v>
      </c>
      <c r="H42" s="16">
        <v>0.10793557192669258</v>
      </c>
      <c r="I42" s="16">
        <v>0.1219392040197229</v>
      </c>
      <c r="J42" s="22">
        <v>1458.2123077999997</v>
      </c>
    </row>
    <row r="43" spans="1:10">
      <c r="A43" t="str">
        <f>Mat_com!A43</f>
        <v>PHEV LT LW</v>
      </c>
      <c r="B43" s="16">
        <v>0.31128726253257405</v>
      </c>
      <c r="C43" s="16">
        <v>7.3328226163950211E-3</v>
      </c>
      <c r="D43" s="16">
        <v>3.2818852441670404E-2</v>
      </c>
      <c r="E43" s="16">
        <v>0.20174204661691669</v>
      </c>
      <c r="F43" s="16">
        <v>0.16176922089095847</v>
      </c>
      <c r="G43" s="16">
        <v>5.5175018955069856E-2</v>
      </c>
      <c r="H43" s="16">
        <v>0.10793557192669258</v>
      </c>
      <c r="I43" s="16">
        <v>0.1219392040197229</v>
      </c>
      <c r="J43" s="22">
        <v>1760.1346666666666</v>
      </c>
    </row>
    <row r="44" spans="1:10">
      <c r="A44" t="str">
        <f>Mat_com!A44</f>
        <v>BEV micro LW</v>
      </c>
      <c r="B44" s="16">
        <v>0.19124950565323112</v>
      </c>
      <c r="C44" s="16">
        <v>0</v>
      </c>
      <c r="D44" s="16">
        <v>2.6881223307683309E-2</v>
      </c>
      <c r="E44" s="16">
        <v>0.25125086082997977</v>
      </c>
      <c r="F44" s="16">
        <v>0.17099230871936089</v>
      </c>
      <c r="G44" s="16">
        <v>7.8024868798519165E-2</v>
      </c>
      <c r="H44" s="16">
        <v>0.13217243322631678</v>
      </c>
      <c r="I44" s="16">
        <v>0.149428799464909</v>
      </c>
      <c r="J44" s="22">
        <v>791.18300920600007</v>
      </c>
    </row>
    <row r="45" spans="1:10">
      <c r="A45" t="str">
        <f>Mat_com!A45</f>
        <v>BEV PC LW</v>
      </c>
      <c r="B45" s="16">
        <v>0.19124950565323112</v>
      </c>
      <c r="C45" s="16">
        <v>0</v>
      </c>
      <c r="D45" s="16">
        <v>2.6881223307683309E-2</v>
      </c>
      <c r="E45" s="16">
        <v>0.25125086082997977</v>
      </c>
      <c r="F45" s="16">
        <v>0.17099230871936089</v>
      </c>
      <c r="G45" s="16">
        <v>7.8024868798519165E-2</v>
      </c>
      <c r="H45" s="16">
        <v>0.13217243322631678</v>
      </c>
      <c r="I45" s="16">
        <v>0.149428799464909</v>
      </c>
      <c r="J45" s="22">
        <v>1298.3040094765602</v>
      </c>
    </row>
    <row r="46" spans="1:10">
      <c r="A46" t="str">
        <f>Mat_com!A46</f>
        <v>BEV van/SUV LW</v>
      </c>
      <c r="B46" s="16">
        <v>0.19124950565323112</v>
      </c>
      <c r="C46" s="16">
        <v>0</v>
      </c>
      <c r="D46" s="16">
        <v>2.6881223307683309E-2</v>
      </c>
      <c r="E46" s="16">
        <v>0.25125086082997977</v>
      </c>
      <c r="F46" s="16">
        <v>0.17099230871936089</v>
      </c>
      <c r="G46" s="16">
        <v>7.8024868798519165E-2</v>
      </c>
      <c r="H46" s="16">
        <v>0.13217243322631678</v>
      </c>
      <c r="I46" s="16">
        <v>0.149428799464909</v>
      </c>
      <c r="J46" s="22">
        <v>1657.9536177387397</v>
      </c>
    </row>
    <row r="47" spans="1:10">
      <c r="A47" t="str">
        <f>Mat_com!A47</f>
        <v>BEV LT LW</v>
      </c>
      <c r="B47" s="16">
        <v>0.19124950565323112</v>
      </c>
      <c r="C47" s="16">
        <v>0</v>
      </c>
      <c r="D47" s="16">
        <v>2.6881223307683309E-2</v>
      </c>
      <c r="E47" s="16">
        <v>0.25125086082997977</v>
      </c>
      <c r="F47" s="16">
        <v>0.17099230871936089</v>
      </c>
      <c r="G47" s="16">
        <v>7.8024868798519165E-2</v>
      </c>
      <c r="H47" s="16">
        <v>0.13217243322631678</v>
      </c>
      <c r="I47" s="16">
        <v>0.149428799464909</v>
      </c>
      <c r="J47" s="22">
        <v>2006.6268699999998</v>
      </c>
    </row>
    <row r="48" spans="1:10">
      <c r="A48" t="str">
        <f>Mat_com!A48</f>
        <v>HFCEV micro LW</v>
      </c>
      <c r="B48" s="16">
        <v>0.22112893621910609</v>
      </c>
      <c r="C48" s="16">
        <v>1.7929373206954549E-2</v>
      </c>
      <c r="D48" s="16">
        <v>3.3899252074351224E-2</v>
      </c>
      <c r="E48" s="16">
        <v>0.3021540271598242</v>
      </c>
      <c r="F48" s="16">
        <v>0.1795876562204792</v>
      </c>
      <c r="G48" s="16">
        <v>4.7811661885212131E-2</v>
      </c>
      <c r="H48" s="16">
        <v>0.1432390362216806</v>
      </c>
      <c r="I48" s="16">
        <v>5.4250057012392001E-2</v>
      </c>
      <c r="J48" s="22">
        <v>572.05458379999993</v>
      </c>
    </row>
    <row r="49" spans="1:10">
      <c r="A49" t="str">
        <f>Mat_com!A49</f>
        <v>HFCEV PC LW</v>
      </c>
      <c r="B49" s="16">
        <v>0.22112893621910609</v>
      </c>
      <c r="C49" s="16">
        <v>1.7929373206954549E-2</v>
      </c>
      <c r="D49" s="16">
        <v>3.3899252074351224E-2</v>
      </c>
      <c r="E49" s="16">
        <v>0.3021540271598242</v>
      </c>
      <c r="F49" s="16">
        <v>0.1795876562204792</v>
      </c>
      <c r="G49" s="16">
        <v>4.7811661885212131E-2</v>
      </c>
      <c r="H49" s="16">
        <v>0.1432390362216806</v>
      </c>
      <c r="I49" s="16">
        <v>5.4250057012392001E-2</v>
      </c>
      <c r="J49" s="22">
        <v>1020.6714863239998</v>
      </c>
    </row>
    <row r="50" spans="1:10">
      <c r="A50" t="str">
        <f>Mat_com!A50</f>
        <v>HFCEV van/SUV LW</v>
      </c>
      <c r="B50" s="16">
        <v>0.22112893621910609</v>
      </c>
      <c r="C50" s="16">
        <v>1.7929373206954549E-2</v>
      </c>
      <c r="D50" s="16">
        <v>3.3899252074351224E-2</v>
      </c>
      <c r="E50" s="16">
        <v>0.3021540271598242</v>
      </c>
      <c r="F50" s="16">
        <v>0.1795876562204792</v>
      </c>
      <c r="G50" s="16">
        <v>4.7811661885212131E-2</v>
      </c>
      <c r="H50" s="16">
        <v>0.1432390362216806</v>
      </c>
      <c r="I50" s="16">
        <v>5.4250057012392001E-2</v>
      </c>
      <c r="J50" s="22">
        <v>1340.5907409999998</v>
      </c>
    </row>
    <row r="51" spans="1:10">
      <c r="A51" t="str">
        <f>Mat_com!A51</f>
        <v>HFCEV LT LW</v>
      </c>
      <c r="B51" s="16">
        <v>0.22112893621910609</v>
      </c>
      <c r="C51" s="16">
        <v>1.7929373206954549E-2</v>
      </c>
      <c r="D51" s="16">
        <v>3.3899252074351224E-2</v>
      </c>
      <c r="E51" s="16">
        <v>0.3021540271598242</v>
      </c>
      <c r="F51" s="16">
        <v>0.1795876562204792</v>
      </c>
      <c r="G51" s="16">
        <v>4.7811661885212131E-2</v>
      </c>
      <c r="H51" s="16">
        <v>0.1432390362216806</v>
      </c>
      <c r="I51" s="16">
        <v>5.4250057012392001E-2</v>
      </c>
      <c r="J51" s="22">
        <v>1642.7004999999999</v>
      </c>
    </row>
    <row r="52" spans="1:10">
      <c r="B52" s="8"/>
      <c r="C52" s="8"/>
      <c r="D52" s="8"/>
      <c r="E52" s="8"/>
      <c r="F52" s="8"/>
      <c r="G52" s="8"/>
      <c r="H52" s="8"/>
      <c r="I52" s="8"/>
      <c r="J52" s="8"/>
    </row>
    <row r="53" spans="1:10">
      <c r="B53" s="8"/>
      <c r="C53" s="8"/>
      <c r="D53" s="8"/>
      <c r="E53" s="8"/>
      <c r="F53" s="8"/>
      <c r="G53" s="8"/>
      <c r="H53" s="8"/>
      <c r="I53" s="8"/>
      <c r="J53" s="8"/>
    </row>
    <row r="54" spans="1:10">
      <c r="B54" s="8"/>
      <c r="C54" s="8"/>
      <c r="D54" s="8"/>
      <c r="E54" s="8"/>
      <c r="F54" s="8"/>
      <c r="G54" s="8"/>
      <c r="H54" s="8"/>
      <c r="I54" s="8"/>
      <c r="J54" s="8"/>
    </row>
    <row r="55" spans="1:10">
      <c r="B55" s="8"/>
      <c r="C55" s="8"/>
      <c r="D55" s="8"/>
      <c r="E55" s="8"/>
      <c r="F55" s="8"/>
      <c r="G55" s="8"/>
      <c r="H55" s="8"/>
      <c r="I55" s="8"/>
      <c r="J55" s="8"/>
    </row>
    <row r="56" spans="1:10">
      <c r="B56" s="8"/>
      <c r="C56" s="8"/>
      <c r="D56" s="8"/>
      <c r="E56" s="8"/>
      <c r="F56" s="8"/>
      <c r="G56" s="8"/>
      <c r="H56" s="8"/>
      <c r="I56" s="8"/>
      <c r="J56" s="8"/>
    </row>
    <row r="57" spans="1:10">
      <c r="B57" s="8"/>
      <c r="C57" s="8"/>
      <c r="D57" s="8"/>
      <c r="E57" s="8"/>
      <c r="F57" s="8"/>
      <c r="G57" s="8"/>
      <c r="H57" s="8"/>
      <c r="I57" s="8"/>
      <c r="J57" s="8"/>
    </row>
    <row r="58" spans="1:10">
      <c r="B58" s="8"/>
      <c r="C58" s="8"/>
      <c r="D58" s="8"/>
      <c r="E58" s="8"/>
      <c r="F58" s="8"/>
      <c r="G58" s="8"/>
      <c r="H58" s="8"/>
      <c r="I58" s="8"/>
      <c r="J58" s="8"/>
    </row>
    <row r="59" spans="1:10">
      <c r="B59" s="8"/>
      <c r="C59" s="8"/>
      <c r="D59" s="8"/>
      <c r="E59" s="8"/>
      <c r="F59" s="8"/>
      <c r="G59" s="8"/>
      <c r="H59" s="8"/>
      <c r="I59" s="8"/>
      <c r="J59" s="8"/>
    </row>
    <row r="60" spans="1:10">
      <c r="B60" s="8"/>
      <c r="C60" s="8"/>
      <c r="D60" s="8"/>
      <c r="E60" s="8"/>
      <c r="F60" s="8"/>
      <c r="G60" s="8"/>
      <c r="H60" s="8"/>
      <c r="I60" s="8"/>
      <c r="J60" s="8"/>
    </row>
    <row r="61" spans="1:10">
      <c r="B61" s="8"/>
      <c r="C61" s="8"/>
      <c r="D61" s="8"/>
      <c r="E61" s="8"/>
      <c r="F61" s="8"/>
      <c r="G61" s="8"/>
      <c r="H61" s="8"/>
      <c r="I61" s="8"/>
      <c r="J61" s="8"/>
    </row>
    <row r="62" spans="1:10">
      <c r="B62" s="8"/>
      <c r="C62" s="8"/>
      <c r="D62" s="8"/>
      <c r="E62" s="8"/>
      <c r="F62" s="8"/>
      <c r="G62" s="8"/>
      <c r="H62" s="8"/>
      <c r="I62" s="8"/>
      <c r="J62" s="8"/>
    </row>
    <row r="63" spans="1:10">
      <c r="B63" s="8"/>
      <c r="C63" s="8"/>
      <c r="D63" s="8"/>
      <c r="E63" s="8"/>
      <c r="F63" s="8"/>
      <c r="G63" s="8"/>
      <c r="H63" s="8"/>
      <c r="I63" s="8"/>
      <c r="J63" s="8"/>
    </row>
    <row r="64" spans="1:10">
      <c r="B64" s="8"/>
      <c r="C64" s="8"/>
      <c r="D64" s="8"/>
      <c r="E64" s="8"/>
      <c r="F64" s="8"/>
      <c r="G64" s="8"/>
      <c r="H64" s="8"/>
      <c r="I64" s="8"/>
      <c r="J64" s="8"/>
    </row>
    <row r="65" spans="2:10">
      <c r="B65" s="8"/>
      <c r="C65" s="8"/>
      <c r="D65" s="8"/>
      <c r="E65" s="8"/>
      <c r="F65" s="8"/>
      <c r="G65" s="8"/>
      <c r="H65" s="8"/>
      <c r="I65" s="8"/>
      <c r="J65" s="8"/>
    </row>
    <row r="66" spans="2:10">
      <c r="B66" s="8"/>
      <c r="C66" s="8"/>
      <c r="D66" s="8"/>
      <c r="E66" s="8"/>
      <c r="F66" s="8"/>
      <c r="G66" s="8"/>
      <c r="H66" s="8"/>
      <c r="I66" s="8"/>
      <c r="J66" s="8"/>
    </row>
    <row r="67" spans="2:10">
      <c r="B67" s="8"/>
      <c r="C67" s="8"/>
      <c r="D67" s="8"/>
      <c r="E67" s="8"/>
      <c r="F67" s="8"/>
      <c r="G67" s="8"/>
      <c r="H67" s="8"/>
      <c r="I67" s="8"/>
      <c r="J67" s="8"/>
    </row>
    <row r="68" spans="2:10">
      <c r="B68" s="8"/>
      <c r="C68" s="8"/>
      <c r="D68" s="8"/>
      <c r="E68" s="8"/>
      <c r="F68" s="8"/>
      <c r="G68" s="8"/>
      <c r="H68" s="8"/>
      <c r="I68" s="8"/>
      <c r="J68" s="8"/>
    </row>
    <row r="69" spans="2:10">
      <c r="B69" s="8"/>
      <c r="C69" s="8"/>
      <c r="D69" s="8"/>
      <c r="E69" s="8"/>
      <c r="F69" s="8"/>
      <c r="G69" s="8"/>
      <c r="H69" s="8"/>
      <c r="I69" s="8"/>
      <c r="J69" s="8"/>
    </row>
    <row r="70" spans="2:10">
      <c r="B70" s="8"/>
      <c r="C70" s="8"/>
      <c r="D70" s="8"/>
      <c r="E70" s="8"/>
      <c r="F70" s="8"/>
      <c r="G70" s="8"/>
      <c r="H70" s="8"/>
      <c r="I70" s="8"/>
      <c r="J70" s="8"/>
    </row>
    <row r="71" spans="2:10">
      <c r="B71" s="8"/>
      <c r="C71" s="8"/>
      <c r="D71" s="8"/>
      <c r="E71" s="8"/>
      <c r="F71" s="8"/>
      <c r="G71" s="8"/>
      <c r="H71" s="8"/>
      <c r="I71" s="8"/>
      <c r="J71" s="8"/>
    </row>
    <row r="72" spans="2:10">
      <c r="B72" s="8"/>
      <c r="C72" s="8"/>
      <c r="D72" s="8"/>
      <c r="E72" s="8"/>
      <c r="F72" s="8"/>
      <c r="G72" s="8"/>
      <c r="H72" s="8"/>
      <c r="I72" s="8"/>
      <c r="J72" s="8"/>
    </row>
    <row r="73" spans="2:10">
      <c r="B73" s="8"/>
      <c r="C73" s="8"/>
      <c r="D73" s="8"/>
      <c r="E73" s="8"/>
      <c r="F73" s="8"/>
      <c r="G73" s="8"/>
      <c r="H73" s="8"/>
      <c r="I73" s="8"/>
      <c r="J73" s="8"/>
    </row>
    <row r="74" spans="2:10">
      <c r="B74" s="8"/>
      <c r="C74" s="8"/>
      <c r="D74" s="8"/>
      <c r="E74" s="8"/>
      <c r="F74" s="8"/>
      <c r="G74" s="8"/>
      <c r="H74" s="8"/>
      <c r="I74" s="8"/>
      <c r="J74" s="8"/>
    </row>
    <row r="196" spans="1:1">
      <c r="A196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0C26D-2DA1-4A18-8683-78D6B93759CE}">
  <sheetPr codeName="Sheet9"/>
  <dimension ref="A1:J196"/>
  <sheetViews>
    <sheetView zoomScale="60" zoomScaleNormal="6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D35" sqref="D35"/>
    </sheetView>
  </sheetViews>
  <sheetFormatPr defaultRowHeight="14.6"/>
  <cols>
    <col min="1" max="1" width="37.69140625" bestFit="1" customWidth="1"/>
    <col min="2" max="2" width="15.15234375" customWidth="1"/>
    <col min="3" max="3" width="12.69140625" bestFit="1" customWidth="1"/>
    <col min="4" max="6" width="11.69140625" bestFit="1" customWidth="1"/>
    <col min="7" max="7" width="18.3828125" bestFit="1" customWidth="1"/>
    <col min="8" max="8" width="11.69140625" bestFit="1" customWidth="1"/>
  </cols>
  <sheetData>
    <row r="1" spans="1:9" ht="18.45">
      <c r="A1" s="6" t="s">
        <v>159</v>
      </c>
    </row>
    <row r="2" spans="1:9" ht="18.45">
      <c r="A2" s="6"/>
      <c r="B2" s="5" t="s">
        <v>156</v>
      </c>
      <c r="C2" s="5" t="s">
        <v>156</v>
      </c>
      <c r="D2" s="5" t="s">
        <v>156</v>
      </c>
      <c r="E2" s="5" t="s">
        <v>156</v>
      </c>
      <c r="F2" s="5" t="s">
        <v>156</v>
      </c>
      <c r="G2" s="5" t="s">
        <v>156</v>
      </c>
      <c r="H2" s="5" t="s">
        <v>156</v>
      </c>
      <c r="I2" s="5" t="s">
        <v>156</v>
      </c>
    </row>
    <row r="3" spans="1:9" s="5" customFormat="1">
      <c r="A3" s="5" t="s">
        <v>82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17</v>
      </c>
    </row>
    <row r="4" spans="1:9">
      <c r="A4" t="str">
        <f>Mat_com!A4</f>
        <v>ICEV-g micro</v>
      </c>
      <c r="B4" s="16">
        <f>1-0.736</f>
        <v>0.26400000000000001</v>
      </c>
      <c r="C4" s="16">
        <v>0.44</v>
      </c>
      <c r="D4" s="16">
        <v>0.3</v>
      </c>
      <c r="E4" s="16">
        <v>0.11</v>
      </c>
      <c r="F4" s="16">
        <v>0.85</v>
      </c>
      <c r="G4" s="16">
        <v>0.2</v>
      </c>
      <c r="H4" s="16">
        <v>0.2</v>
      </c>
      <c r="I4" s="16">
        <v>0</v>
      </c>
    </row>
    <row r="5" spans="1:9">
      <c r="A5" t="str">
        <f>Mat_com!A5</f>
        <v>ICEV-g PC</v>
      </c>
      <c r="B5" s="16">
        <f t="shared" ref="B5:B27" si="0">1-0.736</f>
        <v>0.26400000000000001</v>
      </c>
      <c r="C5" s="16">
        <v>0.44</v>
      </c>
      <c r="D5" s="16">
        <v>0.3</v>
      </c>
      <c r="E5" s="16">
        <v>0.11</v>
      </c>
      <c r="F5" s="16">
        <v>0.85</v>
      </c>
      <c r="G5" s="16">
        <v>0.2</v>
      </c>
      <c r="H5" s="16">
        <v>0.2</v>
      </c>
      <c r="I5" s="16">
        <v>0</v>
      </c>
    </row>
    <row r="6" spans="1:9">
      <c r="A6" t="str">
        <f>Mat_com!A6</f>
        <v>ICEV-g van/SUV</v>
      </c>
      <c r="B6" s="16">
        <f t="shared" si="0"/>
        <v>0.26400000000000001</v>
      </c>
      <c r="C6" s="16">
        <v>0.44</v>
      </c>
      <c r="D6" s="16">
        <v>0.3</v>
      </c>
      <c r="E6" s="16">
        <v>0.11</v>
      </c>
      <c r="F6" s="16">
        <v>0.85</v>
      </c>
      <c r="G6" s="16">
        <v>0.2</v>
      </c>
      <c r="H6" s="16">
        <v>0.2</v>
      </c>
      <c r="I6" s="16">
        <v>0</v>
      </c>
    </row>
    <row r="7" spans="1:9">
      <c r="A7" t="str">
        <f>Mat_com!A7</f>
        <v>ICEV-g LT</v>
      </c>
      <c r="B7" s="16">
        <f t="shared" si="0"/>
        <v>0.26400000000000001</v>
      </c>
      <c r="C7" s="16">
        <v>0.44</v>
      </c>
      <c r="D7" s="16">
        <v>0.3</v>
      </c>
      <c r="E7" s="16">
        <v>0.11</v>
      </c>
      <c r="F7" s="16">
        <v>0.85</v>
      </c>
      <c r="G7" s="16">
        <v>0.2</v>
      </c>
      <c r="H7" s="16">
        <v>0.2</v>
      </c>
      <c r="I7" s="16">
        <v>0</v>
      </c>
    </row>
    <row r="8" spans="1:9">
      <c r="A8" t="str">
        <f>Mat_com!A8</f>
        <v>ICEV-d micro</v>
      </c>
      <c r="B8" s="16">
        <f t="shared" si="0"/>
        <v>0.26400000000000001</v>
      </c>
      <c r="C8" s="16">
        <v>0.44</v>
      </c>
      <c r="D8" s="16">
        <v>0.3</v>
      </c>
      <c r="E8" s="16">
        <v>0.11</v>
      </c>
      <c r="F8" s="16">
        <v>0.85</v>
      </c>
      <c r="G8" s="16">
        <v>0.2</v>
      </c>
      <c r="H8" s="16">
        <v>0.2</v>
      </c>
      <c r="I8" s="16">
        <v>0</v>
      </c>
    </row>
    <row r="9" spans="1:9">
      <c r="A9" t="str">
        <f>Mat_com!A9</f>
        <v>ICEV-d PC</v>
      </c>
      <c r="B9" s="16">
        <f t="shared" si="0"/>
        <v>0.26400000000000001</v>
      </c>
      <c r="C9" s="16">
        <v>0.44</v>
      </c>
      <c r="D9" s="16">
        <v>0.3</v>
      </c>
      <c r="E9" s="16">
        <v>0.11</v>
      </c>
      <c r="F9" s="16">
        <v>0.85</v>
      </c>
      <c r="G9" s="16">
        <v>0.2</v>
      </c>
      <c r="H9" s="16">
        <v>0.2</v>
      </c>
      <c r="I9" s="16">
        <v>0</v>
      </c>
    </row>
    <row r="10" spans="1:9">
      <c r="A10" t="str">
        <f>Mat_com!A10</f>
        <v>ICEV-d van/SUV</v>
      </c>
      <c r="B10" s="16">
        <f t="shared" si="0"/>
        <v>0.26400000000000001</v>
      </c>
      <c r="C10" s="16">
        <v>0.44</v>
      </c>
      <c r="D10" s="16">
        <v>0.3</v>
      </c>
      <c r="E10" s="16">
        <v>0.11</v>
      </c>
      <c r="F10" s="16">
        <v>0.85</v>
      </c>
      <c r="G10" s="16">
        <v>0.2</v>
      </c>
      <c r="H10" s="16">
        <v>0.2</v>
      </c>
      <c r="I10" s="16">
        <v>0</v>
      </c>
    </row>
    <row r="11" spans="1:9">
      <c r="A11" t="str">
        <f>Mat_com!A11</f>
        <v>ICEV-d LT</v>
      </c>
      <c r="B11" s="16">
        <f t="shared" si="0"/>
        <v>0.26400000000000001</v>
      </c>
      <c r="C11" s="16">
        <v>0.44</v>
      </c>
      <c r="D11" s="16">
        <v>0.3</v>
      </c>
      <c r="E11" s="16">
        <v>0.11</v>
      </c>
      <c r="F11" s="16">
        <v>0.85</v>
      </c>
      <c r="G11" s="16">
        <v>0.2</v>
      </c>
      <c r="H11" s="16">
        <v>0.2</v>
      </c>
      <c r="I11" s="16">
        <v>0</v>
      </c>
    </row>
    <row r="12" spans="1:9">
      <c r="A12" t="str">
        <f>Mat_com!A12</f>
        <v>HEV micro</v>
      </c>
      <c r="B12" s="16">
        <f t="shared" si="0"/>
        <v>0.26400000000000001</v>
      </c>
      <c r="C12" s="16">
        <v>0.44</v>
      </c>
      <c r="D12" s="16">
        <v>0.3</v>
      </c>
      <c r="E12" s="16">
        <v>0.11</v>
      </c>
      <c r="F12" s="16">
        <v>0.85</v>
      </c>
      <c r="G12" s="16">
        <v>0.2</v>
      </c>
      <c r="H12" s="16">
        <v>0.2</v>
      </c>
      <c r="I12" s="16">
        <v>0</v>
      </c>
    </row>
    <row r="13" spans="1:9">
      <c r="A13" t="str">
        <f>Mat_com!A13</f>
        <v>HEV PC</v>
      </c>
      <c r="B13" s="16">
        <f t="shared" si="0"/>
        <v>0.26400000000000001</v>
      </c>
      <c r="C13" s="16">
        <v>0.44</v>
      </c>
      <c r="D13" s="16">
        <v>0.3</v>
      </c>
      <c r="E13" s="16">
        <v>0.11</v>
      </c>
      <c r="F13" s="16">
        <v>0.85</v>
      </c>
      <c r="G13" s="16">
        <v>0.2</v>
      </c>
      <c r="H13" s="16">
        <v>0.2</v>
      </c>
      <c r="I13" s="16">
        <v>0</v>
      </c>
    </row>
    <row r="14" spans="1:9">
      <c r="A14" t="str">
        <f>Mat_com!A14</f>
        <v>HEV van/SUV</v>
      </c>
      <c r="B14" s="16">
        <f t="shared" si="0"/>
        <v>0.26400000000000001</v>
      </c>
      <c r="C14" s="16">
        <v>0.44</v>
      </c>
      <c r="D14" s="16">
        <v>0.3</v>
      </c>
      <c r="E14" s="16">
        <v>0.11</v>
      </c>
      <c r="F14" s="16">
        <v>0.85</v>
      </c>
      <c r="G14" s="16">
        <v>0.2</v>
      </c>
      <c r="H14" s="16">
        <v>0.2</v>
      </c>
      <c r="I14" s="16">
        <v>0</v>
      </c>
    </row>
    <row r="15" spans="1:9">
      <c r="A15" t="str">
        <f>Mat_com!A15</f>
        <v>HEV LT</v>
      </c>
      <c r="B15" s="16">
        <f t="shared" si="0"/>
        <v>0.26400000000000001</v>
      </c>
      <c r="C15" s="16">
        <v>0.44</v>
      </c>
      <c r="D15" s="16">
        <v>0.3</v>
      </c>
      <c r="E15" s="16">
        <v>0.11</v>
      </c>
      <c r="F15" s="16">
        <v>0.85</v>
      </c>
      <c r="G15" s="16">
        <v>0.2</v>
      </c>
      <c r="H15" s="16">
        <v>0.2</v>
      </c>
      <c r="I15" s="16">
        <v>0</v>
      </c>
    </row>
    <row r="16" spans="1:9">
      <c r="A16" t="str">
        <f>Mat_com!A16</f>
        <v>PHEV micro</v>
      </c>
      <c r="B16" s="16">
        <f t="shared" si="0"/>
        <v>0.26400000000000001</v>
      </c>
      <c r="C16" s="16">
        <v>0.44</v>
      </c>
      <c r="D16" s="16">
        <v>0.3</v>
      </c>
      <c r="E16" s="16">
        <v>0.11</v>
      </c>
      <c r="F16" s="16">
        <v>0.85</v>
      </c>
      <c r="G16" s="16">
        <v>0.2</v>
      </c>
      <c r="H16" s="16">
        <v>0.2</v>
      </c>
      <c r="I16" s="16">
        <v>0</v>
      </c>
    </row>
    <row r="17" spans="1:9">
      <c r="A17" t="str">
        <f>Mat_com!A17</f>
        <v>PHEV PC</v>
      </c>
      <c r="B17" s="16">
        <f t="shared" si="0"/>
        <v>0.26400000000000001</v>
      </c>
      <c r="C17" s="16">
        <v>0.44</v>
      </c>
      <c r="D17" s="16">
        <v>0.3</v>
      </c>
      <c r="E17" s="16">
        <v>0.11</v>
      </c>
      <c r="F17" s="16">
        <v>0.85</v>
      </c>
      <c r="G17" s="16">
        <v>0.2</v>
      </c>
      <c r="H17" s="16">
        <v>0.2</v>
      </c>
      <c r="I17" s="16">
        <v>0</v>
      </c>
    </row>
    <row r="18" spans="1:9">
      <c r="A18" t="str">
        <f>Mat_com!A18</f>
        <v>PHEV van/SUV</v>
      </c>
      <c r="B18" s="16">
        <f t="shared" si="0"/>
        <v>0.26400000000000001</v>
      </c>
      <c r="C18" s="16">
        <v>0.44</v>
      </c>
      <c r="D18" s="16">
        <v>0.3</v>
      </c>
      <c r="E18" s="16">
        <v>0.11</v>
      </c>
      <c r="F18" s="16">
        <v>0.85</v>
      </c>
      <c r="G18" s="16">
        <v>0.2</v>
      </c>
      <c r="H18" s="16">
        <v>0.2</v>
      </c>
      <c r="I18" s="16">
        <v>0</v>
      </c>
    </row>
    <row r="19" spans="1:9">
      <c r="A19" t="str">
        <f>Mat_com!A19</f>
        <v>PHEV LT</v>
      </c>
      <c r="B19" s="16">
        <f t="shared" si="0"/>
        <v>0.26400000000000001</v>
      </c>
      <c r="C19" s="16">
        <v>0.44</v>
      </c>
      <c r="D19" s="16">
        <v>0.3</v>
      </c>
      <c r="E19" s="16">
        <v>0.11</v>
      </c>
      <c r="F19" s="16">
        <v>0.85</v>
      </c>
      <c r="G19" s="16">
        <v>0.2</v>
      </c>
      <c r="H19" s="16">
        <v>0.2</v>
      </c>
      <c r="I19" s="16">
        <v>0</v>
      </c>
    </row>
    <row r="20" spans="1:9">
      <c r="A20" t="str">
        <f>Mat_com!A20</f>
        <v>BEV micro</v>
      </c>
      <c r="B20" s="16">
        <f t="shared" si="0"/>
        <v>0.26400000000000001</v>
      </c>
      <c r="C20" s="16">
        <v>0.44</v>
      </c>
      <c r="D20" s="16">
        <v>0.3</v>
      </c>
      <c r="E20" s="16">
        <v>0.11</v>
      </c>
      <c r="F20" s="16">
        <v>0.85</v>
      </c>
      <c r="G20" s="16">
        <v>0.2</v>
      </c>
      <c r="H20" s="16">
        <v>0.2</v>
      </c>
      <c r="I20" s="16">
        <v>0</v>
      </c>
    </row>
    <row r="21" spans="1:9">
      <c r="A21" t="str">
        <f>Mat_com!A21</f>
        <v>BEV PC</v>
      </c>
      <c r="B21" s="16">
        <f t="shared" si="0"/>
        <v>0.26400000000000001</v>
      </c>
      <c r="C21" s="16">
        <v>0.44</v>
      </c>
      <c r="D21" s="16">
        <v>0.3</v>
      </c>
      <c r="E21" s="16">
        <v>0.11</v>
      </c>
      <c r="F21" s="16">
        <v>0.85</v>
      </c>
      <c r="G21" s="16">
        <v>0.2</v>
      </c>
      <c r="H21" s="16">
        <v>0.2</v>
      </c>
      <c r="I21" s="16">
        <v>0</v>
      </c>
    </row>
    <row r="22" spans="1:9">
      <c r="A22" t="str">
        <f>Mat_com!A22</f>
        <v>BEV van/SUV</v>
      </c>
      <c r="B22" s="16">
        <f t="shared" si="0"/>
        <v>0.26400000000000001</v>
      </c>
      <c r="C22" s="16">
        <v>0.44</v>
      </c>
      <c r="D22" s="16">
        <v>0.3</v>
      </c>
      <c r="E22" s="16">
        <v>0.11</v>
      </c>
      <c r="F22" s="16">
        <v>0.85</v>
      </c>
      <c r="G22" s="16">
        <v>0.2</v>
      </c>
      <c r="H22" s="16">
        <v>0.2</v>
      </c>
      <c r="I22" s="16">
        <v>0</v>
      </c>
    </row>
    <row r="23" spans="1:9">
      <c r="A23" t="str">
        <f>Mat_com!A23</f>
        <v>BEV LT</v>
      </c>
      <c r="B23" s="16">
        <f t="shared" si="0"/>
        <v>0.26400000000000001</v>
      </c>
      <c r="C23" s="16">
        <v>0.44</v>
      </c>
      <c r="D23" s="16">
        <v>0.3</v>
      </c>
      <c r="E23" s="16">
        <v>0.11</v>
      </c>
      <c r="F23" s="16">
        <v>0.85</v>
      </c>
      <c r="G23" s="16">
        <v>0.2</v>
      </c>
      <c r="H23" s="16">
        <v>0.2</v>
      </c>
      <c r="I23" s="16">
        <v>0</v>
      </c>
    </row>
    <row r="24" spans="1:9">
      <c r="A24" t="str">
        <f>Mat_com!A24</f>
        <v>HFCEV micro</v>
      </c>
      <c r="B24" s="16">
        <f t="shared" si="0"/>
        <v>0.26400000000000001</v>
      </c>
      <c r="C24" s="16">
        <v>0.44</v>
      </c>
      <c r="D24" s="16">
        <v>0.3</v>
      </c>
      <c r="E24" s="16">
        <v>0.11</v>
      </c>
      <c r="F24" s="16">
        <v>0.85</v>
      </c>
      <c r="G24" s="16">
        <v>0.2</v>
      </c>
      <c r="H24" s="16">
        <v>0.2</v>
      </c>
      <c r="I24" s="16">
        <v>0</v>
      </c>
    </row>
    <row r="25" spans="1:9">
      <c r="A25" t="str">
        <f>Mat_com!A25</f>
        <v>HFCEV PC</v>
      </c>
      <c r="B25" s="16">
        <f t="shared" si="0"/>
        <v>0.26400000000000001</v>
      </c>
      <c r="C25" s="16">
        <v>0.44</v>
      </c>
      <c r="D25" s="16">
        <v>0.3</v>
      </c>
      <c r="E25" s="16">
        <v>0.11</v>
      </c>
      <c r="F25" s="16">
        <v>0.85</v>
      </c>
      <c r="G25" s="16">
        <v>0.2</v>
      </c>
      <c r="H25" s="16">
        <v>0.2</v>
      </c>
      <c r="I25" s="16">
        <v>0</v>
      </c>
    </row>
    <row r="26" spans="1:9">
      <c r="A26" t="str">
        <f>Mat_com!A26</f>
        <v>HFCEV van/SUV</v>
      </c>
      <c r="B26" s="16">
        <f t="shared" si="0"/>
        <v>0.26400000000000001</v>
      </c>
      <c r="C26" s="16">
        <v>0.44</v>
      </c>
      <c r="D26" s="16">
        <v>0.3</v>
      </c>
      <c r="E26" s="16">
        <v>0.11</v>
      </c>
      <c r="F26" s="16">
        <v>0.85</v>
      </c>
      <c r="G26" s="16">
        <v>0.2</v>
      </c>
      <c r="H26" s="16">
        <v>0.2</v>
      </c>
      <c r="I26" s="16">
        <v>0</v>
      </c>
    </row>
    <row r="27" spans="1:9">
      <c r="A27" t="str">
        <f>Mat_com!A27</f>
        <v>HFCEV LT</v>
      </c>
      <c r="B27" s="16">
        <f t="shared" si="0"/>
        <v>0.26400000000000001</v>
      </c>
      <c r="C27" s="16">
        <v>0.44</v>
      </c>
      <c r="D27" s="16">
        <v>0.3</v>
      </c>
      <c r="E27" s="16">
        <v>0.11</v>
      </c>
      <c r="F27" s="16">
        <v>0.85</v>
      </c>
      <c r="G27" s="16">
        <v>0.2</v>
      </c>
      <c r="H27" s="16">
        <v>0.2</v>
      </c>
      <c r="I27" s="16">
        <v>0</v>
      </c>
    </row>
    <row r="28" spans="1:9">
      <c r="B28" s="16"/>
      <c r="C28" s="16"/>
      <c r="D28" s="16"/>
      <c r="E28" s="16"/>
      <c r="F28" s="16"/>
      <c r="G28" s="16"/>
      <c r="H28" s="16"/>
      <c r="I28" s="16"/>
    </row>
    <row r="29" spans="1:9">
      <c r="B29" s="16"/>
      <c r="C29" s="16"/>
      <c r="D29" s="16"/>
      <c r="E29" s="16"/>
      <c r="F29" s="16"/>
      <c r="G29" s="16"/>
      <c r="H29" s="16"/>
      <c r="I29" s="16"/>
    </row>
    <row r="30" spans="1:9">
      <c r="B30" s="16"/>
      <c r="C30" s="16"/>
      <c r="D30" s="16"/>
      <c r="E30" s="16"/>
      <c r="F30" s="16"/>
      <c r="G30" s="16"/>
      <c r="H30" s="16"/>
      <c r="I30" s="16"/>
    </row>
    <row r="31" spans="1:9">
      <c r="B31" s="16"/>
      <c r="C31" s="16"/>
      <c r="D31" s="16"/>
      <c r="E31" s="16"/>
      <c r="F31" s="16"/>
      <c r="G31" s="16"/>
      <c r="H31" s="16"/>
      <c r="I31" s="16"/>
    </row>
    <row r="32" spans="1:9">
      <c r="B32" s="16"/>
      <c r="C32" s="16"/>
      <c r="D32" s="16"/>
      <c r="E32" s="16"/>
      <c r="F32" s="16"/>
      <c r="G32" s="16"/>
      <c r="H32" s="16"/>
      <c r="I32" s="16"/>
    </row>
    <row r="33" spans="2:10">
      <c r="B33" s="16"/>
      <c r="C33" s="16"/>
      <c r="D33" s="16"/>
      <c r="E33" s="16"/>
      <c r="F33" s="16"/>
      <c r="G33" s="16"/>
      <c r="H33" s="16"/>
      <c r="I33" s="16"/>
    </row>
    <row r="34" spans="2:10">
      <c r="B34" s="16"/>
      <c r="C34" s="16"/>
      <c r="D34" s="16"/>
      <c r="E34" s="16"/>
      <c r="F34" s="16"/>
      <c r="G34" s="16"/>
      <c r="H34" s="16"/>
      <c r="I34" s="16"/>
    </row>
    <row r="35" spans="2:10">
      <c r="B35" s="16"/>
      <c r="C35" s="16"/>
      <c r="D35" s="16"/>
      <c r="E35" s="16"/>
      <c r="F35" s="16"/>
      <c r="G35" s="16"/>
      <c r="H35" s="16"/>
      <c r="I35" s="16"/>
    </row>
    <row r="36" spans="2:10">
      <c r="B36" s="16"/>
      <c r="C36" s="16"/>
      <c r="D36" s="16"/>
      <c r="E36" s="16"/>
      <c r="F36" s="16"/>
      <c r="G36" s="16"/>
      <c r="H36" s="16"/>
      <c r="I36" s="16"/>
    </row>
    <row r="37" spans="2:10">
      <c r="B37" s="16"/>
      <c r="C37" s="16"/>
      <c r="D37" s="16"/>
      <c r="E37" s="16"/>
      <c r="F37" s="16"/>
      <c r="G37" s="16"/>
      <c r="H37" s="16"/>
      <c r="I37" s="16"/>
    </row>
    <row r="38" spans="2:10">
      <c r="B38" s="16"/>
      <c r="C38" s="16"/>
      <c r="D38" s="16"/>
      <c r="E38" s="16"/>
      <c r="F38" s="16"/>
      <c r="G38" s="16"/>
      <c r="H38" s="16"/>
      <c r="I38" s="16"/>
    </row>
    <row r="39" spans="2:10">
      <c r="B39" s="16"/>
      <c r="C39" s="16"/>
      <c r="D39" s="16"/>
      <c r="E39" s="16"/>
      <c r="F39" s="16"/>
      <c r="G39" s="16"/>
      <c r="H39" s="16"/>
      <c r="I39" s="16"/>
    </row>
    <row r="40" spans="2:10">
      <c r="B40" s="16"/>
      <c r="C40" s="16"/>
      <c r="D40" s="16"/>
      <c r="E40" s="16"/>
      <c r="F40" s="16"/>
      <c r="G40" s="16"/>
      <c r="H40" s="16"/>
      <c r="I40" s="16"/>
    </row>
    <row r="41" spans="2:10">
      <c r="B41" s="16"/>
      <c r="C41" s="16"/>
      <c r="D41" s="16"/>
      <c r="E41" s="16"/>
      <c r="F41" s="16"/>
      <c r="G41" s="16"/>
      <c r="H41" s="16"/>
      <c r="I41" s="16"/>
      <c r="J41" s="29"/>
    </row>
    <row r="42" spans="2:10">
      <c r="B42" s="16"/>
      <c r="C42" s="16"/>
      <c r="D42" s="16"/>
      <c r="E42" s="16"/>
      <c r="F42" s="16"/>
      <c r="G42" s="16"/>
      <c r="H42" s="16"/>
      <c r="I42" s="16"/>
    </row>
    <row r="43" spans="2:10">
      <c r="B43" s="16"/>
      <c r="C43" s="16"/>
      <c r="D43" s="16"/>
      <c r="E43" s="16"/>
      <c r="F43" s="16"/>
      <c r="G43" s="16"/>
      <c r="H43" s="16"/>
      <c r="I43" s="16"/>
    </row>
    <row r="44" spans="2:10">
      <c r="B44" s="16"/>
      <c r="C44" s="16"/>
      <c r="D44" s="16"/>
      <c r="E44" s="16"/>
      <c r="F44" s="16"/>
      <c r="G44" s="16"/>
      <c r="H44" s="16"/>
      <c r="I44" s="16"/>
    </row>
    <row r="45" spans="2:10">
      <c r="B45" s="16"/>
      <c r="C45" s="16"/>
      <c r="D45" s="16"/>
      <c r="E45" s="16"/>
      <c r="F45" s="16"/>
      <c r="G45" s="16"/>
      <c r="H45" s="16"/>
      <c r="I45" s="16"/>
    </row>
    <row r="46" spans="2:10">
      <c r="B46" s="16"/>
      <c r="C46" s="16"/>
      <c r="D46" s="16"/>
      <c r="E46" s="16"/>
      <c r="F46" s="16"/>
      <c r="G46" s="16"/>
      <c r="H46" s="16"/>
      <c r="I46" s="16"/>
    </row>
    <row r="47" spans="2:10">
      <c r="B47" s="16"/>
      <c r="C47" s="16"/>
      <c r="D47" s="16"/>
      <c r="E47" s="16"/>
      <c r="F47" s="16"/>
      <c r="G47" s="16"/>
      <c r="H47" s="16"/>
      <c r="I47" s="16"/>
    </row>
    <row r="48" spans="2:10">
      <c r="B48" s="16"/>
      <c r="C48" s="16"/>
      <c r="D48" s="16"/>
      <c r="E48" s="16"/>
      <c r="F48" s="16"/>
      <c r="G48" s="16"/>
      <c r="H48" s="16"/>
      <c r="I48" s="16"/>
    </row>
    <row r="49" spans="2:9">
      <c r="B49" s="16"/>
      <c r="C49" s="16"/>
      <c r="D49" s="16"/>
      <c r="E49" s="16"/>
      <c r="F49" s="16"/>
      <c r="G49" s="16"/>
      <c r="H49" s="16"/>
      <c r="I49" s="16"/>
    </row>
    <row r="50" spans="2:9">
      <c r="B50" s="16"/>
      <c r="C50" s="16"/>
      <c r="D50" s="16"/>
      <c r="E50" s="16"/>
      <c r="F50" s="16"/>
      <c r="G50" s="16"/>
      <c r="H50" s="16"/>
      <c r="I50" s="16"/>
    </row>
    <row r="51" spans="2:9">
      <c r="B51" s="16"/>
      <c r="C51" s="16"/>
      <c r="D51" s="16"/>
      <c r="E51" s="16"/>
      <c r="F51" s="16"/>
      <c r="G51" s="16"/>
      <c r="H51" s="16"/>
      <c r="I51" s="16"/>
    </row>
    <row r="52" spans="2:9">
      <c r="B52" s="8"/>
      <c r="C52" s="8"/>
      <c r="D52" s="8"/>
      <c r="E52" s="8"/>
      <c r="F52" s="8"/>
      <c r="G52" s="8"/>
      <c r="H52" s="8"/>
      <c r="I52" s="8"/>
    </row>
    <row r="53" spans="2:9">
      <c r="B53" s="8"/>
      <c r="C53" s="8"/>
      <c r="D53" s="8"/>
      <c r="E53" s="8"/>
      <c r="F53" s="8"/>
      <c r="G53" s="8"/>
      <c r="H53" s="8"/>
      <c r="I53" s="8"/>
    </row>
    <row r="54" spans="2:9">
      <c r="B54" s="8"/>
      <c r="C54" s="8"/>
      <c r="D54" s="8"/>
      <c r="E54" s="8"/>
      <c r="F54" s="8"/>
      <c r="G54" s="8"/>
      <c r="H54" s="8"/>
      <c r="I54" s="8"/>
    </row>
    <row r="55" spans="2:9">
      <c r="B55" s="8"/>
      <c r="C55" s="8"/>
      <c r="D55" s="8"/>
      <c r="E55" s="8"/>
      <c r="F55" s="8"/>
      <c r="G55" s="8"/>
      <c r="H55" s="8"/>
      <c r="I55" s="8"/>
    </row>
    <row r="56" spans="2:9">
      <c r="B56" s="8"/>
      <c r="C56" s="8"/>
      <c r="D56" s="8"/>
      <c r="E56" s="8"/>
      <c r="F56" s="8"/>
      <c r="G56" s="8"/>
      <c r="H56" s="8"/>
      <c r="I56" s="8"/>
    </row>
    <row r="57" spans="2:9">
      <c r="B57" s="8"/>
      <c r="C57" s="8"/>
      <c r="D57" s="8"/>
      <c r="E57" s="8"/>
      <c r="F57" s="8"/>
      <c r="G57" s="8"/>
      <c r="H57" s="8"/>
      <c r="I57" s="8"/>
    </row>
    <row r="58" spans="2:9">
      <c r="B58" s="8"/>
      <c r="C58" s="8"/>
      <c r="D58" s="8"/>
      <c r="E58" s="8"/>
      <c r="F58" s="8"/>
      <c r="G58" s="8"/>
      <c r="H58" s="8"/>
      <c r="I58" s="8"/>
    </row>
    <row r="59" spans="2:9">
      <c r="B59" s="8"/>
      <c r="C59" s="8"/>
      <c r="D59" s="8"/>
      <c r="E59" s="8"/>
      <c r="F59" s="8"/>
      <c r="G59" s="8"/>
      <c r="H59" s="8"/>
      <c r="I59" s="8"/>
    </row>
    <row r="60" spans="2:9">
      <c r="B60" s="8"/>
      <c r="C60" s="8"/>
      <c r="D60" s="8"/>
      <c r="E60" s="8"/>
      <c r="F60" s="8"/>
      <c r="G60" s="8"/>
      <c r="H60" s="8"/>
      <c r="I60" s="8"/>
    </row>
    <row r="61" spans="2:9">
      <c r="B61" s="8"/>
      <c r="C61" s="8"/>
      <c r="D61" s="8"/>
      <c r="E61" s="8"/>
      <c r="F61" s="8"/>
      <c r="G61" s="8"/>
      <c r="H61" s="8"/>
      <c r="I61" s="8"/>
    </row>
    <row r="62" spans="2:9">
      <c r="B62" s="8"/>
      <c r="C62" s="8"/>
      <c r="D62" s="8"/>
      <c r="E62" s="8"/>
      <c r="F62" s="8"/>
      <c r="G62" s="8"/>
      <c r="H62" s="8"/>
      <c r="I62" s="8"/>
    </row>
    <row r="63" spans="2:9">
      <c r="B63" s="8"/>
      <c r="C63" s="8"/>
      <c r="D63" s="8"/>
      <c r="E63" s="8"/>
      <c r="F63" s="8"/>
      <c r="G63" s="8"/>
      <c r="H63" s="8"/>
      <c r="I63" s="8"/>
    </row>
    <row r="64" spans="2:9">
      <c r="B64" s="8"/>
      <c r="C64" s="8"/>
      <c r="D64" s="8"/>
      <c r="E64" s="8"/>
      <c r="F64" s="8"/>
      <c r="G64" s="8"/>
      <c r="H64" s="8"/>
      <c r="I64" s="8"/>
    </row>
    <row r="65" spans="2:9">
      <c r="B65" s="8"/>
      <c r="C65" s="8"/>
      <c r="D65" s="8"/>
      <c r="E65" s="8"/>
      <c r="F65" s="8"/>
      <c r="G65" s="8"/>
      <c r="H65" s="8"/>
      <c r="I65" s="8"/>
    </row>
    <row r="66" spans="2:9">
      <c r="B66" s="8"/>
      <c r="C66" s="8"/>
      <c r="D66" s="8"/>
      <c r="E66" s="8"/>
      <c r="F66" s="8"/>
      <c r="G66" s="8"/>
      <c r="H66" s="8"/>
      <c r="I66" s="8"/>
    </row>
    <row r="67" spans="2:9">
      <c r="B67" s="8"/>
      <c r="C67" s="8"/>
      <c r="D67" s="8"/>
      <c r="E67" s="8"/>
      <c r="F67" s="8"/>
      <c r="G67" s="8"/>
      <c r="H67" s="8"/>
      <c r="I67" s="8"/>
    </row>
    <row r="68" spans="2:9">
      <c r="B68" s="8"/>
      <c r="C68" s="8"/>
      <c r="D68" s="8"/>
      <c r="E68" s="8"/>
      <c r="F68" s="8"/>
      <c r="G68" s="8"/>
      <c r="H68" s="8"/>
      <c r="I68" s="8"/>
    </row>
    <row r="69" spans="2:9">
      <c r="B69" s="8"/>
      <c r="C69" s="8"/>
      <c r="D69" s="8"/>
      <c r="E69" s="8"/>
      <c r="F69" s="8"/>
      <c r="G69" s="8"/>
      <c r="H69" s="8"/>
      <c r="I69" s="8"/>
    </row>
    <row r="70" spans="2:9">
      <c r="B70" s="8"/>
      <c r="C70" s="8"/>
      <c r="D70" s="8"/>
      <c r="E70" s="8"/>
      <c r="F70" s="8"/>
      <c r="G70" s="8"/>
      <c r="H70" s="8"/>
      <c r="I70" s="8"/>
    </row>
    <row r="71" spans="2:9">
      <c r="B71" s="8"/>
      <c r="C71" s="8"/>
      <c r="D71" s="8"/>
      <c r="E71" s="8"/>
      <c r="F71" s="8"/>
      <c r="G71" s="8"/>
      <c r="H71" s="8"/>
      <c r="I71" s="8"/>
    </row>
    <row r="72" spans="2:9">
      <c r="B72" s="8"/>
      <c r="C72" s="8"/>
      <c r="D72" s="8"/>
      <c r="E72" s="8"/>
      <c r="F72" s="8"/>
      <c r="G72" s="8"/>
      <c r="H72" s="8"/>
      <c r="I72" s="8"/>
    </row>
    <row r="73" spans="2:9">
      <c r="B73" s="8"/>
      <c r="C73" s="8"/>
      <c r="D73" s="8"/>
      <c r="E73" s="8"/>
      <c r="F73" s="8"/>
      <c r="G73" s="8"/>
      <c r="H73" s="8"/>
      <c r="I73" s="8"/>
    </row>
    <row r="74" spans="2:9">
      <c r="B74" s="8"/>
      <c r="C74" s="8"/>
      <c r="D74" s="8"/>
      <c r="E74" s="8"/>
      <c r="F74" s="8"/>
      <c r="G74" s="8"/>
      <c r="H74" s="8"/>
      <c r="I74" s="8"/>
    </row>
    <row r="196" spans="1:1">
      <c r="A196" s="1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776AC-1CFD-46F6-9E45-946C5B3F8B3E}">
  <sheetPr codeName="Sheet7"/>
  <dimension ref="A1:J27"/>
  <sheetViews>
    <sheetView zoomScale="60" zoomScaleNormal="6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F31" sqref="F31"/>
    </sheetView>
  </sheetViews>
  <sheetFormatPr defaultRowHeight="14.6"/>
  <cols>
    <col min="1" max="1" width="37.23046875" bestFit="1" customWidth="1"/>
  </cols>
  <sheetData>
    <row r="1" spans="1:10" ht="18.45">
      <c r="A1" s="6" t="s">
        <v>161</v>
      </c>
    </row>
    <row r="2" spans="1:10" ht="18.45">
      <c r="A2" s="6"/>
    </row>
    <row r="3" spans="1:10" s="5" customFormat="1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17</v>
      </c>
    </row>
    <row r="4" spans="1:10">
      <c r="A4" t="str">
        <f>'Mat_com_%'!A4</f>
        <v>ICEV-g micro</v>
      </c>
      <c r="B4" s="15">
        <v>0.13</v>
      </c>
      <c r="C4" s="15">
        <v>0</v>
      </c>
      <c r="D4" s="15">
        <v>0.2</v>
      </c>
      <c r="E4" s="15">
        <v>0.18</v>
      </c>
      <c r="F4" s="15">
        <v>0.22</v>
      </c>
      <c r="G4" s="15">
        <v>0.16</v>
      </c>
      <c r="H4" s="15">
        <v>0.14000000000000001</v>
      </c>
      <c r="I4" s="15">
        <v>0</v>
      </c>
      <c r="J4" s="15"/>
    </row>
    <row r="5" spans="1:10">
      <c r="A5" t="str">
        <f>'Mat_com_%'!A5</f>
        <v>ICEV-g PC</v>
      </c>
      <c r="B5" s="15">
        <v>0.13</v>
      </c>
      <c r="C5" s="15">
        <v>0</v>
      </c>
      <c r="D5" s="15">
        <v>0.2</v>
      </c>
      <c r="E5" s="15">
        <v>0.18</v>
      </c>
      <c r="F5" s="15">
        <v>0.22</v>
      </c>
      <c r="G5" s="15">
        <v>0.16</v>
      </c>
      <c r="H5" s="15">
        <v>0.14000000000000001</v>
      </c>
      <c r="I5" s="15">
        <v>0</v>
      </c>
      <c r="J5" s="15"/>
    </row>
    <row r="6" spans="1:10">
      <c r="A6" t="str">
        <f>'Mat_com_%'!A6</f>
        <v>ICEV-g van/SUV</v>
      </c>
      <c r="B6" s="15">
        <v>0.13</v>
      </c>
      <c r="C6" s="15">
        <v>0</v>
      </c>
      <c r="D6" s="15">
        <v>0.2</v>
      </c>
      <c r="E6" s="15">
        <v>0.18</v>
      </c>
      <c r="F6" s="15">
        <v>0.22</v>
      </c>
      <c r="G6" s="15">
        <v>0.16</v>
      </c>
      <c r="H6" s="15">
        <v>0.14000000000000001</v>
      </c>
      <c r="I6" s="15">
        <v>0</v>
      </c>
      <c r="J6" s="15"/>
    </row>
    <row r="7" spans="1:10">
      <c r="A7" t="str">
        <f>'Mat_com_%'!A7</f>
        <v>ICEV-g LT</v>
      </c>
      <c r="B7" s="15">
        <v>0.13</v>
      </c>
      <c r="C7" s="15">
        <v>0</v>
      </c>
      <c r="D7" s="15">
        <v>0.2</v>
      </c>
      <c r="E7" s="15">
        <v>0.18</v>
      </c>
      <c r="F7" s="15">
        <v>0.22</v>
      </c>
      <c r="G7" s="15">
        <v>0.16</v>
      </c>
      <c r="H7" s="15">
        <v>0.14000000000000001</v>
      </c>
      <c r="I7" s="15">
        <v>0</v>
      </c>
      <c r="J7" s="15"/>
    </row>
    <row r="8" spans="1:10">
      <c r="A8" t="str">
        <f>'Mat_com_%'!A8</f>
        <v>ICEV-d micro</v>
      </c>
      <c r="B8" s="15">
        <v>0.13</v>
      </c>
      <c r="C8" s="15">
        <v>0</v>
      </c>
      <c r="D8" s="15">
        <v>0.2</v>
      </c>
      <c r="E8" s="15">
        <v>0.18</v>
      </c>
      <c r="F8" s="15">
        <v>0.22</v>
      </c>
      <c r="G8" s="15">
        <v>0.16</v>
      </c>
      <c r="H8" s="15">
        <v>0.14000000000000001</v>
      </c>
      <c r="I8" s="15">
        <v>0</v>
      </c>
      <c r="J8" s="15"/>
    </row>
    <row r="9" spans="1:10">
      <c r="A9" t="str">
        <f>'Mat_com_%'!A9</f>
        <v>ICEV-d PC</v>
      </c>
      <c r="B9" s="15">
        <v>0.13</v>
      </c>
      <c r="C9" s="15">
        <v>0</v>
      </c>
      <c r="D9" s="15">
        <v>0.2</v>
      </c>
      <c r="E9" s="15">
        <v>0.18</v>
      </c>
      <c r="F9" s="15">
        <v>0.22</v>
      </c>
      <c r="G9" s="15">
        <v>0.16</v>
      </c>
      <c r="H9" s="15">
        <v>0.14000000000000001</v>
      </c>
      <c r="I9" s="15">
        <v>0</v>
      </c>
      <c r="J9" s="15"/>
    </row>
    <row r="10" spans="1:10">
      <c r="A10" t="str">
        <f>'Mat_com_%'!A10</f>
        <v>ICEV-d van/SUV</v>
      </c>
      <c r="B10" s="15">
        <v>0.13</v>
      </c>
      <c r="C10" s="15">
        <v>0</v>
      </c>
      <c r="D10" s="15">
        <v>0.2</v>
      </c>
      <c r="E10" s="15">
        <v>0.18</v>
      </c>
      <c r="F10" s="15">
        <v>0.22</v>
      </c>
      <c r="G10" s="15">
        <v>0.16</v>
      </c>
      <c r="H10" s="15">
        <v>0.14000000000000001</v>
      </c>
      <c r="I10" s="15">
        <v>0</v>
      </c>
      <c r="J10" s="15"/>
    </row>
    <row r="11" spans="1:10">
      <c r="A11" t="str">
        <f>'Mat_com_%'!A11</f>
        <v>ICEV-d LT</v>
      </c>
      <c r="B11" s="15">
        <v>0.13</v>
      </c>
      <c r="C11" s="15">
        <v>0</v>
      </c>
      <c r="D11" s="15">
        <v>0.2</v>
      </c>
      <c r="E11" s="15">
        <v>0.18</v>
      </c>
      <c r="F11" s="15">
        <v>0.22</v>
      </c>
      <c r="G11" s="15">
        <v>0.16</v>
      </c>
      <c r="H11" s="15">
        <v>0.14000000000000001</v>
      </c>
      <c r="I11" s="15">
        <v>0</v>
      </c>
      <c r="J11" s="15"/>
    </row>
    <row r="12" spans="1:10">
      <c r="A12" t="str">
        <f>'Mat_com_%'!A12</f>
        <v>HEV micro</v>
      </c>
      <c r="B12" s="15">
        <v>0.14000000000000001</v>
      </c>
      <c r="C12" s="15">
        <v>0</v>
      </c>
      <c r="D12" s="15">
        <v>0.2</v>
      </c>
      <c r="E12" s="15">
        <v>0.18</v>
      </c>
      <c r="F12" s="15">
        <v>0.19</v>
      </c>
      <c r="G12" s="15">
        <v>0.18</v>
      </c>
      <c r="H12" s="15">
        <v>0.13</v>
      </c>
      <c r="I12" s="15">
        <v>0</v>
      </c>
      <c r="J12" s="15"/>
    </row>
    <row r="13" spans="1:10">
      <c r="A13" t="str">
        <f>'Mat_com_%'!A13</f>
        <v>HEV PC</v>
      </c>
      <c r="B13" s="15">
        <v>0.14000000000000001</v>
      </c>
      <c r="C13" s="15">
        <v>0</v>
      </c>
      <c r="D13" s="15">
        <v>0.2</v>
      </c>
      <c r="E13" s="15">
        <v>0.18</v>
      </c>
      <c r="F13" s="15">
        <v>0.19</v>
      </c>
      <c r="G13" s="15">
        <v>0.18</v>
      </c>
      <c r="H13" s="15">
        <v>0.13</v>
      </c>
      <c r="I13" s="15">
        <v>0</v>
      </c>
      <c r="J13" s="15"/>
    </row>
    <row r="14" spans="1:10">
      <c r="A14" t="str">
        <f>'Mat_com_%'!A14</f>
        <v>HEV van/SUV</v>
      </c>
      <c r="B14" s="15">
        <v>0.14000000000000001</v>
      </c>
      <c r="C14" s="15">
        <v>0</v>
      </c>
      <c r="D14" s="15">
        <v>0.2</v>
      </c>
      <c r="E14" s="15">
        <v>0.18</v>
      </c>
      <c r="F14" s="15">
        <v>0.19</v>
      </c>
      <c r="G14" s="15">
        <v>0.18</v>
      </c>
      <c r="H14" s="15">
        <v>0.13</v>
      </c>
      <c r="I14" s="15">
        <v>0</v>
      </c>
      <c r="J14" s="15"/>
    </row>
    <row r="15" spans="1:10">
      <c r="A15" t="str">
        <f>'Mat_com_%'!A15</f>
        <v>HEV LT</v>
      </c>
      <c r="B15" s="15">
        <v>0.14000000000000001</v>
      </c>
      <c r="C15" s="15">
        <v>0</v>
      </c>
      <c r="D15" s="15">
        <v>0.2</v>
      </c>
      <c r="E15" s="15">
        <v>0.18</v>
      </c>
      <c r="F15" s="15">
        <v>0.19</v>
      </c>
      <c r="G15" s="15">
        <v>0.18</v>
      </c>
      <c r="H15" s="15">
        <v>0.13</v>
      </c>
      <c r="I15" s="15">
        <v>0</v>
      </c>
      <c r="J15" s="15"/>
    </row>
    <row r="16" spans="1:10">
      <c r="A16" t="str">
        <f>'Mat_com_%'!A16</f>
        <v>PHEV micro</v>
      </c>
      <c r="B16" s="15">
        <v>0.14000000000000001</v>
      </c>
      <c r="C16" s="15">
        <v>0</v>
      </c>
      <c r="D16" s="15">
        <v>0.2</v>
      </c>
      <c r="E16" s="15">
        <v>0.19</v>
      </c>
      <c r="F16" s="15">
        <v>0.2</v>
      </c>
      <c r="G16" s="15">
        <v>0.19</v>
      </c>
      <c r="H16" s="15">
        <v>0.13</v>
      </c>
      <c r="I16" s="15">
        <v>0</v>
      </c>
      <c r="J16" s="15"/>
    </row>
    <row r="17" spans="1:10">
      <c r="A17" t="str">
        <f>'Mat_com_%'!A17</f>
        <v>PHEV PC</v>
      </c>
      <c r="B17" s="15">
        <v>0.14000000000000001</v>
      </c>
      <c r="C17" s="15">
        <v>0</v>
      </c>
      <c r="D17" s="15">
        <v>0.2</v>
      </c>
      <c r="E17" s="15">
        <v>0.19</v>
      </c>
      <c r="F17" s="15">
        <v>0.2</v>
      </c>
      <c r="G17" s="15">
        <v>0.19</v>
      </c>
      <c r="H17" s="15">
        <v>0.13</v>
      </c>
      <c r="I17" s="15">
        <v>0</v>
      </c>
      <c r="J17" s="15"/>
    </row>
    <row r="18" spans="1:10">
      <c r="A18" t="str">
        <f>'Mat_com_%'!A18</f>
        <v>PHEV van/SUV</v>
      </c>
      <c r="B18" s="15">
        <v>0.14000000000000001</v>
      </c>
      <c r="C18" s="15">
        <v>0</v>
      </c>
      <c r="D18" s="15">
        <v>0.2</v>
      </c>
      <c r="E18" s="15">
        <v>0.19</v>
      </c>
      <c r="F18" s="15">
        <v>0.2</v>
      </c>
      <c r="G18" s="15">
        <v>0.19</v>
      </c>
      <c r="H18" s="15">
        <v>0.13</v>
      </c>
      <c r="I18" s="15">
        <v>0</v>
      </c>
      <c r="J18" s="15"/>
    </row>
    <row r="19" spans="1:10">
      <c r="A19" t="str">
        <f>'Mat_com_%'!A19</f>
        <v>PHEV LT</v>
      </c>
      <c r="B19" s="15">
        <v>0.14000000000000001</v>
      </c>
      <c r="C19" s="15">
        <v>0</v>
      </c>
      <c r="D19" s="15">
        <v>0.2</v>
      </c>
      <c r="E19" s="15">
        <v>0.19</v>
      </c>
      <c r="F19" s="15">
        <v>0.2</v>
      </c>
      <c r="G19" s="15">
        <v>0.19</v>
      </c>
      <c r="H19" s="15">
        <v>0.13</v>
      </c>
      <c r="I19" s="15">
        <v>0</v>
      </c>
      <c r="J19" s="15"/>
    </row>
    <row r="20" spans="1:10">
      <c r="A20" t="str">
        <f>'Mat_com_%'!A20</f>
        <v>BEV micro</v>
      </c>
      <c r="B20" s="15">
        <v>0.12</v>
      </c>
      <c r="C20" s="15">
        <v>0</v>
      </c>
      <c r="D20" s="15">
        <v>0.09</v>
      </c>
      <c r="E20" s="15">
        <v>0.19</v>
      </c>
      <c r="F20" s="15">
        <v>0.12</v>
      </c>
      <c r="G20" s="15">
        <v>0.19</v>
      </c>
      <c r="H20" s="15">
        <v>0.12</v>
      </c>
      <c r="I20" s="15">
        <v>0</v>
      </c>
      <c r="J20" s="15"/>
    </row>
    <row r="21" spans="1:10">
      <c r="A21" t="str">
        <f>'Mat_com_%'!A21</f>
        <v>BEV PC</v>
      </c>
      <c r="B21" s="15">
        <v>0.12</v>
      </c>
      <c r="C21" s="15">
        <v>0</v>
      </c>
      <c r="D21" s="15">
        <v>0.09</v>
      </c>
      <c r="E21" s="15">
        <v>0.19</v>
      </c>
      <c r="F21" s="15">
        <v>0.12</v>
      </c>
      <c r="G21" s="15">
        <v>0.19</v>
      </c>
      <c r="H21" s="15">
        <v>0.12</v>
      </c>
      <c r="I21" s="15">
        <v>0</v>
      </c>
      <c r="J21" s="15"/>
    </row>
    <row r="22" spans="1:10">
      <c r="A22" t="str">
        <f>'Mat_com_%'!A22</f>
        <v>BEV van/SUV</v>
      </c>
      <c r="B22" s="15">
        <v>0.12</v>
      </c>
      <c r="C22" s="15">
        <v>0</v>
      </c>
      <c r="D22" s="15">
        <v>0.09</v>
      </c>
      <c r="E22" s="15">
        <v>0.19</v>
      </c>
      <c r="F22" s="15">
        <v>0.12</v>
      </c>
      <c r="G22" s="15">
        <v>0.19</v>
      </c>
      <c r="H22" s="15">
        <v>0.12</v>
      </c>
      <c r="I22" s="15">
        <v>0</v>
      </c>
      <c r="J22" s="15"/>
    </row>
    <row r="23" spans="1:10">
      <c r="A23" t="str">
        <f>'Mat_com_%'!A23</f>
        <v>BEV LT</v>
      </c>
      <c r="B23" s="15">
        <v>0.12</v>
      </c>
      <c r="C23" s="15">
        <v>0</v>
      </c>
      <c r="D23" s="15">
        <v>0.09</v>
      </c>
      <c r="E23" s="15">
        <v>0.19</v>
      </c>
      <c r="F23" s="15">
        <v>0.12</v>
      </c>
      <c r="G23" s="15">
        <v>0.19</v>
      </c>
      <c r="H23" s="15">
        <v>0.12</v>
      </c>
      <c r="I23" s="15">
        <v>0</v>
      </c>
      <c r="J23" s="15"/>
    </row>
    <row r="24" spans="1:10">
      <c r="A24" t="str">
        <f>'Mat_com_%'!A24</f>
        <v>HFCEV micro</v>
      </c>
      <c r="B24" s="15">
        <v>0.11</v>
      </c>
      <c r="C24" s="15">
        <v>0.19</v>
      </c>
      <c r="D24" s="15">
        <v>0.09</v>
      </c>
      <c r="E24" s="15">
        <v>0.2</v>
      </c>
      <c r="F24" s="15">
        <v>0.12</v>
      </c>
      <c r="G24" s="15">
        <v>0.17</v>
      </c>
      <c r="H24" s="15">
        <v>0.11</v>
      </c>
      <c r="I24" s="15">
        <v>0</v>
      </c>
      <c r="J24" s="15"/>
    </row>
    <row r="25" spans="1:10">
      <c r="A25" t="str">
        <f>'Mat_com_%'!A25</f>
        <v>HFCEV PC</v>
      </c>
      <c r="B25" s="15">
        <v>0.11</v>
      </c>
      <c r="C25" s="15">
        <v>0.19</v>
      </c>
      <c r="D25" s="15">
        <v>0.09</v>
      </c>
      <c r="E25" s="15">
        <v>0.2</v>
      </c>
      <c r="F25" s="15">
        <v>0.12</v>
      </c>
      <c r="G25" s="15">
        <v>0.17</v>
      </c>
      <c r="H25" s="15">
        <v>0.11</v>
      </c>
      <c r="I25" s="15">
        <v>0</v>
      </c>
      <c r="J25" s="15"/>
    </row>
    <row r="26" spans="1:10">
      <c r="A26" t="str">
        <f>'Mat_com_%'!A26</f>
        <v>HFCEV van/SUV</v>
      </c>
      <c r="B26" s="15">
        <v>0.11</v>
      </c>
      <c r="C26" s="15">
        <v>0.19</v>
      </c>
      <c r="D26" s="15">
        <v>0.09</v>
      </c>
      <c r="E26" s="15">
        <v>0.2</v>
      </c>
      <c r="F26" s="15">
        <v>0.12</v>
      </c>
      <c r="G26" s="15">
        <v>0.17</v>
      </c>
      <c r="H26" s="15">
        <v>0.11</v>
      </c>
      <c r="I26" s="15">
        <v>0</v>
      </c>
      <c r="J26" s="15"/>
    </row>
    <row r="27" spans="1:10">
      <c r="A27" t="str">
        <f>'Mat_com_%'!A27</f>
        <v>HFCEV LT</v>
      </c>
      <c r="B27" s="15">
        <v>0.11</v>
      </c>
      <c r="C27" s="15">
        <v>0.19</v>
      </c>
      <c r="D27" s="15">
        <v>0.09</v>
      </c>
      <c r="E27" s="15">
        <v>0.2</v>
      </c>
      <c r="F27" s="15">
        <v>0.12</v>
      </c>
      <c r="G27" s="15">
        <v>0.17</v>
      </c>
      <c r="H27" s="15">
        <v>0.11</v>
      </c>
      <c r="I27" s="15">
        <v>0</v>
      </c>
      <c r="J27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91FB5-6AD9-402F-91EE-A99C59BFF9AC}">
  <dimension ref="A1:L51"/>
  <sheetViews>
    <sheetView zoomScale="60" zoomScaleNormal="60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K50" sqref="K50:K51"/>
    </sheetView>
  </sheetViews>
  <sheetFormatPr defaultRowHeight="14.6"/>
  <cols>
    <col min="1" max="1" width="17" bestFit="1" customWidth="1"/>
    <col min="10" max="10" width="9.15234375" bestFit="1" customWidth="1"/>
  </cols>
  <sheetData>
    <row r="1" spans="1:11" ht="18.45">
      <c r="A1" s="6" t="s">
        <v>96</v>
      </c>
    </row>
    <row r="3" spans="1:11">
      <c r="B3" s="5" t="s">
        <v>88</v>
      </c>
      <c r="C3" s="5" t="s">
        <v>89</v>
      </c>
      <c r="D3" s="5" t="s">
        <v>90</v>
      </c>
      <c r="E3" s="5" t="s">
        <v>93</v>
      </c>
      <c r="F3" s="5" t="s">
        <v>91</v>
      </c>
      <c r="G3" s="5" t="s">
        <v>92</v>
      </c>
      <c r="H3" s="5" t="s">
        <v>94</v>
      </c>
      <c r="I3" s="5" t="s">
        <v>95</v>
      </c>
      <c r="J3" s="5" t="s">
        <v>18</v>
      </c>
      <c r="K3" s="5" t="s">
        <v>83</v>
      </c>
    </row>
    <row r="4" spans="1:11">
      <c r="A4" t="str">
        <f>Mat_com!A4</f>
        <v>ICEV-g micro</v>
      </c>
      <c r="B4" s="3">
        <f>Comp_coef!B4+Comp_coef!C4*Arch!C4</f>
        <v>84.71</v>
      </c>
      <c r="C4" s="3">
        <f>Comp_coef!D4+Comp_coef!E4*Arch!D4</f>
        <v>0</v>
      </c>
      <c r="D4" s="3">
        <f>Comp_coef!F4+Comp_coef!G4*Arch!E4</f>
        <v>0</v>
      </c>
      <c r="E4" s="3">
        <f>Comp_coef!L4+Comp_coef!M4*Arch!F4</f>
        <v>76.179999999999993</v>
      </c>
      <c r="F4" s="3">
        <f>Comp_coef!H4+Comp_coef!I4*Arch!G4</f>
        <v>0</v>
      </c>
      <c r="G4" s="3">
        <f>Comp_coef!J4+Comp_coef!K4*Arch!I4</f>
        <v>41.150000000000006</v>
      </c>
      <c r="H4" s="3">
        <f>(K4-SUM(B4:G4))*2/3</f>
        <v>351.97333333333336</v>
      </c>
      <c r="I4" s="3">
        <f>(K4-SUM(B4:G4))*1/3</f>
        <v>175.98666666666668</v>
      </c>
      <c r="J4" s="3">
        <f>SUM(B4:I4)</f>
        <v>730</v>
      </c>
      <c r="K4" s="3">
        <f>Mat_com!J4</f>
        <v>730</v>
      </c>
    </row>
    <row r="5" spans="1:11">
      <c r="A5" t="str">
        <f>Mat_com!A5</f>
        <v>ICEV-g PC</v>
      </c>
      <c r="B5" s="3">
        <f>Comp_coef!B5+Comp_coef!C5*Arch!C5</f>
        <v>130</v>
      </c>
      <c r="C5" s="3">
        <f>Comp_coef!D5+Comp_coef!E5*Arch!D5</f>
        <v>0</v>
      </c>
      <c r="D5" s="3">
        <f>Comp_coef!F5+Comp_coef!G5*Arch!E5</f>
        <v>0</v>
      </c>
      <c r="E5" s="3">
        <f>Comp_coef!L5+Comp_coef!M5*Arch!F5</f>
        <v>115</v>
      </c>
      <c r="F5" s="3">
        <f>Comp_coef!H5+Comp_coef!I5*Arch!G5</f>
        <v>0</v>
      </c>
      <c r="G5" s="3">
        <f>Comp_coef!J5+Comp_coef!K5*Arch!I5</f>
        <v>54.470996679999999</v>
      </c>
      <c r="H5" s="3">
        <f t="shared" ref="H5:H27" si="0">(K5-SUM(B5:G5))*2/3</f>
        <v>665.20141554666668</v>
      </c>
      <c r="I5" s="3">
        <f t="shared" ref="I5:I27" si="1">(K5-SUM(B5:G5))*1/3</f>
        <v>332.60070777333334</v>
      </c>
      <c r="J5" s="3">
        <f t="shared" ref="J5:J27" si="2">SUM(B5:I5)</f>
        <v>1297.2731200000001</v>
      </c>
      <c r="K5" s="3">
        <f>Mat_com!J5</f>
        <v>1297.2731200000001</v>
      </c>
    </row>
    <row r="6" spans="1:11">
      <c r="A6" t="str">
        <f>Mat_com!A6</f>
        <v>ICEV-g van/SUV</v>
      </c>
      <c r="B6" s="3">
        <f>Comp_coef!B6+Comp_coef!C6*Arch!C6</f>
        <v>155.89999999999998</v>
      </c>
      <c r="C6" s="3">
        <f>Comp_coef!D6+Comp_coef!E6*Arch!D6</f>
        <v>0</v>
      </c>
      <c r="D6" s="3">
        <f>Comp_coef!F6+Comp_coef!G6*Arch!E6</f>
        <v>0</v>
      </c>
      <c r="E6" s="3">
        <f>Comp_coef!L6+Comp_coef!M6*Arch!F6</f>
        <v>137.19999999999999</v>
      </c>
      <c r="F6" s="3">
        <f>Comp_coef!H6+Comp_coef!I6*Arch!G6</f>
        <v>0</v>
      </c>
      <c r="G6" s="3">
        <f>Comp_coef!J6+Comp_coef!K6*Arch!I6</f>
        <v>61.545927970000008</v>
      </c>
      <c r="H6" s="3">
        <f t="shared" si="0"/>
        <v>905.56938135333337</v>
      </c>
      <c r="I6" s="3">
        <f t="shared" si="1"/>
        <v>452.78469067666668</v>
      </c>
      <c r="J6" s="3">
        <f t="shared" si="2"/>
        <v>1713</v>
      </c>
      <c r="K6" s="3">
        <f>Mat_com!J6</f>
        <v>1713</v>
      </c>
    </row>
    <row r="7" spans="1:11">
      <c r="A7" t="str">
        <f>Mat_com!A7</f>
        <v>ICEV-g LT</v>
      </c>
      <c r="B7" s="3">
        <f>Comp_coef!B7+Comp_coef!C7*Arch!C7</f>
        <v>228</v>
      </c>
      <c r="C7" s="3">
        <f>Comp_coef!D7+Comp_coef!E7*Arch!D7</f>
        <v>0</v>
      </c>
      <c r="D7" s="3">
        <f>Comp_coef!F7+Comp_coef!G7*Arch!E7</f>
        <v>0</v>
      </c>
      <c r="E7" s="3">
        <f>Comp_coef!L7+Comp_coef!M7*Arch!F7</f>
        <v>199</v>
      </c>
      <c r="F7" s="3">
        <f>Comp_coef!H7+Comp_coef!I7*Arch!G7</f>
        <v>0</v>
      </c>
      <c r="G7" s="3">
        <f>Comp_coef!J7+Comp_coef!K7*Arch!I7</f>
        <v>109.23500000000001</v>
      </c>
      <c r="H7" s="3">
        <f t="shared" si="0"/>
        <v>1000.8433333333332</v>
      </c>
      <c r="I7" s="3">
        <f t="shared" si="1"/>
        <v>500.42166666666662</v>
      </c>
      <c r="J7" s="3">
        <f t="shared" si="2"/>
        <v>2037.5</v>
      </c>
      <c r="K7" s="3">
        <f>Mat_com!J7</f>
        <v>2037.5</v>
      </c>
    </row>
    <row r="8" spans="1:11">
      <c r="A8" t="str">
        <f>Mat_com!A8</f>
        <v>ICEV-d micro</v>
      </c>
      <c r="B8" s="3">
        <f>Comp_coef!B8+Comp_coef!C8*Arch!C8</f>
        <v>97.6</v>
      </c>
      <c r="C8" s="3">
        <f>Comp_coef!D8+Comp_coef!E8*Arch!D8</f>
        <v>0</v>
      </c>
      <c r="D8" s="3">
        <f>Comp_coef!F8+Comp_coef!G8*Arch!E8</f>
        <v>0</v>
      </c>
      <c r="E8" s="3">
        <f>Comp_coef!L8+Comp_coef!M8*Arch!F8</f>
        <v>76.45</v>
      </c>
      <c r="F8" s="3">
        <f>Comp_coef!H8+Comp_coef!I8*Arch!G8</f>
        <v>0</v>
      </c>
      <c r="G8" s="3">
        <f>Comp_coef!J8+Comp_coef!K8*Arch!I8</f>
        <v>41.150000000000006</v>
      </c>
      <c r="H8" s="3">
        <f t="shared" si="0"/>
        <v>351.55333333333328</v>
      </c>
      <c r="I8" s="3">
        <f t="shared" si="1"/>
        <v>175.77666666666664</v>
      </c>
      <c r="J8" s="3">
        <f t="shared" si="2"/>
        <v>742.53</v>
      </c>
      <c r="K8" s="3">
        <f>Mat_com!J8</f>
        <v>742.53</v>
      </c>
    </row>
    <row r="9" spans="1:11">
      <c r="A9" t="str">
        <f>Mat_com!A9</f>
        <v>ICEV-d PC</v>
      </c>
      <c r="B9" s="3">
        <f>Comp_coef!B9+Comp_coef!C9*Arch!C9</f>
        <v>149</v>
      </c>
      <c r="C9" s="3">
        <f>Comp_coef!D9+Comp_coef!E9*Arch!D9</f>
        <v>0</v>
      </c>
      <c r="D9" s="3">
        <f>Comp_coef!F9+Comp_coef!G9*Arch!E9</f>
        <v>0</v>
      </c>
      <c r="E9" s="3">
        <f>Comp_coef!L9+Comp_coef!M9*Arch!F9</f>
        <v>115</v>
      </c>
      <c r="F9" s="3">
        <f>Comp_coef!H9+Comp_coef!I9*Arch!G9</f>
        <v>0</v>
      </c>
      <c r="G9" s="3">
        <f>Comp_coef!J9+Comp_coef!K9*Arch!I9</f>
        <v>54.470996679999999</v>
      </c>
      <c r="H9" s="3">
        <f t="shared" si="0"/>
        <v>665.20141554666657</v>
      </c>
      <c r="I9" s="3">
        <f t="shared" si="1"/>
        <v>332.60070777333328</v>
      </c>
      <c r="J9" s="3">
        <f t="shared" si="2"/>
        <v>1316.2731199999998</v>
      </c>
      <c r="K9" s="3">
        <f>Mat_com!J9</f>
        <v>1316.2731199999998</v>
      </c>
    </row>
    <row r="10" spans="1:11">
      <c r="A10" t="str">
        <f>Mat_com!A10</f>
        <v>ICEV-d van/SUV</v>
      </c>
      <c r="B10" s="3">
        <f>Comp_coef!B10+Comp_coef!C10*Arch!C10</f>
        <v>178.60000000000002</v>
      </c>
      <c r="C10" s="3">
        <f>Comp_coef!D10+Comp_coef!E10*Arch!D10</f>
        <v>0</v>
      </c>
      <c r="D10" s="3">
        <f>Comp_coef!F10+Comp_coef!G10*Arch!E10</f>
        <v>0</v>
      </c>
      <c r="E10" s="3">
        <f>Comp_coef!L10+Comp_coef!M10*Arch!F10</f>
        <v>137.19999999999999</v>
      </c>
      <c r="F10" s="3">
        <f>Comp_coef!H10+Comp_coef!I10*Arch!G10</f>
        <v>0</v>
      </c>
      <c r="G10" s="3">
        <f>Comp_coef!J10+Comp_coef!K10*Arch!I10</f>
        <v>61.545927970000008</v>
      </c>
      <c r="H10" s="3">
        <f t="shared" si="0"/>
        <v>905.56938135333314</v>
      </c>
      <c r="I10" s="3">
        <f t="shared" si="1"/>
        <v>452.78469067666657</v>
      </c>
      <c r="J10" s="3">
        <f t="shared" si="2"/>
        <v>1735.6999999999996</v>
      </c>
      <c r="K10" s="3">
        <f>Mat_com!J10</f>
        <v>1735.6999999999998</v>
      </c>
    </row>
    <row r="11" spans="1:11">
      <c r="A11" t="str">
        <f>Mat_com!A11</f>
        <v>ICEV-d LT</v>
      </c>
      <c r="B11" s="3">
        <f>Comp_coef!B11+Comp_coef!C11*Arch!C11</f>
        <v>261</v>
      </c>
      <c r="C11" s="3">
        <f>Comp_coef!D11+Comp_coef!E11*Arch!D11</f>
        <v>0</v>
      </c>
      <c r="D11" s="3">
        <f>Comp_coef!F11+Comp_coef!G11*Arch!E11</f>
        <v>0</v>
      </c>
      <c r="E11" s="3">
        <f>Comp_coef!L11+Comp_coef!M11*Arch!F11</f>
        <v>199</v>
      </c>
      <c r="F11" s="3">
        <f>Comp_coef!H11+Comp_coef!I11*Arch!G11</f>
        <v>0</v>
      </c>
      <c r="G11" s="3">
        <f>Comp_coef!J11+Comp_coef!K11*Arch!I11</f>
        <v>109.23500000000001</v>
      </c>
      <c r="H11" s="3">
        <f t="shared" si="0"/>
        <v>1000.8433333333332</v>
      </c>
      <c r="I11" s="3">
        <f t="shared" si="1"/>
        <v>500.42166666666662</v>
      </c>
      <c r="J11" s="3">
        <f t="shared" si="2"/>
        <v>2070.5</v>
      </c>
      <c r="K11" s="3">
        <f>Mat_com!J11</f>
        <v>2070.5</v>
      </c>
    </row>
    <row r="12" spans="1:11">
      <c r="A12" t="str">
        <f>Mat_com!A12</f>
        <v>HEV micro</v>
      </c>
      <c r="B12" s="3">
        <f>Comp_coef!B12+Comp_coef!C12*Arch!C12</f>
        <v>78.900000000000006</v>
      </c>
      <c r="C12" s="3">
        <f>Comp_coef!D12+Comp_coef!E12*Arch!D12</f>
        <v>41.44</v>
      </c>
      <c r="D12" s="3">
        <f>Comp_coef!F12+Comp_coef!G12*Arch!E12</f>
        <v>0</v>
      </c>
      <c r="E12" s="3">
        <f>Comp_coef!L12+Comp_coef!M12*Arch!F12</f>
        <v>75.411999999999992</v>
      </c>
      <c r="F12" s="3">
        <f>Comp_coef!H12+Comp_coef!I12*Arch!G12</f>
        <v>38.299999999999997</v>
      </c>
      <c r="G12" s="3">
        <f>Comp_coef!J12+Comp_coef!K12*Arch!I12</f>
        <v>41.150000000000006</v>
      </c>
      <c r="H12" s="3">
        <f t="shared" si="0"/>
        <v>352.71588933333334</v>
      </c>
      <c r="I12" s="3">
        <f t="shared" si="1"/>
        <v>176.35794466666667</v>
      </c>
      <c r="J12" s="3">
        <f t="shared" si="2"/>
        <v>804.27583399999992</v>
      </c>
      <c r="K12" s="3">
        <f>Mat_com!J12</f>
        <v>804.27583400000003</v>
      </c>
    </row>
    <row r="13" spans="1:11">
      <c r="A13" t="str">
        <f>Mat_com!A13</f>
        <v>HEV PC</v>
      </c>
      <c r="B13" s="3">
        <f>Comp_coef!B13+Comp_coef!C13*Arch!C13</f>
        <v>116</v>
      </c>
      <c r="C13" s="3">
        <f>Comp_coef!D13+Comp_coef!E13*Arch!D13</f>
        <v>79.599999999999994</v>
      </c>
      <c r="D13" s="3">
        <f>Comp_coef!F13+Comp_coef!G13*Arch!E13</f>
        <v>0</v>
      </c>
      <c r="E13" s="3">
        <f>Comp_coef!L13+Comp_coef!M13*Arch!F13</f>
        <v>115.47999999999999</v>
      </c>
      <c r="F13" s="3">
        <f>Comp_coef!H13+Comp_coef!I13*Arch!G13</f>
        <v>38.299999999999997</v>
      </c>
      <c r="G13" s="3">
        <f>Comp_coef!J13+Comp_coef!K13*Arch!I13</f>
        <v>54.470996679999999</v>
      </c>
      <c r="H13" s="3">
        <f t="shared" si="0"/>
        <v>665.81474888000002</v>
      </c>
      <c r="I13" s="3">
        <f t="shared" si="1"/>
        <v>332.90737444000001</v>
      </c>
      <c r="J13" s="3">
        <f t="shared" si="2"/>
        <v>1402.57312</v>
      </c>
      <c r="K13" s="3">
        <f>Mat_com!J13</f>
        <v>1402.57312</v>
      </c>
    </row>
    <row r="14" spans="1:11">
      <c r="A14" t="str">
        <f>Mat_com!A14</f>
        <v>HEV van/SUV</v>
      </c>
      <c r="B14" s="3">
        <f>Comp_coef!B14+Comp_coef!C14*Arch!C14</f>
        <v>136.30000000000001</v>
      </c>
      <c r="C14" s="3">
        <f>Comp_coef!D14+Comp_coef!E14*Arch!D14</f>
        <v>100.48</v>
      </c>
      <c r="D14" s="3">
        <f>Comp_coef!F14+Comp_coef!G14*Arch!E14</f>
        <v>0</v>
      </c>
      <c r="E14" s="3">
        <f>Comp_coef!L14+Comp_coef!M14*Arch!F14</f>
        <v>137.404</v>
      </c>
      <c r="F14" s="3">
        <f>Comp_coef!H14+Comp_coef!I14*Arch!G14</f>
        <v>38.299999999999997</v>
      </c>
      <c r="G14" s="3">
        <f>Comp_coef!J14+Comp_coef!K14*Arch!I14</f>
        <v>61.545927970000008</v>
      </c>
      <c r="H14" s="3">
        <f t="shared" si="0"/>
        <v>908.03313468666659</v>
      </c>
      <c r="I14" s="3">
        <f t="shared" si="1"/>
        <v>454.01656734333329</v>
      </c>
      <c r="J14" s="3">
        <f t="shared" si="2"/>
        <v>1836.07963</v>
      </c>
      <c r="K14" s="3">
        <f>Mat_com!J14</f>
        <v>1836.07963</v>
      </c>
    </row>
    <row r="15" spans="1:11">
      <c r="A15" t="str">
        <f>Mat_com!A15</f>
        <v>HEV LT</v>
      </c>
      <c r="B15" s="3">
        <f>Comp_coef!B15+Comp_coef!C15*Arch!C15</f>
        <v>193.35</v>
      </c>
      <c r="C15" s="3">
        <f>Comp_coef!D15+Comp_coef!E15*Arch!D15</f>
        <v>159.16</v>
      </c>
      <c r="D15" s="3">
        <f>Comp_coef!F15+Comp_coef!G15*Arch!E15</f>
        <v>0</v>
      </c>
      <c r="E15" s="3">
        <f>Comp_coef!L15+Comp_coef!M15*Arch!F15</f>
        <v>199.01799999999997</v>
      </c>
      <c r="F15" s="3">
        <f>Comp_coef!H15+Comp_coef!I15*Arch!G15</f>
        <v>38.299999999999997</v>
      </c>
      <c r="G15" s="3">
        <f>Comp_coef!J15+Comp_coef!K15*Arch!I15</f>
        <v>109.23500000000001</v>
      </c>
      <c r="H15" s="3">
        <f t="shared" si="0"/>
        <v>1007.2579999999998</v>
      </c>
      <c r="I15" s="3">
        <f t="shared" si="1"/>
        <v>503.62899999999991</v>
      </c>
      <c r="J15" s="3">
        <f t="shared" si="2"/>
        <v>2209.9499999999998</v>
      </c>
      <c r="K15" s="3">
        <f>Mat_com!J15</f>
        <v>2209.9499999999998</v>
      </c>
    </row>
    <row r="16" spans="1:11">
      <c r="A16" t="str">
        <f>Mat_com!A16</f>
        <v>PHEV micro</v>
      </c>
      <c r="B16" s="3">
        <f>Comp_coef!B16+Comp_coef!C16*Arch!C16</f>
        <v>75.12</v>
      </c>
      <c r="C16" s="3">
        <f>Comp_coef!D16+Comp_coef!E16*Arch!D16</f>
        <v>46.3</v>
      </c>
      <c r="D16" s="3">
        <f>Comp_coef!F16+Comp_coef!G16*Arch!E16</f>
        <v>0</v>
      </c>
      <c r="E16" s="3">
        <f>Comp_coef!L16+Comp_coef!M16*Arch!F16</f>
        <v>48.607999999999997</v>
      </c>
      <c r="F16" s="3">
        <f>Comp_coef!H16+Comp_coef!I16*Arch!G16</f>
        <v>72.058545739247165</v>
      </c>
      <c r="G16" s="3">
        <f>Comp_coef!J16+Comp_coef!K16*Arch!I16</f>
        <v>41.150000000000006</v>
      </c>
      <c r="H16" s="3">
        <f t="shared" si="0"/>
        <v>370.01786284050195</v>
      </c>
      <c r="I16" s="3">
        <f t="shared" si="1"/>
        <v>185.00893142025097</v>
      </c>
      <c r="J16" s="3">
        <f t="shared" si="2"/>
        <v>838.26334000000008</v>
      </c>
      <c r="K16" s="3">
        <f>Mat_com!J16</f>
        <v>838.26334000000008</v>
      </c>
    </row>
    <row r="17" spans="1:11">
      <c r="A17" t="str">
        <f>Mat_com!A17</f>
        <v>PHEV PC</v>
      </c>
      <c r="B17" s="3">
        <f>Comp_coef!B17+Comp_coef!C17*Arch!C17</f>
        <v>104.8</v>
      </c>
      <c r="C17" s="3">
        <f>Comp_coef!D17+Comp_coef!E17*Arch!D17</f>
        <v>94</v>
      </c>
      <c r="D17" s="3">
        <f>Comp_coef!F17+Comp_coef!G17*Arch!E17</f>
        <v>0</v>
      </c>
      <c r="E17" s="3">
        <f>Comp_coef!L17+Comp_coef!M17*Arch!F17</f>
        <v>75.319999999999993</v>
      </c>
      <c r="F17" s="3">
        <f>Comp_coef!H17+Comp_coef!I17*Arch!G17</f>
        <v>96.7882485988045</v>
      </c>
      <c r="G17" s="3">
        <f>Comp_coef!J17+Comp_coef!K17*Arch!I17</f>
        <v>54.470996679999999</v>
      </c>
      <c r="H17" s="3">
        <f t="shared" si="0"/>
        <v>681.26258314746349</v>
      </c>
      <c r="I17" s="3">
        <f t="shared" si="1"/>
        <v>340.63129157373174</v>
      </c>
      <c r="J17" s="3">
        <f t="shared" si="2"/>
        <v>1447.2731199999996</v>
      </c>
      <c r="K17" s="3">
        <f>Mat_com!J17</f>
        <v>1447.2731199999998</v>
      </c>
    </row>
    <row r="18" spans="1:11">
      <c r="A18" t="str">
        <f>Mat_com!A18</f>
        <v>PHEV van/SUV</v>
      </c>
      <c r="B18" s="3">
        <f>Comp_coef!B18+Comp_coef!C18*Arch!C18</f>
        <v>121.03999999999999</v>
      </c>
      <c r="C18" s="3">
        <f>Comp_coef!D18+Comp_coef!E18*Arch!D18</f>
        <v>120.10000000000001</v>
      </c>
      <c r="D18" s="3">
        <f>Comp_coef!F18+Comp_coef!G18*Arch!E18</f>
        <v>0</v>
      </c>
      <c r="E18" s="3">
        <f>Comp_coef!L18+Comp_coef!M18*Arch!F18</f>
        <v>89.935999999999993</v>
      </c>
      <c r="F18" s="3">
        <f>Comp_coef!H18+Comp_coef!I18*Arch!G18</f>
        <v>117.67569314128774</v>
      </c>
      <c r="G18" s="3">
        <f>Comp_coef!J18+Comp_coef!K18*Arch!I18</f>
        <v>61.545927970000008</v>
      </c>
      <c r="H18" s="3">
        <f t="shared" si="0"/>
        <v>917.96578592580806</v>
      </c>
      <c r="I18" s="3">
        <f t="shared" si="1"/>
        <v>458.98289296290403</v>
      </c>
      <c r="J18" s="3">
        <f t="shared" si="2"/>
        <v>1887.2463</v>
      </c>
      <c r="K18" s="3">
        <f>Mat_com!J18</f>
        <v>1887.2462999999998</v>
      </c>
    </row>
    <row r="19" spans="1:11">
      <c r="A19" t="str">
        <f>Mat_com!A19</f>
        <v>PHEV LT</v>
      </c>
      <c r="B19" s="3">
        <f>Comp_coef!B19+Comp_coef!C19*Arch!C19</f>
        <v>166.68</v>
      </c>
      <c r="C19" s="3">
        <f>Comp_coef!D19+Comp_coef!E19*Arch!D19</f>
        <v>193.45000000000002</v>
      </c>
      <c r="D19" s="3">
        <f>Comp_coef!F19+Comp_coef!G19*Arch!E19</f>
        <v>0</v>
      </c>
      <c r="E19" s="3">
        <f>Comp_coef!L19+Comp_coef!M19*Arch!F19</f>
        <v>131.012</v>
      </c>
      <c r="F19" s="3">
        <f>Comp_coef!H19+Comp_coef!I19*Arch!G19</f>
        <v>149.935</v>
      </c>
      <c r="G19" s="3">
        <f>Comp_coef!J19+Comp_coef!K19*Arch!I19</f>
        <v>109.23500000000001</v>
      </c>
      <c r="H19" s="3">
        <f t="shared" si="0"/>
        <v>1018.4586666666668</v>
      </c>
      <c r="I19" s="3">
        <f t="shared" si="1"/>
        <v>509.22933333333339</v>
      </c>
      <c r="J19" s="3">
        <f t="shared" si="2"/>
        <v>2278</v>
      </c>
      <c r="K19" s="3">
        <f>Mat_com!J19</f>
        <v>2278</v>
      </c>
    </row>
    <row r="20" spans="1:11">
      <c r="A20" t="str">
        <f>Mat_com!A20</f>
        <v>BEV micro</v>
      </c>
      <c r="B20" s="3">
        <f>Comp_coef!B20+Comp_coef!C20*Arch!C20</f>
        <v>0</v>
      </c>
      <c r="C20" s="3">
        <f>Comp_coef!D20+Comp_coef!E20*Arch!D20</f>
        <v>53.769999999999996</v>
      </c>
      <c r="D20" s="3">
        <f>Comp_coef!F20+Comp_coef!G20*Arch!E20</f>
        <v>0</v>
      </c>
      <c r="E20" s="3">
        <f>Comp_coef!L20+Comp_coef!M20*Arch!F20</f>
        <v>49.12</v>
      </c>
      <c r="F20" s="3">
        <f>Comp_coef!H20+Comp_coef!I20*Arch!G20</f>
        <v>212.60000000000002</v>
      </c>
      <c r="G20" s="3">
        <f>Comp_coef!J20+Comp_coef!K20*Arch!I20</f>
        <v>0</v>
      </c>
      <c r="H20" s="3">
        <f t="shared" si="0"/>
        <v>485.52470466666665</v>
      </c>
      <c r="I20" s="3">
        <f t="shared" si="1"/>
        <v>242.76235233333333</v>
      </c>
      <c r="J20" s="3">
        <f t="shared" si="2"/>
        <v>1043.777057</v>
      </c>
      <c r="K20" s="3">
        <f>Mat_com!J20</f>
        <v>1043.777057</v>
      </c>
    </row>
    <row r="21" spans="1:11">
      <c r="A21" t="str">
        <f>Mat_com!A21</f>
        <v>BEV PC</v>
      </c>
      <c r="B21" s="3">
        <f>Comp_coef!B21+Comp_coef!C21*Arch!C21</f>
        <v>0</v>
      </c>
      <c r="C21" s="3">
        <f>Comp_coef!D21+Comp_coef!E21*Arch!D21</f>
        <v>112</v>
      </c>
      <c r="D21" s="3">
        <f>Comp_coef!F21+Comp_coef!G21*Arch!E21</f>
        <v>0</v>
      </c>
      <c r="E21" s="3">
        <f>Comp_coef!L21+Comp_coef!M21*Arch!F21</f>
        <v>75</v>
      </c>
      <c r="F21" s="3">
        <f>Comp_coef!H21+Comp_coef!I21*Arch!G21</f>
        <v>461.6</v>
      </c>
      <c r="G21" s="3">
        <f>Comp_coef!J21+Comp_coef!K21*Arch!I21</f>
        <v>0</v>
      </c>
      <c r="H21" s="3">
        <f t="shared" si="0"/>
        <v>709.46808221333356</v>
      </c>
      <c r="I21" s="3">
        <f t="shared" si="1"/>
        <v>354.73404110666678</v>
      </c>
      <c r="J21" s="3">
        <f t="shared" si="2"/>
        <v>1712.8021233200004</v>
      </c>
      <c r="K21" s="3">
        <f>Mat_com!J21</f>
        <v>1712.8021233200002</v>
      </c>
    </row>
    <row r="22" spans="1:11">
      <c r="A22" t="str">
        <f>Mat_com!A22</f>
        <v>BEV van/SUV</v>
      </c>
      <c r="B22" s="3">
        <f>Comp_coef!B22+Comp_coef!C22*Arch!C22</f>
        <v>0</v>
      </c>
      <c r="C22" s="3">
        <f>Comp_coef!D22+Comp_coef!E22*Arch!D22</f>
        <v>145.30000000000001</v>
      </c>
      <c r="D22" s="3">
        <f>Comp_coef!F22+Comp_coef!G22*Arch!E22</f>
        <v>0</v>
      </c>
      <c r="E22" s="3">
        <f>Comp_coef!L22+Comp_coef!M22*Arch!F22</f>
        <v>89.800000000000011</v>
      </c>
      <c r="F22" s="3">
        <f>Comp_coef!H22+Comp_coef!I22*Arch!G22</f>
        <v>644.20000000000005</v>
      </c>
      <c r="G22" s="3">
        <f>Comp_coef!J22+Comp_coef!K22*Arch!I22</f>
        <v>0</v>
      </c>
      <c r="H22" s="3">
        <f t="shared" si="0"/>
        <v>871.98260135333294</v>
      </c>
      <c r="I22" s="3">
        <f t="shared" si="1"/>
        <v>435.99130067666647</v>
      </c>
      <c r="J22" s="3">
        <f t="shared" si="2"/>
        <v>2187.2739020299996</v>
      </c>
      <c r="K22" s="3">
        <f>Mat_com!J22</f>
        <v>2187.2739020299996</v>
      </c>
    </row>
    <row r="23" spans="1:11">
      <c r="A23" t="str">
        <f>Mat_com!A23</f>
        <v>BEV LT</v>
      </c>
      <c r="B23" s="3">
        <f>Comp_coef!B23+Comp_coef!C23*Arch!C23</f>
        <v>0</v>
      </c>
      <c r="C23" s="3">
        <f>Comp_coef!D23+Comp_coef!E23*Arch!D23</f>
        <v>238</v>
      </c>
      <c r="D23" s="3">
        <f>Comp_coef!F23+Comp_coef!G23*Arch!E23</f>
        <v>0</v>
      </c>
      <c r="E23" s="3">
        <f>Comp_coef!L23+Comp_coef!M23*Arch!F23</f>
        <v>131</v>
      </c>
      <c r="F23" s="3">
        <f>Comp_coef!H23+Comp_coef!I23*Arch!G23</f>
        <v>795.67500000000007</v>
      </c>
      <c r="G23" s="3">
        <f>Comp_coef!J23+Comp_coef!K23*Arch!I23</f>
        <v>0</v>
      </c>
      <c r="H23" s="3">
        <f t="shared" si="0"/>
        <v>988.39333333333309</v>
      </c>
      <c r="I23" s="3">
        <f t="shared" si="1"/>
        <v>494.19666666666654</v>
      </c>
      <c r="J23" s="3">
        <f t="shared" si="2"/>
        <v>2647.2649999999999</v>
      </c>
      <c r="K23" s="3">
        <f>Mat_com!J23</f>
        <v>2647.2649999999999</v>
      </c>
    </row>
    <row r="24" spans="1:11">
      <c r="A24" t="str">
        <f>Mat_com!A24</f>
        <v>HFCEV micro</v>
      </c>
      <c r="B24" s="3">
        <f>Comp_coef!B24+Comp_coef!C24*Arch!C24</f>
        <v>0</v>
      </c>
      <c r="C24" s="3">
        <f>Comp_coef!D24+Comp_coef!E24*Arch!D24</f>
        <v>53.769999999999996</v>
      </c>
      <c r="D24" s="3">
        <f>Comp_coef!F24+Comp_coef!G24*Arch!E24</f>
        <v>78.83</v>
      </c>
      <c r="E24" s="3">
        <f>Comp_coef!L24+Comp_coef!M24*Arch!F24</f>
        <v>49.12</v>
      </c>
      <c r="F24" s="3">
        <f>Comp_coef!H24+Comp_coef!I24*Arch!G24</f>
        <v>38.299999999999997</v>
      </c>
      <c r="G24" s="3">
        <f>Comp_coef!J24+Comp_coef!K24*Arch!I24</f>
        <v>59.038461538461533</v>
      </c>
      <c r="H24" s="3">
        <f t="shared" si="0"/>
        <v>358.77491497435898</v>
      </c>
      <c r="I24" s="3">
        <f t="shared" si="1"/>
        <v>179.38745748717949</v>
      </c>
      <c r="J24" s="3">
        <f t="shared" si="2"/>
        <v>817.22083399999997</v>
      </c>
      <c r="K24" s="3">
        <f>Mat_com!J24</f>
        <v>817.22083399999997</v>
      </c>
    </row>
    <row r="25" spans="1:11">
      <c r="A25" t="str">
        <f>Mat_com!A25</f>
        <v>HFCEV PC</v>
      </c>
      <c r="B25" s="3">
        <f>Comp_coef!B25+Comp_coef!C25*Arch!C25</f>
        <v>0</v>
      </c>
      <c r="C25" s="3">
        <f>Comp_coef!D25+Comp_coef!E25*Arch!D25</f>
        <v>112</v>
      </c>
      <c r="D25" s="3">
        <f>Comp_coef!F25+Comp_coef!G25*Arch!E25</f>
        <v>150</v>
      </c>
      <c r="E25" s="3">
        <f>Comp_coef!L25+Comp_coef!M25*Arch!F25</f>
        <v>75</v>
      </c>
      <c r="F25" s="3">
        <f>Comp_coef!H25+Comp_coef!I25*Arch!G25</f>
        <v>38.299999999999997</v>
      </c>
      <c r="G25" s="3">
        <f>Comp_coef!J25+Comp_coef!K25*Arch!I25</f>
        <v>85</v>
      </c>
      <c r="H25" s="3">
        <f t="shared" si="0"/>
        <v>665.20141554666668</v>
      </c>
      <c r="I25" s="3">
        <f t="shared" si="1"/>
        <v>332.60070777333334</v>
      </c>
      <c r="J25" s="3">
        <f t="shared" si="2"/>
        <v>1458.1021233200001</v>
      </c>
      <c r="K25" s="3">
        <f>Mat_com!J25</f>
        <v>1458.1021233199999</v>
      </c>
    </row>
    <row r="26" spans="1:11">
      <c r="A26" t="str">
        <f>Mat_com!A26</f>
        <v>HFCEV van/SUV</v>
      </c>
      <c r="B26" s="3">
        <f>Comp_coef!B26+Comp_coef!C26*Arch!C26</f>
        <v>0</v>
      </c>
      <c r="C26" s="3">
        <f>Comp_coef!D26+Comp_coef!E26*Arch!D26</f>
        <v>145.30000000000001</v>
      </c>
      <c r="D26" s="3">
        <f>Comp_coef!F26+Comp_coef!G26*Arch!E26</f>
        <v>190.70000000000002</v>
      </c>
      <c r="E26" s="3">
        <f>Comp_coef!L26+Comp_coef!M26*Arch!F26</f>
        <v>89.800000000000011</v>
      </c>
      <c r="F26" s="3">
        <f>Comp_coef!H26+Comp_coef!I26*Arch!G26</f>
        <v>38.299999999999997</v>
      </c>
      <c r="G26" s="3">
        <f>Comp_coef!J26+Comp_coef!K26*Arch!I26</f>
        <v>104.03846153846155</v>
      </c>
      <c r="H26" s="3">
        <f t="shared" si="0"/>
        <v>897.99411230769226</v>
      </c>
      <c r="I26" s="3">
        <f t="shared" si="1"/>
        <v>448.99705615384613</v>
      </c>
      <c r="J26" s="3">
        <f t="shared" si="2"/>
        <v>1915.1296299999999</v>
      </c>
      <c r="K26" s="3">
        <f>Mat_com!J26</f>
        <v>1915.1296299999999</v>
      </c>
    </row>
    <row r="27" spans="1:11">
      <c r="A27" t="str">
        <f>Mat_com!A27</f>
        <v>HFCEV LT</v>
      </c>
      <c r="B27" s="3">
        <f>Comp_coef!B27+Comp_coef!C27*Arch!C27</f>
        <v>0</v>
      </c>
      <c r="C27" s="3">
        <f>Comp_coef!D27+Comp_coef!E27*Arch!D27</f>
        <v>238</v>
      </c>
      <c r="D27" s="3">
        <f>Comp_coef!F27+Comp_coef!G27*Arch!E27</f>
        <v>251.20000000000002</v>
      </c>
      <c r="E27" s="3">
        <f>Comp_coef!L27+Comp_coef!M27*Arch!F27</f>
        <v>131</v>
      </c>
      <c r="F27" s="3">
        <f>Comp_coef!H27+Comp_coef!I27*Arch!G27</f>
        <v>38.299999999999997</v>
      </c>
      <c r="G27" s="3">
        <f>Comp_coef!J27+Comp_coef!K27*Arch!I27</f>
        <v>119.83173076923076</v>
      </c>
      <c r="H27" s="3">
        <f t="shared" si="0"/>
        <v>1045.5888461538464</v>
      </c>
      <c r="I27" s="3">
        <f t="shared" si="1"/>
        <v>522.79442307692318</v>
      </c>
      <c r="J27" s="3">
        <f t="shared" si="2"/>
        <v>2346.7150000000001</v>
      </c>
      <c r="K27" s="3">
        <f>Mat_com!J27</f>
        <v>2346.7150000000001</v>
      </c>
    </row>
    <row r="28" spans="1:11">
      <c r="A28" s="44" t="str">
        <f t="shared" ref="A28:A47" si="3">A4&amp;" LW"</f>
        <v>ICEV-g micro LW</v>
      </c>
      <c r="J28" s="3"/>
      <c r="K28" s="3">
        <f>Mat_com!J28</f>
        <v>590.57000000000005</v>
      </c>
    </row>
    <row r="29" spans="1:11">
      <c r="A29" s="10" t="str">
        <f t="shared" si="3"/>
        <v>ICEV-g PC LW</v>
      </c>
      <c r="J29" s="3"/>
      <c r="K29" s="3">
        <f>Mat_com!J29</f>
        <v>1049.4939540800001</v>
      </c>
    </row>
    <row r="30" spans="1:11">
      <c r="A30" s="44" t="str">
        <f t="shared" si="3"/>
        <v>ICEV-g van/SUV LW</v>
      </c>
      <c r="J30" s="3"/>
      <c r="K30" s="3">
        <f>Mat_com!J30</f>
        <v>1385.817</v>
      </c>
    </row>
    <row r="31" spans="1:11">
      <c r="A31" s="44" t="str">
        <f t="shared" si="3"/>
        <v>ICEV-g LT LW</v>
      </c>
      <c r="J31" s="3"/>
      <c r="K31" s="3">
        <f>Mat_com!J31</f>
        <v>1648.3375000000001</v>
      </c>
    </row>
    <row r="32" spans="1:11">
      <c r="A32" s="44" t="str">
        <f t="shared" si="3"/>
        <v>ICEV-d micro LW</v>
      </c>
      <c r="J32" s="3"/>
      <c r="K32" s="3">
        <f>Mat_com!J32</f>
        <v>600.70677000000001</v>
      </c>
    </row>
    <row r="33" spans="1:12">
      <c r="A33" s="44" t="str">
        <f t="shared" si="3"/>
        <v>ICEV-d PC LW</v>
      </c>
      <c r="J33" s="3"/>
      <c r="K33" s="3">
        <f>Mat_com!J33</f>
        <v>1064.86495408</v>
      </c>
    </row>
    <row r="34" spans="1:12">
      <c r="A34" s="44" t="str">
        <f t="shared" si="3"/>
        <v>ICEV-d van/SUV LW</v>
      </c>
      <c r="J34" s="3"/>
      <c r="K34" s="3">
        <f>Mat_com!J34</f>
        <v>1404.1813</v>
      </c>
    </row>
    <row r="35" spans="1:12">
      <c r="A35" s="44" t="str">
        <f t="shared" si="3"/>
        <v>ICEV-d LT LW</v>
      </c>
      <c r="J35" s="3"/>
      <c r="K35" s="3">
        <f>Mat_com!J35</f>
        <v>1675.0345000000002</v>
      </c>
    </row>
    <row r="36" spans="1:12">
      <c r="A36" s="44" t="str">
        <f t="shared" si="3"/>
        <v>HEV micro LW</v>
      </c>
      <c r="J36" s="21"/>
      <c r="K36" s="3">
        <f>Mat_com!J36</f>
        <v>627.33515052000007</v>
      </c>
      <c r="L36" s="29"/>
    </row>
    <row r="37" spans="1:12">
      <c r="A37" s="44" t="str">
        <f t="shared" si="3"/>
        <v>HEV PC LW</v>
      </c>
      <c r="J37" s="21"/>
      <c r="K37" s="3">
        <f>Mat_com!J37</f>
        <v>1094.0070336000001</v>
      </c>
    </row>
    <row r="38" spans="1:12">
      <c r="A38" s="44" t="str">
        <f t="shared" si="3"/>
        <v>HEV van/SUV LW</v>
      </c>
      <c r="J38" s="21"/>
      <c r="K38" s="3">
        <f>Mat_com!J38</f>
        <v>1432.1421114</v>
      </c>
    </row>
    <row r="39" spans="1:12">
      <c r="A39" s="44" t="str">
        <f t="shared" si="3"/>
        <v>HEV LT LW</v>
      </c>
      <c r="J39" s="21"/>
      <c r="K39" s="3">
        <f>Mat_com!J39</f>
        <v>1723.761</v>
      </c>
    </row>
    <row r="40" spans="1:12">
      <c r="A40" s="44" t="str">
        <f t="shared" si="3"/>
        <v>PHEV micro LW</v>
      </c>
      <c r="J40" s="21"/>
      <c r="K40" s="3">
        <f>Mat_com!J40</f>
        <v>647.69814070666666</v>
      </c>
    </row>
    <row r="41" spans="1:12">
      <c r="A41" s="44" t="str">
        <f t="shared" si="3"/>
        <v>PHEV PC LW</v>
      </c>
      <c r="J41" s="21"/>
      <c r="K41" s="3">
        <f>Mat_com!J41</f>
        <v>1118.2596973866664</v>
      </c>
    </row>
    <row r="42" spans="1:12">
      <c r="A42" s="44" t="str">
        <f t="shared" si="3"/>
        <v>PHEV van/SUV LW</v>
      </c>
      <c r="J42" s="21"/>
      <c r="K42" s="3">
        <f>Mat_com!J42</f>
        <v>1458.2123077999997</v>
      </c>
    </row>
    <row r="43" spans="1:12">
      <c r="A43" s="44" t="str">
        <f t="shared" si="3"/>
        <v>PHEV LT LW</v>
      </c>
      <c r="J43" s="21"/>
      <c r="K43" s="3">
        <f>Mat_com!J43</f>
        <v>1760.1346666666666</v>
      </c>
    </row>
    <row r="44" spans="1:12">
      <c r="A44" s="44" t="str">
        <f t="shared" si="3"/>
        <v>BEV micro LW</v>
      </c>
      <c r="J44" s="3"/>
      <c r="K44" s="3">
        <f>Mat_com!J44</f>
        <v>791.18300920600007</v>
      </c>
    </row>
    <row r="45" spans="1:12">
      <c r="A45" s="44" t="str">
        <f t="shared" si="3"/>
        <v>BEV PC LW</v>
      </c>
      <c r="J45" s="3"/>
      <c r="K45" s="3">
        <f>Mat_com!J45</f>
        <v>1298.3040094765602</v>
      </c>
    </row>
    <row r="46" spans="1:12">
      <c r="A46" s="44" t="str">
        <f t="shared" si="3"/>
        <v>BEV van/SUV LW</v>
      </c>
      <c r="J46" s="3"/>
      <c r="K46" s="3">
        <f>Mat_com!J46</f>
        <v>1657.9536177387397</v>
      </c>
    </row>
    <row r="47" spans="1:12">
      <c r="A47" s="44" t="str">
        <f t="shared" si="3"/>
        <v>BEV LT LW</v>
      </c>
      <c r="J47" s="3"/>
      <c r="K47" s="3">
        <f>Mat_com!J47</f>
        <v>2006.6268699999998</v>
      </c>
    </row>
    <row r="48" spans="1:12">
      <c r="A48" s="44" t="str">
        <f>A24&amp;" LW"</f>
        <v>HFCEV micro LW</v>
      </c>
      <c r="J48" s="3"/>
      <c r="K48" s="3">
        <f>Mat_com!J48</f>
        <v>572.05458379999993</v>
      </c>
    </row>
    <row r="49" spans="1:11">
      <c r="A49" s="44" t="str">
        <f>A25&amp;" LW"</f>
        <v>HFCEV PC LW</v>
      </c>
      <c r="J49" s="3"/>
      <c r="K49" s="3">
        <f>Mat_com!J49</f>
        <v>1020.6714863239998</v>
      </c>
    </row>
    <row r="50" spans="1:11">
      <c r="A50" s="44" t="str">
        <f>A26&amp;" LW"</f>
        <v>HFCEV van/SUV LW</v>
      </c>
      <c r="J50" s="3"/>
      <c r="K50" s="3">
        <f>Mat_com!J50</f>
        <v>1340.5907409999998</v>
      </c>
    </row>
    <row r="51" spans="1:11">
      <c r="A51" s="44" t="str">
        <f>A27&amp;" LW"</f>
        <v>HFCEV LT LW</v>
      </c>
      <c r="J51" s="3"/>
      <c r="K51" s="3">
        <f>Mat_com!J51</f>
        <v>1642.7004999999999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19C73-8894-4450-9FF7-449A93E6D619}">
  <dimension ref="A1:W30"/>
  <sheetViews>
    <sheetView zoomScale="60" zoomScaleNormal="6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24" sqref="J24:K24"/>
    </sheetView>
  </sheetViews>
  <sheetFormatPr defaultRowHeight="12.45"/>
  <cols>
    <col min="1" max="1" width="33.23046875" style="34" customWidth="1"/>
    <col min="2" max="26" width="9.23046875" style="34"/>
    <col min="27" max="27" width="29.84375" style="34" bestFit="1" customWidth="1"/>
    <col min="28" max="16384" width="9.23046875" style="34"/>
  </cols>
  <sheetData>
    <row r="1" spans="1:23" ht="15.45">
      <c r="A1" s="33" t="s">
        <v>163</v>
      </c>
    </row>
    <row r="2" spans="1:23" ht="15.45">
      <c r="A2" s="33"/>
    </row>
    <row r="3" spans="1:23" ht="120.45">
      <c r="A3" s="37"/>
      <c r="B3" s="40" t="s">
        <v>164</v>
      </c>
      <c r="C3" s="40" t="s">
        <v>165</v>
      </c>
      <c r="D3" s="40" t="s">
        <v>166</v>
      </c>
      <c r="E3" s="40" t="s">
        <v>167</v>
      </c>
      <c r="F3" s="40" t="s">
        <v>168</v>
      </c>
      <c r="G3" s="40" t="s">
        <v>169</v>
      </c>
      <c r="H3" s="40" t="s">
        <v>170</v>
      </c>
      <c r="I3" s="40" t="s">
        <v>171</v>
      </c>
      <c r="J3" s="40" t="s">
        <v>172</v>
      </c>
      <c r="K3" s="40" t="s">
        <v>173</v>
      </c>
      <c r="L3" s="40" t="s">
        <v>174</v>
      </c>
      <c r="M3" s="40" t="s">
        <v>175</v>
      </c>
      <c r="N3" s="38"/>
      <c r="O3" s="38"/>
      <c r="P3" s="36"/>
      <c r="Q3" s="36"/>
      <c r="R3" s="36"/>
      <c r="S3" s="36"/>
      <c r="T3" s="36"/>
      <c r="U3" s="36"/>
      <c r="V3" s="36"/>
      <c r="W3" s="36"/>
    </row>
    <row r="4" spans="1:23">
      <c r="A4" s="39" t="s">
        <v>76</v>
      </c>
      <c r="B4" s="37">
        <v>60</v>
      </c>
      <c r="C4" s="37">
        <v>0.7</v>
      </c>
      <c r="D4" s="37"/>
      <c r="E4" s="37"/>
      <c r="F4" s="37"/>
      <c r="G4" s="37"/>
      <c r="H4" s="37"/>
      <c r="I4" s="37"/>
      <c r="J4" s="37">
        <v>10</v>
      </c>
      <c r="K4" s="37">
        <v>0.1</v>
      </c>
      <c r="L4" s="37">
        <v>55</v>
      </c>
      <c r="M4" s="37">
        <v>0.6</v>
      </c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23">
      <c r="A5" s="39" t="s">
        <v>58</v>
      </c>
      <c r="B5" s="37">
        <v>60</v>
      </c>
      <c r="C5" s="37">
        <v>0.7</v>
      </c>
      <c r="D5" s="37"/>
      <c r="E5" s="37"/>
      <c r="F5" s="37"/>
      <c r="G5" s="37"/>
      <c r="H5" s="37"/>
      <c r="I5" s="37"/>
      <c r="J5" s="37">
        <v>10</v>
      </c>
      <c r="K5" s="37">
        <v>0.1</v>
      </c>
      <c r="L5" s="37">
        <v>55</v>
      </c>
      <c r="M5" s="37">
        <v>0.6</v>
      </c>
      <c r="N5" s="36"/>
      <c r="O5" s="36"/>
      <c r="P5" s="36"/>
      <c r="Q5" s="36"/>
      <c r="R5" s="36"/>
      <c r="S5" s="36"/>
      <c r="T5" s="36"/>
      <c r="U5" s="36"/>
      <c r="V5" s="36"/>
      <c r="W5" s="36"/>
    </row>
    <row r="6" spans="1:23">
      <c r="A6" s="39" t="s">
        <v>70</v>
      </c>
      <c r="B6" s="37">
        <v>60</v>
      </c>
      <c r="C6" s="37">
        <v>0.7</v>
      </c>
      <c r="D6" s="37"/>
      <c r="E6" s="37"/>
      <c r="F6" s="37"/>
      <c r="G6" s="37"/>
      <c r="H6" s="37"/>
      <c r="I6" s="37"/>
      <c r="J6" s="37">
        <v>10</v>
      </c>
      <c r="K6" s="37">
        <v>0.1</v>
      </c>
      <c r="L6" s="37">
        <v>55</v>
      </c>
      <c r="M6" s="37">
        <v>0.6</v>
      </c>
      <c r="N6" s="36"/>
      <c r="O6" s="36"/>
      <c r="P6" s="36"/>
      <c r="Q6" s="36"/>
      <c r="R6" s="36"/>
      <c r="S6" s="36"/>
      <c r="T6" s="36"/>
      <c r="U6" s="36"/>
      <c r="V6" s="36"/>
      <c r="W6" s="36"/>
    </row>
    <row r="7" spans="1:23">
      <c r="A7" s="39" t="s">
        <v>59</v>
      </c>
      <c r="B7" s="37">
        <v>60</v>
      </c>
      <c r="C7" s="37">
        <v>0.7</v>
      </c>
      <c r="D7" s="37"/>
      <c r="E7" s="37"/>
      <c r="F7" s="37"/>
      <c r="G7" s="37"/>
      <c r="H7" s="37"/>
      <c r="I7" s="37"/>
      <c r="J7" s="37">
        <v>10</v>
      </c>
      <c r="K7" s="37">
        <v>0.1</v>
      </c>
      <c r="L7" s="37">
        <v>55</v>
      </c>
      <c r="M7" s="37">
        <v>0.6</v>
      </c>
      <c r="N7" s="36"/>
      <c r="O7" s="36"/>
      <c r="P7" s="36"/>
      <c r="Q7" s="36"/>
      <c r="R7" s="36"/>
      <c r="S7" s="36"/>
      <c r="T7" s="36"/>
      <c r="U7" s="36"/>
      <c r="V7" s="36"/>
      <c r="W7" s="36"/>
    </row>
    <row r="8" spans="1:23">
      <c r="A8" s="39" t="s">
        <v>77</v>
      </c>
      <c r="B8" s="37">
        <v>69</v>
      </c>
      <c r="C8" s="37">
        <v>0.8</v>
      </c>
      <c r="D8" s="37"/>
      <c r="E8" s="37"/>
      <c r="F8" s="37"/>
      <c r="G8" s="37"/>
      <c r="H8" s="37"/>
      <c r="I8" s="37"/>
      <c r="J8" s="37">
        <v>10</v>
      </c>
      <c r="K8" s="37">
        <v>0.1</v>
      </c>
      <c r="L8" s="37">
        <v>55</v>
      </c>
      <c r="M8" s="37">
        <v>0.6</v>
      </c>
      <c r="N8" s="36"/>
      <c r="O8" s="36"/>
      <c r="P8" s="36"/>
      <c r="Q8" s="36"/>
      <c r="R8" s="36"/>
      <c r="S8" s="36"/>
      <c r="T8" s="36"/>
      <c r="U8" s="36"/>
      <c r="V8" s="36"/>
      <c r="W8" s="36"/>
    </row>
    <row r="9" spans="1:23">
      <c r="A9" s="39" t="s">
        <v>60</v>
      </c>
      <c r="B9" s="37">
        <v>69</v>
      </c>
      <c r="C9" s="37">
        <v>0.8</v>
      </c>
      <c r="D9" s="37"/>
      <c r="E9" s="37"/>
      <c r="F9" s="37"/>
      <c r="G9" s="37"/>
      <c r="H9" s="37"/>
      <c r="I9" s="37"/>
      <c r="J9" s="37">
        <v>10</v>
      </c>
      <c r="K9" s="37">
        <v>0.1</v>
      </c>
      <c r="L9" s="37">
        <v>55</v>
      </c>
      <c r="M9" s="37">
        <v>0.6</v>
      </c>
      <c r="N9" s="36"/>
      <c r="O9" s="36"/>
      <c r="P9" s="36"/>
      <c r="Q9" s="36"/>
      <c r="R9" s="36"/>
      <c r="S9" s="36"/>
      <c r="T9" s="36"/>
      <c r="U9" s="36"/>
      <c r="V9" s="36"/>
      <c r="W9" s="36"/>
    </row>
    <row r="10" spans="1:23">
      <c r="A10" s="39" t="s">
        <v>71</v>
      </c>
      <c r="B10" s="37">
        <v>69</v>
      </c>
      <c r="C10" s="37">
        <v>0.8</v>
      </c>
      <c r="D10" s="37"/>
      <c r="E10" s="37"/>
      <c r="F10" s="37"/>
      <c r="G10" s="37"/>
      <c r="H10" s="37"/>
      <c r="I10" s="37"/>
      <c r="J10" s="37">
        <v>10</v>
      </c>
      <c r="K10" s="37">
        <v>0.1</v>
      </c>
      <c r="L10" s="37">
        <v>55</v>
      </c>
      <c r="M10" s="37">
        <v>0.6</v>
      </c>
      <c r="N10" s="36"/>
      <c r="O10" s="36"/>
      <c r="P10" s="36"/>
      <c r="Q10" s="36"/>
      <c r="R10" s="36"/>
      <c r="S10" s="36"/>
      <c r="T10" s="36"/>
      <c r="U10" s="36"/>
      <c r="V10" s="36"/>
      <c r="W10" s="36"/>
    </row>
    <row r="11" spans="1:23">
      <c r="A11" s="39" t="s">
        <v>61</v>
      </c>
      <c r="B11" s="37">
        <v>69</v>
      </c>
      <c r="C11" s="37">
        <v>0.8</v>
      </c>
      <c r="D11" s="37"/>
      <c r="E11" s="37"/>
      <c r="F11" s="37"/>
      <c r="G11" s="37"/>
      <c r="H11" s="37"/>
      <c r="I11" s="37"/>
      <c r="J11" s="37">
        <v>10</v>
      </c>
      <c r="K11" s="37">
        <v>0.1</v>
      </c>
      <c r="L11" s="37">
        <v>55</v>
      </c>
      <c r="M11" s="37">
        <v>0.6</v>
      </c>
      <c r="N11" s="36"/>
      <c r="O11" s="36"/>
      <c r="P11" s="36"/>
      <c r="Q11" s="36"/>
      <c r="R11" s="36"/>
      <c r="S11" s="36"/>
      <c r="T11" s="36"/>
      <c r="U11" s="36"/>
      <c r="V11" s="36"/>
      <c r="W11" s="36"/>
    </row>
    <row r="12" spans="1:23">
      <c r="A12" s="39" t="s">
        <v>78</v>
      </c>
      <c r="B12" s="37">
        <v>60</v>
      </c>
      <c r="C12" s="37">
        <v>0.7</v>
      </c>
      <c r="D12" s="37">
        <v>22</v>
      </c>
      <c r="E12" s="37">
        <v>0.9</v>
      </c>
      <c r="F12" s="37"/>
      <c r="G12" s="37"/>
      <c r="H12" s="37">
        <v>30</v>
      </c>
      <c r="I12" s="37">
        <v>8.3000000000000007</v>
      </c>
      <c r="J12" s="37">
        <v>10</v>
      </c>
      <c r="K12" s="37">
        <v>0.1</v>
      </c>
      <c r="L12" s="37">
        <v>55</v>
      </c>
      <c r="M12" s="37">
        <v>0.6</v>
      </c>
      <c r="N12" s="36"/>
      <c r="O12" s="36"/>
      <c r="P12" s="36"/>
      <c r="Q12" s="36"/>
      <c r="R12" s="36"/>
      <c r="S12" s="36"/>
      <c r="T12" s="36"/>
      <c r="U12" s="36"/>
      <c r="V12" s="36"/>
      <c r="W12" s="36"/>
    </row>
    <row r="13" spans="1:23">
      <c r="A13" s="39" t="s">
        <v>62</v>
      </c>
      <c r="B13" s="37">
        <v>60</v>
      </c>
      <c r="C13" s="37">
        <v>0.7</v>
      </c>
      <c r="D13" s="37">
        <v>22</v>
      </c>
      <c r="E13" s="37">
        <v>0.9</v>
      </c>
      <c r="F13" s="37"/>
      <c r="G13" s="37"/>
      <c r="H13" s="37">
        <v>30</v>
      </c>
      <c r="I13" s="37">
        <v>8.3000000000000007</v>
      </c>
      <c r="J13" s="37">
        <v>10</v>
      </c>
      <c r="K13" s="37">
        <v>0.1</v>
      </c>
      <c r="L13" s="37">
        <v>55</v>
      </c>
      <c r="M13" s="37">
        <v>0.6</v>
      </c>
      <c r="N13" s="36"/>
      <c r="O13" s="36"/>
      <c r="P13" s="36"/>
      <c r="Q13" s="36"/>
      <c r="R13" s="36"/>
      <c r="S13" s="36"/>
      <c r="T13" s="36"/>
      <c r="U13" s="36"/>
      <c r="V13" s="36"/>
      <c r="W13" s="36"/>
    </row>
    <row r="14" spans="1:23">
      <c r="A14" s="39" t="s">
        <v>72</v>
      </c>
      <c r="B14" s="37">
        <v>60</v>
      </c>
      <c r="C14" s="37">
        <v>0.7</v>
      </c>
      <c r="D14" s="37">
        <v>22</v>
      </c>
      <c r="E14" s="37">
        <v>0.9</v>
      </c>
      <c r="F14" s="37"/>
      <c r="G14" s="37"/>
      <c r="H14" s="37">
        <v>30</v>
      </c>
      <c r="I14" s="37">
        <v>8.3000000000000007</v>
      </c>
      <c r="J14" s="37">
        <v>10</v>
      </c>
      <c r="K14" s="37">
        <v>0.1</v>
      </c>
      <c r="L14" s="37">
        <v>55</v>
      </c>
      <c r="M14" s="37">
        <v>0.6</v>
      </c>
    </row>
    <row r="15" spans="1:23">
      <c r="A15" s="39" t="s">
        <v>63</v>
      </c>
      <c r="B15" s="37">
        <v>60</v>
      </c>
      <c r="C15" s="37">
        <v>0.7</v>
      </c>
      <c r="D15" s="37">
        <v>22</v>
      </c>
      <c r="E15" s="37">
        <v>0.9</v>
      </c>
      <c r="F15" s="37"/>
      <c r="G15" s="37"/>
      <c r="H15" s="37">
        <v>30</v>
      </c>
      <c r="I15" s="37">
        <v>8.3000000000000007</v>
      </c>
      <c r="J15" s="37">
        <v>10</v>
      </c>
      <c r="K15" s="37">
        <v>0.1</v>
      </c>
      <c r="L15" s="37">
        <v>55</v>
      </c>
      <c r="M15" s="37">
        <v>0.6</v>
      </c>
    </row>
    <row r="16" spans="1:23">
      <c r="A16" s="39" t="s">
        <v>79</v>
      </c>
      <c r="B16" s="37">
        <v>60</v>
      </c>
      <c r="C16" s="37">
        <v>0.7</v>
      </c>
      <c r="D16" s="37">
        <v>22</v>
      </c>
      <c r="E16" s="37">
        <v>0.9</v>
      </c>
      <c r="F16" s="37"/>
      <c r="G16" s="37"/>
      <c r="H16" s="37">
        <v>30</v>
      </c>
      <c r="I16" s="37">
        <v>8.3000000000000007</v>
      </c>
      <c r="J16" s="37">
        <v>10</v>
      </c>
      <c r="K16" s="37">
        <v>0.1</v>
      </c>
      <c r="L16" s="37">
        <v>35</v>
      </c>
      <c r="M16" s="37">
        <v>0.4</v>
      </c>
    </row>
    <row r="17" spans="1:13">
      <c r="A17" s="39" t="s">
        <v>64</v>
      </c>
      <c r="B17" s="37">
        <v>60</v>
      </c>
      <c r="C17" s="37">
        <v>0.7</v>
      </c>
      <c r="D17" s="37">
        <v>22</v>
      </c>
      <c r="E17" s="37">
        <v>0.9</v>
      </c>
      <c r="F17" s="37"/>
      <c r="G17" s="37"/>
      <c r="H17" s="37">
        <v>30</v>
      </c>
      <c r="I17" s="37">
        <v>8.3000000000000007</v>
      </c>
      <c r="J17" s="37">
        <v>10</v>
      </c>
      <c r="K17" s="37">
        <v>0.1</v>
      </c>
      <c r="L17" s="37">
        <v>35</v>
      </c>
      <c r="M17" s="37">
        <v>0.4</v>
      </c>
    </row>
    <row r="18" spans="1:13">
      <c r="A18" s="39" t="s">
        <v>73</v>
      </c>
      <c r="B18" s="37">
        <v>60</v>
      </c>
      <c r="C18" s="37">
        <v>0.7</v>
      </c>
      <c r="D18" s="37">
        <v>22</v>
      </c>
      <c r="E18" s="37">
        <v>0.9</v>
      </c>
      <c r="F18" s="37"/>
      <c r="G18" s="37"/>
      <c r="H18" s="37">
        <v>30</v>
      </c>
      <c r="I18" s="37">
        <v>8.3000000000000007</v>
      </c>
      <c r="J18" s="37">
        <v>10</v>
      </c>
      <c r="K18" s="37">
        <v>0.1</v>
      </c>
      <c r="L18" s="37">
        <v>35</v>
      </c>
      <c r="M18" s="37">
        <v>0.4</v>
      </c>
    </row>
    <row r="19" spans="1:13">
      <c r="A19" s="39" t="s">
        <v>65</v>
      </c>
      <c r="B19" s="37">
        <v>60</v>
      </c>
      <c r="C19" s="37">
        <v>0.7</v>
      </c>
      <c r="D19" s="37">
        <v>22</v>
      </c>
      <c r="E19" s="37">
        <v>0.9</v>
      </c>
      <c r="F19" s="37"/>
      <c r="G19" s="37"/>
      <c r="H19" s="37">
        <v>30</v>
      </c>
      <c r="I19" s="37">
        <v>8.3000000000000007</v>
      </c>
      <c r="J19" s="37">
        <v>10</v>
      </c>
      <c r="K19" s="37">
        <v>0.1</v>
      </c>
      <c r="L19" s="37">
        <v>35</v>
      </c>
      <c r="M19" s="37">
        <v>0.4</v>
      </c>
    </row>
    <row r="20" spans="1:13">
      <c r="A20" s="39" t="s">
        <v>80</v>
      </c>
      <c r="D20" s="34">
        <v>22</v>
      </c>
      <c r="E20" s="34">
        <v>0.9</v>
      </c>
      <c r="H20" s="34">
        <v>30</v>
      </c>
      <c r="I20" s="34">
        <v>8.3000000000000007</v>
      </c>
      <c r="L20" s="34">
        <v>35</v>
      </c>
      <c r="M20" s="34">
        <v>0.4</v>
      </c>
    </row>
    <row r="21" spans="1:13">
      <c r="A21" s="39" t="s">
        <v>66</v>
      </c>
      <c r="D21" s="34">
        <v>22</v>
      </c>
      <c r="E21" s="34">
        <v>0.9</v>
      </c>
      <c r="H21" s="34">
        <v>30</v>
      </c>
      <c r="I21" s="34">
        <v>8.3000000000000007</v>
      </c>
      <c r="L21" s="34">
        <v>35</v>
      </c>
      <c r="M21" s="34">
        <v>0.4</v>
      </c>
    </row>
    <row r="22" spans="1:13">
      <c r="A22" s="39" t="s">
        <v>74</v>
      </c>
      <c r="D22" s="34">
        <v>22</v>
      </c>
      <c r="E22" s="34">
        <v>0.9</v>
      </c>
      <c r="H22" s="34">
        <v>30</v>
      </c>
      <c r="I22" s="34">
        <v>8.3000000000000007</v>
      </c>
      <c r="L22" s="34">
        <v>35</v>
      </c>
      <c r="M22" s="34">
        <v>0.4</v>
      </c>
    </row>
    <row r="23" spans="1:13">
      <c r="A23" s="39" t="s">
        <v>67</v>
      </c>
      <c r="D23" s="34">
        <v>22</v>
      </c>
      <c r="E23" s="34">
        <v>0.9</v>
      </c>
      <c r="H23" s="34">
        <v>30</v>
      </c>
      <c r="I23" s="34">
        <v>8.3000000000000007</v>
      </c>
      <c r="L23" s="34">
        <v>35</v>
      </c>
      <c r="M23" s="34">
        <v>0.4</v>
      </c>
    </row>
    <row r="24" spans="1:13">
      <c r="A24" s="39" t="s">
        <v>81</v>
      </c>
      <c r="D24" s="34">
        <v>22</v>
      </c>
      <c r="E24" s="34">
        <v>0.9</v>
      </c>
      <c r="F24" s="37">
        <v>40</v>
      </c>
      <c r="G24" s="37">
        <v>1.1000000000000001</v>
      </c>
      <c r="H24" s="34">
        <v>30</v>
      </c>
      <c r="I24" s="34">
        <v>8.3000000000000007</v>
      </c>
      <c r="J24" s="37">
        <v>40</v>
      </c>
      <c r="K24" s="37">
        <v>0.3</v>
      </c>
      <c r="L24" s="34">
        <v>35</v>
      </c>
      <c r="M24" s="34">
        <v>0.4</v>
      </c>
    </row>
    <row r="25" spans="1:13">
      <c r="A25" s="39" t="s">
        <v>68</v>
      </c>
      <c r="B25" s="37"/>
      <c r="C25" s="37"/>
      <c r="D25" s="37">
        <v>22</v>
      </c>
      <c r="E25" s="37">
        <v>0.9</v>
      </c>
      <c r="F25" s="37">
        <v>40</v>
      </c>
      <c r="G25" s="37">
        <v>1.1000000000000001</v>
      </c>
      <c r="H25" s="37">
        <v>30</v>
      </c>
      <c r="I25" s="37">
        <v>8.3000000000000007</v>
      </c>
      <c r="J25" s="37">
        <v>40</v>
      </c>
      <c r="K25" s="37">
        <v>0.3</v>
      </c>
      <c r="L25" s="37">
        <v>35</v>
      </c>
      <c r="M25" s="37">
        <v>0.4</v>
      </c>
    </row>
    <row r="26" spans="1:13">
      <c r="A26" s="39" t="s">
        <v>75</v>
      </c>
      <c r="B26" s="37"/>
      <c r="C26" s="37"/>
      <c r="D26" s="37">
        <v>22</v>
      </c>
      <c r="E26" s="37">
        <v>0.9</v>
      </c>
      <c r="F26" s="37">
        <v>40</v>
      </c>
      <c r="G26" s="37">
        <v>1.1000000000000001</v>
      </c>
      <c r="H26" s="37">
        <v>30</v>
      </c>
      <c r="I26" s="37">
        <v>8.3000000000000007</v>
      </c>
      <c r="J26" s="37">
        <v>40</v>
      </c>
      <c r="K26" s="37">
        <v>0.3</v>
      </c>
      <c r="L26" s="37">
        <v>35</v>
      </c>
      <c r="M26" s="37">
        <v>0.4</v>
      </c>
    </row>
    <row r="27" spans="1:13">
      <c r="A27" s="39" t="s">
        <v>69</v>
      </c>
      <c r="B27" s="37"/>
      <c r="C27" s="37"/>
      <c r="D27" s="37">
        <v>22</v>
      </c>
      <c r="E27" s="37">
        <v>0.9</v>
      </c>
      <c r="F27" s="37">
        <v>40</v>
      </c>
      <c r="G27" s="37">
        <v>1.1000000000000001</v>
      </c>
      <c r="H27" s="37">
        <v>30</v>
      </c>
      <c r="I27" s="37">
        <v>8.3000000000000007</v>
      </c>
      <c r="J27" s="37">
        <v>40</v>
      </c>
      <c r="K27" s="37">
        <v>0.3</v>
      </c>
      <c r="L27" s="37">
        <v>35</v>
      </c>
      <c r="M27" s="37">
        <v>0.4</v>
      </c>
    </row>
    <row r="30" spans="1:13">
      <c r="A30" s="34" t="s">
        <v>84</v>
      </c>
      <c r="B30" s="34" t="s">
        <v>176</v>
      </c>
      <c r="C30" s="3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22AB-5163-453C-8811-16F9659916E9}">
  <sheetPr codeName="Sheet14"/>
  <dimension ref="A1:F22"/>
  <sheetViews>
    <sheetView zoomScale="60" zoomScaleNormal="60" workbookViewId="0">
      <pane xSplit="3" ySplit="3" topLeftCell="D4" activePane="bottomRight" state="frozen"/>
      <selection pane="topRight" activeCell="E1" sqref="E1"/>
      <selection pane="bottomLeft" activeCell="A3" sqref="A3"/>
      <selection pane="bottomRight" activeCell="A11" sqref="A11"/>
    </sheetView>
  </sheetViews>
  <sheetFormatPr defaultRowHeight="14.6"/>
  <cols>
    <col min="1" max="1" width="41.69140625" bestFit="1" customWidth="1"/>
    <col min="2" max="2" width="24.84375" bestFit="1" customWidth="1"/>
    <col min="3" max="3" width="6" bestFit="1" customWidth="1"/>
    <col min="4" max="4" width="9.15234375" bestFit="1" customWidth="1"/>
  </cols>
  <sheetData>
    <row r="1" spans="1:6" ht="18.45">
      <c r="A1" s="6" t="s">
        <v>151</v>
      </c>
    </row>
    <row r="2" spans="1:6" ht="18.45">
      <c r="A2" s="6"/>
    </row>
    <row r="3" spans="1:6">
      <c r="B3" s="2"/>
      <c r="C3" s="2"/>
      <c r="D3" s="7" t="s">
        <v>43</v>
      </c>
      <c r="E3" s="5" t="s">
        <v>45</v>
      </c>
    </row>
    <row r="4" spans="1:6">
      <c r="A4" t="s">
        <v>10</v>
      </c>
      <c r="B4" t="s">
        <v>8</v>
      </c>
      <c r="C4" t="s">
        <v>9</v>
      </c>
      <c r="D4" s="1">
        <v>0.6</v>
      </c>
      <c r="E4" s="1">
        <f>D4</f>
        <v>0.6</v>
      </c>
      <c r="F4" s="15"/>
    </row>
    <row r="5" spans="1:6">
      <c r="A5" t="s">
        <v>16</v>
      </c>
      <c r="B5" t="s">
        <v>8</v>
      </c>
      <c r="C5" t="s">
        <v>9</v>
      </c>
      <c r="D5" s="1">
        <v>0.6</v>
      </c>
      <c r="E5" s="1">
        <f t="shared" ref="E5:E11" si="0">D5</f>
        <v>0.6</v>
      </c>
      <c r="F5" s="15"/>
    </row>
    <row r="6" spans="1:6">
      <c r="A6" t="s">
        <v>15</v>
      </c>
      <c r="B6" t="s">
        <v>8</v>
      </c>
      <c r="C6" t="s">
        <v>9</v>
      </c>
      <c r="D6" s="1">
        <f>(413085-137166)/413085</f>
        <v>0.66794727477395699</v>
      </c>
      <c r="E6" s="1">
        <f t="shared" si="0"/>
        <v>0.66794727477395699</v>
      </c>
      <c r="F6" s="15"/>
    </row>
    <row r="7" spans="1:6">
      <c r="A7" t="s">
        <v>11</v>
      </c>
      <c r="B7" t="s">
        <v>8</v>
      </c>
      <c r="C7" t="s">
        <v>9</v>
      </c>
      <c r="D7" s="1">
        <v>0.85</v>
      </c>
      <c r="E7" s="1">
        <f t="shared" si="0"/>
        <v>0.85</v>
      </c>
      <c r="F7" s="15"/>
    </row>
    <row r="8" spans="1:6">
      <c r="A8" t="s">
        <v>14</v>
      </c>
      <c r="B8" t="s">
        <v>8</v>
      </c>
      <c r="C8" t="s">
        <v>9</v>
      </c>
      <c r="D8" s="1">
        <v>0.85</v>
      </c>
      <c r="E8" s="1">
        <f t="shared" si="0"/>
        <v>0.85</v>
      </c>
      <c r="F8" s="15"/>
    </row>
    <row r="9" spans="1:6">
      <c r="A9" t="s">
        <v>12</v>
      </c>
      <c r="B9" t="s">
        <v>8</v>
      </c>
      <c r="C9" t="s">
        <v>9</v>
      </c>
      <c r="D9" s="1">
        <f>(Mat_EF!D9-Mat_EF_rec!D9)/Mat_EF!D9</f>
        <v>0.80850226085850141</v>
      </c>
      <c r="E9" s="1">
        <f>(Mat_EF!E9-Mat_EF_rec!E9)/Mat_EF!E9</f>
        <v>0.80883252759523561</v>
      </c>
      <c r="F9" s="15"/>
    </row>
    <row r="10" spans="1:6">
      <c r="A10" t="s">
        <v>13</v>
      </c>
      <c r="B10" t="s">
        <v>8</v>
      </c>
      <c r="C10" t="s">
        <v>9</v>
      </c>
      <c r="D10" s="1">
        <f>(Mat_EF!D10-Mat_EF_rec!D10)/Mat_EF!D10</f>
        <v>0.34159728597183642</v>
      </c>
      <c r="E10" s="1">
        <f>(Mat_EF!E10-Mat_EF_rec!E10)/Mat_EF!E10</f>
        <v>0.34159728597183647</v>
      </c>
      <c r="F10" s="15"/>
    </row>
    <row r="11" spans="1:6">
      <c r="A11" t="s">
        <v>19</v>
      </c>
      <c r="B11" t="s">
        <v>8</v>
      </c>
      <c r="C11" t="s">
        <v>9</v>
      </c>
      <c r="D11" s="1">
        <v>0</v>
      </c>
      <c r="E11" s="1">
        <f t="shared" si="0"/>
        <v>0</v>
      </c>
      <c r="F11" s="15"/>
    </row>
    <row r="13" spans="1:6">
      <c r="D13" s="1"/>
    </row>
    <row r="14" spans="1:6">
      <c r="D14" s="1"/>
    </row>
    <row r="22" spans="1:1">
      <c r="A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Info</vt:lpstr>
      <vt:lpstr>Arch</vt:lpstr>
      <vt:lpstr>Mat_com</vt:lpstr>
      <vt:lpstr>Mat_com_%</vt:lpstr>
      <vt:lpstr>Rec</vt:lpstr>
      <vt:lpstr>Reu</vt:lpstr>
      <vt:lpstr>Comp</vt:lpstr>
      <vt:lpstr>Comp_coef</vt:lpstr>
      <vt:lpstr>Mat_EF_rec_%</vt:lpstr>
      <vt:lpstr>Mat_EF_rec</vt:lpstr>
      <vt:lpstr>Mat_EF</vt:lpstr>
      <vt:lpstr>En_EF</vt:lpstr>
      <vt:lpstr>Use_en</vt:lpstr>
      <vt:lpstr>Reu_en</vt:lpstr>
      <vt:lpstr>Ass_en</vt:lpstr>
      <vt:lpstr>GREET_kg</vt:lpstr>
      <vt:lpstr>Batt_kWh</vt:lpstr>
      <vt:lpstr>Ass_kWh</vt:lpstr>
      <vt:lpstr>Ass_MJ</vt:lpstr>
      <vt:lpstr>Ass_EF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Wolfram, Paul</dc:creator>
  <cp:lastModifiedBy>Wolfram, Paul</cp:lastModifiedBy>
  <dcterms:created xsi:type="dcterms:W3CDTF">2015-06-05T18:17:20Z</dcterms:created>
  <dcterms:modified xsi:type="dcterms:W3CDTF">2019-12-04T18:27:18Z</dcterms:modified>
</cp:coreProperties>
</file>