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BA3\Second semester\Data Driven Management Accounting\Lecture 7\"/>
    </mc:Choice>
  </mc:AlternateContent>
  <xr:revisionPtr revIDLastSave="0" documentId="13_ncr:1_{36395CA9-FC75-4E4A-9BA8-5673BF7E7F47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pmc" sheetId="2" r:id="rId1"/>
    <sheet name="spmb" sheetId="1" r:id="rId2"/>
    <sheet name="product profitability + info" sheetId="3" r:id="rId3"/>
    <sheet name="customer profitability" sheetId="5" r:id="rId4"/>
    <sheet name="Sheet1" sheetId="4" r:id="rId5"/>
  </sheets>
  <definedNames>
    <definedName name="Administration">'product profitability + info'!$C$14:$E$14</definedName>
    <definedName name="Assembly">'product profitability + info'!$C$12:$E$12</definedName>
    <definedName name="Order">'product profitability + info'!$C$10:$E$10</definedName>
    <definedName name="Profit">'product profitability + info'!$C$15:$E$15</definedName>
    <definedName name="QC">'product profitability + info'!$C$13:$E$13</definedName>
    <definedName name="Unit_Order">'product profitability + info'!$M$4</definedName>
    <definedName name="Unit_QC">'product profitability + info'!$M$7</definedName>
    <definedName name="Warehouse">'product profitability + info'!$C$11:$E$11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5" l="1"/>
  <c r="Z18" i="5" s="1"/>
  <c r="C11" i="3"/>
  <c r="B19" i="5" a="1"/>
  <c r="B19" i="5" s="1"/>
  <c r="Z19" i="5" s="1"/>
  <c r="C15" i="3"/>
  <c r="D13" i="5" a="1"/>
  <c r="D13" i="5" s="1"/>
  <c r="C13" i="5" a="1"/>
  <c r="C13" i="5" s="1"/>
  <c r="B13" i="5" a="1"/>
  <c r="B13" i="5" s="1"/>
  <c r="Z15" i="5"/>
  <c r="Z20" i="5"/>
  <c r="Z21" i="5"/>
  <c r="Z22" i="5"/>
  <c r="B51" i="5"/>
  <c r="B15" i="5" a="1"/>
  <c r="B15" i="5" s="1"/>
  <c r="C29" i="5"/>
  <c r="C30" i="5" s="1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49" i="5" s="1"/>
  <c r="C28" i="5"/>
  <c r="C27" i="5"/>
  <c r="C23" i="5"/>
  <c r="D23" i="5" s="1"/>
  <c r="E23" i="5" s="1"/>
  <c r="F23" i="5" s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B21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C19" i="5" a="1"/>
  <c r="C19" i="5" s="1"/>
  <c r="D19" i="5" a="1"/>
  <c r="D19" i="5" s="1"/>
  <c r="E19" i="5" a="1"/>
  <c r="E19" i="5" s="1"/>
  <c r="F19" i="5" a="1"/>
  <c r="F19" i="5"/>
  <c r="G19" i="5" a="1"/>
  <c r="G19" i="5" s="1"/>
  <c r="H19" i="5" a="1"/>
  <c r="H19" i="5" s="1"/>
  <c r="I19" i="5" a="1"/>
  <c r="I19" i="5" s="1"/>
  <c r="J19" i="5" a="1"/>
  <c r="J19" i="5"/>
  <c r="K19" i="5" a="1"/>
  <c r="K19" i="5" s="1"/>
  <c r="L19" i="5" a="1"/>
  <c r="L19" i="5" s="1"/>
  <c r="M19" i="5" a="1"/>
  <c r="M19" i="5" s="1"/>
  <c r="N19" i="5" a="1"/>
  <c r="N19" i="5"/>
  <c r="O19" i="5" a="1"/>
  <c r="O19" i="5" s="1"/>
  <c r="P19" i="5" a="1"/>
  <c r="P19" i="5" s="1"/>
  <c r="Q19" i="5" a="1"/>
  <c r="Q19" i="5" s="1"/>
  <c r="R19" i="5" a="1"/>
  <c r="R19" i="5"/>
  <c r="S19" i="5" a="1"/>
  <c r="S19" i="5" s="1"/>
  <c r="T19" i="5" a="1"/>
  <c r="T19" i="5" s="1"/>
  <c r="U19" i="5" a="1"/>
  <c r="U19" i="5" s="1"/>
  <c r="V19" i="5" a="1"/>
  <c r="V19" i="5"/>
  <c r="W19" i="5" a="1"/>
  <c r="W19" i="5" s="1"/>
  <c r="X19" i="5" a="1"/>
  <c r="X19" i="5" s="1"/>
  <c r="C10" i="3"/>
  <c r="C20" i="5" a="1"/>
  <c r="C20" i="5" s="1"/>
  <c r="C15" i="5" a="1"/>
  <c r="C15" i="5"/>
  <c r="D15" i="5" a="1"/>
  <c r="D15" i="5"/>
  <c r="B20" i="5" a="1"/>
  <c r="B20" i="5"/>
  <c r="D20" i="5" a="1"/>
  <c r="D20" i="5"/>
  <c r="B22" i="5" a="1"/>
  <c r="B22" i="5"/>
  <c r="C22" i="5" a="1"/>
  <c r="C22" i="5"/>
  <c r="D22" i="5" a="1"/>
  <c r="D22" i="5"/>
  <c r="E22" i="5" a="1"/>
  <c r="E22" i="5" s="1"/>
  <c r="F22" i="5" a="1"/>
  <c r="F22" i="5" s="1"/>
  <c r="G22" i="5" a="1"/>
  <c r="G22" i="5" s="1"/>
  <c r="H22" i="5" a="1"/>
  <c r="H22" i="5" s="1"/>
  <c r="I22" i="5" a="1"/>
  <c r="I22" i="5" s="1"/>
  <c r="J22" i="5" a="1"/>
  <c r="J22" i="5" s="1"/>
  <c r="K22" i="5" a="1"/>
  <c r="K22" i="5" s="1"/>
  <c r="L22" i="5" a="1"/>
  <c r="L22" i="5" s="1"/>
  <c r="M22" i="5" a="1"/>
  <c r="M22" i="5" s="1"/>
  <c r="N22" i="5" a="1"/>
  <c r="N22" i="5" s="1"/>
  <c r="O22" i="5" a="1"/>
  <c r="O22" i="5" s="1"/>
  <c r="P22" i="5" a="1"/>
  <c r="P22" i="5" s="1"/>
  <c r="Q22" i="5" a="1"/>
  <c r="Q22" i="5" s="1"/>
  <c r="R22" i="5" a="1"/>
  <c r="R22" i="5" s="1"/>
  <c r="S22" i="5" a="1"/>
  <c r="S22" i="5" s="1"/>
  <c r="T22" i="5" a="1"/>
  <c r="T22" i="5" s="1"/>
  <c r="U22" i="5" a="1"/>
  <c r="U22" i="5" s="1"/>
  <c r="V22" i="5" a="1"/>
  <c r="V22" i="5" s="1"/>
  <c r="W22" i="5" a="1"/>
  <c r="W22" i="5" s="1"/>
  <c r="X22" i="5" a="1"/>
  <c r="X22" i="5" s="1"/>
  <c r="E20" i="5" a="1"/>
  <c r="E20" i="5" s="1"/>
  <c r="F20" i="5" a="1"/>
  <c r="F20" i="5" s="1"/>
  <c r="G20" i="5" a="1"/>
  <c r="G20" i="5" s="1"/>
  <c r="H20" i="5" a="1"/>
  <c r="H20" i="5" s="1"/>
  <c r="I20" i="5" a="1"/>
  <c r="I20" i="5" s="1"/>
  <c r="J20" i="5" a="1"/>
  <c r="J20" i="5" s="1"/>
  <c r="K20" i="5" a="1"/>
  <c r="K20" i="5" s="1"/>
  <c r="L20" i="5" a="1"/>
  <c r="L20" i="5" s="1"/>
  <c r="M20" i="5" a="1"/>
  <c r="M20" i="5" s="1"/>
  <c r="N20" i="5" a="1"/>
  <c r="N20" i="5" s="1"/>
  <c r="O20" i="5" a="1"/>
  <c r="O20" i="5" s="1"/>
  <c r="P20" i="5" a="1"/>
  <c r="P20" i="5" s="1"/>
  <c r="Q20" i="5" a="1"/>
  <c r="Q20" i="5" s="1"/>
  <c r="R20" i="5" a="1"/>
  <c r="R20" i="5"/>
  <c r="S20" i="5" a="1"/>
  <c r="S20" i="5" s="1"/>
  <c r="T20" i="5" a="1"/>
  <c r="T20" i="5" s="1"/>
  <c r="U20" i="5" a="1"/>
  <c r="U20" i="5" s="1"/>
  <c r="V20" i="5" a="1"/>
  <c r="V20" i="5" s="1"/>
  <c r="W20" i="5" a="1"/>
  <c r="W20" i="5" s="1"/>
  <c r="X20" i="5" a="1"/>
  <c r="X20" i="5" s="1"/>
  <c r="E15" i="5" a="1"/>
  <c r="E15" i="5" s="1"/>
  <c r="F15" i="5" a="1"/>
  <c r="F15" i="5" s="1"/>
  <c r="G15" i="5" a="1"/>
  <c r="G15" i="5" s="1"/>
  <c r="H15" i="5" a="1"/>
  <c r="H15" i="5" s="1"/>
  <c r="I15" i="5" a="1"/>
  <c r="I15" i="5" s="1"/>
  <c r="J15" i="5" a="1"/>
  <c r="J15" i="5" s="1"/>
  <c r="K15" i="5" a="1"/>
  <c r="K15" i="5" s="1"/>
  <c r="L15" i="5" a="1"/>
  <c r="L15" i="5" s="1"/>
  <c r="M15" i="5" a="1"/>
  <c r="M15" i="5"/>
  <c r="N15" i="5" a="1"/>
  <c r="N15" i="5" s="1"/>
  <c r="O15" i="5" a="1"/>
  <c r="O15" i="5" s="1"/>
  <c r="P15" i="5" a="1"/>
  <c r="P15" i="5" s="1"/>
  <c r="Q15" i="5" a="1"/>
  <c r="Q15" i="5" s="1"/>
  <c r="R15" i="5" a="1"/>
  <c r="R15" i="5"/>
  <c r="S15" i="5" a="1"/>
  <c r="S15" i="5" s="1"/>
  <c r="T15" i="5" a="1"/>
  <c r="T15" i="5" s="1"/>
  <c r="U15" i="5" a="1"/>
  <c r="U15" i="5" s="1"/>
  <c r="V15" i="5" a="1"/>
  <c r="V15" i="5" s="1"/>
  <c r="W15" i="5" a="1"/>
  <c r="W15" i="5" s="1"/>
  <c r="X15" i="5" a="1"/>
  <c r="X15" i="5" s="1"/>
  <c r="E13" i="5" a="1"/>
  <c r="E13" i="5" s="1"/>
  <c r="F13" i="5" a="1"/>
  <c r="F13" i="5" s="1"/>
  <c r="G13" i="5" a="1"/>
  <c r="G13" i="5" s="1"/>
  <c r="H13" i="5" a="1"/>
  <c r="H13" i="5" s="1"/>
  <c r="I13" i="5" a="1"/>
  <c r="I13" i="5" s="1"/>
  <c r="J13" i="5" a="1"/>
  <c r="J13" i="5" s="1"/>
  <c r="K13" i="5" a="1"/>
  <c r="K13" i="5" s="1"/>
  <c r="L13" i="5" a="1"/>
  <c r="L13" i="5" s="1"/>
  <c r="M13" i="5" a="1"/>
  <c r="M13" i="5"/>
  <c r="N13" i="5" a="1"/>
  <c r="N13" i="5" s="1"/>
  <c r="O13" i="5" a="1"/>
  <c r="O13" i="5" s="1"/>
  <c r="P13" i="5" a="1"/>
  <c r="P13" i="5" s="1"/>
  <c r="Q13" i="5" a="1"/>
  <c r="Q13" i="5"/>
  <c r="R13" i="5" a="1"/>
  <c r="R13" i="5"/>
  <c r="S13" i="5" a="1"/>
  <c r="S13" i="5" s="1"/>
  <c r="T13" i="5" a="1"/>
  <c r="T13" i="5" s="1"/>
  <c r="U13" i="5" a="1"/>
  <c r="U13" i="5" s="1"/>
  <c r="V13" i="5" a="1"/>
  <c r="V13" i="5" s="1"/>
  <c r="W13" i="5" a="1"/>
  <c r="W13" i="5" s="1"/>
  <c r="X13" i="5" a="1"/>
  <c r="X13" i="5" s="1"/>
  <c r="D16" i="3"/>
  <c r="E16" i="3"/>
  <c r="C16" i="3"/>
  <c r="D15" i="3"/>
  <c r="E15" i="3"/>
  <c r="Z13" i="5" l="1"/>
  <c r="D17" i="5"/>
  <c r="D24" i="5" s="1"/>
  <c r="C17" i="5"/>
  <c r="C24" i="5" s="1"/>
  <c r="B17" i="5"/>
  <c r="V17" i="5"/>
  <c r="V24" i="5" s="1"/>
  <c r="U17" i="5"/>
  <c r="U24" i="5" s="1"/>
  <c r="G17" i="5"/>
  <c r="G24" i="5" s="1"/>
  <c r="F17" i="5"/>
  <c r="F24" i="5" s="1"/>
  <c r="Q17" i="5"/>
  <c r="Q24" i="5" s="1"/>
  <c r="M17" i="5"/>
  <c r="M24" i="5" s="1"/>
  <c r="S17" i="5"/>
  <c r="S24" i="5" s="1"/>
  <c r="L17" i="5"/>
  <c r="L24" i="5" s="1"/>
  <c r="E17" i="5"/>
  <c r="E24" i="5" s="1"/>
  <c r="K17" i="5"/>
  <c r="K24" i="5" s="1"/>
  <c r="X17" i="5"/>
  <c r="X24" i="5" s="1"/>
  <c r="H17" i="5"/>
  <c r="H24" i="5" s="1"/>
  <c r="W17" i="5"/>
  <c r="W24" i="5" s="1"/>
  <c r="O17" i="5"/>
  <c r="O24" i="5" s="1"/>
  <c r="P17" i="5"/>
  <c r="P24" i="5" s="1"/>
  <c r="T17" i="5"/>
  <c r="T24" i="5" s="1"/>
  <c r="N17" i="5"/>
  <c r="N24" i="5" s="1"/>
  <c r="R17" i="5"/>
  <c r="R24" i="5" s="1"/>
  <c r="J17" i="5"/>
  <c r="J24" i="5" s="1"/>
  <c r="I17" i="5"/>
  <c r="I24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C6" i="3"/>
  <c r="C14" i="3"/>
  <c r="D14" i="3"/>
  <c r="E14" i="3"/>
  <c r="D13" i="3"/>
  <c r="E13" i="3"/>
  <c r="C13" i="3"/>
  <c r="C9" i="3" s="1"/>
  <c r="D12" i="3"/>
  <c r="E12" i="3"/>
  <c r="C12" i="3"/>
  <c r="D11" i="3"/>
  <c r="E11" i="3"/>
  <c r="D10" i="3"/>
  <c r="E10" i="3"/>
  <c r="M5" i="3"/>
  <c r="M6" i="3"/>
  <c r="M7" i="3"/>
  <c r="M8" i="3"/>
  <c r="M4" i="3"/>
  <c r="D6" i="3"/>
  <c r="E6" i="3"/>
  <c r="D8" i="3"/>
  <c r="E8" i="3"/>
  <c r="C8" i="3"/>
  <c r="B24" i="5" l="1"/>
  <c r="Z24" i="5" s="1"/>
  <c r="Z17" i="5"/>
  <c r="F8" i="4"/>
  <c r="F10" i="4"/>
  <c r="F17" i="4"/>
  <c r="F23" i="4"/>
  <c r="F15" i="4"/>
  <c r="F7" i="4"/>
  <c r="F18" i="4"/>
  <c r="F22" i="4"/>
  <c r="F14" i="4"/>
  <c r="F6" i="4"/>
  <c r="F21" i="4"/>
  <c r="F13" i="4"/>
  <c r="F5" i="4"/>
  <c r="F20" i="4"/>
  <c r="F12" i="4"/>
  <c r="F4" i="4"/>
  <c r="F19" i="4"/>
  <c r="F11" i="4"/>
  <c r="F3" i="4"/>
  <c r="F2" i="4"/>
  <c r="F9" i="4"/>
  <c r="F24" i="4"/>
  <c r="F16" i="4"/>
  <c r="E9" i="3"/>
  <c r="D9" i="3"/>
  <c r="K2" i="4" l="1"/>
  <c r="K3" i="4" l="1"/>
  <c r="K4" i="4" s="1"/>
  <c r="K5" i="4" s="1"/>
  <c r="K6" i="4" s="1"/>
  <c r="K7" i="4" s="1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tc={440F0851-0D55-4C69-940A-A3B00247D418}</author>
  </authors>
  <commentList>
    <comment ref="E15" authorId="0" shapeId="0" xr:uid="{440F0851-0D55-4C69-940A-A3B00247D418}">
      <text>
        <t>[Threaded comment]
Your version of Excel allows you to read this threaded comment; however, any edits to it will get removed if the file is opened in a newer version of Excel. Learn more: https://go.microsoft.com/fwlink/?linkid=870924
Comment:
    Ask about why not sumproduct for revenues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<sst xmlns="http://schemas.openxmlformats.org/spreadsheetml/2006/main" count="80" uniqueCount="49">
  <si>
    <t>Pris / mengde informasjon</t>
  </si>
  <si>
    <t>Subsea 1</t>
  </si>
  <si>
    <t>Subsea 2</t>
  </si>
  <si>
    <t>Subsea 3</t>
  </si>
  <si>
    <t>Pris</t>
  </si>
  <si>
    <t>Kunde</t>
  </si>
  <si>
    <t>Tabell 6</t>
  </si>
  <si>
    <t>Forbruk ordelinjer subsea2</t>
  </si>
  <si>
    <t>Forbruk ordrelinjer subsea3</t>
  </si>
  <si>
    <t>Forbruk ordrer subsea1</t>
  </si>
  <si>
    <t>Forbruk order subsea2</t>
  </si>
  <si>
    <t>Forbruk order subsea3</t>
  </si>
  <si>
    <t>Sum</t>
  </si>
  <si>
    <t>Tabell 7</t>
  </si>
  <si>
    <t>Consumption line Subsea 1</t>
  </si>
  <si>
    <t>Subsea1</t>
  </si>
  <si>
    <t>Subsea2</t>
  </si>
  <si>
    <t>Subsea3</t>
  </si>
  <si>
    <t>Prices</t>
  </si>
  <si>
    <t>Direct Cost</t>
  </si>
  <si>
    <t>Indirect Cost</t>
  </si>
  <si>
    <t>Order</t>
  </si>
  <si>
    <t>Warehouse</t>
  </si>
  <si>
    <t>Assembly</t>
  </si>
  <si>
    <t>QC</t>
  </si>
  <si>
    <t>Administration</t>
  </si>
  <si>
    <t>Units Sold</t>
  </si>
  <si>
    <t>Total DC</t>
  </si>
  <si>
    <t>Revenues</t>
  </si>
  <si>
    <t>Activity</t>
  </si>
  <si>
    <t>Activity Cost</t>
  </si>
  <si>
    <t>Cost Driver</t>
  </si>
  <si>
    <t>Cost per unit cost driver</t>
  </si>
  <si>
    <t>Order lines</t>
  </si>
  <si>
    <t>Pallets</t>
  </si>
  <si>
    <t>Components</t>
  </si>
  <si>
    <t>Orders</t>
  </si>
  <si>
    <t>Products</t>
  </si>
  <si>
    <t>Cost Driver Units</t>
  </si>
  <si>
    <t>Profit</t>
  </si>
  <si>
    <t>Customer ID</t>
  </si>
  <si>
    <t>Profitability Per Customer</t>
  </si>
  <si>
    <t>Cummulative Profitibility</t>
  </si>
  <si>
    <t>Seaborn 1</t>
  </si>
  <si>
    <t>Seaborn 2</t>
  </si>
  <si>
    <t>Seaborn 3</t>
  </si>
  <si>
    <t>My Profit</t>
  </si>
  <si>
    <t>Cummulative Pi</t>
  </si>
  <si>
    <t>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</si>
</sst>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20" xfId="0" applyBorder="1"/>
    <xf numFmtId="0" fontId="3" fillId="0" borderId="20" xfId="0" applyFont="1" applyBorder="1" applyAlignment="1">
      <alignment wrapText="1"/>
    </xf>
    <xf numFmtId="44" fontId="0" fillId="0" borderId="0" xfId="0" applyNumberFormat="1"/>
    <xf numFmtId="164" fontId="0" fillId="2" borderId="16" xfId="0" applyNumberFormat="1" applyFill="1" applyBorder="1"/>
    <xf numFmtId="164" fontId="0" fillId="0" borderId="13" xfId="0" applyNumberFormat="1" applyBorder="1"/>
    <xf numFmtId="164" fontId="0" fillId="0" borderId="14" xfId="0" applyNumberFormat="1" applyBorder="1"/>
    <xf numFmtId="164" fontId="0" fillId="2" borderId="17" xfId="0" applyNumberFormat="1" applyFill="1" applyBorder="1"/>
    <xf numFmtId="164" fontId="0" fillId="0" borderId="0" xfId="0" applyNumberFormat="1" applyBorder="1"/>
    <xf numFmtId="164" fontId="0" fillId="0" borderId="15" xfId="0" applyNumberFormat="1" applyBorder="1"/>
    <xf numFmtId="164" fontId="0" fillId="3" borderId="0" xfId="0" applyNumberFormat="1" applyFill="1" applyBorder="1"/>
    <xf numFmtId="164" fontId="0" fillId="3" borderId="15" xfId="0" applyNumberFormat="1" applyFill="1" applyBorder="1"/>
    <xf numFmtId="164" fontId="0" fillId="4" borderId="13" xfId="0" applyNumberFormat="1" applyFill="1" applyBorder="1"/>
    <xf numFmtId="164" fontId="0" fillId="4" borderId="14" xfId="0" applyNumberFormat="1" applyFill="1" applyBorder="1"/>
    <xf numFmtId="164" fontId="0" fillId="0" borderId="16" xfId="0" applyNumberFormat="1" applyBorder="1"/>
    <xf numFmtId="164" fontId="0" fillId="0" borderId="17" xfId="0" applyNumberFormat="1" applyBorder="1"/>
    <xf numFmtId="164" fontId="0" fillId="5" borderId="18" xfId="0" applyNumberFormat="1" applyFill="1" applyBorder="1"/>
    <xf numFmtId="164" fontId="0" fillId="5" borderId="19" xfId="0" applyNumberFormat="1" applyFill="1" applyBorder="1"/>
    <xf numFmtId="0" fontId="3" fillId="0" borderId="12" xfId="0" applyFont="1" applyFill="1" applyBorder="1" applyAlignment="1">
      <alignment wrapText="1"/>
    </xf>
    <xf numFmtId="0" fontId="0" fillId="0" borderId="12" xfId="0" applyBorder="1"/>
    <xf numFmtId="164" fontId="0" fillId="0" borderId="12" xfId="1" applyNumberFormat="1" applyFont="1" applyBorder="1"/>
    <xf numFmtId="3" fontId="0" fillId="0" borderId="12" xfId="0" applyNumberFormat="1" applyBorder="1"/>
    <xf numFmtId="44" fontId="0" fillId="0" borderId="12" xfId="0" applyNumberFormat="1" applyBorder="1"/>
    <xf numFmtId="0" fontId="3" fillId="0" borderId="12" xfId="0" applyFont="1" applyFill="1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3" fillId="0" borderId="12" xfId="0" applyFont="1" applyBorder="1" applyAlignment="1">
      <alignment horizontal="center" wrapText="1"/>
    </xf>
    <xf numFmtId="0" fontId="3" fillId="0" borderId="20" xfId="0" applyFont="1" applyBorder="1"/>
    <xf numFmtId="0" fontId="3" fillId="2" borderId="21" xfId="0" applyFont="1" applyFill="1" applyBorder="1"/>
    <xf numFmtId="0" fontId="0" fillId="3" borderId="21" xfId="0" applyFill="1" applyBorder="1"/>
    <xf numFmtId="0" fontId="0" fillId="4" borderId="20" xfId="0" applyFill="1" applyBorder="1"/>
    <xf numFmtId="0" fontId="3" fillId="0" borderId="22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5" borderId="12" xfId="0" applyFont="1" applyFill="1" applyBorder="1" applyAlignment="1">
      <alignment wrapText="1"/>
    </xf>
    <xf numFmtId="164" fontId="0" fillId="0" borderId="18" xfId="0" applyNumberFormat="1" applyBorder="1"/>
    <xf numFmtId="164" fontId="0" fillId="0" borderId="19" xfId="0" applyNumberForma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44" fontId="0" fillId="5" borderId="0" xfId="0" applyNumberFormat="1" applyFill="1"/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/>
    <xf numFmtId="164" fontId="0" fillId="0" borderId="0" xfId="0" quotePrefix="1" applyNumberFormat="1"/>
    <xf numFmtId="164" fontId="0" fillId="0" borderId="0" xfId="0" applyNumberFormat="1"/>
    <xf numFmtId="0" fontId="0" fillId="0" borderId="0" xfId="0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Profitability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'customer profitability'!$B$23:$X$23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xVal>
          <c:yVal>
            <c:numRef>
              <c:f>'customer profitability'!$B$24:$X$24</c:f>
              <c:numCache>
                <c:formatCode>_("$"* #,##0.00_);_("$"* \(#,##0.00\);_("$"* "-"??_);_(@_)</c:formatCode>
                <c:ptCount val="23"/>
                <c:pt idx="0">
                  <c:v>365138.4991993974</c:v>
                </c:pt>
                <c:pt idx="1">
                  <c:v>-1748629.8727310719</c:v>
                </c:pt>
                <c:pt idx="2">
                  <c:v>940199.36212554667</c:v>
                </c:pt>
                <c:pt idx="3">
                  <c:v>-281100.33746551722</c:v>
                </c:pt>
                <c:pt idx="4">
                  <c:v>-305523.10955118062</c:v>
                </c:pt>
                <c:pt idx="5">
                  <c:v>-1657754.5969105968</c:v>
                </c:pt>
                <c:pt idx="6">
                  <c:v>3160079.915073351</c:v>
                </c:pt>
                <c:pt idx="7">
                  <c:v>-5742.9850919102319</c:v>
                </c:pt>
                <c:pt idx="8">
                  <c:v>746018.13403147366</c:v>
                </c:pt>
                <c:pt idx="9">
                  <c:v>1277635.3170063188</c:v>
                </c:pt>
                <c:pt idx="10">
                  <c:v>374998.03744208626</c:v>
                </c:pt>
                <c:pt idx="11">
                  <c:v>1486146.1967118848</c:v>
                </c:pt>
                <c:pt idx="12">
                  <c:v>-1058638.203926648</c:v>
                </c:pt>
                <c:pt idx="13">
                  <c:v>233986.8992234515</c:v>
                </c:pt>
                <c:pt idx="14">
                  <c:v>2336337.5368885016</c:v>
                </c:pt>
                <c:pt idx="15">
                  <c:v>474058.01834965311</c:v>
                </c:pt>
                <c:pt idx="16">
                  <c:v>1471762.2021919289</c:v>
                </c:pt>
                <c:pt idx="17">
                  <c:v>1704535.2782205464</c:v>
                </c:pt>
                <c:pt idx="18">
                  <c:v>-370815.11933265906</c:v>
                </c:pt>
                <c:pt idx="19">
                  <c:v>2341364.8532757121</c:v>
                </c:pt>
                <c:pt idx="20">
                  <c:v>-563982.49905667081</c:v>
                </c:pt>
                <c:pt idx="21">
                  <c:v>465536.1938025374</c:v>
                </c:pt>
                <c:pt idx="22">
                  <c:v>1261341.3212647224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30-4552-97E2-98250793FC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315455"/>
        <c:axId val="109316287"/>
      </c:scatterChart>
      <c:valAx>
        <c:axId val="109315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16287"/>
        <c:crosses val="autoZero"/>
        <c:crossBetween val="midCat"/>
      </c:valAx>
      <c:valAx>
        <c:axId val="109316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15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Cummulative Profit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'customer profitability'!$A$27:$A$49</c:f>
              <c:numCache>
                <c:formatCode>General</c:formatCode>
                <c:ptCount val="23"/>
                <c:pt idx="0">
                  <c:v>7</c:v>
                </c:pt>
                <c:pt idx="1">
                  <c:v>20</c:v>
                </c:pt>
                <c:pt idx="2">
                  <c:v>15</c:v>
                </c:pt>
                <c:pt idx="3">
                  <c:v>18</c:v>
                </c:pt>
                <c:pt idx="4">
                  <c:v>12</c:v>
                </c:pt>
                <c:pt idx="5">
                  <c:v>17</c:v>
                </c:pt>
                <c:pt idx="6">
                  <c:v>10</c:v>
                </c:pt>
                <c:pt idx="7">
                  <c:v>23</c:v>
                </c:pt>
                <c:pt idx="8">
                  <c:v>3</c:v>
                </c:pt>
                <c:pt idx="9">
                  <c:v>9</c:v>
                </c:pt>
                <c:pt idx="10">
                  <c:v>16</c:v>
                </c:pt>
                <c:pt idx="11">
                  <c:v>22</c:v>
                </c:pt>
                <c:pt idx="12">
                  <c:v>11</c:v>
                </c:pt>
                <c:pt idx="13">
                  <c:v>1</c:v>
                </c:pt>
                <c:pt idx="14">
                  <c:v>14</c:v>
                </c:pt>
                <c:pt idx="15">
                  <c:v>8</c:v>
                </c:pt>
                <c:pt idx="16">
                  <c:v>4</c:v>
                </c:pt>
                <c:pt idx="17">
                  <c:v>5</c:v>
                </c:pt>
                <c:pt idx="18">
                  <c:v>19</c:v>
                </c:pt>
                <c:pt idx="19">
                  <c:v>21</c:v>
                </c:pt>
                <c:pt idx="20">
                  <c:v>13</c:v>
                </c:pt>
                <c:pt idx="21">
                  <c:v>6</c:v>
                </c:pt>
                <c:pt idx="22">
                  <c:v>2</c:v>
                </c:pt>
              </c:numCache>
            </c:numRef>
          </c:cat>
          <c:val>
            <c:numRef>
              <c:f>'customer profitability'!$C$27:$C$49</c:f>
              <c:numCache>
                <c:formatCode>General</c:formatCode>
                <c:ptCount val="23"/>
                <c:pt idx="0">
                  <c:v>3160079.915073351</c:v>
                </c:pt>
                <c:pt idx="1">
                  <c:v>5501444.7683490627</c:v>
                </c:pt>
                <c:pt idx="2">
                  <c:v>7837782.3052375643</c:v>
                </c:pt>
                <c:pt idx="3">
                  <c:v>9542317.5834581107</c:v>
                </c:pt>
                <c:pt idx="4">
                  <c:v>11028463.780169996</c:v>
                </c:pt>
                <c:pt idx="5">
                  <c:v>12500225.982361924</c:v>
                </c:pt>
                <c:pt idx="6">
                  <c:v>13777861.299368244</c:v>
                </c:pt>
                <c:pt idx="7">
                  <c:v>15039202.620632965</c:v>
                </c:pt>
                <c:pt idx="8">
                  <c:v>15979401.982758511</c:v>
                </c:pt>
                <c:pt idx="9">
                  <c:v>16725420.116789985</c:v>
                </c:pt>
                <c:pt idx="10">
                  <c:v>17199478.135139637</c:v>
                </c:pt>
                <c:pt idx="11">
                  <c:v>17665014.328942172</c:v>
                </c:pt>
                <c:pt idx="12">
                  <c:v>18040012.36638426</c:v>
                </c:pt>
                <c:pt idx="13">
                  <c:v>18405150.865583658</c:v>
                </c:pt>
                <c:pt idx="14">
                  <c:v>18639137.764807109</c:v>
                </c:pt>
                <c:pt idx="15">
                  <c:v>18633394.779715199</c:v>
                </c:pt>
                <c:pt idx="16">
                  <c:v>18352294.442249682</c:v>
                </c:pt>
                <c:pt idx="17">
                  <c:v>18046771.332698502</c:v>
                </c:pt>
                <c:pt idx="18">
                  <c:v>17675956.213365842</c:v>
                </c:pt>
                <c:pt idx="19">
                  <c:v>17111973.714309171</c:v>
                </c:pt>
                <c:pt idx="20">
                  <c:v>16053335.510382522</c:v>
                </c:pt>
                <c:pt idx="21">
                  <c:v>14395580.913471926</c:v>
                </c:pt>
                <c:pt idx="22">
                  <c:v>12646951.040740855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FE-455A-AF18-8357A05E5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10335"/>
        <c:axId val="9023231"/>
      </c:lineChart>
      <c:catAx>
        <c:axId val="9010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3231"/>
        <c:crosses val="autoZero"/>
        <c:auto val="1"/>
        <c:lblAlgn val="ctr"/>
        <c:lblOffset val="100"/>
        <c:noMultiLvlLbl val="0"/>
      </c:catAx>
      <c:valAx>
        <c:axId val="902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0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Sheet1!$K$2:$K$24</c:f>
              <c:numCache>
                <c:formatCode>_("$"* #,##0.00_);_("$"* \(#,##0.00\);_("$"* "-"??_);_(@_)</c:formatCode>
                <c:ptCount val="23"/>
                <c:pt idx="0">
                  <c:v>3023043.5222650468</c:v>
                </c:pt>
                <c:pt idx="1">
                  <c:v>5364399.9960765401</c:v>
                </c:pt>
                <c:pt idx="2">
                  <c:v>7440401.3640043102</c:v>
                </c:pt>
                <c:pt idx="3">
                  <c:v>9056068.9917644151</c:v>
                </c:pt>
                <c:pt idx="4">
                  <c:v>10443479.419010695</c:v>
                </c:pt>
                <c:pt idx="5">
                  <c:v>11771695.429970589</c:v>
                </c:pt>
                <c:pt idx="6">
                  <c:v>13088134.906816695</c:v>
                </c:pt>
                <c:pt idx="7">
                  <c:v>13894055.704602791</c:v>
                </c:pt>
                <c:pt idx="8">
                  <c:v>14680495.317567393</c:v>
                </c:pt>
                <c:pt idx="9">
                  <c:v>15363043.424206071</c:v>
                </c:pt>
                <c:pt idx="10">
                  <c:v>15871591.152629349</c:v>
                </c:pt>
                <c:pt idx="11">
                  <c:v>16222610.489720391</c:v>
                </c:pt>
                <c:pt idx="12">
                  <c:v>16523334.691555865</c:v>
                </c:pt>
                <c:pt idx="13">
                  <c:v>16776388.466952674</c:v>
                </c:pt>
                <c:pt idx="14">
                  <c:v>17011649.353010178</c:v>
                </c:pt>
                <c:pt idx="15">
                  <c:v>17156458.10384601</c:v>
                </c:pt>
                <c:pt idx="16">
                  <c:v>17289541.237551499</c:v>
                </c:pt>
                <c:pt idx="17">
                  <c:v>17269500.415143244</c:v>
                </c:pt>
                <c:pt idx="18">
                  <c:v>17199632.664146777</c:v>
                </c:pt>
                <c:pt idx="19">
                  <c:v>16605439.469960002</c:v>
                </c:pt>
                <c:pt idx="20">
                  <c:v>15744595.72592508</c:v>
                </c:pt>
                <c:pt idx="21">
                  <c:v>14730401.960327644</c:v>
                </c:pt>
                <c:pt idx="22">
                  <c:v>12632363.360863168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6F-4CD0-BCFB-2CAE57997F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7844192"/>
        <c:axId val="2057849600"/>
      </c:lineChart>
      <c:catAx>
        <c:axId val="2057844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849600"/>
        <c:crosses val="autoZero"/>
        <c:auto val="1"/>
        <c:lblAlgn val="ctr"/>
        <c:lblOffset val="100"/>
        <c:noMultiLvlLbl val="0"/>
      </c:catAx>
      <c:valAx>
        <c:axId val="205784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844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231775</xdr:colOff>
      <xdr:row>25</xdr:row>
      <xdr:rowOff>28575</xdr:rowOff>
    </xdr:from>
    <xdr:to>
      <xdr:col>18</xdr:col>
      <xdr:colOff>847725</xdr:colOff>
      <xdr:row>40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0D36D9-AF84-40C2-9799-A24F70A9B9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549275</xdr:colOff>
      <xdr:row>26</xdr:row>
      <xdr:rowOff>149225</xdr:rowOff>
    </xdr:from>
    <xdr:to>
      <xdr:col>9</xdr:col>
      <xdr:colOff>149225</xdr:colOff>
      <xdr:row>41</xdr:row>
      <xdr:rowOff>130175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426A175-DBB3-4B61-B474-A8DA608052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282575</xdr:colOff>
      <xdr:row>24</xdr:row>
      <xdr:rowOff>180975</xdr:rowOff>
    </xdr:from>
    <xdr:to>
      <xdr:col>10</xdr:col>
      <xdr:colOff>1800225</xdr:colOff>
      <xdr:row>39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0E6973-F558-4DF1-8EA5-0E26AE8BCB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(Student) Malaguti, Pauline" id="{6BD1BEE7-2C71-45E8-BEDA-EC248B9EC60D}" userId="(Student) Malaguti, Pauline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5" dT="2022-02-28T14:56:00.23" personId="{6BD1BEE7-2C71-45E8-BEDA-EC248B9EC60D}" id="{440F0851-0D55-4C69-940A-A3B00247D418}">
    <text>Ask about why not sumproduct for revenues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J28"/>
  <sheetViews>
    <sheetView workbookViewId="0">
      <selection activeCell="H4" sqref="H4:J26"/>
    </sheetView>
  </sheetViews>
  <sheetFormatPr defaultRowHeight="14.5" x14ac:dyDescent="0.35"/>
  <cols>
    <col min="4" max="4" width="12.1796875" customWidth="1"/>
    <col min="5" max="5" width="12" customWidth="1"/>
    <col min="6" max="6" width="12.1796875" customWidth="1"/>
    <col min="7" max="7" width="2.453125" customWidth="1"/>
    <col min="8" max="8" width="12.7265625" customWidth="1"/>
    <col min="9" max="10" width="12.1796875" customWidth="1"/>
  </cols>
  <sheetData>
    <row r="2" spans="3:10" ht="15" thickBot="1" x14ac:dyDescent="0.4"/>
    <row r="3" spans="3:10" ht="43.5" x14ac:dyDescent="0.35">
      <c r="C3" s="8" t="s">
        <v>5</v>
      </c>
      <c r="D3" s="9" t="s">
        <v>14</v>
      </c>
      <c r="E3" s="9" t="s">
        <v>7</v>
      </c>
      <c r="F3" s="9" t="s">
        <v>8</v>
      </c>
      <c r="G3" s="9"/>
      <c r="H3" s="9" t="s">
        <v>9</v>
      </c>
      <c r="I3" s="9" t="s">
        <v>10</v>
      </c>
      <c r="J3" s="10" t="s">
        <v>11</v>
      </c>
    </row>
    <row r="4" spans="3:10" x14ac:dyDescent="0.35">
      <c r="C4" s="11">
        <v>1</v>
      </c>
      <c r="D4" s="3">
        <v>54</v>
      </c>
      <c r="E4" s="3">
        <v>225</v>
      </c>
      <c r="F4" s="3">
        <v>73</v>
      </c>
      <c r="G4" s="3"/>
      <c r="H4" s="3">
        <v>17</v>
      </c>
      <c r="I4" s="3">
        <v>5</v>
      </c>
      <c r="J4" s="4">
        <v>4</v>
      </c>
    </row>
    <row r="5" spans="3:10" x14ac:dyDescent="0.35">
      <c r="C5" s="11">
        <v>2</v>
      </c>
      <c r="D5" s="3">
        <v>65</v>
      </c>
      <c r="E5" s="3">
        <v>36</v>
      </c>
      <c r="F5" s="3">
        <v>0</v>
      </c>
      <c r="G5" s="3"/>
      <c r="H5" s="3">
        <v>12</v>
      </c>
      <c r="I5" s="3">
        <v>7</v>
      </c>
      <c r="J5" s="4">
        <v>0</v>
      </c>
    </row>
    <row r="6" spans="3:10" x14ac:dyDescent="0.35">
      <c r="C6" s="11">
        <v>3</v>
      </c>
      <c r="D6" s="3">
        <v>36</v>
      </c>
      <c r="E6" s="3">
        <v>59</v>
      </c>
      <c r="F6" s="3">
        <v>43</v>
      </c>
      <c r="G6" s="3"/>
      <c r="H6" s="3">
        <v>2</v>
      </c>
      <c r="I6" s="3">
        <v>9</v>
      </c>
      <c r="J6" s="4">
        <v>23</v>
      </c>
    </row>
    <row r="7" spans="3:10" x14ac:dyDescent="0.35">
      <c r="C7" s="11">
        <v>4</v>
      </c>
      <c r="D7" s="3">
        <v>4</v>
      </c>
      <c r="E7" s="3">
        <v>66</v>
      </c>
      <c r="F7" s="3">
        <v>52</v>
      </c>
      <c r="G7" s="3"/>
      <c r="H7" s="3">
        <v>18</v>
      </c>
      <c r="I7" s="3">
        <v>5</v>
      </c>
      <c r="J7" s="4">
        <v>34</v>
      </c>
    </row>
    <row r="8" spans="3:10" x14ac:dyDescent="0.35">
      <c r="C8" s="11">
        <v>5</v>
      </c>
      <c r="D8" s="3">
        <v>69</v>
      </c>
      <c r="E8" s="3">
        <v>66</v>
      </c>
      <c r="F8" s="3">
        <v>102</v>
      </c>
      <c r="G8" s="3"/>
      <c r="H8" s="3">
        <v>3</v>
      </c>
      <c r="I8" s="3">
        <v>2</v>
      </c>
      <c r="J8" s="4">
        <v>22</v>
      </c>
    </row>
    <row r="9" spans="3:10" x14ac:dyDescent="0.35">
      <c r="C9" s="11">
        <v>6</v>
      </c>
      <c r="D9" s="3">
        <v>66</v>
      </c>
      <c r="E9" s="3">
        <v>100</v>
      </c>
      <c r="F9" s="3">
        <v>166</v>
      </c>
      <c r="G9" s="3"/>
      <c r="H9" s="3">
        <v>6</v>
      </c>
      <c r="I9" s="3">
        <v>24</v>
      </c>
      <c r="J9" s="4">
        <v>66</v>
      </c>
    </row>
    <row r="10" spans="3:10" x14ac:dyDescent="0.35">
      <c r="C10" s="11">
        <v>7</v>
      </c>
      <c r="D10" s="3">
        <v>88</v>
      </c>
      <c r="E10" s="3">
        <v>87</v>
      </c>
      <c r="F10" s="3">
        <v>44</v>
      </c>
      <c r="G10" s="3"/>
      <c r="H10" s="3">
        <v>14</v>
      </c>
      <c r="I10" s="3">
        <v>4</v>
      </c>
      <c r="J10" s="4">
        <v>22</v>
      </c>
    </row>
    <row r="11" spans="3:10" x14ac:dyDescent="0.35">
      <c r="C11" s="11">
        <v>8</v>
      </c>
      <c r="D11" s="3">
        <v>53</v>
      </c>
      <c r="E11" s="3">
        <v>120</v>
      </c>
      <c r="F11" s="3">
        <v>128</v>
      </c>
      <c r="G11" s="3"/>
      <c r="H11" s="3">
        <v>27</v>
      </c>
      <c r="I11" s="3">
        <v>20</v>
      </c>
      <c r="J11" s="4">
        <v>12</v>
      </c>
    </row>
    <row r="12" spans="3:10" x14ac:dyDescent="0.35">
      <c r="C12" s="11">
        <v>9</v>
      </c>
      <c r="D12" s="3">
        <v>44</v>
      </c>
      <c r="E12" s="3">
        <v>165</v>
      </c>
      <c r="F12" s="3">
        <v>223</v>
      </c>
      <c r="G12" s="3"/>
      <c r="H12" s="3">
        <v>29</v>
      </c>
      <c r="I12" s="3">
        <v>7</v>
      </c>
      <c r="J12" s="4">
        <v>55</v>
      </c>
    </row>
    <row r="13" spans="3:10" x14ac:dyDescent="0.35">
      <c r="C13" s="11">
        <v>10</v>
      </c>
      <c r="D13" s="3">
        <v>32</v>
      </c>
      <c r="E13" s="3">
        <v>24</v>
      </c>
      <c r="F13" s="3">
        <v>203</v>
      </c>
      <c r="G13" s="3"/>
      <c r="H13" s="3">
        <v>9</v>
      </c>
      <c r="I13" s="3">
        <v>7</v>
      </c>
      <c r="J13" s="4">
        <v>45</v>
      </c>
    </row>
    <row r="14" spans="3:10" x14ac:dyDescent="0.35">
      <c r="C14" s="11">
        <v>11</v>
      </c>
      <c r="D14" s="3">
        <v>35</v>
      </c>
      <c r="E14" s="3">
        <v>60</v>
      </c>
      <c r="F14" s="3">
        <v>167</v>
      </c>
      <c r="G14" s="3"/>
      <c r="H14" s="3">
        <v>6</v>
      </c>
      <c r="I14" s="3">
        <v>21</v>
      </c>
      <c r="J14" s="4">
        <v>17</v>
      </c>
    </row>
    <row r="15" spans="3:10" x14ac:dyDescent="0.35">
      <c r="C15" s="11">
        <v>12</v>
      </c>
      <c r="D15" s="3">
        <v>145</v>
      </c>
      <c r="E15" s="3">
        <v>109</v>
      </c>
      <c r="F15" s="3">
        <v>128</v>
      </c>
      <c r="G15" s="3"/>
      <c r="H15" s="3">
        <v>10</v>
      </c>
      <c r="I15" s="3">
        <v>19</v>
      </c>
      <c r="J15" s="4">
        <v>15</v>
      </c>
    </row>
    <row r="16" spans="3:10" x14ac:dyDescent="0.35">
      <c r="C16" s="11">
        <v>13</v>
      </c>
      <c r="D16" s="3">
        <v>66</v>
      </c>
      <c r="E16" s="3">
        <v>134</v>
      </c>
      <c r="F16" s="3">
        <v>233</v>
      </c>
      <c r="G16" s="3"/>
      <c r="H16" s="3">
        <v>19</v>
      </c>
      <c r="I16" s="3">
        <v>8</v>
      </c>
      <c r="J16" s="4">
        <v>3</v>
      </c>
    </row>
    <row r="17" spans="3:10" x14ac:dyDescent="0.35">
      <c r="C17" s="11">
        <v>14</v>
      </c>
      <c r="D17" s="3">
        <v>44</v>
      </c>
      <c r="E17" s="3">
        <v>4</v>
      </c>
      <c r="F17" s="3">
        <v>59</v>
      </c>
      <c r="G17" s="3"/>
      <c r="H17" s="3">
        <v>9</v>
      </c>
      <c r="I17" s="3">
        <v>8</v>
      </c>
      <c r="J17" s="4">
        <v>26</v>
      </c>
    </row>
    <row r="18" spans="3:10" x14ac:dyDescent="0.35">
      <c r="C18" s="11">
        <v>15</v>
      </c>
      <c r="D18" s="3">
        <v>65</v>
      </c>
      <c r="E18" s="3">
        <v>69</v>
      </c>
      <c r="F18" s="3">
        <v>55</v>
      </c>
      <c r="G18" s="3"/>
      <c r="H18" s="3">
        <v>8</v>
      </c>
      <c r="I18" s="3">
        <v>1</v>
      </c>
      <c r="J18" s="4">
        <v>43</v>
      </c>
    </row>
    <row r="19" spans="3:10" x14ac:dyDescent="0.35">
      <c r="C19" s="11">
        <v>16</v>
      </c>
      <c r="D19" s="3">
        <v>15</v>
      </c>
      <c r="E19" s="3">
        <v>100</v>
      </c>
      <c r="F19" s="3">
        <v>187</v>
      </c>
      <c r="G19" s="3"/>
      <c r="H19" s="3">
        <v>25</v>
      </c>
      <c r="I19" s="3">
        <v>9</v>
      </c>
      <c r="J19" s="4">
        <v>21</v>
      </c>
    </row>
    <row r="20" spans="3:10" x14ac:dyDescent="0.35">
      <c r="C20" s="11">
        <v>17</v>
      </c>
      <c r="D20" s="3">
        <v>24</v>
      </c>
      <c r="E20" s="3">
        <v>66</v>
      </c>
      <c r="F20" s="3">
        <v>45</v>
      </c>
      <c r="G20" s="3"/>
      <c r="H20" s="3">
        <v>12</v>
      </c>
      <c r="I20" s="3">
        <v>6</v>
      </c>
      <c r="J20" s="4">
        <v>44</v>
      </c>
    </row>
    <row r="21" spans="3:10" x14ac:dyDescent="0.35">
      <c r="C21" s="11">
        <v>18</v>
      </c>
      <c r="D21" s="3">
        <v>43</v>
      </c>
      <c r="E21" s="3">
        <v>24</v>
      </c>
      <c r="F21" s="3">
        <v>81</v>
      </c>
      <c r="G21" s="3"/>
      <c r="H21" s="3">
        <v>11</v>
      </c>
      <c r="I21" s="3">
        <v>20</v>
      </c>
      <c r="J21" s="4">
        <v>25</v>
      </c>
    </row>
    <row r="22" spans="3:10" x14ac:dyDescent="0.35">
      <c r="C22" s="11">
        <v>19</v>
      </c>
      <c r="D22" s="3">
        <v>35</v>
      </c>
      <c r="E22" s="3">
        <v>65</v>
      </c>
      <c r="F22" s="3">
        <v>144</v>
      </c>
      <c r="G22" s="3"/>
      <c r="H22" s="3">
        <v>8</v>
      </c>
      <c r="I22" s="3">
        <v>15</v>
      </c>
      <c r="J22" s="4">
        <v>25</v>
      </c>
    </row>
    <row r="23" spans="3:10" x14ac:dyDescent="0.35">
      <c r="C23" s="11">
        <v>20</v>
      </c>
      <c r="D23" s="3">
        <v>5</v>
      </c>
      <c r="E23" s="3">
        <v>120</v>
      </c>
      <c r="F23" s="3">
        <v>123</v>
      </c>
      <c r="G23" s="3"/>
      <c r="H23" s="3">
        <v>3</v>
      </c>
      <c r="I23" s="3">
        <v>7</v>
      </c>
      <c r="J23" s="4">
        <v>33</v>
      </c>
    </row>
    <row r="24" spans="3:10" x14ac:dyDescent="0.35">
      <c r="C24" s="11">
        <v>21</v>
      </c>
      <c r="D24" s="3">
        <v>50</v>
      </c>
      <c r="E24" s="3">
        <v>14</v>
      </c>
      <c r="F24" s="3">
        <v>144</v>
      </c>
      <c r="G24" s="3"/>
      <c r="H24" s="3">
        <v>8</v>
      </c>
      <c r="I24" s="3">
        <v>6</v>
      </c>
      <c r="J24" s="4">
        <v>28</v>
      </c>
    </row>
    <row r="25" spans="3:10" x14ac:dyDescent="0.35">
      <c r="C25" s="11">
        <v>22</v>
      </c>
      <c r="D25" s="3">
        <v>16</v>
      </c>
      <c r="E25" s="3">
        <v>65</v>
      </c>
      <c r="F25" s="3">
        <v>77</v>
      </c>
      <c r="G25" s="3"/>
      <c r="H25" s="3">
        <v>6</v>
      </c>
      <c r="I25" s="3">
        <v>2</v>
      </c>
      <c r="J25" s="4">
        <v>11</v>
      </c>
    </row>
    <row r="26" spans="3:10" x14ac:dyDescent="0.35">
      <c r="C26" s="11">
        <v>23</v>
      </c>
      <c r="D26" s="3">
        <v>66</v>
      </c>
      <c r="E26" s="3">
        <v>11</v>
      </c>
      <c r="F26" s="3">
        <v>142</v>
      </c>
      <c r="G26" s="3"/>
      <c r="H26" s="3">
        <v>8</v>
      </c>
      <c r="I26" s="3">
        <v>28</v>
      </c>
      <c r="J26" s="4">
        <v>22</v>
      </c>
    </row>
    <row r="27" spans="3:10" ht="15" thickBot="1" x14ac:dyDescent="0.4">
      <c r="C27" s="15" t="s">
        <v>12</v>
      </c>
      <c r="D27" s="16">
        <v>1120</v>
      </c>
      <c r="E27" s="16">
        <v>1789</v>
      </c>
      <c r="F27" s="16">
        <v>2619</v>
      </c>
      <c r="G27" s="16"/>
      <c r="H27" s="16">
        <v>270</v>
      </c>
      <c r="I27" s="16">
        <v>240</v>
      </c>
      <c r="J27" s="17">
        <v>596</v>
      </c>
    </row>
    <row r="28" spans="3:10" x14ac:dyDescent="0.35">
      <c r="D28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9"/>
  <sheetViews>
    <sheetView workbookViewId="0">
      <selection activeCell="B6" sqref="B6:E28"/>
    </sheetView>
  </sheetViews>
  <sheetFormatPr defaultRowHeight="14.5" x14ac:dyDescent="0.35"/>
  <cols>
    <col min="1" max="1" width="9.1796875" style="2" customWidth="1"/>
    <col min="2" max="2" width="6.7265625" style="5" bestFit="1" customWidth="1"/>
    <col min="3" max="3" width="12.1796875" style="2" customWidth="1"/>
    <col min="4" max="5" width="8.7265625" style="2" bestFit="1" customWidth="1"/>
    <col min="6" max="6" width="4.81640625" style="2" customWidth="1"/>
    <col min="7" max="7" width="6.7265625" style="5" bestFit="1" customWidth="1"/>
    <col min="8" max="8" width="13.7265625" style="2" customWidth="1"/>
    <col min="9" max="9" width="10.54296875" style="2" customWidth="1"/>
    <col min="10" max="10" width="11.1796875" style="2" customWidth="1"/>
    <col min="11" max="11" width="3.54296875" style="2" customWidth="1"/>
    <col min="12" max="13" width="9.453125" style="2" customWidth="1"/>
    <col min="14" max="14" width="10" style="2" customWidth="1"/>
  </cols>
  <sheetData>
    <row r="2" spans="1:15" ht="44" thickBot="1" x14ac:dyDescent="0.4">
      <c r="C2" s="5" t="s">
        <v>0</v>
      </c>
    </row>
    <row r="3" spans="1:15" s="1" customFormat="1" x14ac:dyDescent="0.35">
      <c r="A3" s="5"/>
      <c r="B3" s="8"/>
      <c r="C3" s="9" t="s">
        <v>1</v>
      </c>
      <c r="D3" s="9" t="s">
        <v>2</v>
      </c>
      <c r="E3" s="10" t="s">
        <v>3</v>
      </c>
      <c r="F3" s="5"/>
      <c r="G3" s="5"/>
      <c r="H3" s="5"/>
      <c r="I3" s="5"/>
      <c r="J3" s="5"/>
      <c r="K3" s="5"/>
      <c r="L3" s="5"/>
      <c r="M3" s="5"/>
      <c r="N3" s="5"/>
    </row>
    <row r="4" spans="1:15" s="1" customFormat="1" x14ac:dyDescent="0.35">
      <c r="A4" s="5"/>
      <c r="B4" s="11" t="s">
        <v>4</v>
      </c>
      <c r="C4" s="12">
        <v>100000</v>
      </c>
      <c r="D4" s="12">
        <v>150000</v>
      </c>
      <c r="E4" s="13">
        <v>200000</v>
      </c>
      <c r="F4" s="5"/>
      <c r="G4" s="5"/>
      <c r="H4" s="5"/>
      <c r="I4" s="5"/>
      <c r="J4" s="5"/>
      <c r="K4" s="5"/>
      <c r="L4" s="5"/>
      <c r="M4" s="5"/>
      <c r="N4" s="5"/>
    </row>
    <row r="5" spans="1:15" x14ac:dyDescent="0.35">
      <c r="B5" s="11" t="s">
        <v>5</v>
      </c>
      <c r="C5" s="3"/>
      <c r="D5" s="3"/>
      <c r="E5" s="4"/>
      <c r="O5" s="1"/>
    </row>
    <row r="6" spans="1:15" x14ac:dyDescent="0.35">
      <c r="B6" s="11">
        <v>1</v>
      </c>
      <c r="C6" s="3">
        <v>10</v>
      </c>
      <c r="D6" s="3">
        <v>20</v>
      </c>
      <c r="E6" s="4">
        <v>20</v>
      </c>
    </row>
    <row r="7" spans="1:15" x14ac:dyDescent="0.35">
      <c r="B7" s="11">
        <v>2</v>
      </c>
      <c r="C7" s="3">
        <v>50</v>
      </c>
      <c r="D7" s="3">
        <v>30</v>
      </c>
      <c r="E7" s="4">
        <v>0</v>
      </c>
    </row>
    <row r="8" spans="1:15" x14ac:dyDescent="0.35">
      <c r="B8" s="11">
        <v>3</v>
      </c>
      <c r="C8" s="3">
        <v>40</v>
      </c>
      <c r="D8" s="3">
        <v>10</v>
      </c>
      <c r="E8" s="4">
        <v>20</v>
      </c>
    </row>
    <row r="9" spans="1:15" x14ac:dyDescent="0.35">
      <c r="B9" s="11">
        <v>4</v>
      </c>
      <c r="C9" s="3">
        <v>20</v>
      </c>
      <c r="D9" s="3">
        <v>5</v>
      </c>
      <c r="E9" s="4">
        <v>5</v>
      </c>
    </row>
    <row r="10" spans="1:15" x14ac:dyDescent="0.35">
      <c r="B10" s="11">
        <v>5</v>
      </c>
      <c r="C10" s="3">
        <v>1</v>
      </c>
      <c r="D10" s="3">
        <v>2</v>
      </c>
      <c r="E10" s="4">
        <v>3</v>
      </c>
    </row>
    <row r="11" spans="1:15" x14ac:dyDescent="0.35">
      <c r="B11" s="11">
        <v>6</v>
      </c>
      <c r="C11" s="3">
        <v>12</v>
      </c>
      <c r="D11" s="3">
        <v>22</v>
      </c>
      <c r="E11" s="4">
        <v>3</v>
      </c>
    </row>
    <row r="12" spans="1:15" x14ac:dyDescent="0.35">
      <c r="B12" s="11">
        <v>7</v>
      </c>
      <c r="C12" s="3">
        <v>10</v>
      </c>
      <c r="D12" s="3">
        <v>3</v>
      </c>
      <c r="E12" s="4">
        <v>40</v>
      </c>
    </row>
    <row r="13" spans="1:15" x14ac:dyDescent="0.35">
      <c r="B13" s="11">
        <v>8</v>
      </c>
      <c r="C13" s="3">
        <v>21</v>
      </c>
      <c r="D13" s="3">
        <v>12</v>
      </c>
      <c r="E13" s="4">
        <v>13</v>
      </c>
    </row>
    <row r="14" spans="1:15" x14ac:dyDescent="0.35">
      <c r="B14" s="11">
        <v>9</v>
      </c>
      <c r="C14" s="3">
        <v>34</v>
      </c>
      <c r="D14" s="3">
        <v>35</v>
      </c>
      <c r="E14" s="4">
        <v>36</v>
      </c>
    </row>
    <row r="15" spans="1:15" x14ac:dyDescent="0.35">
      <c r="B15" s="11">
        <v>10</v>
      </c>
      <c r="C15" s="3">
        <v>36</v>
      </c>
      <c r="D15" s="3">
        <v>39</v>
      </c>
      <c r="E15" s="4">
        <v>39</v>
      </c>
    </row>
    <row r="16" spans="1:15" x14ac:dyDescent="0.35">
      <c r="B16" s="11">
        <v>11</v>
      </c>
      <c r="C16" s="3">
        <v>40</v>
      </c>
      <c r="D16" s="3">
        <v>20</v>
      </c>
      <c r="E16" s="4">
        <v>21</v>
      </c>
    </row>
    <row r="17" spans="2:5" x14ac:dyDescent="0.35">
      <c r="B17" s="11">
        <v>12</v>
      </c>
      <c r="C17" s="3">
        <v>6</v>
      </c>
      <c r="D17" s="3">
        <v>37</v>
      </c>
      <c r="E17" s="4">
        <v>40</v>
      </c>
    </row>
    <row r="18" spans="2:5" x14ac:dyDescent="0.35">
      <c r="B18" s="11">
        <v>13</v>
      </c>
      <c r="C18" s="3">
        <v>13</v>
      </c>
      <c r="D18" s="3">
        <v>20</v>
      </c>
      <c r="E18" s="4">
        <v>7</v>
      </c>
    </row>
    <row r="19" spans="2:5" x14ac:dyDescent="0.35">
      <c r="B19" s="11">
        <v>14</v>
      </c>
      <c r="C19" s="3">
        <v>23</v>
      </c>
      <c r="D19" s="3">
        <v>13</v>
      </c>
      <c r="E19" s="4">
        <v>13</v>
      </c>
    </row>
    <row r="20" spans="2:5" x14ac:dyDescent="0.35">
      <c r="B20" s="11">
        <v>15</v>
      </c>
      <c r="C20" s="3">
        <v>5</v>
      </c>
      <c r="D20" s="3">
        <v>21</v>
      </c>
      <c r="E20" s="4">
        <v>39</v>
      </c>
    </row>
    <row r="21" spans="2:5" x14ac:dyDescent="0.35">
      <c r="B21" s="11">
        <v>16</v>
      </c>
      <c r="C21" s="3">
        <v>36</v>
      </c>
      <c r="D21" s="3">
        <v>27</v>
      </c>
      <c r="E21" s="4">
        <v>26</v>
      </c>
    </row>
    <row r="22" spans="2:5" x14ac:dyDescent="0.35">
      <c r="B22" s="11">
        <v>17</v>
      </c>
      <c r="C22" s="3">
        <v>23</v>
      </c>
      <c r="D22" s="3">
        <v>8</v>
      </c>
      <c r="E22" s="4">
        <v>25</v>
      </c>
    </row>
    <row r="23" spans="2:5" x14ac:dyDescent="0.35">
      <c r="B23" s="11">
        <v>18</v>
      </c>
      <c r="C23" s="3">
        <v>11</v>
      </c>
      <c r="D23" s="3">
        <v>11</v>
      </c>
      <c r="E23" s="4">
        <v>28</v>
      </c>
    </row>
    <row r="24" spans="2:5" x14ac:dyDescent="0.35">
      <c r="B24" s="11">
        <v>19</v>
      </c>
      <c r="C24" s="3">
        <v>12</v>
      </c>
      <c r="D24" s="3">
        <v>9</v>
      </c>
      <c r="E24" s="4">
        <v>7</v>
      </c>
    </row>
    <row r="25" spans="2:5" x14ac:dyDescent="0.35">
      <c r="B25" s="11">
        <v>20</v>
      </c>
      <c r="C25" s="3">
        <v>4</v>
      </c>
      <c r="D25" s="3">
        <v>8</v>
      </c>
      <c r="E25" s="4">
        <v>34</v>
      </c>
    </row>
    <row r="26" spans="2:5" x14ac:dyDescent="0.35">
      <c r="B26" s="11">
        <v>21</v>
      </c>
      <c r="C26" s="3">
        <v>37</v>
      </c>
      <c r="D26" s="3">
        <v>36</v>
      </c>
      <c r="E26" s="4">
        <v>17</v>
      </c>
    </row>
    <row r="27" spans="2:5" x14ac:dyDescent="0.35">
      <c r="B27" s="11">
        <v>22</v>
      </c>
      <c r="C27" s="3">
        <v>26</v>
      </c>
      <c r="D27" s="3">
        <v>17</v>
      </c>
      <c r="E27" s="4">
        <v>17</v>
      </c>
    </row>
    <row r="28" spans="2:5" ht="15" thickBot="1" x14ac:dyDescent="0.4">
      <c r="B28" s="14">
        <v>23</v>
      </c>
      <c r="C28" s="6">
        <v>22</v>
      </c>
      <c r="D28" s="6">
        <v>8</v>
      </c>
      <c r="E28" s="7">
        <v>24</v>
      </c>
    </row>
    <row r="29" spans="2:5" x14ac:dyDescent="0.35">
      <c r="C29" s="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M16"/>
  <sheetViews>
    <sheetView tabSelected="1" zoomScale="124" zoomScaleNormal="124" workbookViewId="0">
      <selection activeCell="C7" sqref="C7"/>
    </sheetView>
  </sheetViews>
  <sheetFormatPr defaultRowHeight="14.5" x14ac:dyDescent="0.35"/>
  <cols>
    <col min="2" max="2" width="13.90625" customWidth="1"/>
    <col min="3" max="5" width="14.6328125" bestFit="1" customWidth="1"/>
    <col min="6" max="6" width="12.26953125" bestFit="1" customWidth="1"/>
    <col min="7" max="7" width="9.81640625" bestFit="1" customWidth="1"/>
    <col min="9" max="9" width="13.26953125" bestFit="1" customWidth="1"/>
    <col min="10" max="10" width="12.26953125" bestFit="1" customWidth="1"/>
    <col min="11" max="11" width="11.453125" bestFit="1" customWidth="1"/>
    <col min="12" max="12" width="14.81640625" bestFit="1" customWidth="1"/>
    <col min="13" max="13" width="13.6328125" bestFit="1" customWidth="1"/>
  </cols>
  <sheetData>
    <row r="3" spans="2:13" ht="26" x14ac:dyDescent="0.35">
      <c r="C3" s="43" t="s">
        <v>15</v>
      </c>
      <c r="D3" s="43" t="s">
        <v>16</v>
      </c>
      <c r="E3" s="43" t="s">
        <v>17</v>
      </c>
      <c r="I3" s="40" t="s">
        <v>29</v>
      </c>
      <c r="J3" s="41" t="s">
        <v>30</v>
      </c>
      <c r="K3" s="40" t="s">
        <v>31</v>
      </c>
      <c r="L3" s="42" t="s">
        <v>38</v>
      </c>
      <c r="M3" s="40" t="s">
        <v>32</v>
      </c>
    </row>
    <row r="4" spans="2:13" x14ac:dyDescent="0.35">
      <c r="B4" s="18" t="s">
        <v>26</v>
      </c>
      <c r="C4" s="19">
        <v>492</v>
      </c>
      <c r="D4" s="19">
        <v>413</v>
      </c>
      <c r="E4" s="19">
        <v>477</v>
      </c>
      <c r="I4" s="36" t="s">
        <v>21</v>
      </c>
      <c r="J4" s="37">
        <v>9000000</v>
      </c>
      <c r="K4" s="36" t="s">
        <v>33</v>
      </c>
      <c r="L4" s="38">
        <v>5528</v>
      </c>
      <c r="M4" s="39">
        <f>J4/L4</f>
        <v>1628.0752532561505</v>
      </c>
    </row>
    <row r="5" spans="2:13" x14ac:dyDescent="0.35">
      <c r="B5" s="44" t="s">
        <v>18</v>
      </c>
      <c r="C5" s="22">
        <v>100000</v>
      </c>
      <c r="D5" s="22">
        <v>150000</v>
      </c>
      <c r="E5" s="23">
        <v>200000</v>
      </c>
      <c r="G5" s="62"/>
      <c r="I5" s="36" t="s">
        <v>22</v>
      </c>
      <c r="J5" s="37">
        <v>14000000</v>
      </c>
      <c r="K5" s="36" t="s">
        <v>34</v>
      </c>
      <c r="L5" s="38">
        <v>1859</v>
      </c>
      <c r="M5" s="39">
        <f t="shared" ref="M5:M8" si="0">J5/L5</f>
        <v>7530.9306078536847</v>
      </c>
    </row>
    <row r="6" spans="2:13" x14ac:dyDescent="0.35">
      <c r="B6" s="45" t="s">
        <v>28</v>
      </c>
      <c r="C6" s="21">
        <f>C5*C4</f>
        <v>49200000</v>
      </c>
      <c r="D6" s="21">
        <f t="shared" ref="D6:E6" si="1">D5*D4</f>
        <v>61950000</v>
      </c>
      <c r="E6" s="24">
        <f t="shared" si="1"/>
        <v>95400000</v>
      </c>
      <c r="I6" s="36" t="s">
        <v>23</v>
      </c>
      <c r="J6" s="37">
        <v>47000000</v>
      </c>
      <c r="K6" s="36" t="s">
        <v>35</v>
      </c>
      <c r="L6" s="38">
        <v>139425</v>
      </c>
      <c r="M6" s="39">
        <f t="shared" si="0"/>
        <v>337.09879863726019</v>
      </c>
    </row>
    <row r="7" spans="2:13" x14ac:dyDescent="0.35">
      <c r="B7" s="18" t="s">
        <v>19</v>
      </c>
      <c r="C7" s="25">
        <v>60976</v>
      </c>
      <c r="D7" s="25">
        <v>121065</v>
      </c>
      <c r="E7" s="26">
        <v>20964</v>
      </c>
      <c r="I7" s="36" t="s">
        <v>24</v>
      </c>
      <c r="J7" s="37">
        <v>5000000</v>
      </c>
      <c r="K7" s="36" t="s">
        <v>36</v>
      </c>
      <c r="L7" s="38">
        <v>1106</v>
      </c>
      <c r="M7" s="39">
        <f t="shared" si="0"/>
        <v>4520.7956600361667</v>
      </c>
    </row>
    <row r="8" spans="2:13" x14ac:dyDescent="0.35">
      <c r="B8" s="46" t="s">
        <v>27</v>
      </c>
      <c r="C8" s="27">
        <f>C7*C4</f>
        <v>30000192</v>
      </c>
      <c r="D8" s="27">
        <f>D7*D4</f>
        <v>49999845</v>
      </c>
      <c r="E8" s="28">
        <f>E7*E4</f>
        <v>9999828</v>
      </c>
      <c r="F8" s="62"/>
      <c r="I8" s="36" t="s">
        <v>25</v>
      </c>
      <c r="J8" s="37">
        <v>29000000</v>
      </c>
      <c r="K8" s="36" t="s">
        <v>37</v>
      </c>
      <c r="L8" s="36">
        <v>3</v>
      </c>
      <c r="M8" s="39">
        <f t="shared" si="0"/>
        <v>9666666.666666666</v>
      </c>
    </row>
    <row r="9" spans="2:13" x14ac:dyDescent="0.35">
      <c r="B9" s="47" t="s">
        <v>20</v>
      </c>
      <c r="C9" s="29">
        <f>SUM(C10:C14)</f>
        <v>50281.410462987704</v>
      </c>
      <c r="D9" s="29">
        <f t="shared" ref="D9:E9" si="2">SUM(D10:D14)</f>
        <v>80107.269210503058</v>
      </c>
      <c r="E9" s="30">
        <f t="shared" si="2"/>
        <v>96807.639136839163</v>
      </c>
    </row>
    <row r="10" spans="2:13" x14ac:dyDescent="0.35">
      <c r="B10" s="48" t="s">
        <v>21</v>
      </c>
      <c r="C10" s="25">
        <f>J12*$M$4/C4</f>
        <v>3706.1875683879848</v>
      </c>
      <c r="D10" s="25">
        <f t="shared" ref="D10:E10" si="3">K12*$M$4/D4</f>
        <v>7052.364716889233</v>
      </c>
      <c r="E10" s="26">
        <f t="shared" si="3"/>
        <v>8939.054692406411</v>
      </c>
    </row>
    <row r="11" spans="2:13" x14ac:dyDescent="0.35">
      <c r="B11" s="48" t="s">
        <v>22</v>
      </c>
      <c r="C11" s="25">
        <f>J13*$M$5/C4</f>
        <v>4592.0308584473687</v>
      </c>
      <c r="D11" s="25">
        <f t="shared" ref="D11:E11" si="4">K13*$M$5/D4</f>
        <v>13566.61591342165</v>
      </c>
      <c r="E11" s="26">
        <f t="shared" si="4"/>
        <v>12867.313302726945</v>
      </c>
      <c r="I11" s="40" t="s">
        <v>31</v>
      </c>
      <c r="J11" s="41" t="s">
        <v>15</v>
      </c>
      <c r="K11" s="41" t="s">
        <v>16</v>
      </c>
      <c r="L11" s="41" t="s">
        <v>17</v>
      </c>
    </row>
    <row r="12" spans="2:13" x14ac:dyDescent="0.35">
      <c r="B12" s="48" t="s">
        <v>23</v>
      </c>
      <c r="C12" s="25">
        <f>J14*$M$6/C4</f>
        <v>19854.571111606758</v>
      </c>
      <c r="D12" s="25">
        <f t="shared" ref="D12:E12" si="5">K14*$M$6/D4</f>
        <v>33455.219270082373</v>
      </c>
      <c r="E12" s="26">
        <f t="shared" si="5"/>
        <v>49087.097388984184</v>
      </c>
      <c r="I12" s="36" t="s">
        <v>33</v>
      </c>
      <c r="J12" s="38">
        <v>1120</v>
      </c>
      <c r="K12" s="38">
        <v>1789</v>
      </c>
      <c r="L12" s="38">
        <v>2619</v>
      </c>
    </row>
    <row r="13" spans="2:13" x14ac:dyDescent="0.35">
      <c r="B13" s="48" t="s">
        <v>24</v>
      </c>
      <c r="C13" s="25">
        <f>J15*$M$7/C4</f>
        <v>2480.9244475808232</v>
      </c>
      <c r="D13" s="25">
        <f t="shared" ref="D13:E13" si="6">K15*$M$7/D4</f>
        <v>2627.0967515948669</v>
      </c>
      <c r="E13" s="26">
        <f t="shared" si="6"/>
        <v>5648.6251852862797</v>
      </c>
      <c r="I13" s="36" t="s">
        <v>34</v>
      </c>
      <c r="J13" s="36">
        <v>300</v>
      </c>
      <c r="K13" s="36">
        <v>744</v>
      </c>
      <c r="L13" s="36">
        <v>815</v>
      </c>
    </row>
    <row r="14" spans="2:13" x14ac:dyDescent="0.35">
      <c r="B14" s="49" t="s">
        <v>25</v>
      </c>
      <c r="C14" s="31">
        <f>J16*$M$8/C4</f>
        <v>19647.696476964767</v>
      </c>
      <c r="D14" s="31">
        <f t="shared" ref="D14:E14" si="7">K16*$M$8/D4</f>
        <v>23405.972558514928</v>
      </c>
      <c r="E14" s="32">
        <f t="shared" si="7"/>
        <v>20265.548567435359</v>
      </c>
      <c r="I14" s="36" t="s">
        <v>35</v>
      </c>
      <c r="J14" s="38">
        <v>28978</v>
      </c>
      <c r="K14" s="38">
        <v>40988</v>
      </c>
      <c r="L14" s="38">
        <v>69459</v>
      </c>
    </row>
    <row r="15" spans="2:13" x14ac:dyDescent="0.35">
      <c r="B15" s="50" t="s">
        <v>39</v>
      </c>
      <c r="C15" s="33">
        <f>C5-C7-C9</f>
        <v>-11257.410462987704</v>
      </c>
      <c r="D15" s="33">
        <f t="shared" ref="D15:E15" si="8">D5-D7-D9</f>
        <v>-51172.269210503058</v>
      </c>
      <c r="E15" s="34">
        <f t="shared" si="8"/>
        <v>82228.360863160837</v>
      </c>
      <c r="I15" s="36" t="s">
        <v>36</v>
      </c>
      <c r="J15" s="36">
        <v>270</v>
      </c>
      <c r="K15" s="36">
        <v>240</v>
      </c>
      <c r="L15" s="36">
        <v>596</v>
      </c>
    </row>
    <row r="16" spans="2:13" x14ac:dyDescent="0.35">
      <c r="B16" s="35" t="s">
        <v>46</v>
      </c>
      <c r="C16" s="51">
        <f>C6-C8-C9</f>
        <v>19149526.589537013</v>
      </c>
      <c r="D16" s="51">
        <f t="shared" ref="D16:E16" si="9">D6-D8-D9</f>
        <v>11870047.730789497</v>
      </c>
      <c r="E16" s="52">
        <f t="shared" si="9"/>
        <v>85303364.360863164</v>
      </c>
      <c r="I16" s="36" t="s">
        <v>37</v>
      </c>
      <c r="J16" s="38">
        <v>1</v>
      </c>
      <c r="K16" s="38">
        <v>1</v>
      </c>
      <c r="L16" s="38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8E687-7A80-40D9-A97D-64CD45A206DA}">
  <dimension ref="A2:Z51"/>
  <sheetViews>
    <sheetView zoomScale="115" zoomScaleNormal="115" workbookViewId="0">
      <selection activeCell="B19" sqref="B19"/>
    </sheetView>
  </sheetViews>
  <sheetFormatPr defaultRowHeight="14.5" x14ac:dyDescent="0.35"/>
  <cols>
    <col min="1" max="1" width="13.26953125" bestFit="1" customWidth="1"/>
    <col min="2" max="2" width="14.90625" bestFit="1" customWidth="1"/>
    <col min="3" max="3" width="14.36328125" bestFit="1" customWidth="1"/>
    <col min="4" max="4" width="13.7265625" bestFit="1" customWidth="1"/>
    <col min="5" max="7" width="14.36328125" bestFit="1" customWidth="1"/>
    <col min="8" max="8" width="13.7265625" bestFit="1" customWidth="1"/>
    <col min="9" max="9" width="14.36328125" bestFit="1" customWidth="1"/>
    <col min="10" max="13" width="14.6328125" bestFit="1" customWidth="1"/>
    <col min="14" max="14" width="14.36328125" bestFit="1" customWidth="1"/>
    <col min="15" max="15" width="13.6328125" bestFit="1" customWidth="1"/>
    <col min="16" max="17" width="14.6328125" bestFit="1" customWidth="1"/>
    <col min="18" max="19" width="13.7265625" bestFit="1" customWidth="1"/>
    <col min="20" max="20" width="14.36328125" bestFit="1" customWidth="1"/>
    <col min="21" max="21" width="13.7265625" bestFit="1" customWidth="1"/>
    <col min="22" max="22" width="14.6328125" bestFit="1" customWidth="1"/>
    <col min="23" max="23" width="13.6328125" bestFit="1" customWidth="1"/>
    <col min="24" max="24" width="13.7265625" bestFit="1" customWidth="1"/>
    <col min="26" max="26" width="13.453125" bestFit="1" customWidth="1"/>
  </cols>
  <sheetData>
    <row r="2" spans="1:26" x14ac:dyDescent="0.35">
      <c r="A2" t="s">
        <v>40</v>
      </c>
      <c r="B2">
        <v>1</v>
      </c>
      <c r="C2">
        <f>B2+1</f>
        <v>2</v>
      </c>
      <c r="D2">
        <f t="shared" ref="D2:X2" si="0">C2+1</f>
        <v>3</v>
      </c>
      <c r="E2">
        <f t="shared" si="0"/>
        <v>4</v>
      </c>
      <c r="F2">
        <f t="shared" si="0"/>
        <v>5</v>
      </c>
      <c r="G2">
        <f t="shared" si="0"/>
        <v>6</v>
      </c>
      <c r="H2">
        <f t="shared" si="0"/>
        <v>7</v>
      </c>
      <c r="I2">
        <f t="shared" si="0"/>
        <v>8</v>
      </c>
      <c r="J2">
        <f t="shared" si="0"/>
        <v>9</v>
      </c>
      <c r="K2">
        <f t="shared" si="0"/>
        <v>10</v>
      </c>
      <c r="L2">
        <f t="shared" si="0"/>
        <v>11</v>
      </c>
      <c r="M2">
        <f>L2+1</f>
        <v>12</v>
      </c>
      <c r="N2">
        <f t="shared" si="0"/>
        <v>13</v>
      </c>
      <c r="O2">
        <f t="shared" si="0"/>
        <v>14</v>
      </c>
      <c r="P2">
        <f t="shared" si="0"/>
        <v>15</v>
      </c>
      <c r="Q2">
        <f t="shared" si="0"/>
        <v>16</v>
      </c>
      <c r="R2">
        <f t="shared" si="0"/>
        <v>17</v>
      </c>
      <c r="S2">
        <f>R2+1</f>
        <v>18</v>
      </c>
      <c r="T2">
        <f t="shared" si="0"/>
        <v>19</v>
      </c>
      <c r="U2">
        <f t="shared" si="0"/>
        <v>20</v>
      </c>
      <c r="V2">
        <f t="shared" si="0"/>
        <v>21</v>
      </c>
      <c r="W2">
        <f>V2+1</f>
        <v>22</v>
      </c>
      <c r="X2">
        <f t="shared" si="0"/>
        <v>23</v>
      </c>
    </row>
    <row r="3" spans="1:26" x14ac:dyDescent="0.35">
      <c r="A3" t="s">
        <v>43</v>
      </c>
      <c r="B3">
        <v>10</v>
      </c>
      <c r="C3">
        <v>50</v>
      </c>
      <c r="D3">
        <v>40</v>
      </c>
      <c r="E3">
        <v>20</v>
      </c>
      <c r="F3">
        <v>1</v>
      </c>
      <c r="G3">
        <v>12</v>
      </c>
      <c r="H3">
        <v>10</v>
      </c>
      <c r="I3">
        <v>21</v>
      </c>
      <c r="J3">
        <v>34</v>
      </c>
      <c r="K3">
        <v>36</v>
      </c>
      <c r="L3">
        <v>40</v>
      </c>
      <c r="M3">
        <v>6</v>
      </c>
      <c r="N3">
        <v>13</v>
      </c>
      <c r="O3">
        <v>23</v>
      </c>
      <c r="P3">
        <v>5</v>
      </c>
      <c r="Q3">
        <v>36</v>
      </c>
      <c r="R3">
        <v>23</v>
      </c>
      <c r="S3">
        <v>11</v>
      </c>
      <c r="T3">
        <v>12</v>
      </c>
      <c r="U3">
        <v>4</v>
      </c>
      <c r="V3">
        <v>37</v>
      </c>
      <c r="W3">
        <v>26</v>
      </c>
      <c r="X3">
        <v>22</v>
      </c>
    </row>
    <row r="4" spans="1:26" x14ac:dyDescent="0.35">
      <c r="A4" t="s">
        <v>44</v>
      </c>
      <c r="B4">
        <v>20</v>
      </c>
      <c r="C4">
        <v>30</v>
      </c>
      <c r="D4">
        <v>10</v>
      </c>
      <c r="E4">
        <v>5</v>
      </c>
      <c r="F4">
        <v>2</v>
      </c>
      <c r="G4">
        <v>22</v>
      </c>
      <c r="H4">
        <v>3</v>
      </c>
      <c r="I4">
        <v>12</v>
      </c>
      <c r="J4">
        <v>35</v>
      </c>
      <c r="K4">
        <v>39</v>
      </c>
      <c r="L4">
        <v>20</v>
      </c>
      <c r="M4">
        <v>37</v>
      </c>
      <c r="N4">
        <v>20</v>
      </c>
      <c r="O4">
        <v>13</v>
      </c>
      <c r="P4">
        <v>21</v>
      </c>
      <c r="Q4">
        <v>27</v>
      </c>
      <c r="R4">
        <v>8</v>
      </c>
      <c r="S4">
        <v>11</v>
      </c>
      <c r="T4">
        <v>9</v>
      </c>
      <c r="U4">
        <v>8</v>
      </c>
      <c r="V4">
        <v>36</v>
      </c>
      <c r="W4">
        <v>17</v>
      </c>
      <c r="X4">
        <v>8</v>
      </c>
    </row>
    <row r="5" spans="1:26" x14ac:dyDescent="0.35">
      <c r="A5" t="s">
        <v>45</v>
      </c>
      <c r="B5">
        <v>20</v>
      </c>
      <c r="C5">
        <v>0</v>
      </c>
      <c r="D5">
        <v>20</v>
      </c>
      <c r="E5">
        <v>5</v>
      </c>
      <c r="F5">
        <v>3</v>
      </c>
      <c r="G5">
        <v>3</v>
      </c>
      <c r="H5">
        <v>40</v>
      </c>
      <c r="I5">
        <v>14</v>
      </c>
      <c r="J5">
        <v>36</v>
      </c>
      <c r="K5">
        <v>39</v>
      </c>
      <c r="L5">
        <v>21</v>
      </c>
      <c r="M5">
        <v>40</v>
      </c>
      <c r="N5">
        <v>7</v>
      </c>
      <c r="O5">
        <v>13</v>
      </c>
      <c r="P5">
        <v>39</v>
      </c>
      <c r="Q5">
        <v>26</v>
      </c>
      <c r="R5">
        <v>25</v>
      </c>
      <c r="S5">
        <v>28</v>
      </c>
      <c r="T5">
        <v>7</v>
      </c>
      <c r="U5">
        <v>34</v>
      </c>
      <c r="V5">
        <v>17</v>
      </c>
      <c r="W5">
        <v>17</v>
      </c>
      <c r="X5">
        <v>24</v>
      </c>
    </row>
    <row r="6" spans="1:26" x14ac:dyDescent="0.35">
      <c r="A6" s="63" t="s">
        <v>21</v>
      </c>
      <c r="B6" s="3">
        <v>54</v>
      </c>
      <c r="C6" s="3">
        <v>65</v>
      </c>
      <c r="D6" s="3">
        <v>36</v>
      </c>
      <c r="E6" s="3">
        <v>4</v>
      </c>
      <c r="F6" s="3">
        <v>69</v>
      </c>
      <c r="G6" s="3">
        <v>66</v>
      </c>
      <c r="H6" s="3">
        <v>88</v>
      </c>
      <c r="I6" s="3">
        <v>53</v>
      </c>
      <c r="J6" s="3">
        <v>44</v>
      </c>
      <c r="K6" s="3">
        <v>32</v>
      </c>
      <c r="L6" s="3">
        <v>35</v>
      </c>
      <c r="M6" s="3">
        <v>145</v>
      </c>
      <c r="N6" s="3">
        <v>66</v>
      </c>
      <c r="O6" s="3">
        <v>44</v>
      </c>
      <c r="P6" s="3">
        <v>65</v>
      </c>
      <c r="Q6" s="3">
        <v>15</v>
      </c>
      <c r="R6" s="3">
        <v>24</v>
      </c>
      <c r="S6" s="3">
        <v>43</v>
      </c>
      <c r="T6" s="3">
        <v>35</v>
      </c>
      <c r="U6" s="3">
        <v>5</v>
      </c>
      <c r="V6" s="3">
        <v>50</v>
      </c>
      <c r="W6" s="3">
        <v>16</v>
      </c>
      <c r="X6" s="3">
        <v>66</v>
      </c>
    </row>
    <row r="7" spans="1:26" x14ac:dyDescent="0.35">
      <c r="A7" s="63"/>
      <c r="B7" s="3">
        <v>225</v>
      </c>
      <c r="C7" s="3">
        <v>36</v>
      </c>
      <c r="D7" s="3">
        <v>59</v>
      </c>
      <c r="E7" s="3">
        <v>66</v>
      </c>
      <c r="F7" s="3">
        <v>66</v>
      </c>
      <c r="G7" s="3">
        <v>100</v>
      </c>
      <c r="H7" s="3">
        <v>87</v>
      </c>
      <c r="I7" s="3">
        <v>120</v>
      </c>
      <c r="J7" s="3">
        <v>165</v>
      </c>
      <c r="K7" s="3">
        <v>24</v>
      </c>
      <c r="L7" s="3">
        <v>60</v>
      </c>
      <c r="M7" s="3">
        <v>109</v>
      </c>
      <c r="N7" s="3">
        <v>134</v>
      </c>
      <c r="O7" s="3">
        <v>4</v>
      </c>
      <c r="P7" s="3">
        <v>69</v>
      </c>
      <c r="Q7" s="3">
        <v>100</v>
      </c>
      <c r="R7" s="3">
        <v>66</v>
      </c>
      <c r="S7" s="3">
        <v>24</v>
      </c>
      <c r="T7" s="3">
        <v>65</v>
      </c>
      <c r="U7" s="3">
        <v>120</v>
      </c>
      <c r="V7" s="3">
        <v>14</v>
      </c>
      <c r="W7" s="3">
        <v>65</v>
      </c>
      <c r="X7" s="3">
        <v>11</v>
      </c>
    </row>
    <row r="8" spans="1:26" x14ac:dyDescent="0.35">
      <c r="A8" s="63"/>
      <c r="B8" s="3">
        <v>73</v>
      </c>
      <c r="C8" s="3">
        <v>0</v>
      </c>
      <c r="D8" s="3">
        <v>43</v>
      </c>
      <c r="E8" s="3">
        <v>52</v>
      </c>
      <c r="F8" s="3">
        <v>102</v>
      </c>
      <c r="G8" s="3">
        <v>166</v>
      </c>
      <c r="H8" s="3">
        <v>44</v>
      </c>
      <c r="I8" s="3">
        <v>128</v>
      </c>
      <c r="J8" s="3">
        <v>223</v>
      </c>
      <c r="K8" s="3">
        <v>203</v>
      </c>
      <c r="L8" s="3">
        <v>167</v>
      </c>
      <c r="M8" s="3">
        <v>128</v>
      </c>
      <c r="N8" s="3">
        <v>233</v>
      </c>
      <c r="O8" s="3">
        <v>59</v>
      </c>
      <c r="P8" s="3">
        <v>55</v>
      </c>
      <c r="Q8" s="3">
        <v>187</v>
      </c>
      <c r="R8" s="3">
        <v>45</v>
      </c>
      <c r="S8" s="3">
        <v>81</v>
      </c>
      <c r="T8" s="3">
        <v>144</v>
      </c>
      <c r="U8" s="3">
        <v>123</v>
      </c>
      <c r="V8" s="3">
        <v>144</v>
      </c>
      <c r="W8" s="3">
        <v>77</v>
      </c>
      <c r="X8" s="3">
        <v>142</v>
      </c>
    </row>
    <row r="9" spans="1:26" x14ac:dyDescent="0.35">
      <c r="A9" s="63" t="s">
        <v>24</v>
      </c>
      <c r="B9" s="3">
        <v>17</v>
      </c>
      <c r="C9" s="3">
        <v>12</v>
      </c>
      <c r="D9" s="3">
        <v>2</v>
      </c>
      <c r="E9" s="3">
        <v>18</v>
      </c>
      <c r="F9" s="3">
        <v>3</v>
      </c>
      <c r="G9" s="3">
        <v>6</v>
      </c>
      <c r="H9" s="3">
        <v>14</v>
      </c>
      <c r="I9" s="3">
        <v>27</v>
      </c>
      <c r="J9" s="3">
        <v>29</v>
      </c>
      <c r="K9" s="3">
        <v>9</v>
      </c>
      <c r="L9" s="3">
        <v>6</v>
      </c>
      <c r="M9" s="3">
        <v>10</v>
      </c>
      <c r="N9" s="3">
        <v>19</v>
      </c>
      <c r="O9" s="3">
        <v>9</v>
      </c>
      <c r="P9" s="3">
        <v>8</v>
      </c>
      <c r="Q9" s="3">
        <v>25</v>
      </c>
      <c r="R9" s="3">
        <v>12</v>
      </c>
      <c r="S9" s="3">
        <v>11</v>
      </c>
      <c r="T9" s="3">
        <v>8</v>
      </c>
      <c r="U9" s="3">
        <v>3</v>
      </c>
      <c r="V9" s="3">
        <v>8</v>
      </c>
      <c r="W9" s="3">
        <v>6</v>
      </c>
      <c r="X9" s="3">
        <v>8</v>
      </c>
    </row>
    <row r="10" spans="1:26" x14ac:dyDescent="0.35">
      <c r="A10" s="63"/>
      <c r="B10" s="3">
        <v>5</v>
      </c>
      <c r="C10" s="3">
        <v>7</v>
      </c>
      <c r="D10" s="3">
        <v>9</v>
      </c>
      <c r="E10" s="3">
        <v>5</v>
      </c>
      <c r="F10" s="3">
        <v>2</v>
      </c>
      <c r="G10" s="3">
        <v>24</v>
      </c>
      <c r="H10" s="3">
        <v>4</v>
      </c>
      <c r="I10" s="3">
        <v>20</v>
      </c>
      <c r="J10" s="3">
        <v>7</v>
      </c>
      <c r="K10" s="3">
        <v>7</v>
      </c>
      <c r="L10" s="3">
        <v>21</v>
      </c>
      <c r="M10" s="3">
        <v>19</v>
      </c>
      <c r="N10" s="3">
        <v>8</v>
      </c>
      <c r="O10" s="3">
        <v>8</v>
      </c>
      <c r="P10" s="3">
        <v>1</v>
      </c>
      <c r="Q10" s="3">
        <v>9</v>
      </c>
      <c r="R10" s="3">
        <v>6</v>
      </c>
      <c r="S10" s="3">
        <v>20</v>
      </c>
      <c r="T10" s="3">
        <v>15</v>
      </c>
      <c r="U10" s="3">
        <v>7</v>
      </c>
      <c r="V10" s="3">
        <v>6</v>
      </c>
      <c r="W10" s="3">
        <v>2</v>
      </c>
      <c r="X10" s="3">
        <v>28</v>
      </c>
    </row>
    <row r="11" spans="1:26" x14ac:dyDescent="0.35">
      <c r="A11" s="63"/>
      <c r="B11" s="3">
        <v>4</v>
      </c>
      <c r="C11" s="3">
        <v>0</v>
      </c>
      <c r="D11" s="3">
        <v>23</v>
      </c>
      <c r="E11" s="3">
        <v>34</v>
      </c>
      <c r="F11" s="3">
        <v>22</v>
      </c>
      <c r="G11" s="3">
        <v>66</v>
      </c>
      <c r="H11" s="3">
        <v>22</v>
      </c>
      <c r="I11" s="3">
        <v>12</v>
      </c>
      <c r="J11" s="3">
        <v>55</v>
      </c>
      <c r="K11" s="3">
        <v>45</v>
      </c>
      <c r="L11" s="3">
        <v>17</v>
      </c>
      <c r="M11" s="3">
        <v>15</v>
      </c>
      <c r="N11" s="3">
        <v>3</v>
      </c>
      <c r="O11" s="3">
        <v>26</v>
      </c>
      <c r="P11" s="3">
        <v>43</v>
      </c>
      <c r="Q11" s="3">
        <v>21</v>
      </c>
      <c r="R11" s="3">
        <v>44</v>
      </c>
      <c r="S11" s="3">
        <v>25</v>
      </c>
      <c r="T11" s="3">
        <v>25</v>
      </c>
      <c r="U11" s="3">
        <v>33</v>
      </c>
      <c r="V11" s="3">
        <v>28</v>
      </c>
      <c r="W11" s="3">
        <v>11</v>
      </c>
      <c r="X11" s="3">
        <v>22</v>
      </c>
    </row>
    <row r="13" spans="1:26" x14ac:dyDescent="0.35">
      <c r="A13" s="53" t="s">
        <v>28</v>
      </c>
      <c r="B13" s="58" cm="1">
        <f t="array" ref="B13">SUMPRODUCT(TRANSPOSE('product profitability + info'!$C$5:$E$5),'customer profitability'!B3:B5)</f>
        <v>8000000</v>
      </c>
      <c r="C13" s="58" cm="1">
        <f t="array" ref="C13">SUMPRODUCT(TRANSPOSE('product profitability + info'!$C$5:$E$5),'customer profitability'!C3:C5)</f>
        <v>9500000</v>
      </c>
      <c r="D13" s="58" cm="1">
        <f t="array" ref="D13">SUMPRODUCT(TRANSPOSE('product profitability + info'!$C$5:$E$5),'customer profitability'!D3:D5)</f>
        <v>9500000</v>
      </c>
      <c r="E13" s="58" cm="1">
        <f t="array" ref="E13">SUMPRODUCT(TRANSPOSE('product profitability + info'!$C$5:$E$5),'customer profitability'!E3:E5)</f>
        <v>3750000</v>
      </c>
      <c r="F13" s="58" cm="1">
        <f t="array" ref="F13">SUMPRODUCT(TRANSPOSE('product profitability + info'!$C$5:$E$5),'customer profitability'!F3:F5)</f>
        <v>1000000</v>
      </c>
      <c r="G13" s="58" cm="1">
        <f t="array" ref="G13">SUMPRODUCT(TRANSPOSE('product profitability + info'!$C$5:$E$5),'customer profitability'!G3:G5)</f>
        <v>5100000</v>
      </c>
      <c r="H13" s="58" cm="1">
        <f t="array" ref="H13">SUMPRODUCT(TRANSPOSE('product profitability + info'!$C$5:$E$5),'customer profitability'!H3:H5)</f>
        <v>9450000</v>
      </c>
      <c r="I13" s="58" cm="1">
        <f t="array" ref="I13">SUMPRODUCT(TRANSPOSE('product profitability + info'!$C$5:$E$5),'customer profitability'!I3:I5)</f>
        <v>6700000</v>
      </c>
      <c r="J13" s="58" cm="1">
        <f t="array" ref="J13">SUMPRODUCT(TRANSPOSE('product profitability + info'!$C$5:$E$5),'customer profitability'!J3:J5)</f>
        <v>15850000</v>
      </c>
      <c r="K13" s="58" cm="1">
        <f t="array" ref="K13">SUMPRODUCT(TRANSPOSE('product profitability + info'!$C$5:$E$5),'customer profitability'!K3:K5)</f>
        <v>17250000</v>
      </c>
      <c r="L13" s="58" cm="1">
        <f t="array" ref="L13">SUMPRODUCT(TRANSPOSE('product profitability + info'!$C$5:$E$5),'customer profitability'!L3:L5)</f>
        <v>11200000</v>
      </c>
      <c r="M13" s="58" cm="1">
        <f t="array" ref="M13">SUMPRODUCT(TRANSPOSE('product profitability + info'!$C$5:$E$5),'customer profitability'!M3:M5)</f>
        <v>14150000</v>
      </c>
      <c r="N13" s="58" cm="1">
        <f t="array" ref="N13">SUMPRODUCT(TRANSPOSE('product profitability + info'!$C$5:$E$5),'customer profitability'!N3:N5)</f>
        <v>5700000</v>
      </c>
      <c r="O13" s="58" cm="1">
        <f t="array" ref="O13">SUMPRODUCT(TRANSPOSE('product profitability + info'!$C$5:$E$5),'customer profitability'!O3:O5)</f>
        <v>6850000</v>
      </c>
      <c r="P13" s="58" cm="1">
        <f t="array" ref="P13">SUMPRODUCT(TRANSPOSE('product profitability + info'!$C$5:$E$5),'customer profitability'!P3:P5)</f>
        <v>11450000</v>
      </c>
      <c r="Q13" s="58" cm="1">
        <f t="array" ref="Q13">SUMPRODUCT(TRANSPOSE('product profitability + info'!$C$5:$E$5),'customer profitability'!Q3:Q5)</f>
        <v>12850000</v>
      </c>
      <c r="R13" s="58" cm="1">
        <f t="array" ref="R13">SUMPRODUCT(TRANSPOSE('product profitability + info'!$C$5:$E$5),'customer profitability'!R3:R5)</f>
        <v>8500000</v>
      </c>
      <c r="S13" s="58" cm="1">
        <f t="array" ref="S13">SUMPRODUCT(TRANSPOSE('product profitability + info'!$C$5:$E$5),'customer profitability'!S3:S5)</f>
        <v>8350000</v>
      </c>
      <c r="T13" s="58" cm="1">
        <f t="array" ref="T13">SUMPRODUCT(TRANSPOSE('product profitability + info'!$C$5:$E$5),'customer profitability'!T3:T5)</f>
        <v>3950000</v>
      </c>
      <c r="U13" s="58" cm="1">
        <f t="array" ref="U13">SUMPRODUCT(TRANSPOSE('product profitability + info'!$C$5:$E$5),'customer profitability'!U3:U5)</f>
        <v>8400000</v>
      </c>
      <c r="V13" s="58" cm="1">
        <f t="array" ref="V13">SUMPRODUCT(TRANSPOSE('product profitability + info'!$C$5:$E$5),'customer profitability'!V3:V5)</f>
        <v>12500000</v>
      </c>
      <c r="W13" s="58" cm="1">
        <f t="array" ref="W13">SUMPRODUCT(TRANSPOSE('product profitability + info'!$C$5:$E$5),'customer profitability'!W3:W5)</f>
        <v>8550000</v>
      </c>
      <c r="X13" s="58" cm="1">
        <f t="array" ref="X13">SUMPRODUCT(TRANSPOSE('product profitability + info'!$C$5:$E$5),'customer profitability'!X3:X5)</f>
        <v>8200000</v>
      </c>
      <c r="Z13" s="62">
        <f>SUM(B13:X13)</f>
        <v>206750000</v>
      </c>
    </row>
    <row r="14" spans="1:26" x14ac:dyDescent="0.35">
      <c r="Z14" s="62"/>
    </row>
    <row r="15" spans="1:26" x14ac:dyDescent="0.35">
      <c r="A15" s="54" t="s">
        <v>19</v>
      </c>
      <c r="B15" s="59" cm="1">
        <f t="array" ref="B15">SUMPRODUCT(TRANSPOSE('product profitability + info'!$C$7:$E$7),'customer profitability'!B3:B5)</f>
        <v>3450340</v>
      </c>
      <c r="C15" s="59" cm="1">
        <f t="array" ref="C15">SUMPRODUCT(TRANSPOSE('product profitability + info'!$C$7:$E$7),'customer profitability'!C3:C5)</f>
        <v>6680750</v>
      </c>
      <c r="D15" s="59" cm="1">
        <f t="array" ref="D15">SUMPRODUCT(TRANSPOSE('product profitability + info'!$C$7:$E$7),'customer profitability'!D3:D5)</f>
        <v>4068970</v>
      </c>
      <c r="E15" s="59" cm="1">
        <f t="array" ref="E15">SUMPRODUCT(TRANSPOSE('product profitability + info'!$C$7:$E$7),'customer profitability'!E3:E5)</f>
        <v>1929665</v>
      </c>
      <c r="F15" s="59" cm="1">
        <f t="array" ref="F15">SUMPRODUCT(TRANSPOSE('product profitability + info'!$C$7:$E$7),'customer profitability'!F3:F5)</f>
        <v>365998</v>
      </c>
      <c r="G15" s="59" cm="1">
        <f t="array" ref="G15">SUMPRODUCT(TRANSPOSE('product profitability + info'!$C$7:$E$7),'customer profitability'!G3:G5)</f>
        <v>3458034</v>
      </c>
      <c r="H15" s="59" cm="1">
        <f t="array" ref="H15">SUMPRODUCT(TRANSPOSE('product profitability + info'!$C$7:$E$7),'customer profitability'!H3:H5)</f>
        <v>1811515</v>
      </c>
      <c r="I15" s="59" cm="1">
        <f t="array" ref="I15">SUMPRODUCT(TRANSPOSE('product profitability + info'!$C$7:$E$7),'customer profitability'!I3:I5)</f>
        <v>3026772</v>
      </c>
      <c r="J15" s="59" cm="1">
        <f t="array" ref="J15">SUMPRODUCT(TRANSPOSE('product profitability + info'!$C$7:$E$7),'customer profitability'!J3:J5)</f>
        <v>7065163</v>
      </c>
      <c r="K15" s="59" cm="1">
        <f t="array" ref="K15">SUMPRODUCT(TRANSPOSE('product profitability + info'!$C$7:$E$7),'customer profitability'!K3:K5)</f>
        <v>7734267</v>
      </c>
      <c r="L15" s="59" cm="1">
        <f t="array" ref="L15">SUMPRODUCT(TRANSPOSE('product profitability + info'!$C$7:$E$7),'customer profitability'!L3:L5)</f>
        <v>5300584</v>
      </c>
      <c r="M15" s="59" cm="1">
        <f t="array" ref="M15">SUMPRODUCT(TRANSPOSE('product profitability + info'!$C$7:$E$7),'customer profitability'!M3:M5)</f>
        <v>5683821</v>
      </c>
      <c r="N15" s="59" cm="1">
        <f t="array" ref="N15">SUMPRODUCT(TRANSPOSE('product profitability + info'!$C$7:$E$7),'customer profitability'!N3:N5)</f>
        <v>3360736</v>
      </c>
      <c r="O15" s="59" cm="1">
        <f t="array" ref="O15">SUMPRODUCT(TRANSPOSE('product profitability + info'!$C$7:$E$7),'customer profitability'!O3:O5)</f>
        <v>3248825</v>
      </c>
      <c r="P15" s="59" cm="1">
        <f t="array" ref="P15">SUMPRODUCT(TRANSPOSE('product profitability + info'!$C$7:$E$7),'customer profitability'!P3:P5)</f>
        <v>3664841</v>
      </c>
      <c r="Q15" s="59" cm="1">
        <f t="array" ref="Q15">SUMPRODUCT(TRANSPOSE('product profitability + info'!$C$7:$E$7),'customer profitability'!Q3:Q5)</f>
        <v>6008955</v>
      </c>
      <c r="R15" s="59" cm="1">
        <f t="array" ref="R15">SUMPRODUCT(TRANSPOSE('product profitability + info'!$C$7:$E$7),'customer profitability'!R3:R5)</f>
        <v>2895068</v>
      </c>
      <c r="S15" s="59" cm="1">
        <f t="array" ref="S15">SUMPRODUCT(TRANSPOSE('product profitability + info'!$C$7:$E$7),'customer profitability'!S3:S5)</f>
        <v>2589443</v>
      </c>
      <c r="T15" s="59" cm="1">
        <f t="array" ref="T15">SUMPRODUCT(TRANSPOSE('product profitability + info'!$C$7:$E$7),'customer profitability'!T3:T5)</f>
        <v>1968045</v>
      </c>
      <c r="U15" s="59" cm="1">
        <f t="array" ref="U15">SUMPRODUCT(TRANSPOSE('product profitability + info'!$C$7:$E$7),'customer profitability'!U3:U5)</f>
        <v>1925200</v>
      </c>
      <c r="V15" s="59" cm="1">
        <f t="array" ref="V15">SUMPRODUCT(TRANSPOSE('product profitability + info'!$C$7:$E$7),'customer profitability'!V3:V5)</f>
        <v>6970840</v>
      </c>
      <c r="W15" s="59" cm="1">
        <f t="array" ref="W15">SUMPRODUCT(TRANSPOSE('product profitability + info'!$C$7:$E$7),'customer profitability'!W3:W5)</f>
        <v>3999869</v>
      </c>
      <c r="X15" s="59" cm="1">
        <f t="array" ref="X15">SUMPRODUCT(TRANSPOSE('product profitability + info'!$C$7:$E$7),'customer profitability'!X3:X5)</f>
        <v>2813128</v>
      </c>
      <c r="Z15" s="62">
        <f t="shared" ref="Z15:Z24" si="1">SUM(B15:X15)</f>
        <v>90020829</v>
      </c>
    </row>
    <row r="16" spans="1:26" x14ac:dyDescent="0.35">
      <c r="Z16" s="62"/>
    </row>
    <row r="17" spans="1:26" x14ac:dyDescent="0.35">
      <c r="A17" s="55" t="s">
        <v>20</v>
      </c>
      <c r="B17" s="60">
        <f>SUM(B18:B22)</f>
        <v>4184521.5008006026</v>
      </c>
      <c r="C17" s="60">
        <f t="shared" ref="C17:X17" si="2">SUM(C18:C22)</f>
        <v>4567879.8727310719</v>
      </c>
      <c r="D17" s="60">
        <f t="shared" si="2"/>
        <v>4490830.6378744533</v>
      </c>
      <c r="E17" s="60">
        <f t="shared" si="2"/>
        <v>2101435.3374655172</v>
      </c>
      <c r="F17" s="60">
        <f t="shared" si="2"/>
        <v>939525.10955118062</v>
      </c>
      <c r="G17" s="60">
        <f t="shared" si="2"/>
        <v>3299720.5969105968</v>
      </c>
      <c r="H17" s="60">
        <f t="shared" si="2"/>
        <v>4478405.084926649</v>
      </c>
      <c r="I17" s="60">
        <f t="shared" si="2"/>
        <v>3678970.9850919102</v>
      </c>
      <c r="J17" s="60">
        <f t="shared" si="2"/>
        <v>8038818.8659685263</v>
      </c>
      <c r="K17" s="60">
        <f t="shared" si="2"/>
        <v>8238097.6829936812</v>
      </c>
      <c r="L17" s="60">
        <f t="shared" si="2"/>
        <v>5524417.9625579137</v>
      </c>
      <c r="M17" s="60">
        <f t="shared" si="2"/>
        <v>6980032.8032881152</v>
      </c>
      <c r="N17" s="60">
        <f t="shared" si="2"/>
        <v>3397902.203926648</v>
      </c>
      <c r="O17" s="60">
        <f t="shared" si="2"/>
        <v>3367188.1007765485</v>
      </c>
      <c r="P17" s="60">
        <f t="shared" si="2"/>
        <v>5448821.4631114984</v>
      </c>
      <c r="Q17" s="60">
        <f t="shared" si="2"/>
        <v>6366986.9816503469</v>
      </c>
      <c r="R17" s="60">
        <f t="shared" si="2"/>
        <v>4133169.7978080711</v>
      </c>
      <c r="S17" s="60">
        <f t="shared" si="2"/>
        <v>4056021.7217794536</v>
      </c>
      <c r="T17" s="60">
        <f t="shared" si="2"/>
        <v>2352770.1193326591</v>
      </c>
      <c r="U17" s="60">
        <f t="shared" si="2"/>
        <v>4133435.1467242879</v>
      </c>
      <c r="V17" s="60">
        <f t="shared" si="2"/>
        <v>6093142.4990566708</v>
      </c>
      <c r="W17" s="60">
        <f t="shared" si="2"/>
        <v>4084594.8061974626</v>
      </c>
      <c r="X17" s="60">
        <f t="shared" si="2"/>
        <v>4125530.6787352776</v>
      </c>
      <c r="Z17" s="62">
        <f t="shared" si="1"/>
        <v>104082219.95925912</v>
      </c>
    </row>
    <row r="18" spans="1:26" x14ac:dyDescent="0.35">
      <c r="A18" t="s">
        <v>21</v>
      </c>
      <c r="B18" s="61">
        <f>SUM(B6:B8)*Unit_Order</f>
        <v>573082.48914616497</v>
      </c>
      <c r="C18" s="61">
        <f t="shared" ref="B18:X18" si="3">SUM(C6:C8)*Unit_Order</f>
        <v>164435.60057887121</v>
      </c>
      <c r="D18" s="61">
        <f t="shared" si="3"/>
        <v>224674.38494934878</v>
      </c>
      <c r="E18" s="61">
        <f t="shared" si="3"/>
        <v>198625.18089725036</v>
      </c>
      <c r="F18" s="61">
        <f t="shared" si="3"/>
        <v>385853.83502170769</v>
      </c>
      <c r="G18" s="61">
        <f t="shared" si="3"/>
        <v>540520.984081042</v>
      </c>
      <c r="H18" s="61">
        <f t="shared" si="3"/>
        <v>356548.48046309699</v>
      </c>
      <c r="I18" s="61">
        <f t="shared" si="3"/>
        <v>490050.6512301013</v>
      </c>
      <c r="J18" s="61">
        <f t="shared" si="3"/>
        <v>703328.50940665707</v>
      </c>
      <c r="K18" s="61">
        <f t="shared" si="3"/>
        <v>421671.49059334298</v>
      </c>
      <c r="L18" s="61">
        <f t="shared" si="3"/>
        <v>426555.71635311143</v>
      </c>
      <c r="M18" s="61">
        <f t="shared" si="3"/>
        <v>621924.74674384948</v>
      </c>
      <c r="N18" s="61">
        <f t="shared" si="3"/>
        <v>704956.58465991321</v>
      </c>
      <c r="O18" s="61">
        <f t="shared" si="3"/>
        <v>174204.05209840811</v>
      </c>
      <c r="P18" s="61">
        <f t="shared" si="3"/>
        <v>307706.22286541242</v>
      </c>
      <c r="Q18" s="61">
        <f t="shared" si="3"/>
        <v>491678.72648335743</v>
      </c>
      <c r="R18" s="61">
        <f t="shared" si="3"/>
        <v>219790.15918958033</v>
      </c>
      <c r="S18" s="61">
        <f t="shared" si="3"/>
        <v>240955.13748191026</v>
      </c>
      <c r="T18" s="61">
        <f t="shared" si="3"/>
        <v>397250.36179450073</v>
      </c>
      <c r="U18" s="61">
        <f t="shared" si="3"/>
        <v>403762.66280752531</v>
      </c>
      <c r="V18" s="61">
        <f t="shared" si="3"/>
        <v>338639.65267727931</v>
      </c>
      <c r="W18" s="61">
        <f t="shared" si="3"/>
        <v>257235.89001447178</v>
      </c>
      <c r="X18" s="61">
        <f t="shared" si="3"/>
        <v>356548.48046309699</v>
      </c>
      <c r="Z18" s="62">
        <f t="shared" si="1"/>
        <v>9000000</v>
      </c>
    </row>
    <row r="19" spans="1:26" x14ac:dyDescent="0.35">
      <c r="A19" t="s">
        <v>22</v>
      </c>
      <c r="B19" s="62" cm="1">
        <f t="array" ref="B19">SUMPRODUCT(TRANSPOSE(Warehouse),B$3:B$5)</f>
        <v>574598.89290744555</v>
      </c>
      <c r="C19" s="62" cm="1">
        <f t="array" ref="C19">SUMPRODUCT(TRANSPOSE(Warehouse),C$3:C$5)</f>
        <v>636600.02032501798</v>
      </c>
      <c r="D19" s="62" cm="1">
        <f t="array" ref="D19">SUMPRODUCT(TRANSPOSE(Warehouse),D$3:D$5)</f>
        <v>576693.6595266501</v>
      </c>
      <c r="E19" s="62" cm="1">
        <f t="array" ref="E19">SUMPRODUCT(TRANSPOSE(Warehouse),E$3:E$5)</f>
        <v>224010.26324969032</v>
      </c>
      <c r="F19" s="62" cm="1">
        <f t="array" ref="F19">SUMPRODUCT(TRANSPOSE(Warehouse),F$3:F$5)</f>
        <v>70327.202593471506</v>
      </c>
      <c r="G19" s="62" cm="1">
        <f t="array" ref="G19">SUMPRODUCT(TRANSPOSE(Warehouse),G$3:G$5)</f>
        <v>392171.86030482559</v>
      </c>
      <c r="H19" s="62" cm="1">
        <f t="array" ref="H19">SUMPRODUCT(TRANSPOSE(Warehouse),H$3:H$5)</f>
        <v>601312.68843381642</v>
      </c>
      <c r="I19" s="62" cm="1">
        <f t="array" ref="I19">SUMPRODUCT(TRANSPOSE(Warehouse),I$3:I$5)</f>
        <v>439374.42522663181</v>
      </c>
      <c r="J19" s="62" cm="1">
        <f t="array" ref="J19">SUMPRODUCT(TRANSPOSE(Warehouse),J$3:J$5)</f>
        <v>1094183.8850551383</v>
      </c>
      <c r="K19" s="62" cm="1">
        <f t="array" ref="K19">SUMPRODUCT(TRANSPOSE(Warehouse),K$3:K$5)</f>
        <v>1196236.3503339004</v>
      </c>
      <c r="L19" s="62" cm="1">
        <f t="array" ref="L19">SUMPRODUCT(TRANSPOSE(Warehouse),L$3:L$5)</f>
        <v>725227.13196359354</v>
      </c>
      <c r="M19" s="62" cm="1">
        <f t="array" ref="M19">SUMPRODUCT(TRANSPOSE(Warehouse),M$3:M$5)</f>
        <v>1044209.5060563631</v>
      </c>
      <c r="N19" s="62" cm="1">
        <f t="array" ref="N19">SUMPRODUCT(TRANSPOSE(Warehouse),N$3:N$5)</f>
        <v>421099.91254733736</v>
      </c>
      <c r="O19" s="62" cm="1">
        <f t="array" ref="O19">SUMPRODUCT(TRANSPOSE(Warehouse),O$3:O$5)</f>
        <v>449257.78955422121</v>
      </c>
      <c r="P19" s="62" cm="1">
        <f t="array" ref="P19">SUMPRODUCT(TRANSPOSE(Warehouse),P$3:P$5)</f>
        <v>809684.30728044233</v>
      </c>
      <c r="Q19" s="62" cm="1">
        <f t="array" ref="Q19">SUMPRODUCT(TRANSPOSE(Warehouse),Q$3:Q$5)</f>
        <v>866161.88643739047</v>
      </c>
      <c r="R19" s="62" cm="1">
        <f t="array" ref="R19">SUMPRODUCT(TRANSPOSE(Warehouse),R$3:R$5)</f>
        <v>535832.46961983631</v>
      </c>
      <c r="S19" s="62" cm="1">
        <f t="array" ref="S19">SUMPRODUCT(TRANSPOSE(Warehouse),S$3:S$5)</f>
        <v>560029.88696691371</v>
      </c>
      <c r="T19" s="62" cm="1">
        <f t="array" ref="T19">SUMPRODUCT(TRANSPOSE(Warehouse),T$3:T$5)</f>
        <v>267275.10664125188</v>
      </c>
      <c r="U19" s="62" cm="1">
        <f t="array" ref="U19">SUMPRODUCT(TRANSPOSE(Warehouse),U$3:U$5)</f>
        <v>564389.70303387882</v>
      </c>
      <c r="V19" s="62" cm="1">
        <f t="array" ref="V19">SUMPRODUCT(TRANSPOSE(Warehouse),V$3:V$5)</f>
        <v>877047.6407920901</v>
      </c>
      <c r="W19" s="62" cm="1">
        <f t="array" ref="W19">SUMPRODUCT(TRANSPOSE(Warehouse),W$3:W$5)</f>
        <v>568769.59899415774</v>
      </c>
      <c r="X19" s="62" cm="1">
        <f t="array" ref="X19">SUMPRODUCT(TRANSPOSE(Warehouse),X$3:X$5)</f>
        <v>518373.12545866199</v>
      </c>
      <c r="Z19" s="62">
        <f t="shared" si="1"/>
        <v>14012867.313302727</v>
      </c>
    </row>
    <row r="20" spans="1:26" x14ac:dyDescent="0.35">
      <c r="A20" t="s">
        <v>23</v>
      </c>
      <c r="B20" s="62" cm="1">
        <f t="array" ref="B20">SUMPRODUCT(TRANSPOSE(Assembly),B$3:B$5)</f>
        <v>1849392.0442973985</v>
      </c>
      <c r="C20" s="62" cm="1">
        <f t="array" ref="C20">SUMPRODUCT(TRANSPOSE(Assembly),C$3:C$5)</f>
        <v>1996385.1336828091</v>
      </c>
      <c r="D20" s="62" cm="1">
        <f t="array" ref="D20">SUMPRODUCT(TRANSPOSE(Assembly),D$3:D$5)</f>
        <v>2110476.9849447776</v>
      </c>
      <c r="E20" s="62" cm="1">
        <f t="array" ref="E20">SUMPRODUCT(TRANSPOSE(Assembly),E$3:E$5)</f>
        <v>809803.00552746793</v>
      </c>
      <c r="F20" s="62" cm="1">
        <f t="array" ref="F20">SUMPRODUCT(TRANSPOSE(Assembly),F$3:F$5)</f>
        <v>234026.30181872408</v>
      </c>
      <c r="G20" s="62" cm="1">
        <f t="array" ref="G20">SUMPRODUCT(TRANSPOSE(Assembly),G$3:G$5)</f>
        <v>1121530.9694480458</v>
      </c>
      <c r="H20" s="62" cm="1">
        <f t="array" ref="H20">SUMPRODUCT(TRANSPOSE(Assembly),H$3:H$5)</f>
        <v>2262395.2644856819</v>
      </c>
      <c r="I20" s="62" cm="1">
        <f t="array" ref="I20">SUMPRODUCT(TRANSPOSE(Assembly),I$3:I$5)</f>
        <v>1505627.9880305091</v>
      </c>
      <c r="J20" s="62" cm="1">
        <f t="array" ref="J20">SUMPRODUCT(TRANSPOSE(Assembly),J$3:J$5)</f>
        <v>3613123.5982509432</v>
      </c>
      <c r="K20" s="62" cm="1">
        <f t="array" ref="K20">SUMPRODUCT(TRANSPOSE(Assembly),K$3:K$5)</f>
        <v>3933914.9097214388</v>
      </c>
      <c r="L20" s="62" cm="1">
        <f t="array" ref="L20">SUMPRODUCT(TRANSPOSE(Assembly),L$3:L$5)</f>
        <v>2494116.2750345855</v>
      </c>
      <c r="M20" s="62" cm="1">
        <f t="array" ref="M20">SUMPRODUCT(TRANSPOSE(Assembly),M$3:M$5)</f>
        <v>3320454.4352220558</v>
      </c>
      <c r="N20" s="62" cm="1">
        <f t="array" ref="N20">SUMPRODUCT(TRANSPOSE(Assembly),N$3:N$5)</f>
        <v>1270823.4915754246</v>
      </c>
      <c r="O20" s="62" cm="1">
        <f t="array" ref="O20">SUMPRODUCT(TRANSPOSE(Assembly),O$3:O$5)</f>
        <v>1529705.2521348207</v>
      </c>
      <c r="P20" s="62" cm="1">
        <f t="array" ref="P20">SUMPRODUCT(TRANSPOSE(Assembly),P$3:P$5)</f>
        <v>2716229.2584001468</v>
      </c>
      <c r="Q20" s="62" cm="1">
        <f t="array" ref="Q20">SUMPRODUCT(TRANSPOSE(Assembly),Q$3:Q$5)</f>
        <v>2894320.0124236559</v>
      </c>
      <c r="R20" s="62" cm="1">
        <f t="array" ref="R20">SUMPRODUCT(TRANSPOSE(Assembly),R$3:R$5)</f>
        <v>1951474.3244522191</v>
      </c>
      <c r="S20" s="62" cm="1">
        <f t="array" ref="S20">SUMPRODUCT(TRANSPOSE(Assembly),S$3:S$5)</f>
        <v>1960846.4210901377</v>
      </c>
      <c r="T20" s="62" cm="1">
        <f t="array" ref="T20">SUMPRODUCT(TRANSPOSE(Assembly),T$3:T$5)</f>
        <v>882961.50849291182</v>
      </c>
      <c r="U20" s="62" cm="1">
        <f t="array" ref="U20">SUMPRODUCT(TRANSPOSE(Assembly),U$3:U$5)</f>
        <v>2016021.3498325483</v>
      </c>
      <c r="V20" s="62" cm="1">
        <f t="array" ref="V20">SUMPRODUCT(TRANSPOSE(Assembly),V$3:V$5)</f>
        <v>2773487.6804651469</v>
      </c>
      <c r="W20" s="62" cm="1">
        <f t="array" ref="W20">SUMPRODUCT(TRANSPOSE(Assembly),W$3:W$5)</f>
        <v>1919438.2321059073</v>
      </c>
      <c r="X20" s="62" cm="1">
        <f t="array" ref="X20">SUMPRODUCT(TRANSPOSE(Assembly),X$3:X$5)</f>
        <v>1882532.6559516282</v>
      </c>
      <c r="Z20" s="62">
        <f t="shared" si="1"/>
        <v>47049087.09738899</v>
      </c>
    </row>
    <row r="21" spans="1:26" x14ac:dyDescent="0.35">
      <c r="A21" t="s">
        <v>24</v>
      </c>
      <c r="B21" s="62">
        <f t="shared" ref="B21:X21" si="4">SUM(B9:B11)*Unit_QC</f>
        <v>117540.68716094033</v>
      </c>
      <c r="C21" s="62">
        <f t="shared" si="4"/>
        <v>85895.117540687163</v>
      </c>
      <c r="D21" s="62">
        <f t="shared" si="4"/>
        <v>153707.05244122967</v>
      </c>
      <c r="E21" s="62">
        <f t="shared" si="4"/>
        <v>257685.3526220615</v>
      </c>
      <c r="F21" s="62">
        <f t="shared" si="4"/>
        <v>122061.4828209765</v>
      </c>
      <c r="G21" s="62">
        <f t="shared" si="4"/>
        <v>433996.38336347201</v>
      </c>
      <c r="H21" s="62">
        <f t="shared" si="4"/>
        <v>180831.82640144665</v>
      </c>
      <c r="I21" s="62">
        <f t="shared" si="4"/>
        <v>266726.94394213386</v>
      </c>
      <c r="J21" s="62">
        <f t="shared" si="4"/>
        <v>411392.4050632912</v>
      </c>
      <c r="K21" s="62">
        <f t="shared" si="4"/>
        <v>275768.53526220616</v>
      </c>
      <c r="L21" s="62">
        <f t="shared" si="4"/>
        <v>198915.00904159134</v>
      </c>
      <c r="M21" s="62">
        <f t="shared" si="4"/>
        <v>198915.00904159134</v>
      </c>
      <c r="N21" s="62">
        <f t="shared" si="4"/>
        <v>135623.86980108501</v>
      </c>
      <c r="O21" s="62">
        <f t="shared" si="4"/>
        <v>194394.21338155516</v>
      </c>
      <c r="P21" s="62">
        <f t="shared" si="4"/>
        <v>235081.37432188066</v>
      </c>
      <c r="Q21" s="62">
        <f t="shared" si="4"/>
        <v>248643.76130198917</v>
      </c>
      <c r="R21" s="62">
        <f t="shared" si="4"/>
        <v>280289.33092224231</v>
      </c>
      <c r="S21" s="62">
        <f t="shared" si="4"/>
        <v>253164.55696202535</v>
      </c>
      <c r="T21" s="62">
        <f t="shared" si="4"/>
        <v>216998.191681736</v>
      </c>
      <c r="U21" s="62">
        <f t="shared" si="4"/>
        <v>194394.21338155516</v>
      </c>
      <c r="V21" s="62">
        <f t="shared" si="4"/>
        <v>189873.41772151901</v>
      </c>
      <c r="W21" s="62">
        <f t="shared" si="4"/>
        <v>85895.117540687163</v>
      </c>
      <c r="X21" s="62">
        <f t="shared" si="4"/>
        <v>262206.14828209765</v>
      </c>
      <c r="Z21" s="62">
        <f t="shared" si="1"/>
        <v>5000000.0000000009</v>
      </c>
    </row>
    <row r="22" spans="1:26" x14ac:dyDescent="0.35">
      <c r="A22" t="s">
        <v>25</v>
      </c>
      <c r="B22" s="62" cm="1">
        <f t="array" ref="B22">SUMPRODUCT(TRANSPOSE(Administration),B$3:B$5)</f>
        <v>1069907.3872886533</v>
      </c>
      <c r="C22" s="62" cm="1">
        <f t="array" ref="C22">SUMPRODUCT(TRANSPOSE(Administration),C$3:C$5)</f>
        <v>1684564.0006036861</v>
      </c>
      <c r="D22" s="62" cm="1">
        <f t="array" ref="D22">SUMPRODUCT(TRANSPOSE(Administration),D$3:D$5)</f>
        <v>1425278.5560124472</v>
      </c>
      <c r="E22" s="62" cm="1">
        <f t="array" ref="E22">SUMPRODUCT(TRANSPOSE(Administration),E$3:E$5)</f>
        <v>611311.53516904684</v>
      </c>
      <c r="F22" s="62" cm="1">
        <f t="array" ref="F22">SUMPRODUCT(TRANSPOSE(Administration),F$3:F$5)</f>
        <v>127256.28729630071</v>
      </c>
      <c r="G22" s="62" cm="1">
        <f t="array" ref="G22">SUMPRODUCT(TRANSPOSE(Administration),G$3:G$5)</f>
        <v>811500.39971321169</v>
      </c>
      <c r="H22" s="62" cm="1">
        <f t="array" ref="H22">SUMPRODUCT(TRANSPOSE(Administration),H$3:H$5)</f>
        <v>1077316.8251426069</v>
      </c>
      <c r="I22" s="62" cm="1">
        <f t="array" ref="I22">SUMPRODUCT(TRANSPOSE(Administration),I$3:I$5)</f>
        <v>977190.97666253429</v>
      </c>
      <c r="J22" s="62" cm="1">
        <f t="array" ref="J22">SUMPRODUCT(TRANSPOSE(Administration),J$3:J$5)</f>
        <v>2216790.4681924973</v>
      </c>
      <c r="K22" s="62" cm="1">
        <f t="array" ref="K22">SUMPRODUCT(TRANSPOSE(Administration),K$3:K$5)</f>
        <v>2410506.3970827926</v>
      </c>
      <c r="L22" s="62" cm="1">
        <f t="array" ref="L22">SUMPRODUCT(TRANSPOSE(Administration),L$3:L$5)</f>
        <v>1679603.8301650318</v>
      </c>
      <c r="M22" s="62" cm="1">
        <f t="array" ref="M22">SUMPRODUCT(TRANSPOSE(Administration),M$3:M$5)</f>
        <v>1794529.1062242552</v>
      </c>
      <c r="N22" s="62" cm="1">
        <f t="array" ref="N22">SUMPRODUCT(TRANSPOSE(Administration),N$3:N$5)</f>
        <v>865398.34534288803</v>
      </c>
      <c r="O22" s="62" cm="1">
        <f t="array" ref="O22">SUMPRODUCT(TRANSPOSE(Administration),O$3:O$5)</f>
        <v>1019626.7936075435</v>
      </c>
      <c r="P22" s="62" cm="1">
        <f t="array" ref="P22">SUMPRODUCT(TRANSPOSE(Administration),P$3:P$5)</f>
        <v>1380120.3002436163</v>
      </c>
      <c r="Q22" s="62" cm="1">
        <f t="array" ref="Q22">SUMPRODUCT(TRANSPOSE(Administration),Q$3:Q$5)</f>
        <v>1866182.5950039541</v>
      </c>
      <c r="R22" s="62" cm="1">
        <f t="array" ref="R22">SUMPRODUCT(TRANSPOSE(Administration),R$3:R$5)</f>
        <v>1145783.5136241931</v>
      </c>
      <c r="S22" s="62" cm="1">
        <f t="array" ref="S22">SUMPRODUCT(TRANSPOSE(Administration),S$3:S$5)</f>
        <v>1041025.7192784667</v>
      </c>
      <c r="T22" s="62" cm="1">
        <f t="array" ref="T22">SUMPRODUCT(TRANSPOSE(Administration),T$3:T$5)</f>
        <v>588284.950722259</v>
      </c>
      <c r="U22" s="62" cm="1">
        <f t="array" ref="U22">SUMPRODUCT(TRANSPOSE(Administration),U$3:U$5)</f>
        <v>954867.21766878071</v>
      </c>
      <c r="V22" s="62" cm="1">
        <f t="array" ref="V22">SUMPRODUCT(TRANSPOSE(Administration),V$3:V$5)</f>
        <v>1914094.107400635</v>
      </c>
      <c r="W22" s="62" cm="1">
        <f t="array" ref="W22">SUMPRODUCT(TRANSPOSE(Administration),W$3:W$5)</f>
        <v>1253255.9675422388</v>
      </c>
      <c r="X22" s="62" cm="1">
        <f t="array" ref="X22">SUMPRODUCT(TRANSPOSE(Administration),X$3:X$5)</f>
        <v>1105870.2685797929</v>
      </c>
      <c r="Z22" s="62">
        <f t="shared" si="1"/>
        <v>29020265.548567425</v>
      </c>
    </row>
    <row r="23" spans="1:26" x14ac:dyDescent="0.35">
      <c r="B23">
        <v>1</v>
      </c>
      <c r="C23">
        <f>B23+1</f>
        <v>2</v>
      </c>
      <c r="D23">
        <f t="shared" ref="D23" si="5">C23+1</f>
        <v>3</v>
      </c>
      <c r="E23">
        <f t="shared" ref="E23" si="6">D23+1</f>
        <v>4</v>
      </c>
      <c r="F23">
        <f t="shared" ref="F23" si="7">E23+1</f>
        <v>5</v>
      </c>
      <c r="G23">
        <f t="shared" ref="G23" si="8">F23+1</f>
        <v>6</v>
      </c>
      <c r="H23">
        <f t="shared" ref="H23" si="9">G23+1</f>
        <v>7</v>
      </c>
      <c r="I23">
        <f t="shared" ref="I23" si="10">H23+1</f>
        <v>8</v>
      </c>
      <c r="J23">
        <f t="shared" ref="J23" si="11">I23+1</f>
        <v>9</v>
      </c>
      <c r="K23">
        <f t="shared" ref="K23" si="12">J23+1</f>
        <v>10</v>
      </c>
      <c r="L23">
        <f t="shared" ref="L23" si="13">K23+1</f>
        <v>11</v>
      </c>
      <c r="M23">
        <f>L23+1</f>
        <v>12</v>
      </c>
      <c r="N23">
        <f t="shared" ref="N23" si="14">M23+1</f>
        <v>13</v>
      </c>
      <c r="O23">
        <f t="shared" ref="O23" si="15">N23+1</f>
        <v>14</v>
      </c>
      <c r="P23">
        <f t="shared" ref="P23" si="16">O23+1</f>
        <v>15</v>
      </c>
      <c r="Q23">
        <f t="shared" ref="Q23" si="17">P23+1</f>
        <v>16</v>
      </c>
      <c r="R23">
        <f t="shared" ref="R23" si="18">Q23+1</f>
        <v>17</v>
      </c>
      <c r="S23">
        <f>R23+1</f>
        <v>18</v>
      </c>
      <c r="T23">
        <f t="shared" ref="T23" si="19">S23+1</f>
        <v>19</v>
      </c>
      <c r="U23">
        <f t="shared" ref="U23" si="20">T23+1</f>
        <v>20</v>
      </c>
      <c r="V23">
        <f t="shared" ref="V23" si="21">U23+1</f>
        <v>21</v>
      </c>
      <c r="W23">
        <f>V23+1</f>
        <v>22</v>
      </c>
      <c r="X23">
        <f t="shared" ref="X23" si="22">W23+1</f>
        <v>23</v>
      </c>
      <c r="Z23" s="62"/>
    </row>
    <row r="24" spans="1:26" x14ac:dyDescent="0.35">
      <c r="A24" s="56" t="s">
        <v>39</v>
      </c>
      <c r="B24" s="57">
        <f>B13-B15-B17</f>
        <v>365138.4991993974</v>
      </c>
      <c r="C24" s="57">
        <f t="shared" ref="C24:X24" si="23">C13-C15-C17</f>
        <v>-1748629.8727310719</v>
      </c>
      <c r="D24" s="57">
        <f t="shared" si="23"/>
        <v>940199.36212554667</v>
      </c>
      <c r="E24" s="57">
        <f t="shared" si="23"/>
        <v>-281100.33746551722</v>
      </c>
      <c r="F24" s="57">
        <f t="shared" si="23"/>
        <v>-305523.10955118062</v>
      </c>
      <c r="G24" s="57">
        <f>G13-G15-G17</f>
        <v>-1657754.5969105968</v>
      </c>
      <c r="H24" s="57">
        <f t="shared" si="23"/>
        <v>3160079.915073351</v>
      </c>
      <c r="I24" s="57">
        <f t="shared" si="23"/>
        <v>-5742.9850919102319</v>
      </c>
      <c r="J24" s="57">
        <f t="shared" si="23"/>
        <v>746018.13403147366</v>
      </c>
      <c r="K24" s="57">
        <f t="shared" si="23"/>
        <v>1277635.3170063188</v>
      </c>
      <c r="L24" s="57">
        <f t="shared" si="23"/>
        <v>374998.03744208626</v>
      </c>
      <c r="M24" s="57">
        <f t="shared" si="23"/>
        <v>1486146.1967118848</v>
      </c>
      <c r="N24" s="57">
        <f t="shared" si="23"/>
        <v>-1058638.203926648</v>
      </c>
      <c r="O24" s="57">
        <f t="shared" si="23"/>
        <v>233986.8992234515</v>
      </c>
      <c r="P24" s="57">
        <f t="shared" si="23"/>
        <v>2336337.5368885016</v>
      </c>
      <c r="Q24" s="57">
        <f t="shared" si="23"/>
        <v>474058.01834965311</v>
      </c>
      <c r="R24" s="57">
        <f t="shared" si="23"/>
        <v>1471762.2021919289</v>
      </c>
      <c r="S24" s="57">
        <f t="shared" si="23"/>
        <v>1704535.2782205464</v>
      </c>
      <c r="T24" s="57">
        <f t="shared" si="23"/>
        <v>-370815.11933265906</v>
      </c>
      <c r="U24" s="57">
        <f t="shared" si="23"/>
        <v>2341364.8532757121</v>
      </c>
      <c r="V24" s="57">
        <f t="shared" si="23"/>
        <v>-563982.49905667081</v>
      </c>
      <c r="W24" s="57">
        <f t="shared" si="23"/>
        <v>465536.1938025374</v>
      </c>
      <c r="X24" s="57">
        <f t="shared" si="23"/>
        <v>1261341.3212647224</v>
      </c>
      <c r="Z24" s="62">
        <f t="shared" si="1"/>
        <v>12646951.040740859</v>
      </c>
    </row>
    <row r="26" spans="1:26" x14ac:dyDescent="0.35">
      <c r="A26" t="s">
        <v>40</v>
      </c>
      <c r="B26" t="s">
        <v>39</v>
      </c>
      <c r="C26" t="s">
        <v>47</v>
      </c>
    </row>
    <row r="27" spans="1:26" x14ac:dyDescent="0.35">
      <c r="A27">
        <v>7</v>
      </c>
      <c r="B27" s="20">
        <v>3160079.915073351</v>
      </c>
      <c r="C27">
        <f>B27</f>
        <v>3160079.915073351</v>
      </c>
    </row>
    <row r="28" spans="1:26" x14ac:dyDescent="0.35">
      <c r="A28">
        <v>20</v>
      </c>
      <c r="B28" s="20">
        <v>2341364.8532757121</v>
      </c>
      <c r="C28">
        <f>C27+B28</f>
        <v>5501444.7683490627</v>
      </c>
    </row>
    <row r="29" spans="1:26" x14ac:dyDescent="0.35">
      <c r="A29">
        <v>15</v>
      </c>
      <c r="B29" s="20">
        <v>2336337.5368885016</v>
      </c>
      <c r="C29">
        <f t="shared" ref="C29:C49" si="24">C28+B29</f>
        <v>7837782.3052375643</v>
      </c>
    </row>
    <row r="30" spans="1:26" x14ac:dyDescent="0.35">
      <c r="A30">
        <v>18</v>
      </c>
      <c r="B30" s="20">
        <v>1704535.2782205464</v>
      </c>
      <c r="C30">
        <f t="shared" si="24"/>
        <v>9542317.5834581107</v>
      </c>
    </row>
    <row r="31" spans="1:26" x14ac:dyDescent="0.35">
      <c r="A31">
        <v>12</v>
      </c>
      <c r="B31" s="20">
        <v>1486146.1967118848</v>
      </c>
      <c r="C31">
        <f t="shared" si="24"/>
        <v>11028463.780169996</v>
      </c>
    </row>
    <row r="32" spans="1:26" x14ac:dyDescent="0.35">
      <c r="A32">
        <v>17</v>
      </c>
      <c r="B32" s="20">
        <v>1471762.2021919289</v>
      </c>
      <c r="C32">
        <f t="shared" si="24"/>
        <v>12500225.982361924</v>
      </c>
    </row>
    <row r="33" spans="1:3" x14ac:dyDescent="0.35">
      <c r="A33">
        <v>10</v>
      </c>
      <c r="B33" s="20">
        <v>1277635.3170063188</v>
      </c>
      <c r="C33">
        <f t="shared" si="24"/>
        <v>13777861.299368244</v>
      </c>
    </row>
    <row r="34" spans="1:3" x14ac:dyDescent="0.35">
      <c r="A34">
        <v>23</v>
      </c>
      <c r="B34" s="20">
        <v>1261341.3212647224</v>
      </c>
      <c r="C34">
        <f t="shared" si="24"/>
        <v>15039202.620632965</v>
      </c>
    </row>
    <row r="35" spans="1:3" x14ac:dyDescent="0.35">
      <c r="A35">
        <v>3</v>
      </c>
      <c r="B35" s="20">
        <v>940199.36212554667</v>
      </c>
      <c r="C35">
        <f t="shared" si="24"/>
        <v>15979401.982758511</v>
      </c>
    </row>
    <row r="36" spans="1:3" x14ac:dyDescent="0.35">
      <c r="A36">
        <v>9</v>
      </c>
      <c r="B36" s="20">
        <v>746018.13403147366</v>
      </c>
      <c r="C36">
        <f t="shared" si="24"/>
        <v>16725420.116789985</v>
      </c>
    </row>
    <row r="37" spans="1:3" x14ac:dyDescent="0.35">
      <c r="A37">
        <v>16</v>
      </c>
      <c r="B37" s="20">
        <v>474058.01834965311</v>
      </c>
      <c r="C37">
        <f t="shared" si="24"/>
        <v>17199478.135139637</v>
      </c>
    </row>
    <row r="38" spans="1:3" x14ac:dyDescent="0.35">
      <c r="A38">
        <v>22</v>
      </c>
      <c r="B38" s="20">
        <v>465536.1938025374</v>
      </c>
      <c r="C38">
        <f t="shared" si="24"/>
        <v>17665014.328942172</v>
      </c>
    </row>
    <row r="39" spans="1:3" x14ac:dyDescent="0.35">
      <c r="A39">
        <v>11</v>
      </c>
      <c r="B39" s="20">
        <v>374998.03744208626</v>
      </c>
      <c r="C39">
        <f t="shared" si="24"/>
        <v>18040012.36638426</v>
      </c>
    </row>
    <row r="40" spans="1:3" x14ac:dyDescent="0.35">
      <c r="A40">
        <v>1</v>
      </c>
      <c r="B40" s="20">
        <v>365138.4991993974</v>
      </c>
      <c r="C40">
        <f t="shared" si="24"/>
        <v>18405150.865583658</v>
      </c>
    </row>
    <row r="41" spans="1:3" x14ac:dyDescent="0.35">
      <c r="A41">
        <v>14</v>
      </c>
      <c r="B41" s="20">
        <v>233986.8992234515</v>
      </c>
      <c r="C41">
        <f t="shared" si="24"/>
        <v>18639137.764807109</v>
      </c>
    </row>
    <row r="42" spans="1:3" x14ac:dyDescent="0.35">
      <c r="A42">
        <v>8</v>
      </c>
      <c r="B42" s="20">
        <v>-5742.9850919102319</v>
      </c>
      <c r="C42">
        <f t="shared" si="24"/>
        <v>18633394.779715199</v>
      </c>
    </row>
    <row r="43" spans="1:3" x14ac:dyDescent="0.35">
      <c r="A43">
        <v>4</v>
      </c>
      <c r="B43" s="20">
        <v>-281100.33746551722</v>
      </c>
      <c r="C43">
        <f t="shared" si="24"/>
        <v>18352294.442249682</v>
      </c>
    </row>
    <row r="44" spans="1:3" x14ac:dyDescent="0.35">
      <c r="A44">
        <v>5</v>
      </c>
      <c r="B44" s="20">
        <v>-305523.10955118062</v>
      </c>
      <c r="C44">
        <f t="shared" si="24"/>
        <v>18046771.332698502</v>
      </c>
    </row>
    <row r="45" spans="1:3" x14ac:dyDescent="0.35">
      <c r="A45">
        <v>19</v>
      </c>
      <c r="B45" s="20">
        <v>-370815.11933265906</v>
      </c>
      <c r="C45">
        <f t="shared" si="24"/>
        <v>17675956.213365842</v>
      </c>
    </row>
    <row r="46" spans="1:3" x14ac:dyDescent="0.35">
      <c r="A46">
        <v>21</v>
      </c>
      <c r="B46" s="20">
        <v>-563982.49905667081</v>
      </c>
      <c r="C46">
        <f t="shared" si="24"/>
        <v>17111973.714309171</v>
      </c>
    </row>
    <row r="47" spans="1:3" x14ac:dyDescent="0.35">
      <c r="A47">
        <v>13</v>
      </c>
      <c r="B47" s="20">
        <v>-1058638.203926648</v>
      </c>
      <c r="C47">
        <f t="shared" si="24"/>
        <v>16053335.510382522</v>
      </c>
    </row>
    <row r="48" spans="1:3" x14ac:dyDescent="0.35">
      <c r="A48">
        <v>6</v>
      </c>
      <c r="B48" s="20">
        <v>-1657754.5969105968</v>
      </c>
      <c r="C48">
        <f t="shared" si="24"/>
        <v>14395580.913471926</v>
      </c>
    </row>
    <row r="49" spans="1:3" x14ac:dyDescent="0.35">
      <c r="A49">
        <v>2</v>
      </c>
      <c r="B49" s="20">
        <v>-1748629.8727310719</v>
      </c>
      <c r="C49">
        <f t="shared" si="24"/>
        <v>12646951.040740855</v>
      </c>
    </row>
    <row r="51" spans="1:3" x14ac:dyDescent="0.35">
      <c r="A51" t="s">
        <v>48</v>
      </c>
      <c r="B51" s="20">
        <f>SUM(B27:B49)</f>
        <v>12646951.040740855</v>
      </c>
      <c r="C51" s="20"/>
    </row>
  </sheetData>
  <sortState xmlns:xlrd2="http://schemas.microsoft.com/office/spreadsheetml/2017/richdata2" ref="A27:B49">
    <sortCondition descending="1" ref="B27:B49"/>
  </sortState>
  <mergeCells count="2">
    <mergeCell ref="A6:A8"/>
    <mergeCell ref="A9:A1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37F6-12FF-4853-955D-B1E867BC5655}">
  <dimension ref="A1:K24"/>
  <sheetViews>
    <sheetView topLeftCell="A7" workbookViewId="0">
      <selection activeCell="J11" sqref="J11"/>
    </sheetView>
  </sheetViews>
  <sheetFormatPr defaultRowHeight="14.5" x14ac:dyDescent="0.35"/>
  <cols>
    <col min="1" max="1" width="11.1796875" bestFit="1" customWidth="1"/>
    <col min="6" max="6" width="22.36328125" bestFit="1" customWidth="1"/>
    <col min="9" max="9" width="26.26953125" bestFit="1" customWidth="1"/>
    <col min="11" max="11" width="26.26953125" bestFit="1" customWidth="1"/>
  </cols>
  <sheetData>
    <row r="1" spans="1:11" x14ac:dyDescent="0.35">
      <c r="A1" t="s">
        <v>40</v>
      </c>
      <c r="F1" t="s">
        <v>41</v>
      </c>
      <c r="H1" t="s">
        <v>40</v>
      </c>
      <c r="I1" t="s">
        <v>41</v>
      </c>
      <c r="K1" t="s">
        <v>42</v>
      </c>
    </row>
    <row r="2" spans="1:11" x14ac:dyDescent="0.35">
      <c r="A2">
        <v>1</v>
      </c>
      <c r="B2">
        <v>10</v>
      </c>
      <c r="C2">
        <v>20</v>
      </c>
      <c r="D2">
        <v>20</v>
      </c>
      <c r="F2" s="20">
        <f t="shared" ref="F2:F24" si="0">SUMPRODUCT(B2:D2,Profit)</f>
        <v>508547.72842327831</v>
      </c>
      <c r="H2">
        <v>7</v>
      </c>
      <c r="I2" s="20">
        <v>3023043.5222650468</v>
      </c>
      <c r="K2" s="20">
        <f>I2</f>
        <v>3023043.5222650468</v>
      </c>
    </row>
    <row r="3" spans="1:11" x14ac:dyDescent="0.35">
      <c r="A3">
        <v>2</v>
      </c>
      <c r="B3">
        <v>50</v>
      </c>
      <c r="C3">
        <v>30</v>
      </c>
      <c r="D3">
        <v>0</v>
      </c>
      <c r="F3" s="20">
        <f t="shared" si="0"/>
        <v>-2098038.599464477</v>
      </c>
      <c r="H3">
        <v>20</v>
      </c>
      <c r="I3" s="20">
        <v>2341356.4738114933</v>
      </c>
      <c r="K3" s="20">
        <f t="shared" ref="K3:K24" si="1">I3+K2</f>
        <v>5364399.9960765401</v>
      </c>
    </row>
    <row r="4" spans="1:11" x14ac:dyDescent="0.35">
      <c r="A4">
        <v>3</v>
      </c>
      <c r="B4">
        <v>40</v>
      </c>
      <c r="C4">
        <v>10</v>
      </c>
      <c r="D4">
        <v>20</v>
      </c>
      <c r="F4" s="20">
        <f t="shared" si="0"/>
        <v>682548.10663867788</v>
      </c>
      <c r="H4">
        <v>15</v>
      </c>
      <c r="I4" s="20">
        <v>2076001.3679277697</v>
      </c>
      <c r="K4" s="20">
        <f t="shared" si="1"/>
        <v>7440401.3640043102</v>
      </c>
    </row>
    <row r="5" spans="1:11" x14ac:dyDescent="0.35">
      <c r="A5">
        <v>4</v>
      </c>
      <c r="B5">
        <v>20</v>
      </c>
      <c r="C5">
        <v>5</v>
      </c>
      <c r="D5">
        <v>5</v>
      </c>
      <c r="F5" s="20">
        <f t="shared" si="0"/>
        <v>-69867.750996465213</v>
      </c>
      <c r="H5">
        <v>18</v>
      </c>
      <c r="I5" s="20">
        <v>1615667.6277601053</v>
      </c>
      <c r="K5" s="20">
        <f t="shared" si="1"/>
        <v>9056068.9917644151</v>
      </c>
    </row>
    <row r="6" spans="1:11" x14ac:dyDescent="0.35">
      <c r="A6">
        <v>5</v>
      </c>
      <c r="B6">
        <v>1</v>
      </c>
      <c r="C6">
        <v>2</v>
      </c>
      <c r="D6">
        <v>3</v>
      </c>
      <c r="F6" s="20">
        <f t="shared" si="0"/>
        <v>133083.1337054887</v>
      </c>
      <c r="H6">
        <v>17</v>
      </c>
      <c r="I6" s="20">
        <v>1387410.4272462791</v>
      </c>
      <c r="K6" s="20">
        <f t="shared" si="1"/>
        <v>10443479.419010695</v>
      </c>
    </row>
    <row r="7" spans="1:11" x14ac:dyDescent="0.35">
      <c r="A7">
        <v>6</v>
      </c>
      <c r="B7">
        <v>12</v>
      </c>
      <c r="C7">
        <v>22</v>
      </c>
      <c r="D7">
        <v>3</v>
      </c>
      <c r="F7" s="20">
        <f t="shared" si="0"/>
        <v>-1014193.7655974372</v>
      </c>
      <c r="H7">
        <v>12</v>
      </c>
      <c r="I7" s="20">
        <v>1328216.0109598939</v>
      </c>
      <c r="K7" s="20">
        <f t="shared" si="1"/>
        <v>11771695.429970589</v>
      </c>
    </row>
    <row r="8" spans="1:11" x14ac:dyDescent="0.35">
      <c r="A8">
        <v>7</v>
      </c>
      <c r="B8">
        <v>10</v>
      </c>
      <c r="C8">
        <v>3</v>
      </c>
      <c r="D8">
        <v>40</v>
      </c>
      <c r="F8" s="20">
        <f t="shared" si="0"/>
        <v>3023043.5222650468</v>
      </c>
      <c r="H8">
        <v>23</v>
      </c>
      <c r="I8" s="20">
        <v>1316439.4768461061</v>
      </c>
      <c r="K8" s="20">
        <f t="shared" si="1"/>
        <v>13088134.906816695</v>
      </c>
    </row>
    <row r="9" spans="1:11" x14ac:dyDescent="0.35">
      <c r="A9">
        <v>8</v>
      </c>
      <c r="B9">
        <v>21</v>
      </c>
      <c r="C9">
        <v>12</v>
      </c>
      <c r="D9">
        <v>14</v>
      </c>
      <c r="F9" s="20">
        <f t="shared" si="0"/>
        <v>300724.2018354733</v>
      </c>
      <c r="H9">
        <v>10</v>
      </c>
      <c r="I9" s="20">
        <v>805920.79778609565</v>
      </c>
      <c r="K9" s="20">
        <f t="shared" si="1"/>
        <v>13894055.704602791</v>
      </c>
    </row>
    <row r="10" spans="1:11" x14ac:dyDescent="0.35">
      <c r="A10">
        <v>9</v>
      </c>
      <c r="B10">
        <v>34</v>
      </c>
      <c r="C10">
        <v>35</v>
      </c>
      <c r="D10">
        <v>36</v>
      </c>
      <c r="F10" s="20">
        <f t="shared" si="0"/>
        <v>786439.61296460126</v>
      </c>
      <c r="H10">
        <v>9</v>
      </c>
      <c r="I10" s="20">
        <v>786439.61296460126</v>
      </c>
      <c r="K10" s="20">
        <f t="shared" si="1"/>
        <v>14680495.317567393</v>
      </c>
    </row>
    <row r="11" spans="1:11" x14ac:dyDescent="0.35">
      <c r="A11">
        <v>10</v>
      </c>
      <c r="B11">
        <v>36</v>
      </c>
      <c r="C11">
        <v>39</v>
      </c>
      <c r="D11">
        <v>39</v>
      </c>
      <c r="F11" s="20">
        <f t="shared" si="0"/>
        <v>805920.79778609565</v>
      </c>
      <c r="H11">
        <v>3</v>
      </c>
      <c r="I11" s="20">
        <v>682548.10663867788</v>
      </c>
      <c r="K11" s="20">
        <f t="shared" si="1"/>
        <v>15363043.424206071</v>
      </c>
    </row>
    <row r="12" spans="1:11" x14ac:dyDescent="0.35">
      <c r="A12">
        <v>11</v>
      </c>
      <c r="B12">
        <v>40</v>
      </c>
      <c r="C12">
        <v>20</v>
      </c>
      <c r="D12">
        <v>21</v>
      </c>
      <c r="F12" s="20">
        <f t="shared" si="0"/>
        <v>253053.77539680828</v>
      </c>
      <c r="H12">
        <v>1</v>
      </c>
      <c r="I12" s="20">
        <v>508547.72842327831</v>
      </c>
      <c r="K12" s="20">
        <f t="shared" si="1"/>
        <v>15871591.152629349</v>
      </c>
    </row>
    <row r="13" spans="1:11" x14ac:dyDescent="0.35">
      <c r="A13">
        <v>12</v>
      </c>
      <c r="B13">
        <v>6</v>
      </c>
      <c r="C13">
        <v>37</v>
      </c>
      <c r="D13">
        <v>40</v>
      </c>
      <c r="F13" s="20">
        <f t="shared" si="0"/>
        <v>1328216.0109598939</v>
      </c>
      <c r="H13">
        <v>16</v>
      </c>
      <c r="I13" s="20">
        <v>351019.33709104219</v>
      </c>
      <c r="K13" s="20">
        <f t="shared" si="1"/>
        <v>16222610.489720391</v>
      </c>
    </row>
    <row r="14" spans="1:11" x14ac:dyDescent="0.35">
      <c r="A14">
        <v>13</v>
      </c>
      <c r="B14">
        <v>13</v>
      </c>
      <c r="C14">
        <v>20</v>
      </c>
      <c r="D14">
        <v>7</v>
      </c>
      <c r="F14" s="20">
        <f t="shared" si="0"/>
        <v>-594193.19418677548</v>
      </c>
      <c r="H14">
        <v>8</v>
      </c>
      <c r="I14" s="20">
        <v>300724.2018354733</v>
      </c>
      <c r="K14" s="20">
        <f>I14+K13</f>
        <v>16523334.691555865</v>
      </c>
    </row>
    <row r="15" spans="1:11" x14ac:dyDescent="0.35">
      <c r="A15">
        <v>14</v>
      </c>
      <c r="B15">
        <v>23</v>
      </c>
      <c r="C15">
        <v>13</v>
      </c>
      <c r="D15">
        <v>13</v>
      </c>
      <c r="F15" s="20">
        <f t="shared" si="0"/>
        <v>144808.75083583395</v>
      </c>
      <c r="H15">
        <v>11</v>
      </c>
      <c r="I15" s="20">
        <v>253053.77539680828</v>
      </c>
      <c r="K15" s="20">
        <f t="shared" si="1"/>
        <v>16776388.466952674</v>
      </c>
    </row>
    <row r="16" spans="1:11" x14ac:dyDescent="0.35">
      <c r="A16">
        <v>15</v>
      </c>
      <c r="B16">
        <v>5</v>
      </c>
      <c r="C16">
        <v>21</v>
      </c>
      <c r="D16">
        <v>39</v>
      </c>
      <c r="F16" s="20">
        <f t="shared" si="0"/>
        <v>2076001.3679277697</v>
      </c>
      <c r="H16">
        <v>22</v>
      </c>
      <c r="I16" s="20">
        <v>235260.88605750189</v>
      </c>
      <c r="K16" s="20">
        <f t="shared" si="1"/>
        <v>17011649.353010178</v>
      </c>
    </row>
    <row r="17" spans="1:11" x14ac:dyDescent="0.35">
      <c r="A17">
        <v>16</v>
      </c>
      <c r="B17">
        <v>36</v>
      </c>
      <c r="C17">
        <v>27</v>
      </c>
      <c r="D17">
        <v>26</v>
      </c>
      <c r="F17" s="20">
        <f t="shared" si="0"/>
        <v>351019.33709104219</v>
      </c>
      <c r="H17">
        <v>14</v>
      </c>
      <c r="I17" s="20">
        <v>144808.75083583395</v>
      </c>
      <c r="K17" s="20">
        <f t="shared" si="1"/>
        <v>17156458.10384601</v>
      </c>
    </row>
    <row r="18" spans="1:11" x14ac:dyDescent="0.35">
      <c r="A18">
        <v>17</v>
      </c>
      <c r="B18">
        <v>23</v>
      </c>
      <c r="C18">
        <v>8</v>
      </c>
      <c r="D18">
        <v>25</v>
      </c>
      <c r="F18" s="20">
        <f t="shared" si="0"/>
        <v>1387410.4272462791</v>
      </c>
      <c r="H18">
        <v>5</v>
      </c>
      <c r="I18" s="20">
        <v>133083.1337054887</v>
      </c>
      <c r="K18" s="20">
        <f t="shared" si="1"/>
        <v>17289541.237551499</v>
      </c>
    </row>
    <row r="19" spans="1:11" x14ac:dyDescent="0.35">
      <c r="A19">
        <v>18</v>
      </c>
      <c r="B19">
        <v>11</v>
      </c>
      <c r="C19">
        <v>11</v>
      </c>
      <c r="D19">
        <v>28</v>
      </c>
      <c r="F19" s="20">
        <f t="shared" si="0"/>
        <v>1615667.6277601053</v>
      </c>
      <c r="H19">
        <v>19</v>
      </c>
      <c r="I19" s="20">
        <v>-20040.822408254142</v>
      </c>
      <c r="K19" s="20">
        <f t="shared" si="1"/>
        <v>17269500.415143244</v>
      </c>
    </row>
    <row r="20" spans="1:11" x14ac:dyDescent="0.35">
      <c r="A20">
        <v>19</v>
      </c>
      <c r="B20">
        <v>12</v>
      </c>
      <c r="C20">
        <v>9</v>
      </c>
      <c r="D20">
        <v>7</v>
      </c>
      <c r="F20" s="20">
        <f t="shared" si="0"/>
        <v>-20040.822408254142</v>
      </c>
      <c r="H20">
        <v>4</v>
      </c>
      <c r="I20" s="20">
        <v>-69867.750996465213</v>
      </c>
      <c r="K20" s="20">
        <f t="shared" si="1"/>
        <v>17199632.664146777</v>
      </c>
    </row>
    <row r="21" spans="1:11" x14ac:dyDescent="0.35">
      <c r="A21">
        <v>20</v>
      </c>
      <c r="B21">
        <v>4</v>
      </c>
      <c r="C21">
        <v>8</v>
      </c>
      <c r="D21">
        <v>34</v>
      </c>
      <c r="F21" s="20">
        <f t="shared" si="0"/>
        <v>2341356.4738114933</v>
      </c>
      <c r="H21">
        <v>13</v>
      </c>
      <c r="I21" s="20">
        <v>-594193.19418677548</v>
      </c>
      <c r="K21" s="20">
        <f t="shared" si="1"/>
        <v>16605439.469960002</v>
      </c>
    </row>
    <row r="22" spans="1:11" x14ac:dyDescent="0.35">
      <c r="A22">
        <v>21</v>
      </c>
      <c r="B22">
        <v>37</v>
      </c>
      <c r="C22">
        <v>36</v>
      </c>
      <c r="D22">
        <v>17</v>
      </c>
      <c r="F22" s="20">
        <f t="shared" si="0"/>
        <v>-860843.74403492082</v>
      </c>
      <c r="H22">
        <v>21</v>
      </c>
      <c r="I22" s="20">
        <v>-860843.74403492082</v>
      </c>
      <c r="K22" s="20">
        <f t="shared" si="1"/>
        <v>15744595.72592508</v>
      </c>
    </row>
    <row r="23" spans="1:11" x14ac:dyDescent="0.35">
      <c r="A23">
        <v>22</v>
      </c>
      <c r="B23">
        <v>26</v>
      </c>
      <c r="C23">
        <v>17</v>
      </c>
      <c r="D23">
        <v>17</v>
      </c>
      <c r="F23" s="20">
        <f t="shared" si="0"/>
        <v>235260.88605750189</v>
      </c>
      <c r="H23">
        <v>6</v>
      </c>
      <c r="I23" s="20">
        <v>-1014193.7655974372</v>
      </c>
      <c r="K23" s="20">
        <f t="shared" si="1"/>
        <v>14730401.960327644</v>
      </c>
    </row>
    <row r="24" spans="1:11" x14ac:dyDescent="0.35">
      <c r="A24">
        <v>23</v>
      </c>
      <c r="B24">
        <v>22</v>
      </c>
      <c r="C24">
        <v>8</v>
      </c>
      <c r="D24">
        <v>24</v>
      </c>
      <c r="F24" s="20">
        <f t="shared" si="0"/>
        <v>1316439.4768461061</v>
      </c>
      <c r="H24">
        <v>2</v>
      </c>
      <c r="I24" s="20">
        <v>-2098038.599464477</v>
      </c>
      <c r="K24" s="20">
        <f t="shared" si="1"/>
        <v>12632363.360863168</v>
      </c>
    </row>
  </sheetData>
  <sortState xmlns:xlrd2="http://schemas.microsoft.com/office/spreadsheetml/2017/richdata2" ref="H2:I24">
    <sortCondition descending="1" ref="I2:I2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spmc</vt:lpstr>
      <vt:lpstr>spmb</vt:lpstr>
      <vt:lpstr>product profitability + info</vt:lpstr>
      <vt:lpstr>customer profitability</vt:lpstr>
      <vt:lpstr>Sheet1</vt:lpstr>
      <vt:lpstr>Administration</vt:lpstr>
      <vt:lpstr>Assembly</vt:lpstr>
      <vt:lpstr>Order</vt:lpstr>
      <vt:lpstr>Profit</vt:lpstr>
      <vt:lpstr>QC</vt:lpstr>
      <vt:lpstr>Unit_Order</vt:lpstr>
      <vt:lpstr>Unit_QC</vt:lpstr>
      <vt:lpstr>Warehouse</vt:lpstr>
    </vt:vector>
  </TitlesOfParts>
  <Manager/>
  <Company>Norwegian School Of Management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FGL94018</dc:creator>
  <cp:keywords/>
  <dc:description/>
  <cp:lastModifiedBy>Pauline Malaguti</cp:lastModifiedBy>
  <cp:revision/>
  <dcterms:created xsi:type="dcterms:W3CDTF">2011-10-18T23:46:09Z</dcterms:created>
  <dcterms:modified xsi:type="dcterms:W3CDTF">2022-03-15T16:03:58Z</dcterms:modified>
  <cp:category/>
  <cp:contentStatus/>
</cp:coreProperties>
</file>