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79ef514fe8a1b6/Área de Trabalho/"/>
    </mc:Choice>
  </mc:AlternateContent>
  <xr:revisionPtr revIDLastSave="499" documentId="13_ncr:1_{8A4C9C23-7A8E-4081-BB61-A08E41E0879A}" xr6:coauthVersionLast="47" xr6:coauthVersionMax="47" xr10:uidLastSave="{02A76051-4B6A-4326-B7EF-E316C0F4F67F}"/>
  <bookViews>
    <workbookView minimized="1" xWindow="2820" yWindow="5955" windowWidth="25800" windowHeight="11385" xr2:uid="{697C5C7C-CF60-4D59-8825-FC3BC12B9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Q46" i="1"/>
  <c r="S46" i="1" s="1"/>
  <c r="P46" i="1"/>
  <c r="O46" i="1"/>
  <c r="N46" i="1"/>
  <c r="M46" i="1"/>
  <c r="R41" i="1"/>
  <c r="Q41" i="1"/>
  <c r="S41" i="1" s="1"/>
  <c r="O41" i="1"/>
  <c r="P41" i="1" s="1"/>
  <c r="N41" i="1"/>
  <c r="M41" i="1"/>
  <c r="R42" i="1"/>
  <c r="Q42" i="1"/>
  <c r="O42" i="1"/>
  <c r="N42" i="1"/>
  <c r="S42" i="1"/>
  <c r="M42" i="1"/>
  <c r="R43" i="1"/>
  <c r="Q43" i="1"/>
  <c r="O43" i="1"/>
  <c r="N43" i="1"/>
  <c r="S43" i="1"/>
  <c r="M43" i="1"/>
  <c r="R44" i="1"/>
  <c r="S44" i="1" s="1"/>
  <c r="Q44" i="1"/>
  <c r="O44" i="1"/>
  <c r="N44" i="1"/>
  <c r="P44" i="1" s="1"/>
  <c r="M44" i="1"/>
  <c r="R38" i="1"/>
  <c r="Q38" i="1"/>
  <c r="O38" i="1"/>
  <c r="N38" i="1"/>
  <c r="S38" i="1"/>
  <c r="P38" i="1"/>
  <c r="M38" i="1"/>
  <c r="R37" i="1"/>
  <c r="S37" i="1" s="1"/>
  <c r="Q37" i="1"/>
  <c r="O37" i="1"/>
  <c r="N37" i="1"/>
  <c r="M37" i="1"/>
  <c r="R36" i="1"/>
  <c r="Q36" i="1"/>
  <c r="O36" i="1"/>
  <c r="P36" i="1" s="1"/>
  <c r="N36" i="1"/>
  <c r="S36" i="1"/>
  <c r="M36" i="1"/>
  <c r="R35" i="1"/>
  <c r="Q35" i="1"/>
  <c r="O35" i="1"/>
  <c r="N35" i="1"/>
  <c r="P35" i="1" s="1"/>
  <c r="M35" i="1"/>
  <c r="R33" i="1"/>
  <c r="S33" i="1" s="1"/>
  <c r="Q33" i="1"/>
  <c r="O33" i="1"/>
  <c r="N33" i="1"/>
  <c r="P33" i="1" s="1"/>
  <c r="M33" i="1"/>
  <c r="R28" i="1"/>
  <c r="Q28" i="1"/>
  <c r="O28" i="1"/>
  <c r="N28" i="1"/>
  <c r="M28" i="1"/>
  <c r="R29" i="1"/>
  <c r="Q29" i="1"/>
  <c r="O29" i="1"/>
  <c r="P29" i="1" s="1"/>
  <c r="N29" i="1"/>
  <c r="M29" i="1"/>
  <c r="R30" i="1"/>
  <c r="Q30" i="1"/>
  <c r="O30" i="1"/>
  <c r="N30" i="1"/>
  <c r="M30" i="1"/>
  <c r="R31" i="1"/>
  <c r="Q31" i="1"/>
  <c r="O31" i="1"/>
  <c r="N31" i="1"/>
  <c r="M31" i="1"/>
  <c r="R26" i="1"/>
  <c r="Q26" i="1"/>
  <c r="O26" i="1"/>
  <c r="N26" i="1"/>
  <c r="M26" i="1"/>
  <c r="R24" i="1"/>
  <c r="Q24" i="1"/>
  <c r="O24" i="1"/>
  <c r="N24" i="1"/>
  <c r="M24" i="1"/>
  <c r="R23" i="1"/>
  <c r="Q23" i="1"/>
  <c r="O23" i="1"/>
  <c r="N23" i="1"/>
  <c r="M23" i="1"/>
  <c r="R21" i="1"/>
  <c r="Q21" i="1"/>
  <c r="O21" i="1"/>
  <c r="N21" i="1"/>
  <c r="M21" i="1"/>
  <c r="R19" i="1"/>
  <c r="Q19" i="1"/>
  <c r="O19" i="1"/>
  <c r="N19" i="1"/>
  <c r="P19" i="1" s="1"/>
  <c r="M19" i="1"/>
  <c r="R18" i="1"/>
  <c r="Q18" i="1"/>
  <c r="S18" i="1" s="1"/>
  <c r="O18" i="1"/>
  <c r="N18" i="1"/>
  <c r="M18" i="1"/>
  <c r="R16" i="1"/>
  <c r="Q16" i="1"/>
  <c r="S16" i="1" s="1"/>
  <c r="O16" i="1"/>
  <c r="N16" i="1"/>
  <c r="M16" i="1"/>
  <c r="R14" i="1"/>
  <c r="Q14" i="1"/>
  <c r="O14" i="1"/>
  <c r="P14" i="1" s="1"/>
  <c r="N14" i="1"/>
  <c r="M14" i="1"/>
  <c r="R13" i="1"/>
  <c r="Q13" i="1"/>
  <c r="O13" i="1"/>
  <c r="N13" i="1"/>
  <c r="M13" i="1"/>
  <c r="R12" i="1"/>
  <c r="Q12" i="1"/>
  <c r="O12" i="1"/>
  <c r="N12" i="1"/>
  <c r="P12" i="1" s="1"/>
  <c r="M12" i="1"/>
  <c r="R11" i="1"/>
  <c r="Q11" i="1"/>
  <c r="O11" i="1"/>
  <c r="N11" i="1"/>
  <c r="M11" i="1"/>
  <c r="R7" i="1"/>
  <c r="Q7" i="1"/>
  <c r="S7" i="1" s="1"/>
  <c r="O7" i="1"/>
  <c r="N7" i="1"/>
  <c r="M7" i="1"/>
  <c r="R6" i="1"/>
  <c r="Q6" i="1"/>
  <c r="O6" i="1"/>
  <c r="N6" i="1"/>
  <c r="M6" i="1"/>
  <c r="R5" i="1"/>
  <c r="Q5" i="1"/>
  <c r="O5" i="1"/>
  <c r="N5" i="1"/>
  <c r="M5" i="1"/>
  <c r="O4" i="1"/>
  <c r="M4" i="1"/>
  <c r="R4" i="1"/>
  <c r="Q4" i="1"/>
  <c r="N4" i="1"/>
  <c r="P42" i="1" l="1"/>
  <c r="P43" i="1"/>
  <c r="P37" i="1"/>
  <c r="S35" i="1"/>
  <c r="S29" i="1"/>
  <c r="S5" i="1"/>
  <c r="S6" i="1"/>
  <c r="S28" i="1"/>
  <c r="P28" i="1"/>
  <c r="S30" i="1"/>
  <c r="P30" i="1"/>
  <c r="S24" i="1"/>
  <c r="P31" i="1"/>
  <c r="P6" i="1"/>
  <c r="P11" i="1"/>
  <c r="P5" i="1"/>
  <c r="P7" i="1"/>
  <c r="P13" i="1"/>
  <c r="P21" i="1"/>
  <c r="P16" i="1"/>
  <c r="S12" i="1"/>
  <c r="S26" i="1"/>
  <c r="S11" i="1"/>
  <c r="S31" i="1"/>
  <c r="P26" i="1"/>
  <c r="S23" i="1"/>
  <c r="S4" i="1"/>
  <c r="S21" i="1"/>
  <c r="P24" i="1"/>
  <c r="P23" i="1"/>
  <c r="S19" i="1"/>
  <c r="P18" i="1"/>
  <c r="S14" i="1"/>
  <c r="S13" i="1"/>
  <c r="P4" i="1"/>
</calcChain>
</file>

<file path=xl/sharedStrings.xml><?xml version="1.0" encoding="utf-8"?>
<sst xmlns="http://schemas.openxmlformats.org/spreadsheetml/2006/main" count="355" uniqueCount="49">
  <si>
    <t>Descision Tree</t>
  </si>
  <si>
    <t>Parametros Default</t>
  </si>
  <si>
    <t>Inputs</t>
  </si>
  <si>
    <t>Score</t>
  </si>
  <si>
    <t>Acc</t>
  </si>
  <si>
    <t>P</t>
  </si>
  <si>
    <t>R</t>
  </si>
  <si>
    <t>Fmeasure</t>
  </si>
  <si>
    <t>0,92</t>
  </si>
  <si>
    <t>Age</t>
  </si>
  <si>
    <t>MaritualStatus</t>
  </si>
  <si>
    <t>Education</t>
  </si>
  <si>
    <t>CapitalGain</t>
  </si>
  <si>
    <t>CapitalLoss</t>
  </si>
  <si>
    <t>&gt;50k</t>
  </si>
  <si>
    <t>&lt;=50k</t>
  </si>
  <si>
    <t>Hoursperweek</t>
  </si>
  <si>
    <t>Occupation</t>
  </si>
  <si>
    <t>Sex</t>
  </si>
  <si>
    <t>Discrete</t>
  </si>
  <si>
    <t>Minimum Support - 1000</t>
  </si>
  <si>
    <t>Minimum Support - 100</t>
  </si>
  <si>
    <t>Minimum Support - 2000</t>
  </si>
  <si>
    <t>Minimum Support - 500</t>
  </si>
  <si>
    <t>Split method - 2</t>
  </si>
  <si>
    <t>Split method - 1</t>
  </si>
  <si>
    <t>Score method - 1</t>
  </si>
  <si>
    <t>Score method - 3</t>
  </si>
  <si>
    <t>Naive Bayes</t>
  </si>
  <si>
    <t>Rede Neuronal</t>
  </si>
  <si>
    <t>Hidden Node Ratio - 10</t>
  </si>
  <si>
    <t>Hidden Node Ratio - 2</t>
  </si>
  <si>
    <t>Hidden Node Ratio - 8</t>
  </si>
  <si>
    <t>Discretized</t>
  </si>
  <si>
    <t>0,91</t>
  </si>
  <si>
    <t>TP</t>
  </si>
  <si>
    <t>TN</t>
  </si>
  <si>
    <t>FP</t>
  </si>
  <si>
    <t>FN</t>
  </si>
  <si>
    <t>New Datatypes</t>
  </si>
  <si>
    <t>0,90</t>
  </si>
  <si>
    <t>0,89</t>
  </si>
  <si>
    <t>0,87</t>
  </si>
  <si>
    <t>0,84</t>
  </si>
  <si>
    <t>0,93</t>
  </si>
  <si>
    <t>Regressão Logística</t>
  </si>
  <si>
    <t>Análise de Associação</t>
  </si>
  <si>
    <t>K-Means</t>
  </si>
  <si>
    <t>0,94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</si>
</sst>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1"/>
    <xf numFmtId="0" fontId="1" fillId="0" borderId="0" xfId="1" applyFill="1"/>
    <xf numFmtId="0" fontId="2" fillId="0" borderId="0" xfId="1" applyFont="1" applyFill="1"/>
    <xf numFmtId="0" fontId="4" fillId="6" borderId="1" xfId="3"/>
    <xf numFmtId="0" fontId="3" fillId="5" borderId="0" xfId="2"/>
    <xf numFmtId="2" fontId="3" fillId="5" borderId="0" xfId="2" applyNumberFormat="1" applyAlignment="1">
      <alignment horizontal="center"/>
    </xf>
    <xf numFmtId="0" fontId="0" fillId="0" borderId="0" xfId="0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4">
    <cellStyle name="Good" xfId="2" builtinId="26"/>
    <cellStyle name="Input" xfId="3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9455-E997-42FE-9C36-1F409FB01350}">
  <dimension ref="A2:W51"/>
  <sheetViews>
    <sheetView tabSelected="1" topLeftCell="A40" workbookViewId="0">
      <selection activeCell="D49" sqref="D49"/>
    </sheetView>
  </sheetViews>
  <sheetFormatPr defaultRowHeight="15" x14ac:dyDescent="0.25"/>
  <cols>
    <col min="1" max="1" width="20.28515625" customWidth="1"/>
    <col min="2" max="2" width="25.5703125" customWidth="1"/>
    <col min="3" max="3" width="12" customWidth="1"/>
    <col min="4" max="4" width="14.140625" customWidth="1"/>
    <col min="7" max="8" width="11.140625" customWidth="1"/>
    <col min="9" max="9" width="13.7109375" customWidth="1"/>
    <col min="10" max="10" width="12" customWidth="1"/>
    <col min="12" max="13" width="9.140625" style="2"/>
    <col min="14" max="14" width="12.5703125" style="2" customWidth="1"/>
    <col min="15" max="15" width="9.140625" style="2"/>
    <col min="16" max="16" width="10.85546875" style="2" customWidth="1"/>
    <col min="17" max="19" width="9.140625" style="2"/>
    <col min="20" max="20" width="18.85546875" customWidth="1"/>
  </cols>
  <sheetData>
    <row r="2" spans="1:23" x14ac:dyDescent="0.25">
      <c r="C2" s="9" t="s">
        <v>2</v>
      </c>
      <c r="D2" s="9"/>
      <c r="E2" s="9"/>
      <c r="F2" s="9"/>
      <c r="G2" s="9"/>
      <c r="H2" s="9"/>
      <c r="I2" s="9"/>
      <c r="J2" s="9"/>
      <c r="N2" s="10" t="s">
        <v>14</v>
      </c>
      <c r="O2" s="10"/>
      <c r="P2" s="10"/>
      <c r="Q2" s="11" t="s">
        <v>15</v>
      </c>
      <c r="R2" s="11"/>
      <c r="S2" s="11"/>
    </row>
    <row r="3" spans="1:23" x14ac:dyDescent="0.25">
      <c r="C3" t="s">
        <v>9</v>
      </c>
      <c r="D3" t="s">
        <v>10</v>
      </c>
      <c r="E3" t="s">
        <v>11</v>
      </c>
      <c r="F3" t="s">
        <v>18</v>
      </c>
      <c r="G3" t="s">
        <v>12</v>
      </c>
      <c r="H3" t="s">
        <v>13</v>
      </c>
      <c r="I3" t="s">
        <v>16</v>
      </c>
      <c r="J3" t="s">
        <v>17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5</v>
      </c>
      <c r="R3" s="2" t="s">
        <v>6</v>
      </c>
      <c r="S3" s="2" t="s">
        <v>7</v>
      </c>
      <c r="V3" s="2" t="s">
        <v>36</v>
      </c>
      <c r="W3" s="2" t="s">
        <v>38</v>
      </c>
    </row>
    <row r="4" spans="1:23" x14ac:dyDescent="0.25">
      <c r="A4" t="s">
        <v>0</v>
      </c>
      <c r="B4" t="s">
        <v>1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L4" s="2" t="s">
        <v>8</v>
      </c>
      <c r="M4" s="2">
        <f>(6359+1196)/(6359+1139+1196+354)</f>
        <v>0.83499115826702031</v>
      </c>
      <c r="N4" s="2">
        <f>1196/(1196+354)</f>
        <v>0.77161290322580645</v>
      </c>
      <c r="O4" s="2">
        <f>1196/(1196+1139)</f>
        <v>0.51220556745182011</v>
      </c>
      <c r="P4" s="2">
        <f t="shared" ref="P4" si="0">2*N4*O4/(N4+O4)</f>
        <v>0.61570141570141568</v>
      </c>
      <c r="Q4" s="2">
        <f>6359/(6359+1139)</f>
        <v>0.84809282475326753</v>
      </c>
      <c r="R4" s="2">
        <f>6359/(6359+354)</f>
        <v>0.94726649784001193</v>
      </c>
      <c r="S4" s="2">
        <f t="shared" ref="S4" si="1">2*Q4*R4/(Q4+R4)</f>
        <v>0.89494053901906967</v>
      </c>
      <c r="V4" s="1" t="s">
        <v>37</v>
      </c>
      <c r="W4" s="1" t="s">
        <v>35</v>
      </c>
    </row>
    <row r="5" spans="1:23" x14ac:dyDescent="0.25">
      <c r="A5" t="s">
        <v>0</v>
      </c>
      <c r="B5" t="s">
        <v>1</v>
      </c>
      <c r="C5" s="3" t="s">
        <v>33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L5" s="2" t="s">
        <v>34</v>
      </c>
      <c r="M5" s="2">
        <f>(6385+1128)/(6385+1128+1207+328)</f>
        <v>0.83034924845269675</v>
      </c>
      <c r="N5" s="2">
        <f>1128/(1128+328)</f>
        <v>0.77472527472527475</v>
      </c>
      <c r="O5" s="2">
        <f>1128/(1128+1207)</f>
        <v>0.48308351177730191</v>
      </c>
      <c r="P5" s="2">
        <f>2*N5*O5/(N5+O5)</f>
        <v>0.59509364283830124</v>
      </c>
      <c r="Q5" s="2">
        <f>6385/(6385 + 1207)</f>
        <v>0.84101685985247632</v>
      </c>
      <c r="R5" s="2">
        <f>6385/(6385 + 328)</f>
        <v>0.95113957991955911</v>
      </c>
      <c r="S5" s="2">
        <f>2*Q5*R5/(Q5+R5)</f>
        <v>0.89269486193638581</v>
      </c>
    </row>
    <row r="6" spans="1:23" x14ac:dyDescent="0.25">
      <c r="A6" t="s">
        <v>0</v>
      </c>
      <c r="B6" t="s">
        <v>1</v>
      </c>
      <c r="C6" t="s">
        <v>33</v>
      </c>
      <c r="D6" t="s">
        <v>19</v>
      </c>
      <c r="E6" t="s">
        <v>19</v>
      </c>
      <c r="F6" t="s">
        <v>19</v>
      </c>
      <c r="G6" s="3" t="s">
        <v>33</v>
      </c>
      <c r="H6" s="3" t="s">
        <v>33</v>
      </c>
      <c r="I6" t="s">
        <v>19</v>
      </c>
      <c r="J6" t="s">
        <v>19</v>
      </c>
      <c r="L6" s="2" t="s">
        <v>34</v>
      </c>
      <c r="M6" s="2">
        <f>(6329 + 1236)/(6329 + 1236 + 384 + 1099)</f>
        <v>0.8360963748894783</v>
      </c>
      <c r="N6" s="2">
        <f>1236/(1236 + 384)</f>
        <v>0.76296296296296295</v>
      </c>
      <c r="O6" s="2">
        <f>1236/(1236 + 1099)</f>
        <v>0.52933618843683083</v>
      </c>
      <c r="P6" s="2">
        <f>2*N6*O6/(N6+O6)</f>
        <v>0.62503160556257897</v>
      </c>
      <c r="Q6" s="2">
        <f>6329/(6329 + 1099)</f>
        <v>0.85204631125471186</v>
      </c>
      <c r="R6" s="2">
        <f>6329/(6329 + 384)</f>
        <v>0.94279755697899603</v>
      </c>
      <c r="S6" s="2">
        <f>2*Q6*R6/(Q6+R6)</f>
        <v>0.89512764302383152</v>
      </c>
    </row>
    <row r="7" spans="1:23" x14ac:dyDescent="0.25">
      <c r="A7" t="s">
        <v>0</v>
      </c>
      <c r="B7" t="s">
        <v>1</v>
      </c>
      <c r="C7" t="s">
        <v>33</v>
      </c>
      <c r="D7" t="s">
        <v>19</v>
      </c>
      <c r="E7" t="s">
        <v>19</v>
      </c>
      <c r="F7" t="s">
        <v>19</v>
      </c>
      <c r="G7" t="s">
        <v>33</v>
      </c>
      <c r="H7" t="s">
        <v>33</v>
      </c>
      <c r="I7" s="3" t="s">
        <v>33</v>
      </c>
      <c r="J7" t="s">
        <v>19</v>
      </c>
      <c r="L7" s="2" t="s">
        <v>34</v>
      </c>
      <c r="M7" s="2">
        <f>(6358 + 1216)/(6358 + 1216 + 355 + 1119)</f>
        <v>0.83709106984969051</v>
      </c>
      <c r="N7" s="2">
        <f xml:space="preserve"> 1216/( 1216 + 355)</f>
        <v>0.77402928071292165</v>
      </c>
      <c r="O7" s="2">
        <f xml:space="preserve"> 1216/( 1216 + 1119)</f>
        <v>0.52077087794432553</v>
      </c>
      <c r="P7" s="2">
        <f>2*N7*O7/(N7+O7)</f>
        <v>0.6226318484383</v>
      </c>
      <c r="Q7" s="2">
        <f>6358/(6358+1119)</f>
        <v>0.8503410458740136</v>
      </c>
      <c r="R7" s="2">
        <f>6358/(6358+355)</f>
        <v>0.94711753314464475</v>
      </c>
      <c r="S7" s="2">
        <f>2*Q7*R7/(Q7+R7)</f>
        <v>0.89612403100775195</v>
      </c>
    </row>
    <row r="9" spans="1:23" x14ac:dyDescent="0.25">
      <c r="B9" s="6" t="s">
        <v>39</v>
      </c>
      <c r="C9" s="6" t="s">
        <v>33</v>
      </c>
      <c r="D9" s="6" t="s">
        <v>19</v>
      </c>
      <c r="E9" s="6" t="s">
        <v>19</v>
      </c>
      <c r="F9" s="6" t="s">
        <v>19</v>
      </c>
      <c r="G9" s="6" t="s">
        <v>33</v>
      </c>
      <c r="H9" s="6" t="s">
        <v>33</v>
      </c>
      <c r="I9" s="6" t="s">
        <v>33</v>
      </c>
      <c r="J9" s="6" t="s">
        <v>19</v>
      </c>
    </row>
    <row r="11" spans="1:23" x14ac:dyDescent="0.25">
      <c r="A11" t="s">
        <v>0</v>
      </c>
      <c r="B11" s="3" t="s">
        <v>21</v>
      </c>
      <c r="C11" t="s">
        <v>33</v>
      </c>
      <c r="D11" t="s">
        <v>19</v>
      </c>
      <c r="E11" t="s">
        <v>19</v>
      </c>
      <c r="F11" t="s">
        <v>19</v>
      </c>
      <c r="G11" t="s">
        <v>33</v>
      </c>
      <c r="H11" t="s">
        <v>33</v>
      </c>
      <c r="I11" s="5" t="s">
        <v>33</v>
      </c>
      <c r="J11" t="s">
        <v>19</v>
      </c>
      <c r="L11" s="2" t="s">
        <v>8</v>
      </c>
      <c r="M11" s="2">
        <f>(6306 + 1270)/(6306 + 1270 + 1065 + 407)</f>
        <v>0.83731211317418219</v>
      </c>
      <c r="N11" s="2">
        <f>(1270)/(1270 + 407)</f>
        <v>0.75730471079308292</v>
      </c>
      <c r="O11" s="2">
        <f>(1270)/(1270 + 1065)</f>
        <v>0.54389721627408993</v>
      </c>
      <c r="P11" s="2">
        <f>2*N11*O11/(N11+O11)</f>
        <v>0.63310069790628121</v>
      </c>
      <c r="Q11" s="2">
        <f>6306/(6306 + 1065)</f>
        <v>0.85551485551485551</v>
      </c>
      <c r="R11" s="2">
        <f>6306/(6306 + 407)</f>
        <v>0.9393713689855504</v>
      </c>
      <c r="S11" s="2">
        <f>2*Q11*R11/(Q11+R11)</f>
        <v>0.89548423743254768</v>
      </c>
    </row>
    <row r="12" spans="1:23" x14ac:dyDescent="0.25">
      <c r="A12" t="s">
        <v>0</v>
      </c>
      <c r="B12" s="3" t="s">
        <v>23</v>
      </c>
      <c r="C12" t="s">
        <v>33</v>
      </c>
      <c r="D12" t="s">
        <v>19</v>
      </c>
      <c r="E12" t="s">
        <v>19</v>
      </c>
      <c r="F12" t="s">
        <v>19</v>
      </c>
      <c r="G12" t="s">
        <v>33</v>
      </c>
      <c r="H12" t="s">
        <v>33</v>
      </c>
      <c r="I12" s="5" t="s">
        <v>33</v>
      </c>
      <c r="J12" t="s">
        <v>19</v>
      </c>
      <c r="L12" s="2" t="s">
        <v>40</v>
      </c>
      <c r="M12" s="2">
        <f>(6172 + 1307)/(6172 + 1307 + 1028 + 541)</f>
        <v>0.82659151193633951</v>
      </c>
      <c r="N12" s="2">
        <f>1307/(1307 + 541)</f>
        <v>0.70725108225108224</v>
      </c>
      <c r="O12" s="2">
        <f>1307/(1307 + 1028)</f>
        <v>0.55974304068522485</v>
      </c>
      <c r="P12" s="2">
        <f>2*N12*O12/(N12 + O12)</f>
        <v>0.62491035142242413</v>
      </c>
      <c r="Q12" s="2">
        <f>6172/(6172 + 1028)</f>
        <v>0.85722222222222222</v>
      </c>
      <c r="R12" s="2">
        <f>6172/(6172 + 541)</f>
        <v>0.91941009980634592</v>
      </c>
      <c r="S12" s="2">
        <f>2*Q12*R12/(Q12+R12)</f>
        <v>0.88722777258678931</v>
      </c>
    </row>
    <row r="13" spans="1:23" x14ac:dyDescent="0.25">
      <c r="A13" t="s">
        <v>0</v>
      </c>
      <c r="B13" s="3" t="s">
        <v>20</v>
      </c>
      <c r="C13" t="s">
        <v>33</v>
      </c>
      <c r="D13" t="s">
        <v>19</v>
      </c>
      <c r="E13" t="s">
        <v>19</v>
      </c>
      <c r="F13" t="s">
        <v>19</v>
      </c>
      <c r="G13" t="s">
        <v>33</v>
      </c>
      <c r="H13" t="s">
        <v>33</v>
      </c>
      <c r="I13" s="5" t="s">
        <v>33</v>
      </c>
      <c r="J13" t="s">
        <v>19</v>
      </c>
      <c r="L13" s="2" t="s">
        <v>41</v>
      </c>
      <c r="M13" s="2">
        <f>(6065 + 1229)/(6065 + 1229 + 1106 + 648)</f>
        <v>0.80614500442086645</v>
      </c>
      <c r="N13" s="2">
        <f>1229/(1229 + 648)</f>
        <v>0.65476824720298343</v>
      </c>
      <c r="O13" s="2">
        <f>1229/(1229 + 1106)</f>
        <v>0.52633832976445394</v>
      </c>
      <c r="P13" s="2">
        <f>2*N13*O13/(N13 + O13)</f>
        <v>0.58357075023741689</v>
      </c>
      <c r="Q13" s="2">
        <f>(6065)/(6065 + 1106)</f>
        <v>0.84576767535908526</v>
      </c>
      <c r="R13" s="2">
        <f>(6065)/(6065 + 648)</f>
        <v>0.90347087740205567</v>
      </c>
      <c r="S13" s="2">
        <f>2*Q13*R13/(Q13+R13)</f>
        <v>0.87366753097090177</v>
      </c>
    </row>
    <row r="14" spans="1:23" x14ac:dyDescent="0.25">
      <c r="A14" t="s">
        <v>0</v>
      </c>
      <c r="B14" s="3" t="s">
        <v>22</v>
      </c>
      <c r="C14" t="s">
        <v>33</v>
      </c>
      <c r="D14" t="s">
        <v>19</v>
      </c>
      <c r="E14" t="s">
        <v>19</v>
      </c>
      <c r="F14" t="s">
        <v>19</v>
      </c>
      <c r="G14" t="s">
        <v>33</v>
      </c>
      <c r="H14" t="s">
        <v>33</v>
      </c>
      <c r="I14" s="5" t="s">
        <v>33</v>
      </c>
      <c r="J14" t="s">
        <v>19</v>
      </c>
      <c r="L14" s="2" t="s">
        <v>42</v>
      </c>
      <c r="M14" s="2">
        <f>(6126 + 878)/(6126 + 878 + 1457 + 587)</f>
        <v>0.7740937223695844</v>
      </c>
      <c r="N14" s="2">
        <f>(878)/(878 + 587)</f>
        <v>0.59931740614334472</v>
      </c>
      <c r="O14" s="2">
        <f>(878)/(878 + 1457)</f>
        <v>0.37601713062098502</v>
      </c>
      <c r="P14" s="2">
        <f>2*N14*O14/(N14 + O14)</f>
        <v>0.46210526315789474</v>
      </c>
      <c r="Q14" s="2">
        <f>(6126)/(6126+ 1457)</f>
        <v>0.8078596861400501</v>
      </c>
      <c r="R14" s="2">
        <f>(6126)/(6126 + 587)</f>
        <v>0.91255772381945477</v>
      </c>
      <c r="S14" s="2">
        <f>2*Q14*R14/(Q14+R14)</f>
        <v>0.85702294348069397</v>
      </c>
    </row>
    <row r="15" spans="1:23" x14ac:dyDescent="0.25">
      <c r="B15" s="4"/>
      <c r="I15" s="5"/>
    </row>
    <row r="16" spans="1:23" x14ac:dyDescent="0.25">
      <c r="A16" s="7" t="s">
        <v>0</v>
      </c>
      <c r="B16" s="7" t="s">
        <v>21</v>
      </c>
      <c r="C16" s="7" t="s">
        <v>33</v>
      </c>
      <c r="D16" s="7" t="s">
        <v>19</v>
      </c>
      <c r="E16" s="7" t="s">
        <v>19</v>
      </c>
      <c r="F16" s="7" t="s">
        <v>19</v>
      </c>
      <c r="G16" s="7" t="s">
        <v>33</v>
      </c>
      <c r="H16" s="7" t="s">
        <v>33</v>
      </c>
      <c r="I16" s="7" t="s">
        <v>33</v>
      </c>
      <c r="J16" s="7" t="s">
        <v>19</v>
      </c>
      <c r="K16" s="7"/>
      <c r="L16" s="8" t="s">
        <v>8</v>
      </c>
      <c r="M16" s="8">
        <f>(6306 + 1270)/(6306 + 1270 + 1065 + 407)</f>
        <v>0.83731211317418219</v>
      </c>
      <c r="N16" s="8">
        <f>(1270)/(1270 + 407)</f>
        <v>0.75730471079308292</v>
      </c>
      <c r="O16" s="8">
        <f>(1270)/(1270 + 1065)</f>
        <v>0.54389721627408993</v>
      </c>
      <c r="P16" s="8">
        <f>2*N16*O16/(N16+O16)</f>
        <v>0.63310069790628121</v>
      </c>
      <c r="Q16" s="8">
        <f>6306/(6306 + 1065)</f>
        <v>0.85551485551485551</v>
      </c>
      <c r="R16" s="8">
        <f>6306/(6306 + 407)</f>
        <v>0.9393713689855504</v>
      </c>
      <c r="S16" s="8">
        <f>2*Q16*R16/(Q16+R16)</f>
        <v>0.89548423743254768</v>
      </c>
    </row>
    <row r="18" spans="1:19" x14ac:dyDescent="0.25">
      <c r="A18" t="s">
        <v>0</v>
      </c>
      <c r="B18" s="3" t="s">
        <v>24</v>
      </c>
      <c r="C18" t="s">
        <v>33</v>
      </c>
      <c r="D18" t="s">
        <v>19</v>
      </c>
      <c r="E18" t="s">
        <v>19</v>
      </c>
      <c r="F18" t="s">
        <v>19</v>
      </c>
      <c r="G18" t="s">
        <v>33</v>
      </c>
      <c r="H18" t="s">
        <v>33</v>
      </c>
      <c r="I18" s="5" t="s">
        <v>33</v>
      </c>
      <c r="J18" t="s">
        <v>19</v>
      </c>
      <c r="L18" s="2" t="s">
        <v>43</v>
      </c>
      <c r="M18" s="2">
        <f>(6430 + 377)/(6430 + 377 + 1958 + 283)</f>
        <v>0.75232095490716178</v>
      </c>
      <c r="N18" s="2">
        <f>(377)/(377 + 283)</f>
        <v>0.57121212121212117</v>
      </c>
      <c r="O18" s="2">
        <f>(377)/(377 + 1958)</f>
        <v>0.16145610278372591</v>
      </c>
      <c r="P18" s="2">
        <f>2*N18*O18/(N18 + O18)</f>
        <v>0.25175292153589313</v>
      </c>
      <c r="Q18" s="2">
        <f>(6430)/(6430 + 1958)</f>
        <v>0.76657129232236532</v>
      </c>
      <c r="R18" s="2">
        <f>(6430)/(6430 + 283)</f>
        <v>0.95784299121108296</v>
      </c>
      <c r="S18" s="2">
        <f>2*Q18*R18/(Q18+R18)</f>
        <v>0.85159923183895114</v>
      </c>
    </row>
    <row r="19" spans="1:19" x14ac:dyDescent="0.25">
      <c r="A19" t="s">
        <v>0</v>
      </c>
      <c r="B19" s="3" t="s">
        <v>25</v>
      </c>
      <c r="C19" t="s">
        <v>33</v>
      </c>
      <c r="D19" t="s">
        <v>19</v>
      </c>
      <c r="E19" t="s">
        <v>19</v>
      </c>
      <c r="F19" t="s">
        <v>19</v>
      </c>
      <c r="G19" t="s">
        <v>33</v>
      </c>
      <c r="H19" t="s">
        <v>33</v>
      </c>
      <c r="I19" s="5" t="s">
        <v>33</v>
      </c>
      <c r="J19" t="s">
        <v>19</v>
      </c>
      <c r="L19" s="2" t="s">
        <v>8</v>
      </c>
      <c r="M19" s="2">
        <f>(6280 + 1306)/(6280 + 1306 + 1029 + 433)</f>
        <v>0.83841732979664019</v>
      </c>
      <c r="N19" s="2">
        <f>(1306)/(1306 + 433)</f>
        <v>0.7510063254744106</v>
      </c>
      <c r="O19" s="2">
        <f>(1306)/(1306 + 1029)</f>
        <v>0.55931477516059958</v>
      </c>
      <c r="P19" s="2">
        <f>2*N19*O19/(N19 + O19)</f>
        <v>0.64113892979872356</v>
      </c>
      <c r="Q19" s="2">
        <f>(6280)/(6280 + 1029)</f>
        <v>0.8592146668490902</v>
      </c>
      <c r="R19" s="2">
        <f>(6280)/(6280 + 433)</f>
        <v>0.93549828690600323</v>
      </c>
      <c r="S19" s="2">
        <f>2*Q19*R19/(Q19+R19)</f>
        <v>0.89573527314220502</v>
      </c>
    </row>
    <row r="21" spans="1:19" x14ac:dyDescent="0.25">
      <c r="A21" s="7" t="s">
        <v>0</v>
      </c>
      <c r="B21" s="7" t="s">
        <v>21</v>
      </c>
      <c r="C21" s="7" t="s">
        <v>33</v>
      </c>
      <c r="D21" s="7" t="s">
        <v>19</v>
      </c>
      <c r="E21" s="7" t="s">
        <v>19</v>
      </c>
      <c r="F21" s="7" t="s">
        <v>19</v>
      </c>
      <c r="G21" s="7" t="s">
        <v>33</v>
      </c>
      <c r="H21" s="7" t="s">
        <v>33</v>
      </c>
      <c r="I21" s="7" t="s">
        <v>33</v>
      </c>
      <c r="J21" s="7" t="s">
        <v>19</v>
      </c>
      <c r="K21" s="7"/>
      <c r="L21" s="8" t="s">
        <v>8</v>
      </c>
      <c r="M21" s="8">
        <f>(6306 + 1270)/(6306 + 1270 + 1065 + 407)</f>
        <v>0.83731211317418219</v>
      </c>
      <c r="N21" s="8">
        <f>(1270)/(1270 + 407)</f>
        <v>0.75730471079308292</v>
      </c>
      <c r="O21" s="8">
        <f>(1270)/(1270 + 1065)</f>
        <v>0.54389721627408993</v>
      </c>
      <c r="P21" s="8">
        <f>2*N21*O21/(N21+O21)</f>
        <v>0.63310069790628121</v>
      </c>
      <c r="Q21" s="8">
        <f>6306/(6306 + 1065)</f>
        <v>0.85551485551485551</v>
      </c>
      <c r="R21" s="8">
        <f>6306/(6306 + 407)</f>
        <v>0.9393713689855504</v>
      </c>
      <c r="S21" s="8">
        <f>2*Q21*R21/(Q21+R21)</f>
        <v>0.89548423743254768</v>
      </c>
    </row>
    <row r="23" spans="1:19" x14ac:dyDescent="0.25">
      <c r="A23" t="s">
        <v>0</v>
      </c>
      <c r="B23" s="3" t="s">
        <v>26</v>
      </c>
      <c r="C23" t="s">
        <v>33</v>
      </c>
      <c r="D23" t="s">
        <v>19</v>
      </c>
      <c r="E23" t="s">
        <v>19</v>
      </c>
      <c r="F23" t="s">
        <v>19</v>
      </c>
      <c r="G23" t="s">
        <v>33</v>
      </c>
      <c r="H23" t="s">
        <v>33</v>
      </c>
      <c r="I23" s="5" t="s">
        <v>33</v>
      </c>
      <c r="J23" t="s">
        <v>19</v>
      </c>
      <c r="L23" s="2" t="s">
        <v>34</v>
      </c>
      <c r="M23" s="2">
        <f>(6306 + 1266)/(6306 + 1266 + 1069 + 406)</f>
        <v>0.83696252901514312</v>
      </c>
      <c r="N23" s="2">
        <f>(1266)/(1266 + 406)</f>
        <v>0.75717703349282295</v>
      </c>
      <c r="O23" s="2">
        <f>(1266)/(1266 + 1069)</f>
        <v>0.54218415417558885</v>
      </c>
      <c r="P23" s="2">
        <f>2*N23*O23/(N23 + O23)</f>
        <v>0.6318941851759422</v>
      </c>
      <c r="Q23" s="2">
        <f>(6306)/(6306 + 1069)</f>
        <v>0.85505084745762716</v>
      </c>
      <c r="R23" s="2">
        <f>(6306)/(6306 + 406)</f>
        <v>0.93951132300357565</v>
      </c>
      <c r="S23" s="2">
        <f>2*Q23*R23/(Q23 + R23)</f>
        <v>0.89529353304465109</v>
      </c>
    </row>
    <row r="24" spans="1:19" x14ac:dyDescent="0.25">
      <c r="A24" t="s">
        <v>0</v>
      </c>
      <c r="B24" s="3" t="s">
        <v>27</v>
      </c>
      <c r="C24" t="s">
        <v>33</v>
      </c>
      <c r="D24" t="s">
        <v>19</v>
      </c>
      <c r="E24" t="s">
        <v>19</v>
      </c>
      <c r="F24" t="s">
        <v>19</v>
      </c>
      <c r="G24" t="s">
        <v>33</v>
      </c>
      <c r="H24" t="s">
        <v>33</v>
      </c>
      <c r="I24" s="5" t="s">
        <v>33</v>
      </c>
      <c r="J24" t="s">
        <v>19</v>
      </c>
      <c r="L24" s="2" t="s">
        <v>8</v>
      </c>
      <c r="M24" s="2">
        <f>(6280 + 1306)/(6280 + 1306 + 1029 + 433)</f>
        <v>0.83841732979664019</v>
      </c>
      <c r="N24" s="2">
        <f>(1306)/(1306 + 433)</f>
        <v>0.7510063254744106</v>
      </c>
      <c r="O24" s="2">
        <f>(1306)/(1306 + 1029)</f>
        <v>0.55931477516059958</v>
      </c>
      <c r="P24" s="2">
        <f>2*N24*O24/(N24 + O24)</f>
        <v>0.64113892979872356</v>
      </c>
      <c r="Q24" s="2">
        <f>(6280)/(6280 + 1029)</f>
        <v>0.8592146668490902</v>
      </c>
      <c r="R24" s="2">
        <f>(6280)/(6280 + 433)</f>
        <v>0.93549828690600323</v>
      </c>
      <c r="S24" s="2">
        <f>2*Q24*R24/(Q24 + R24)</f>
        <v>0.89573527314220502</v>
      </c>
    </row>
    <row r="26" spans="1:19" x14ac:dyDescent="0.25">
      <c r="A26" s="7" t="s">
        <v>0</v>
      </c>
      <c r="B26" s="7" t="s">
        <v>21</v>
      </c>
      <c r="C26" s="7" t="s">
        <v>33</v>
      </c>
      <c r="D26" s="7" t="s">
        <v>19</v>
      </c>
      <c r="E26" s="7" t="s">
        <v>19</v>
      </c>
      <c r="F26" s="7" t="s">
        <v>19</v>
      </c>
      <c r="G26" s="7" t="s">
        <v>33</v>
      </c>
      <c r="H26" s="7" t="s">
        <v>33</v>
      </c>
      <c r="I26" s="7" t="s">
        <v>33</v>
      </c>
      <c r="J26" s="7" t="s">
        <v>19</v>
      </c>
      <c r="K26" s="7"/>
      <c r="L26" s="8" t="s">
        <v>8</v>
      </c>
      <c r="M26" s="8">
        <f>(6306 + 1270)/(6306 + 1270 + 1065 + 407)</f>
        <v>0.83731211317418219</v>
      </c>
      <c r="N26" s="8">
        <f>(1270)/(1270 + 407)</f>
        <v>0.75730471079308292</v>
      </c>
      <c r="O26" s="8">
        <f>(1270)/(1270 + 1065)</f>
        <v>0.54389721627408993</v>
      </c>
      <c r="P26" s="8">
        <f>2*N26*O26/(N26+O26)</f>
        <v>0.63310069790628121</v>
      </c>
      <c r="Q26" s="8">
        <f>6306/(6306 + 1065)</f>
        <v>0.85551485551485551</v>
      </c>
      <c r="R26" s="8">
        <f>6306/(6306 + 407)</f>
        <v>0.9393713689855504</v>
      </c>
      <c r="S26" s="8">
        <f>2*Q26*R26/(Q26+R26)</f>
        <v>0.89548423743254768</v>
      </c>
    </row>
    <row r="28" spans="1:19" x14ac:dyDescent="0.25">
      <c r="A28" s="3" t="s">
        <v>28</v>
      </c>
      <c r="B28" t="s">
        <v>1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L28" s="2" t="s">
        <v>44</v>
      </c>
      <c r="M28" s="2">
        <f>(6014 + 1720)/(6014 + 1720 + 699 + 615)</f>
        <v>0.85477453580901852</v>
      </c>
      <c r="N28" s="2">
        <f>(1720)/(1720 + 699)</f>
        <v>0.71103761885076477</v>
      </c>
      <c r="O28" s="2">
        <f>(1720)/(1720 + 615)</f>
        <v>0.7366167023554604</v>
      </c>
      <c r="P28" s="2">
        <f>2*N28*O28/(N28 + O28)</f>
        <v>0.72360117795540602</v>
      </c>
      <c r="Q28" s="2">
        <f>(6014)/(6014 + 615)</f>
        <v>0.90722582591642786</v>
      </c>
      <c r="R28" s="2">
        <f>(6014)/(6014 + 699)</f>
        <v>0.89587367793832862</v>
      </c>
      <c r="S28" s="2">
        <f>2*Q28*R28/(Q28 + R28)</f>
        <v>0.90151401588967173</v>
      </c>
    </row>
    <row r="29" spans="1:19" x14ac:dyDescent="0.25">
      <c r="A29" t="s">
        <v>28</v>
      </c>
      <c r="B29" t="s">
        <v>1</v>
      </c>
      <c r="C29" s="3" t="s">
        <v>33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L29" s="2" t="s">
        <v>44</v>
      </c>
      <c r="M29" s="2">
        <f>(6033+1696)/(6033+1696 + 639 + 680)</f>
        <v>0.85422192749778958</v>
      </c>
      <c r="N29" s="2">
        <f>(1696)/(1696 + 680)</f>
        <v>0.71380471380471378</v>
      </c>
      <c r="O29" s="2">
        <f>(1696)/(1696 + 639)</f>
        <v>0.726338329764454</v>
      </c>
      <c r="P29" s="2">
        <f>2*N29*O29/(N29 + O29)</f>
        <v>0.72001698153258331</v>
      </c>
      <c r="Q29" s="2">
        <f>(6033)/(6033 + 639)</f>
        <v>0.90422661870503596</v>
      </c>
      <c r="R29" s="2">
        <f>(6033)/(6033 + 680)</f>
        <v>0.89870400715030541</v>
      </c>
      <c r="S29" s="2">
        <f>2*Q29*R29/(Q29 + R29)</f>
        <v>0.90145685468808379</v>
      </c>
    </row>
    <row r="30" spans="1:19" x14ac:dyDescent="0.25">
      <c r="A30" t="s">
        <v>28</v>
      </c>
      <c r="B30" t="s">
        <v>1</v>
      </c>
      <c r="C30" t="s">
        <v>33</v>
      </c>
      <c r="D30" t="s">
        <v>19</v>
      </c>
      <c r="E30" t="s">
        <v>19</v>
      </c>
      <c r="F30" t="s">
        <v>19</v>
      </c>
      <c r="G30" s="3" t="s">
        <v>33</v>
      </c>
      <c r="H30" s="3" t="s">
        <v>33</v>
      </c>
      <c r="I30" t="s">
        <v>19</v>
      </c>
      <c r="J30" t="s">
        <v>19</v>
      </c>
      <c r="L30" s="2" t="s">
        <v>8</v>
      </c>
      <c r="M30" s="2">
        <f>(5941+ 1632)/(5941+ 1632 + 703 +772)</f>
        <v>0.83698054818744472</v>
      </c>
      <c r="N30" s="2">
        <f>(1632)/(1632 +772)</f>
        <v>0.67886855241264554</v>
      </c>
      <c r="O30" s="2">
        <f>(1632)/(1632 + 703)</f>
        <v>0.69892933618843678</v>
      </c>
      <c r="P30" s="2">
        <f>2*N30*O30/(N30 + O30)</f>
        <v>0.68875290145600332</v>
      </c>
      <c r="Q30" s="2">
        <f>(5941)/(5941 + 703)</f>
        <v>0.89419024683925341</v>
      </c>
      <c r="R30" s="2">
        <f>(5941)/(5941 +772)</f>
        <v>0.88499925517652311</v>
      </c>
      <c r="S30" s="2">
        <f>2*Q30*R30/(Q30 + R30)</f>
        <v>0.88957101145466788</v>
      </c>
    </row>
    <row r="31" spans="1:19" x14ac:dyDescent="0.25">
      <c r="A31" t="s">
        <v>28</v>
      </c>
      <c r="B31" t="s">
        <v>1</v>
      </c>
      <c r="C31" t="s">
        <v>33</v>
      </c>
      <c r="D31" t="s">
        <v>19</v>
      </c>
      <c r="E31" t="s">
        <v>19</v>
      </c>
      <c r="F31" t="s">
        <v>19</v>
      </c>
      <c r="G31" t="s">
        <v>33</v>
      </c>
      <c r="H31" t="s">
        <v>33</v>
      </c>
      <c r="I31" s="3" t="s">
        <v>33</v>
      </c>
      <c r="J31" t="s">
        <v>19</v>
      </c>
      <c r="L31" s="2" t="s">
        <v>8</v>
      </c>
      <c r="M31" s="2">
        <f>(5940 + 1641)/(5940 + 1641 + 694 + 773)</f>
        <v>0.83786472148541113</v>
      </c>
      <c r="N31" s="2">
        <f>(1641)/(1641 + 773)</f>
        <v>0.67978458989229495</v>
      </c>
      <c r="O31" s="2">
        <f>(1641)/(1641 + 694)</f>
        <v>0.70278372591006422</v>
      </c>
      <c r="P31" s="2">
        <f>2*N31*O31/(N31 + O31)</f>
        <v>0.69109286165508532</v>
      </c>
      <c r="Q31" s="2">
        <f>(5940)/(5940 + 694)</f>
        <v>0.89538739825143199</v>
      </c>
      <c r="R31" s="2">
        <f>(5940)/(5940 + 773)</f>
        <v>0.88485029048115593</v>
      </c>
      <c r="S31" s="2">
        <f>2*Q31*R31/(Q31 + R31)</f>
        <v>0.89008766014834795</v>
      </c>
    </row>
    <row r="33" spans="1:19" x14ac:dyDescent="0.25">
      <c r="A33" s="7" t="s">
        <v>28</v>
      </c>
      <c r="B33" s="7" t="s">
        <v>1</v>
      </c>
      <c r="C33" s="7" t="s">
        <v>19</v>
      </c>
      <c r="D33" s="7" t="s">
        <v>19</v>
      </c>
      <c r="E33" s="7" t="s">
        <v>19</v>
      </c>
      <c r="F33" s="7" t="s">
        <v>19</v>
      </c>
      <c r="G33" s="7" t="s">
        <v>19</v>
      </c>
      <c r="H33" s="7" t="s">
        <v>19</v>
      </c>
      <c r="I33" s="7" t="s">
        <v>19</v>
      </c>
      <c r="J33" s="7" t="s">
        <v>19</v>
      </c>
      <c r="K33" s="7"/>
      <c r="L33" s="8" t="s">
        <v>44</v>
      </c>
      <c r="M33" s="8">
        <f>(6014 + 1720)/(6014 + 1720 + 699 + 615)</f>
        <v>0.85477453580901852</v>
      </c>
      <c r="N33" s="8">
        <f>(1720)/(1720 + 699)</f>
        <v>0.71103761885076477</v>
      </c>
      <c r="O33" s="8">
        <f>(1720)/(1720 + 615)</f>
        <v>0.7366167023554604</v>
      </c>
      <c r="P33" s="8">
        <f>2*N33*O33/(N33 + O33)</f>
        <v>0.72360117795540602</v>
      </c>
      <c r="Q33" s="8">
        <f>(6014)/(6014 + 615)</f>
        <v>0.90722582591642786</v>
      </c>
      <c r="R33" s="8">
        <f>(6014)/(6014 + 699)</f>
        <v>0.89587367793832862</v>
      </c>
      <c r="S33" s="8">
        <f>2*Q33*R33/(Q33 + R33)</f>
        <v>0.90151401588967173</v>
      </c>
    </row>
    <row r="35" spans="1:19" x14ac:dyDescent="0.25">
      <c r="A35" s="3" t="s">
        <v>29</v>
      </c>
      <c r="B35" t="s">
        <v>1</v>
      </c>
      <c r="C35" t="s">
        <v>33</v>
      </c>
      <c r="D35" t="s">
        <v>19</v>
      </c>
      <c r="E35" t="s">
        <v>19</v>
      </c>
      <c r="F35" t="s">
        <v>19</v>
      </c>
      <c r="G35" t="s">
        <v>33</v>
      </c>
      <c r="H35" t="s">
        <v>33</v>
      </c>
      <c r="I35" s="5" t="s">
        <v>33</v>
      </c>
      <c r="J35" t="s">
        <v>19</v>
      </c>
      <c r="L35" s="2" t="s">
        <v>44</v>
      </c>
      <c r="M35" s="2">
        <f>(6183 + 1458)/(6183 + 1458 + 877 + 530)</f>
        <v>0.8444960212201591</v>
      </c>
      <c r="N35" s="2">
        <f>(1458)/(1458 + 530)</f>
        <v>0.7334004024144869</v>
      </c>
      <c r="O35" s="2">
        <f>(1458)/(1458 + 877)</f>
        <v>0.62441113490364031</v>
      </c>
      <c r="P35" s="2">
        <f>2*N35*O35/(N35 + O35)</f>
        <v>0.67453157529493413</v>
      </c>
      <c r="Q35" s="2">
        <f>(6183)/(6183 + 877)</f>
        <v>0.87577903682719549</v>
      </c>
      <c r="R35" s="2">
        <f>(6183)/(6183 + 530)</f>
        <v>0.92104871145538503</v>
      </c>
      <c r="S35" s="2">
        <f>2*Q35*R35/(Q35 + R35)</f>
        <v>0.89784360705728594</v>
      </c>
    </row>
    <row r="36" spans="1:19" x14ac:dyDescent="0.25">
      <c r="A36" t="s">
        <v>29</v>
      </c>
      <c r="B36" t="s">
        <v>31</v>
      </c>
      <c r="C36" t="s">
        <v>33</v>
      </c>
      <c r="D36" t="s">
        <v>19</v>
      </c>
      <c r="E36" t="s">
        <v>19</v>
      </c>
      <c r="F36" t="s">
        <v>19</v>
      </c>
      <c r="G36" t="s">
        <v>33</v>
      </c>
      <c r="H36" t="s">
        <v>33</v>
      </c>
      <c r="I36" s="5" t="s">
        <v>33</v>
      </c>
      <c r="J36" t="s">
        <v>19</v>
      </c>
      <c r="L36" s="2" t="s">
        <v>44</v>
      </c>
      <c r="M36" s="2">
        <f>(6159 + 1478)/(6159 + 1478 + 554 + 857)</f>
        <v>0.84405393457117595</v>
      </c>
      <c r="N36" s="2">
        <f>(1478)/(1478 + 554)</f>
        <v>0.72736220472440949</v>
      </c>
      <c r="O36" s="2">
        <f>(1478)/(1478 + 857)</f>
        <v>0.63297644539614561</v>
      </c>
      <c r="P36" s="2">
        <f>2*N36*O36/(N36 + O36)</f>
        <v>0.67689489351957866</v>
      </c>
      <c r="Q36" s="2">
        <f>(6159)/(6159 + 857)</f>
        <v>0.87785062713797035</v>
      </c>
      <c r="R36" s="2">
        <f>(6159)/(6159 + 554)</f>
        <v>0.91747355876657233</v>
      </c>
      <c r="S36" s="2">
        <f>2*Q36*R36/(Q36 + R36)</f>
        <v>0.89722485250200301</v>
      </c>
    </row>
    <row r="37" spans="1:19" x14ac:dyDescent="0.25">
      <c r="A37" t="s">
        <v>29</v>
      </c>
      <c r="B37" t="s">
        <v>32</v>
      </c>
      <c r="C37" t="s">
        <v>33</v>
      </c>
      <c r="D37" t="s">
        <v>19</v>
      </c>
      <c r="E37" t="s">
        <v>19</v>
      </c>
      <c r="F37" t="s">
        <v>19</v>
      </c>
      <c r="G37" t="s">
        <v>33</v>
      </c>
      <c r="H37" t="s">
        <v>33</v>
      </c>
      <c r="I37" s="5" t="s">
        <v>33</v>
      </c>
      <c r="J37" t="s">
        <v>19</v>
      </c>
      <c r="L37" s="2" t="s">
        <v>44</v>
      </c>
      <c r="M37" s="2">
        <f>(6203 + 1424)/(6203 + 1424 + 510 + 911)</f>
        <v>0.84294871794871795</v>
      </c>
      <c r="N37" s="2">
        <f>(1424)/(1424 + 510)</f>
        <v>0.73629782833505686</v>
      </c>
      <c r="O37" s="2">
        <f>(1424)/(1424 + 911)</f>
        <v>0.60985010706638121</v>
      </c>
      <c r="P37" s="2">
        <f>2*N37*O37/(N37 + O37)</f>
        <v>0.66713516045912391</v>
      </c>
      <c r="Q37" s="2">
        <f>(6203)/(6203 + 911)</f>
        <v>0.87194264829912849</v>
      </c>
      <c r="R37" s="2">
        <f>(6203)/(6203 + 510)</f>
        <v>0.924028005362729</v>
      </c>
      <c r="S37" s="2">
        <f>2*Q37*R37/(Q37 + R37)</f>
        <v>0.89723005713459159</v>
      </c>
    </row>
    <row r="38" spans="1:19" x14ac:dyDescent="0.25">
      <c r="A38" t="s">
        <v>29</v>
      </c>
      <c r="B38" t="s">
        <v>30</v>
      </c>
      <c r="C38" t="s">
        <v>33</v>
      </c>
      <c r="D38" t="s">
        <v>19</v>
      </c>
      <c r="E38" t="s">
        <v>19</v>
      </c>
      <c r="F38" t="s">
        <v>19</v>
      </c>
      <c r="G38" t="s">
        <v>33</v>
      </c>
      <c r="H38" t="s">
        <v>33</v>
      </c>
      <c r="I38" s="5" t="s">
        <v>33</v>
      </c>
      <c r="J38" t="s">
        <v>19</v>
      </c>
      <c r="L38" s="2" t="s">
        <v>44</v>
      </c>
      <c r="M38" s="2">
        <f>(6196 + 1440)/(6196 + 1440 + 895 + 517)</f>
        <v>0.84394341290893016</v>
      </c>
      <c r="N38" s="2">
        <f>(1440)/(1440 + 517)</f>
        <v>0.7358201328564129</v>
      </c>
      <c r="O38" s="2">
        <f>(1440)/(1440 + 895)</f>
        <v>0.61670235546038543</v>
      </c>
      <c r="P38" s="2">
        <f>2*N38*O38/(N38 + O38)</f>
        <v>0.6710158434296366</v>
      </c>
      <c r="Q38" s="2">
        <f>(6196)/(6196 + 895)</f>
        <v>0.87378366944013541</v>
      </c>
      <c r="R38" s="2">
        <f>(6196)/(6196 + 517)</f>
        <v>0.92298525249515861</v>
      </c>
      <c r="S38" s="2">
        <f>2*Q38*R38/(Q38 + R38)</f>
        <v>0.89771080846131557</v>
      </c>
    </row>
    <row r="41" spans="1:19" x14ac:dyDescent="0.25">
      <c r="A41" s="3" t="s">
        <v>45</v>
      </c>
      <c r="B41" t="s">
        <v>1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L41" s="2" t="s">
        <v>44</v>
      </c>
      <c r="M41" s="2">
        <f>(6249 + 1522)/(6249 + 1522 + 464 + 813)</f>
        <v>0.85886383731211313</v>
      </c>
      <c r="N41" s="2">
        <f>(1522)/(1522 + 464)</f>
        <v>0.76636455186304131</v>
      </c>
      <c r="O41" s="2">
        <f>(1522)/(1522 + 813)</f>
        <v>0.65182012847965742</v>
      </c>
      <c r="P41" s="2">
        <f>2*N41*O41/(N41 + O41)</f>
        <v>0.70446655866697527</v>
      </c>
      <c r="Q41" s="2">
        <f>(6249)/(6249 + 813)</f>
        <v>0.88487680543755309</v>
      </c>
      <c r="R41" s="2">
        <f>(6249)/(6249 + 464)</f>
        <v>0.93088038134962015</v>
      </c>
      <c r="S41" s="2">
        <f>2*Q41*R41/(Q41 + R41)</f>
        <v>0.90729582577132484</v>
      </c>
    </row>
    <row r="42" spans="1:19" x14ac:dyDescent="0.25">
      <c r="A42" t="s">
        <v>45</v>
      </c>
      <c r="B42" t="s">
        <v>1</v>
      </c>
      <c r="C42" s="3" t="s">
        <v>33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L42" s="2" t="s">
        <v>48</v>
      </c>
      <c r="M42" s="2">
        <f>(6252 + 1527)/(6252 + 1527 + 461 + 808)</f>
        <v>0.85974801061007955</v>
      </c>
      <c r="N42" s="2">
        <f>(1527)/(1527 + 461)</f>
        <v>0.76810865191146882</v>
      </c>
      <c r="O42" s="2">
        <f>(1527)/(1527 + 808)</f>
        <v>0.65396145610278378</v>
      </c>
      <c r="P42" s="2">
        <f>2*N42*O42/(N42 + O42)</f>
        <v>0.70645385149201956</v>
      </c>
      <c r="Q42" s="2">
        <f>(6252)/(6252 + 808)</f>
        <v>0.88555240793201129</v>
      </c>
      <c r="R42" s="2">
        <f>(6252)/(6252 + 461)</f>
        <v>0.93132727543572169</v>
      </c>
      <c r="S42" s="2">
        <f>2*Q42*R42/(Q42 + R42)</f>
        <v>0.90786321062949249</v>
      </c>
    </row>
    <row r="43" spans="1:19" x14ac:dyDescent="0.25">
      <c r="A43" t="s">
        <v>45</v>
      </c>
      <c r="B43" t="s">
        <v>1</v>
      </c>
      <c r="C43" t="s">
        <v>33</v>
      </c>
      <c r="D43" t="s">
        <v>19</v>
      </c>
      <c r="E43" t="s">
        <v>19</v>
      </c>
      <c r="F43" t="s">
        <v>19</v>
      </c>
      <c r="G43" s="3" t="s">
        <v>33</v>
      </c>
      <c r="H43" s="3" t="s">
        <v>33</v>
      </c>
      <c r="I43" t="s">
        <v>19</v>
      </c>
      <c r="J43" t="s">
        <v>19</v>
      </c>
      <c r="L43" s="2" t="s">
        <v>44</v>
      </c>
      <c r="M43" s="2">
        <f>(6212 + 1441)/(6212 + 1441 + 501 + 894)</f>
        <v>0.84582228116710878</v>
      </c>
      <c r="N43" s="2">
        <f>(1441)/(1441 + 501)</f>
        <v>0.74201853759011327</v>
      </c>
      <c r="O43" s="2">
        <f>(1441)/(1441 + 894)</f>
        <v>0.6171306209850107</v>
      </c>
      <c r="P43" s="2">
        <f>2*N43*O43/(N43 + O43)</f>
        <v>0.67383680149637593</v>
      </c>
      <c r="Q43" s="2">
        <f>(6212)/(6212 + 894)</f>
        <v>0.87419082465522091</v>
      </c>
      <c r="R43" s="2">
        <f>(6212)/(6212 + 501)</f>
        <v>0.92536868762103386</v>
      </c>
      <c r="S43" s="2">
        <f>2*Q43*R43/(Q43 + R43)</f>
        <v>0.89905202981402421</v>
      </c>
    </row>
    <row r="44" spans="1:19" x14ac:dyDescent="0.25">
      <c r="A44" t="s">
        <v>45</v>
      </c>
      <c r="B44" t="s">
        <v>1</v>
      </c>
      <c r="C44" t="s">
        <v>33</v>
      </c>
      <c r="D44" t="s">
        <v>19</v>
      </c>
      <c r="E44" t="s">
        <v>19</v>
      </c>
      <c r="F44" t="s">
        <v>19</v>
      </c>
      <c r="G44" t="s">
        <v>33</v>
      </c>
      <c r="H44" t="s">
        <v>33</v>
      </c>
      <c r="I44" s="3" t="s">
        <v>33</v>
      </c>
      <c r="J44" t="s">
        <v>19</v>
      </c>
      <c r="L44" s="2" t="s">
        <v>44</v>
      </c>
      <c r="M44" s="2">
        <f>(6196 + 1471)/(6196 + 1471 + 517 + 864)</f>
        <v>0.84736958443854993</v>
      </c>
      <c r="N44" s="2">
        <f>(1471)/(1471 + 517)</f>
        <v>0.73993963782696182</v>
      </c>
      <c r="O44" s="2">
        <f>(1471)/(1471 + 864)</f>
        <v>0.62997858672376872</v>
      </c>
      <c r="P44" s="2">
        <f>2*N44*O44/(N44 + O44)</f>
        <v>0.68054591718713853</v>
      </c>
      <c r="Q44" s="2">
        <f>(6196)/(6196 + 864)</f>
        <v>0.87762039660056657</v>
      </c>
      <c r="R44" s="2">
        <f>(6196)/(6196 + 517)</f>
        <v>0.92298525249515861</v>
      </c>
      <c r="S44" s="2">
        <f>2*Q44*R44/(Q44 + R44)</f>
        <v>0.899731358454948</v>
      </c>
    </row>
    <row r="46" spans="1:19" x14ac:dyDescent="0.25">
      <c r="A46" s="7" t="s">
        <v>45</v>
      </c>
      <c r="B46" s="7" t="s">
        <v>1</v>
      </c>
      <c r="C46" s="7" t="s">
        <v>33</v>
      </c>
      <c r="D46" s="7" t="s">
        <v>19</v>
      </c>
      <c r="E46" s="7" t="s">
        <v>19</v>
      </c>
      <c r="F46" s="7" t="s">
        <v>19</v>
      </c>
      <c r="G46" s="7" t="s">
        <v>19</v>
      </c>
      <c r="H46" s="7" t="s">
        <v>19</v>
      </c>
      <c r="I46" s="7" t="s">
        <v>19</v>
      </c>
      <c r="J46" s="7" t="s">
        <v>19</v>
      </c>
      <c r="K46" s="7"/>
      <c r="L46" s="8" t="s">
        <v>48</v>
      </c>
      <c r="M46" s="8">
        <f>(6252 + 1527)/(6252 + 1527 + 461 + 808)</f>
        <v>0.85974801061007955</v>
      </c>
      <c r="N46" s="8">
        <f>(1527)/(1527 + 461)</f>
        <v>0.76810865191146882</v>
      </c>
      <c r="O46" s="8">
        <f>(1527)/(1527 + 808)</f>
        <v>0.65396145610278378</v>
      </c>
      <c r="P46" s="8">
        <f>2*N46*O46/(N46 + O46)</f>
        <v>0.70645385149201956</v>
      </c>
      <c r="Q46" s="8">
        <f>(6252)/(6252 + 808)</f>
        <v>0.88555240793201129</v>
      </c>
      <c r="R46" s="8">
        <f>(6252)/(6252 + 461)</f>
        <v>0.93132727543572169</v>
      </c>
      <c r="S46" s="8">
        <f>2*Q46*R46/(Q46 + R46)</f>
        <v>0.90786321062949249</v>
      </c>
    </row>
    <row r="48" spans="1:19" x14ac:dyDescent="0.25">
      <c r="A48" t="s">
        <v>46</v>
      </c>
      <c r="B48" t="s">
        <v>1</v>
      </c>
    </row>
    <row r="51" spans="1:2" x14ac:dyDescent="0.25">
      <c r="A51" t="s">
        <v>47</v>
      </c>
      <c r="B51" t="s">
        <v>1</v>
      </c>
    </row>
  </sheetData>
  <mergeCells count="3">
    <mergeCell ref="C2:J2"/>
    <mergeCell ref="N2:P2"/>
    <mergeCell ref="Q2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Paulo Henrique</cp:lastModifiedBy>
  <dcterms:created xsi:type="dcterms:W3CDTF">2022-12-15T22:28:47Z</dcterms:created>
  <dcterms:modified xsi:type="dcterms:W3CDTF">2022-12-23T18:32:24Z</dcterms:modified>
</cp:coreProperties>
</file>