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79ef514fe8a1b6/Área de Trabalho/SI_2_TP/Parte_2/"/>
    </mc:Choice>
  </mc:AlternateContent>
  <xr:revisionPtr revIDLastSave="1074" documentId="13_ncr:1_{8A4C9C23-7A8E-4081-BB61-A08E41E0879A}" xr6:coauthVersionLast="47" xr6:coauthVersionMax="47" xr10:uidLastSave="{B07E7C03-A3B2-4B8A-B79C-CEEF88DFD7AE}"/>
  <bookViews>
    <workbookView xWindow="-120" yWindow="-120" windowWidth="29040" windowHeight="15840" activeTab="1" xr2:uid="{697C5C7C-CF60-4D59-8825-FC3BC12B99DE}"/>
  </bookViews>
  <sheets>
    <sheet name="Sugested" sheetId="1" r:id="rId1"/>
    <sheet name="WithoutCapi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2" l="1"/>
  <c r="S43" i="2" s="1"/>
  <c r="Q43" i="2"/>
  <c r="O43" i="2"/>
  <c r="N43" i="2"/>
  <c r="P43" i="2"/>
  <c r="M43" i="2"/>
  <c r="R44" i="2"/>
  <c r="Q44" i="2"/>
  <c r="S44" i="2" s="1"/>
  <c r="O44" i="2"/>
  <c r="N44" i="2"/>
  <c r="M44" i="2"/>
  <c r="P44" i="2" s="1"/>
  <c r="R50" i="1"/>
  <c r="Q50" i="1"/>
  <c r="O50" i="1"/>
  <c r="N50" i="1"/>
  <c r="S50" i="1"/>
  <c r="M50" i="1"/>
  <c r="R49" i="1"/>
  <c r="Q49" i="1"/>
  <c r="S49" i="1" s="1"/>
  <c r="O49" i="1"/>
  <c r="N49" i="1"/>
  <c r="P49" i="1" s="1"/>
  <c r="M49" i="1"/>
  <c r="R48" i="1"/>
  <c r="Q48" i="1"/>
  <c r="O48" i="1"/>
  <c r="N48" i="1"/>
  <c r="S48" i="1"/>
  <c r="P48" i="1"/>
  <c r="M48" i="1"/>
  <c r="R51" i="1"/>
  <c r="Q51" i="1"/>
  <c r="O51" i="1"/>
  <c r="M51" i="1"/>
  <c r="N51" i="1"/>
  <c r="S51" i="1"/>
  <c r="R54" i="2"/>
  <c r="Q54" i="2"/>
  <c r="S54" i="2" s="1"/>
  <c r="O54" i="2"/>
  <c r="N54" i="2"/>
  <c r="M54" i="2"/>
  <c r="P54" i="2" s="1"/>
  <c r="R52" i="2"/>
  <c r="Q52" i="2"/>
  <c r="O52" i="2"/>
  <c r="N52" i="2"/>
  <c r="S52" i="2"/>
  <c r="M52" i="2"/>
  <c r="P52" i="2" s="1"/>
  <c r="R51" i="2"/>
  <c r="Q51" i="2"/>
  <c r="O51" i="2"/>
  <c r="N51" i="2"/>
  <c r="M51" i="2"/>
  <c r="R50" i="2"/>
  <c r="Q50" i="2"/>
  <c r="S50" i="2" s="1"/>
  <c r="O50" i="2"/>
  <c r="N50" i="2"/>
  <c r="M50" i="2"/>
  <c r="P50" i="2" s="1"/>
  <c r="R49" i="2"/>
  <c r="Q49" i="2"/>
  <c r="O49" i="2"/>
  <c r="N49" i="2"/>
  <c r="M49" i="2"/>
  <c r="R48" i="2"/>
  <c r="Q48" i="2"/>
  <c r="O48" i="2"/>
  <c r="P48" i="2" s="1"/>
  <c r="N48" i="2"/>
  <c r="S48" i="2"/>
  <c r="M48" i="2"/>
  <c r="R41" i="2"/>
  <c r="S41" i="2" s="1"/>
  <c r="Q41" i="2"/>
  <c r="O41" i="2"/>
  <c r="N41" i="2"/>
  <c r="M41" i="2"/>
  <c r="P41" i="2" s="1"/>
  <c r="R38" i="2"/>
  <c r="Q38" i="2"/>
  <c r="O38" i="2"/>
  <c r="N38" i="2"/>
  <c r="M38" i="2"/>
  <c r="P38" i="2" s="1"/>
  <c r="R39" i="2"/>
  <c r="S39" i="2" s="1"/>
  <c r="Q39" i="2"/>
  <c r="O39" i="2"/>
  <c r="N39" i="2"/>
  <c r="M39" i="2"/>
  <c r="P39" i="2" s="1"/>
  <c r="R36" i="2"/>
  <c r="Q36" i="2"/>
  <c r="S36" i="2" s="1"/>
  <c r="O36" i="2"/>
  <c r="N36" i="2"/>
  <c r="M36" i="2"/>
  <c r="R34" i="2"/>
  <c r="Q34" i="2"/>
  <c r="O34" i="2"/>
  <c r="N34" i="2"/>
  <c r="S34" i="2"/>
  <c r="M34" i="2"/>
  <c r="P34" i="2" s="1"/>
  <c r="R33" i="2"/>
  <c r="Q33" i="2"/>
  <c r="S33" i="2" s="1"/>
  <c r="O33" i="2"/>
  <c r="N33" i="2"/>
  <c r="P33" i="2"/>
  <c r="M33" i="2"/>
  <c r="R32" i="2"/>
  <c r="S32" i="2" s="1"/>
  <c r="Q32" i="2"/>
  <c r="O32" i="2"/>
  <c r="N32" i="2"/>
  <c r="N31" i="2"/>
  <c r="M32" i="2"/>
  <c r="P32" i="2" s="1"/>
  <c r="R31" i="2"/>
  <c r="S31" i="2" s="1"/>
  <c r="Q31" i="2"/>
  <c r="O31" i="2"/>
  <c r="P31" i="2" s="1"/>
  <c r="M31" i="2"/>
  <c r="R29" i="2"/>
  <c r="Q29" i="2"/>
  <c r="O29" i="2"/>
  <c r="N29" i="2"/>
  <c r="M29" i="2"/>
  <c r="R26" i="2"/>
  <c r="Q26" i="2"/>
  <c r="O26" i="2"/>
  <c r="N26" i="2"/>
  <c r="M26" i="2"/>
  <c r="P26" i="2" s="1"/>
  <c r="R27" i="2"/>
  <c r="Q27" i="2"/>
  <c r="S27" i="2" s="1"/>
  <c r="O27" i="2"/>
  <c r="N27" i="2"/>
  <c r="P27" i="2"/>
  <c r="M27" i="2"/>
  <c r="R24" i="2"/>
  <c r="Q24" i="2"/>
  <c r="O24" i="2"/>
  <c r="N24" i="2"/>
  <c r="P24" i="2" s="1"/>
  <c r="M24" i="2"/>
  <c r="R22" i="2"/>
  <c r="Q22" i="2"/>
  <c r="S22" i="2" s="1"/>
  <c r="P22" i="2"/>
  <c r="O22" i="2"/>
  <c r="N22" i="2"/>
  <c r="M22" i="2"/>
  <c r="R21" i="2"/>
  <c r="Q21" i="2"/>
  <c r="O21" i="2"/>
  <c r="N21" i="2"/>
  <c r="S21" i="2"/>
  <c r="M21" i="2"/>
  <c r="P21" i="2" s="1"/>
  <c r="R14" i="2"/>
  <c r="Q14" i="2"/>
  <c r="O14" i="2"/>
  <c r="N14" i="2"/>
  <c r="M14" i="2"/>
  <c r="R17" i="2"/>
  <c r="S17" i="2" s="1"/>
  <c r="Q17" i="2"/>
  <c r="O17" i="2"/>
  <c r="N17" i="2"/>
  <c r="P17" i="2" s="1"/>
  <c r="M17" i="2"/>
  <c r="R16" i="2"/>
  <c r="Q16" i="2"/>
  <c r="O16" i="2"/>
  <c r="P16" i="2" s="1"/>
  <c r="N16" i="2"/>
  <c r="M16" i="2"/>
  <c r="R19" i="2"/>
  <c r="Q19" i="2"/>
  <c r="S19" i="2" s="1"/>
  <c r="O19" i="2"/>
  <c r="N19" i="2"/>
  <c r="M19" i="2"/>
  <c r="R12" i="2"/>
  <c r="Q12" i="2"/>
  <c r="S12" i="2" s="1"/>
  <c r="O12" i="2"/>
  <c r="N12" i="2"/>
  <c r="P12" i="2"/>
  <c r="M12" i="2"/>
  <c r="R11" i="2"/>
  <c r="Q11" i="2"/>
  <c r="S11" i="2" s="1"/>
  <c r="O11" i="2"/>
  <c r="N11" i="2"/>
  <c r="M11" i="2"/>
  <c r="R10" i="2"/>
  <c r="S10" i="2" s="1"/>
  <c r="Q10" i="2"/>
  <c r="O10" i="2"/>
  <c r="N10" i="2"/>
  <c r="P10" i="2"/>
  <c r="M10" i="2"/>
  <c r="R9" i="2"/>
  <c r="Q9" i="2"/>
  <c r="O9" i="2"/>
  <c r="N9" i="2"/>
  <c r="S9" i="2"/>
  <c r="M9" i="2"/>
  <c r="R4" i="2"/>
  <c r="S4" i="2" s="1"/>
  <c r="Q4" i="2"/>
  <c r="O4" i="2"/>
  <c r="N4" i="2"/>
  <c r="P4" i="2" s="1"/>
  <c r="M4" i="2"/>
  <c r="R5" i="2"/>
  <c r="Q5" i="2"/>
  <c r="S5" i="2" s="1"/>
  <c r="O5" i="2"/>
  <c r="N5" i="2"/>
  <c r="P5" i="2" s="1"/>
  <c r="M5" i="2"/>
  <c r="S16" i="2"/>
  <c r="R59" i="1"/>
  <c r="Q59" i="1"/>
  <c r="S59" i="1" s="1"/>
  <c r="O59" i="1"/>
  <c r="N59" i="1"/>
  <c r="P59" i="1" s="1"/>
  <c r="M59" i="1"/>
  <c r="R57" i="1"/>
  <c r="Q57" i="1"/>
  <c r="S57" i="1" s="1"/>
  <c r="O57" i="1"/>
  <c r="N57" i="1"/>
  <c r="M57" i="1"/>
  <c r="R56" i="1"/>
  <c r="Q56" i="1"/>
  <c r="S56" i="1" s="1"/>
  <c r="O56" i="1"/>
  <c r="N56" i="1"/>
  <c r="M56" i="1"/>
  <c r="R55" i="1"/>
  <c r="Q55" i="1"/>
  <c r="S55" i="1" s="1"/>
  <c r="O55" i="1"/>
  <c r="N55" i="1"/>
  <c r="M55" i="1"/>
  <c r="R53" i="1"/>
  <c r="Q53" i="1"/>
  <c r="S53" i="1" s="1"/>
  <c r="O53" i="1"/>
  <c r="N53" i="1"/>
  <c r="M53" i="1"/>
  <c r="R54" i="1"/>
  <c r="Q54" i="1"/>
  <c r="O54" i="1"/>
  <c r="P54" i="1" s="1"/>
  <c r="N54" i="1"/>
  <c r="M54" i="1"/>
  <c r="R46" i="1"/>
  <c r="Q46" i="1"/>
  <c r="S46" i="1" s="1"/>
  <c r="O46" i="1"/>
  <c r="N46" i="1"/>
  <c r="M46" i="1"/>
  <c r="R41" i="1"/>
  <c r="Q41" i="1"/>
  <c r="S41" i="1" s="1"/>
  <c r="O41" i="1"/>
  <c r="N41" i="1"/>
  <c r="M41" i="1"/>
  <c r="R42" i="1"/>
  <c r="Q42" i="1"/>
  <c r="O42" i="1"/>
  <c r="N42" i="1"/>
  <c r="M42" i="1"/>
  <c r="R43" i="1"/>
  <c r="Q43" i="1"/>
  <c r="O43" i="1"/>
  <c r="N43" i="1"/>
  <c r="M43" i="1"/>
  <c r="R44" i="1"/>
  <c r="Q44" i="1"/>
  <c r="O44" i="1"/>
  <c r="N44" i="1"/>
  <c r="M44" i="1"/>
  <c r="R38" i="1"/>
  <c r="Q38" i="1"/>
  <c r="O38" i="1"/>
  <c r="N38" i="1"/>
  <c r="P38" i="1" s="1"/>
  <c r="M38" i="1"/>
  <c r="R37" i="1"/>
  <c r="Q37" i="1"/>
  <c r="O37" i="1"/>
  <c r="N37" i="1"/>
  <c r="M37" i="1"/>
  <c r="R36" i="1"/>
  <c r="Q36" i="1"/>
  <c r="O36" i="1"/>
  <c r="N36" i="1"/>
  <c r="M36" i="1"/>
  <c r="R35" i="1"/>
  <c r="Q35" i="1"/>
  <c r="O35" i="1"/>
  <c r="N35" i="1"/>
  <c r="M35" i="1"/>
  <c r="R33" i="1"/>
  <c r="Q33" i="1"/>
  <c r="O33" i="1"/>
  <c r="N33" i="1"/>
  <c r="M33" i="1"/>
  <c r="R28" i="1"/>
  <c r="Q28" i="1"/>
  <c r="O28" i="1"/>
  <c r="N28" i="1"/>
  <c r="M28" i="1"/>
  <c r="R29" i="1"/>
  <c r="Q29" i="1"/>
  <c r="O29" i="1"/>
  <c r="N29" i="1"/>
  <c r="M29" i="1"/>
  <c r="R30" i="1"/>
  <c r="Q30" i="1"/>
  <c r="O30" i="1"/>
  <c r="N30" i="1"/>
  <c r="M30" i="1"/>
  <c r="R31" i="1"/>
  <c r="Q31" i="1"/>
  <c r="O31" i="1"/>
  <c r="N31" i="1"/>
  <c r="M31" i="1"/>
  <c r="R26" i="1"/>
  <c r="Q26" i="1"/>
  <c r="O26" i="1"/>
  <c r="N26" i="1"/>
  <c r="M26" i="1"/>
  <c r="R24" i="1"/>
  <c r="Q24" i="1"/>
  <c r="O24" i="1"/>
  <c r="N24" i="1"/>
  <c r="M24" i="1"/>
  <c r="R23" i="1"/>
  <c r="Q23" i="1"/>
  <c r="O23" i="1"/>
  <c r="N23" i="1"/>
  <c r="M23" i="1"/>
  <c r="R21" i="1"/>
  <c r="Q21" i="1"/>
  <c r="O21" i="1"/>
  <c r="N21" i="1"/>
  <c r="M21" i="1"/>
  <c r="R19" i="1"/>
  <c r="Q19" i="1"/>
  <c r="O19" i="1"/>
  <c r="N19" i="1"/>
  <c r="M19" i="1"/>
  <c r="R18" i="1"/>
  <c r="Q18" i="1"/>
  <c r="O18" i="1"/>
  <c r="N18" i="1"/>
  <c r="M18" i="1"/>
  <c r="R16" i="1"/>
  <c r="Q16" i="1"/>
  <c r="O16" i="1"/>
  <c r="N16" i="1"/>
  <c r="M16" i="1"/>
  <c r="R14" i="1"/>
  <c r="Q14" i="1"/>
  <c r="O14" i="1"/>
  <c r="N14" i="1"/>
  <c r="M14" i="1"/>
  <c r="R13" i="1"/>
  <c r="Q13" i="1"/>
  <c r="O13" i="1"/>
  <c r="N13" i="1"/>
  <c r="M13" i="1"/>
  <c r="R12" i="1"/>
  <c r="Q12" i="1"/>
  <c r="O12" i="1"/>
  <c r="N12" i="1"/>
  <c r="M12" i="1"/>
  <c r="R11" i="1"/>
  <c r="Q11" i="1"/>
  <c r="O11" i="1"/>
  <c r="N11" i="1"/>
  <c r="M11" i="1"/>
  <c r="R7" i="1"/>
  <c r="Q7" i="1"/>
  <c r="O7" i="1"/>
  <c r="N7" i="1"/>
  <c r="M7" i="1"/>
  <c r="R6" i="1"/>
  <c r="Q6" i="1"/>
  <c r="O6" i="1"/>
  <c r="N6" i="1"/>
  <c r="M6" i="1"/>
  <c r="R5" i="1"/>
  <c r="Q5" i="1"/>
  <c r="O5" i="1"/>
  <c r="N5" i="1"/>
  <c r="M5" i="1"/>
  <c r="O4" i="1"/>
  <c r="M4" i="1"/>
  <c r="R4" i="1"/>
  <c r="Q4" i="1"/>
  <c r="N4" i="1"/>
  <c r="P19" i="2" l="1"/>
  <c r="P14" i="2"/>
  <c r="P51" i="2"/>
  <c r="S14" i="2"/>
  <c r="S26" i="2"/>
  <c r="P29" i="2"/>
  <c r="S24" i="2"/>
  <c r="P36" i="2"/>
  <c r="S38" i="2"/>
  <c r="P49" i="2"/>
  <c r="S29" i="2"/>
  <c r="P50" i="1"/>
  <c r="P51" i="1"/>
  <c r="P57" i="1"/>
  <c r="P14" i="1"/>
  <c r="S42" i="1"/>
  <c r="S38" i="1"/>
  <c r="P35" i="1"/>
  <c r="S37" i="1"/>
  <c r="S16" i="1"/>
  <c r="P19" i="1"/>
  <c r="S33" i="1"/>
  <c r="S43" i="1"/>
  <c r="S36" i="1"/>
  <c r="S18" i="1"/>
  <c r="P33" i="1"/>
  <c r="P46" i="1"/>
  <c r="S44" i="1"/>
  <c r="S7" i="1"/>
  <c r="P12" i="1"/>
  <c r="P41" i="1"/>
  <c r="P29" i="1"/>
  <c r="P36" i="1"/>
  <c r="P44" i="1"/>
  <c r="S54" i="1"/>
  <c r="P55" i="1"/>
  <c r="S51" i="2"/>
  <c r="S49" i="2"/>
  <c r="P11" i="2"/>
  <c r="P9" i="2"/>
  <c r="P56" i="1"/>
  <c r="P53" i="1"/>
  <c r="P42" i="1"/>
  <c r="P43" i="1"/>
  <c r="P37" i="1"/>
  <c r="S35" i="1"/>
  <c r="S29" i="1"/>
  <c r="S5" i="1"/>
  <c r="S6" i="1"/>
  <c r="S28" i="1"/>
  <c r="P28" i="1"/>
  <c r="S30" i="1"/>
  <c r="P30" i="1"/>
  <c r="S24" i="1"/>
  <c r="P31" i="1"/>
  <c r="P6" i="1"/>
  <c r="P11" i="1"/>
  <c r="P5" i="1"/>
  <c r="P7" i="1"/>
  <c r="P13" i="1"/>
  <c r="P21" i="1"/>
  <c r="P16" i="1"/>
  <c r="S12" i="1"/>
  <c r="S26" i="1"/>
  <c r="S11" i="1"/>
  <c r="S31" i="1"/>
  <c r="P26" i="1"/>
  <c r="S23" i="1"/>
  <c r="S4" i="1"/>
  <c r="S21" i="1"/>
  <c r="P24" i="1"/>
  <c r="P23" i="1"/>
  <c r="S19" i="1"/>
  <c r="P18" i="1"/>
  <c r="S14" i="1"/>
  <c r="S13" i="1"/>
  <c r="P4" i="1"/>
</calcChain>
</file>

<file path=xl/sharedStrings.xml><?xml version="1.0" encoding="utf-8"?>
<sst xmlns="http://schemas.openxmlformats.org/spreadsheetml/2006/main" count="771" uniqueCount="54">
  <si>
    <t>Descision Tree</t>
  </si>
  <si>
    <t>Parametros Default</t>
  </si>
  <si>
    <t>Inputs</t>
  </si>
  <si>
    <t>Score</t>
  </si>
  <si>
    <t>Acc</t>
  </si>
  <si>
    <t>P</t>
  </si>
  <si>
    <t>R</t>
  </si>
  <si>
    <t>Fmeasure</t>
  </si>
  <si>
    <t>0,92</t>
  </si>
  <si>
    <t>Age</t>
  </si>
  <si>
    <t>MaritualStatus</t>
  </si>
  <si>
    <t>Education</t>
  </si>
  <si>
    <t>CapitalGain</t>
  </si>
  <si>
    <t>CapitalLoss</t>
  </si>
  <si>
    <t>&gt;50k</t>
  </si>
  <si>
    <t>&lt;=50k</t>
  </si>
  <si>
    <t>Hoursperweek</t>
  </si>
  <si>
    <t>Occupation</t>
  </si>
  <si>
    <t>Sex</t>
  </si>
  <si>
    <t>Discrete</t>
  </si>
  <si>
    <t>Minimum Support - 1000</t>
  </si>
  <si>
    <t>Minimum Support - 100</t>
  </si>
  <si>
    <t>Minimum Support - 2000</t>
  </si>
  <si>
    <t>Minimum Support - 500</t>
  </si>
  <si>
    <t>Split method - 2</t>
  </si>
  <si>
    <t>Split method - 1</t>
  </si>
  <si>
    <t>Score method - 1</t>
  </si>
  <si>
    <t>Score method - 3</t>
  </si>
  <si>
    <t>Naive Bayes</t>
  </si>
  <si>
    <t>Rede Neuronal</t>
  </si>
  <si>
    <t>Hidden Node Ratio - 10</t>
  </si>
  <si>
    <t>Hidden Node Ratio - 2</t>
  </si>
  <si>
    <t>Hidden Node Ratio - 8</t>
  </si>
  <si>
    <t>Discretized</t>
  </si>
  <si>
    <t>0,91</t>
  </si>
  <si>
    <t>TP</t>
  </si>
  <si>
    <t>TN</t>
  </si>
  <si>
    <t>FP</t>
  </si>
  <si>
    <t>FN</t>
  </si>
  <si>
    <t>New Datatypes</t>
  </si>
  <si>
    <t>0,90</t>
  </si>
  <si>
    <t>0,89</t>
  </si>
  <si>
    <t>0,87</t>
  </si>
  <si>
    <t>0,84</t>
  </si>
  <si>
    <t>0,93</t>
  </si>
  <si>
    <t>Regressão Logística</t>
  </si>
  <si>
    <t>Análise de Associação</t>
  </si>
  <si>
    <t>K-Means</t>
  </si>
  <si>
    <t>0,94</t>
  </si>
  <si>
    <t>Cluster Count 0</t>
  </si>
  <si>
    <t>Cluster Count 3</t>
  </si>
  <si>
    <t>0,88</t>
  </si>
  <si>
    <t>0,86</t>
  </si>
  <si>
    <t>Cluster Count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</si>
</sst>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1"/>
    <xf numFmtId="0" fontId="1" fillId="0" borderId="0" xfId="1" applyFill="1"/>
    <xf numFmtId="0" fontId="2" fillId="0" borderId="0" xfId="1" applyFont="1" applyFill="1"/>
    <xf numFmtId="0" fontId="4" fillId="6" borderId="1" xfId="3"/>
    <xf numFmtId="0" fontId="3" fillId="5" borderId="0" xfId="2"/>
    <xf numFmtId="2" fontId="3" fillId="5" borderId="0" xfId="2" applyNumberFormat="1" applyAlignment="1">
      <alignment horizontal="center"/>
    </xf>
    <xf numFmtId="0" fontId="4" fillId="0" borderId="1" xfId="3" applyFill="1"/>
    <xf numFmtId="0" fontId="3" fillId="0" borderId="0" xfId="2" applyFill="1"/>
    <xf numFmtId="0" fontId="0" fillId="0" borderId="0" xfId="0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4">
    <cellStyle name="Good" xfId="2" builtinId="26"/>
    <cellStyle name="Input" xfId="3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9455-E997-42FE-9C36-1F409FB01350}">
  <dimension ref="A2:W59"/>
  <sheetViews>
    <sheetView topLeftCell="A23" workbookViewId="0">
      <selection activeCell="R51" sqref="R51"/>
    </sheetView>
  </sheetViews>
  <sheetFormatPr defaultRowHeight="15" x14ac:dyDescent="0.25"/>
  <cols>
    <col min="1" max="1" width="20.28515625" customWidth="1"/>
    <col min="2" max="2" width="25.5703125" customWidth="1"/>
    <col min="3" max="3" width="12" customWidth="1"/>
    <col min="4" max="4" width="14.140625" customWidth="1"/>
    <col min="7" max="8" width="11.140625" customWidth="1"/>
    <col min="9" max="9" width="13.7109375" customWidth="1"/>
    <col min="10" max="10" width="12" customWidth="1"/>
    <col min="12" max="13" width="9.140625" style="2"/>
    <col min="14" max="14" width="12.5703125" style="2" customWidth="1"/>
    <col min="15" max="15" width="9.140625" style="2"/>
    <col min="16" max="16" width="10.85546875" style="2" customWidth="1"/>
    <col min="17" max="19" width="9.140625" style="2"/>
    <col min="20" max="20" width="18.85546875" customWidth="1"/>
  </cols>
  <sheetData>
    <row r="2" spans="1:23" x14ac:dyDescent="0.25">
      <c r="C2" s="11" t="s">
        <v>2</v>
      </c>
      <c r="D2" s="11"/>
      <c r="E2" s="11"/>
      <c r="F2" s="11"/>
      <c r="G2" s="11"/>
      <c r="H2" s="11"/>
      <c r="I2" s="11"/>
      <c r="J2" s="11"/>
      <c r="N2" s="12" t="s">
        <v>14</v>
      </c>
      <c r="O2" s="12"/>
      <c r="P2" s="12"/>
      <c r="Q2" s="13" t="s">
        <v>15</v>
      </c>
      <c r="R2" s="13"/>
      <c r="S2" s="13"/>
    </row>
    <row r="3" spans="1:23" x14ac:dyDescent="0.25">
      <c r="C3" t="s">
        <v>9</v>
      </c>
      <c r="D3" t="s">
        <v>10</v>
      </c>
      <c r="E3" t="s">
        <v>11</v>
      </c>
      <c r="F3" t="s">
        <v>18</v>
      </c>
      <c r="G3" t="s">
        <v>12</v>
      </c>
      <c r="H3" t="s">
        <v>13</v>
      </c>
      <c r="I3" t="s">
        <v>16</v>
      </c>
      <c r="J3" t="s">
        <v>17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5</v>
      </c>
      <c r="R3" s="2" t="s">
        <v>6</v>
      </c>
      <c r="S3" s="2" t="s">
        <v>7</v>
      </c>
      <c r="V3" s="2" t="s">
        <v>36</v>
      </c>
      <c r="W3" s="2" t="s">
        <v>38</v>
      </c>
    </row>
    <row r="4" spans="1:23" x14ac:dyDescent="0.25">
      <c r="A4" t="s">
        <v>0</v>
      </c>
      <c r="B4" t="s">
        <v>1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L4" s="2" t="s">
        <v>8</v>
      </c>
      <c r="M4" s="2">
        <f>(6359+1196)/(6359+1139+1196+354)</f>
        <v>0.83499115826702031</v>
      </c>
      <c r="N4" s="2">
        <f>1196/(1196+354)</f>
        <v>0.77161290322580645</v>
      </c>
      <c r="O4" s="2">
        <f>1196/(1196+1139)</f>
        <v>0.51220556745182011</v>
      </c>
      <c r="P4" s="2">
        <f t="shared" ref="P4" si="0">2*N4*O4/(N4+O4)</f>
        <v>0.61570141570141568</v>
      </c>
      <c r="Q4" s="2">
        <f>6359/(6359+1139)</f>
        <v>0.84809282475326753</v>
      </c>
      <c r="R4" s="2">
        <f>6359/(6359+354)</f>
        <v>0.94726649784001193</v>
      </c>
      <c r="S4" s="2">
        <f t="shared" ref="S4" si="1">2*Q4*R4/(Q4+R4)</f>
        <v>0.89494053901906967</v>
      </c>
      <c r="V4" s="1" t="s">
        <v>37</v>
      </c>
      <c r="W4" s="1" t="s">
        <v>35</v>
      </c>
    </row>
    <row r="5" spans="1:23" x14ac:dyDescent="0.25">
      <c r="A5" t="s">
        <v>0</v>
      </c>
      <c r="B5" t="s">
        <v>1</v>
      </c>
      <c r="C5" s="3" t="s">
        <v>33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L5" s="2" t="s">
        <v>34</v>
      </c>
      <c r="M5" s="2">
        <f>(6385+1128)/(6385+1128+1207+328)</f>
        <v>0.83034924845269675</v>
      </c>
      <c r="N5" s="2">
        <f>1128/(1128+328)</f>
        <v>0.77472527472527475</v>
      </c>
      <c r="O5" s="2">
        <f>1128/(1128+1207)</f>
        <v>0.48308351177730191</v>
      </c>
      <c r="P5" s="2">
        <f>2*N5*O5/(N5+O5)</f>
        <v>0.59509364283830124</v>
      </c>
      <c r="Q5" s="2">
        <f>6385/(6385 + 1207)</f>
        <v>0.84101685985247632</v>
      </c>
      <c r="R5" s="2">
        <f>6385/(6385 + 328)</f>
        <v>0.95113957991955911</v>
      </c>
      <c r="S5" s="2">
        <f>2*Q5*R5/(Q5+R5)</f>
        <v>0.89269486193638581</v>
      </c>
    </row>
    <row r="6" spans="1:23" x14ac:dyDescent="0.25">
      <c r="A6" t="s">
        <v>0</v>
      </c>
      <c r="B6" t="s">
        <v>1</v>
      </c>
      <c r="C6" t="s">
        <v>33</v>
      </c>
      <c r="D6" t="s">
        <v>19</v>
      </c>
      <c r="E6" t="s">
        <v>19</v>
      </c>
      <c r="F6" t="s">
        <v>19</v>
      </c>
      <c r="G6" s="3" t="s">
        <v>33</v>
      </c>
      <c r="H6" s="3" t="s">
        <v>33</v>
      </c>
      <c r="I6" t="s">
        <v>19</v>
      </c>
      <c r="J6" t="s">
        <v>19</v>
      </c>
      <c r="L6" s="2" t="s">
        <v>34</v>
      </c>
      <c r="M6" s="2">
        <f>(6329 + 1236)/(6329 + 1236 + 384 + 1099)</f>
        <v>0.8360963748894783</v>
      </c>
      <c r="N6" s="2">
        <f>1236/(1236 + 384)</f>
        <v>0.76296296296296295</v>
      </c>
      <c r="O6" s="2">
        <f>1236/(1236 + 1099)</f>
        <v>0.52933618843683083</v>
      </c>
      <c r="P6" s="2">
        <f>2*N6*O6/(N6+O6)</f>
        <v>0.62503160556257897</v>
      </c>
      <c r="Q6" s="2">
        <f>6329/(6329 + 1099)</f>
        <v>0.85204631125471186</v>
      </c>
      <c r="R6" s="2">
        <f>6329/(6329 + 384)</f>
        <v>0.94279755697899603</v>
      </c>
      <c r="S6" s="2">
        <f>2*Q6*R6/(Q6+R6)</f>
        <v>0.89512764302383152</v>
      </c>
    </row>
    <row r="7" spans="1:23" x14ac:dyDescent="0.25">
      <c r="A7" t="s">
        <v>0</v>
      </c>
      <c r="B7" t="s">
        <v>1</v>
      </c>
      <c r="C7" t="s">
        <v>33</v>
      </c>
      <c r="D7" t="s">
        <v>19</v>
      </c>
      <c r="E7" t="s">
        <v>19</v>
      </c>
      <c r="F7" t="s">
        <v>19</v>
      </c>
      <c r="G7" t="s">
        <v>33</v>
      </c>
      <c r="H7" t="s">
        <v>33</v>
      </c>
      <c r="I7" s="3" t="s">
        <v>33</v>
      </c>
      <c r="J7" t="s">
        <v>19</v>
      </c>
      <c r="L7" s="2" t="s">
        <v>34</v>
      </c>
      <c r="M7" s="2">
        <f>(6358 + 1216)/(6358 + 1216 + 355 + 1119)</f>
        <v>0.83709106984969051</v>
      </c>
      <c r="N7" s="2">
        <f xml:space="preserve"> 1216/( 1216 + 355)</f>
        <v>0.77402928071292165</v>
      </c>
      <c r="O7" s="2">
        <f xml:space="preserve"> 1216/( 1216 + 1119)</f>
        <v>0.52077087794432553</v>
      </c>
      <c r="P7" s="2">
        <f>2*N7*O7/(N7+O7)</f>
        <v>0.6226318484383</v>
      </c>
      <c r="Q7" s="2">
        <f>6358/(6358+1119)</f>
        <v>0.8503410458740136</v>
      </c>
      <c r="R7" s="2">
        <f>6358/(6358+355)</f>
        <v>0.94711753314464475</v>
      </c>
      <c r="S7" s="2">
        <f>2*Q7*R7/(Q7+R7)</f>
        <v>0.89612403100775195</v>
      </c>
    </row>
    <row r="9" spans="1:23" x14ac:dyDescent="0.25">
      <c r="B9" s="6" t="s">
        <v>39</v>
      </c>
      <c r="C9" s="6" t="s">
        <v>33</v>
      </c>
      <c r="D9" s="6" t="s">
        <v>19</v>
      </c>
      <c r="E9" s="6" t="s">
        <v>19</v>
      </c>
      <c r="F9" s="6" t="s">
        <v>19</v>
      </c>
      <c r="G9" s="6" t="s">
        <v>33</v>
      </c>
      <c r="H9" s="6" t="s">
        <v>33</v>
      </c>
      <c r="I9" s="6" t="s">
        <v>33</v>
      </c>
      <c r="J9" s="6" t="s">
        <v>19</v>
      </c>
    </row>
    <row r="11" spans="1:23" x14ac:dyDescent="0.25">
      <c r="A11" t="s">
        <v>0</v>
      </c>
      <c r="B11" s="3" t="s">
        <v>21</v>
      </c>
      <c r="C11" t="s">
        <v>33</v>
      </c>
      <c r="D11" t="s">
        <v>19</v>
      </c>
      <c r="E11" t="s">
        <v>19</v>
      </c>
      <c r="F11" t="s">
        <v>19</v>
      </c>
      <c r="G11" t="s">
        <v>33</v>
      </c>
      <c r="H11" t="s">
        <v>33</v>
      </c>
      <c r="I11" s="5" t="s">
        <v>33</v>
      </c>
      <c r="J11" t="s">
        <v>19</v>
      </c>
      <c r="L11" s="2" t="s">
        <v>8</v>
      </c>
      <c r="M11" s="2">
        <f>(6306 + 1270)/(6306 + 1270 + 1065 + 407)</f>
        <v>0.83731211317418219</v>
      </c>
      <c r="N11" s="2">
        <f>(1270)/(1270 + 407)</f>
        <v>0.75730471079308292</v>
      </c>
      <c r="O11" s="2">
        <f>(1270)/(1270 + 1065)</f>
        <v>0.54389721627408993</v>
      </c>
      <c r="P11" s="2">
        <f>2*N11*O11/(N11+O11)</f>
        <v>0.63310069790628121</v>
      </c>
      <c r="Q11" s="2">
        <f>6306/(6306 + 1065)</f>
        <v>0.85551485551485551</v>
      </c>
      <c r="R11" s="2">
        <f>6306/(6306 + 407)</f>
        <v>0.9393713689855504</v>
      </c>
      <c r="S11" s="2">
        <f>2*Q11*R11/(Q11+R11)</f>
        <v>0.89548423743254768</v>
      </c>
    </row>
    <row r="12" spans="1:23" x14ac:dyDescent="0.25">
      <c r="A12" t="s">
        <v>0</v>
      </c>
      <c r="B12" s="3" t="s">
        <v>23</v>
      </c>
      <c r="C12" t="s">
        <v>33</v>
      </c>
      <c r="D12" t="s">
        <v>19</v>
      </c>
      <c r="E12" t="s">
        <v>19</v>
      </c>
      <c r="F12" t="s">
        <v>19</v>
      </c>
      <c r="G12" t="s">
        <v>33</v>
      </c>
      <c r="H12" t="s">
        <v>33</v>
      </c>
      <c r="I12" s="5" t="s">
        <v>33</v>
      </c>
      <c r="J12" t="s">
        <v>19</v>
      </c>
      <c r="L12" s="2" t="s">
        <v>40</v>
      </c>
      <c r="M12" s="2">
        <f>(6172 + 1307)/(6172 + 1307 + 1028 + 541)</f>
        <v>0.82659151193633951</v>
      </c>
      <c r="N12" s="2">
        <f>1307/(1307 + 541)</f>
        <v>0.70725108225108224</v>
      </c>
      <c r="O12" s="2">
        <f>1307/(1307 + 1028)</f>
        <v>0.55974304068522485</v>
      </c>
      <c r="P12" s="2">
        <f>2*N12*O12/(N12 + O12)</f>
        <v>0.62491035142242413</v>
      </c>
      <c r="Q12" s="2">
        <f>6172/(6172 + 1028)</f>
        <v>0.85722222222222222</v>
      </c>
      <c r="R12" s="2">
        <f>6172/(6172 + 541)</f>
        <v>0.91941009980634592</v>
      </c>
      <c r="S12" s="2">
        <f>2*Q12*R12/(Q12+R12)</f>
        <v>0.88722777258678931</v>
      </c>
    </row>
    <row r="13" spans="1:23" x14ac:dyDescent="0.25">
      <c r="A13" t="s">
        <v>0</v>
      </c>
      <c r="B13" s="3" t="s">
        <v>20</v>
      </c>
      <c r="C13" t="s">
        <v>33</v>
      </c>
      <c r="D13" t="s">
        <v>19</v>
      </c>
      <c r="E13" t="s">
        <v>19</v>
      </c>
      <c r="F13" t="s">
        <v>19</v>
      </c>
      <c r="G13" t="s">
        <v>33</v>
      </c>
      <c r="H13" t="s">
        <v>33</v>
      </c>
      <c r="I13" s="5" t="s">
        <v>33</v>
      </c>
      <c r="J13" t="s">
        <v>19</v>
      </c>
      <c r="L13" s="2" t="s">
        <v>41</v>
      </c>
      <c r="M13" s="2">
        <f>(6065 + 1229)/(6065 + 1229 + 1106 + 648)</f>
        <v>0.80614500442086645</v>
      </c>
      <c r="N13" s="2">
        <f>1229/(1229 + 648)</f>
        <v>0.65476824720298343</v>
      </c>
      <c r="O13" s="2">
        <f>1229/(1229 + 1106)</f>
        <v>0.52633832976445394</v>
      </c>
      <c r="P13" s="2">
        <f>2*N13*O13/(N13 + O13)</f>
        <v>0.58357075023741689</v>
      </c>
      <c r="Q13" s="2">
        <f>(6065)/(6065 + 1106)</f>
        <v>0.84576767535908526</v>
      </c>
      <c r="R13" s="2">
        <f>(6065)/(6065 + 648)</f>
        <v>0.90347087740205567</v>
      </c>
      <c r="S13" s="2">
        <f>2*Q13*R13/(Q13+R13)</f>
        <v>0.87366753097090177</v>
      </c>
    </row>
    <row r="14" spans="1:23" x14ac:dyDescent="0.25">
      <c r="A14" t="s">
        <v>0</v>
      </c>
      <c r="B14" s="3" t="s">
        <v>22</v>
      </c>
      <c r="C14" t="s">
        <v>33</v>
      </c>
      <c r="D14" t="s">
        <v>19</v>
      </c>
      <c r="E14" t="s">
        <v>19</v>
      </c>
      <c r="F14" t="s">
        <v>19</v>
      </c>
      <c r="G14" t="s">
        <v>33</v>
      </c>
      <c r="H14" t="s">
        <v>33</v>
      </c>
      <c r="I14" s="5" t="s">
        <v>33</v>
      </c>
      <c r="J14" t="s">
        <v>19</v>
      </c>
      <c r="L14" s="2" t="s">
        <v>42</v>
      </c>
      <c r="M14" s="2">
        <f>(6126 + 878)/(6126 + 878 + 1457 + 587)</f>
        <v>0.7740937223695844</v>
      </c>
      <c r="N14" s="2">
        <f>(878)/(878 + 587)</f>
        <v>0.59931740614334472</v>
      </c>
      <c r="O14" s="2">
        <f>(878)/(878 + 1457)</f>
        <v>0.37601713062098502</v>
      </c>
      <c r="P14" s="2">
        <f>2*N14*O14/(N14 + O14)</f>
        <v>0.46210526315789474</v>
      </c>
      <c r="Q14" s="2">
        <f>(6126)/(6126+ 1457)</f>
        <v>0.8078596861400501</v>
      </c>
      <c r="R14" s="2">
        <f>(6126)/(6126 + 587)</f>
        <v>0.91255772381945477</v>
      </c>
      <c r="S14" s="2">
        <f>2*Q14*R14/(Q14+R14)</f>
        <v>0.85702294348069397</v>
      </c>
    </row>
    <row r="15" spans="1:23" x14ac:dyDescent="0.25">
      <c r="B15" s="4"/>
      <c r="I15" s="5"/>
    </row>
    <row r="16" spans="1:23" x14ac:dyDescent="0.25">
      <c r="A16" s="7" t="s">
        <v>0</v>
      </c>
      <c r="B16" s="7" t="s">
        <v>21</v>
      </c>
      <c r="C16" s="7" t="s">
        <v>33</v>
      </c>
      <c r="D16" s="7" t="s">
        <v>19</v>
      </c>
      <c r="E16" s="7" t="s">
        <v>19</v>
      </c>
      <c r="F16" s="7" t="s">
        <v>19</v>
      </c>
      <c r="G16" s="7" t="s">
        <v>33</v>
      </c>
      <c r="H16" s="7" t="s">
        <v>33</v>
      </c>
      <c r="I16" s="7" t="s">
        <v>33</v>
      </c>
      <c r="J16" s="7" t="s">
        <v>19</v>
      </c>
      <c r="K16" s="7"/>
      <c r="L16" s="8" t="s">
        <v>8</v>
      </c>
      <c r="M16" s="8">
        <f>(6306 + 1270)/(6306 + 1270 + 1065 + 407)</f>
        <v>0.83731211317418219</v>
      </c>
      <c r="N16" s="8">
        <f>(1270)/(1270 + 407)</f>
        <v>0.75730471079308292</v>
      </c>
      <c r="O16" s="8">
        <f>(1270)/(1270 + 1065)</f>
        <v>0.54389721627408993</v>
      </c>
      <c r="P16" s="8">
        <f>2*N16*O16/(N16+O16)</f>
        <v>0.63310069790628121</v>
      </c>
      <c r="Q16" s="8">
        <f>6306/(6306 + 1065)</f>
        <v>0.85551485551485551</v>
      </c>
      <c r="R16" s="8">
        <f>6306/(6306 + 407)</f>
        <v>0.9393713689855504</v>
      </c>
      <c r="S16" s="8">
        <f>2*Q16*R16/(Q16+R16)</f>
        <v>0.89548423743254768</v>
      </c>
    </row>
    <row r="18" spans="1:19" x14ac:dyDescent="0.25">
      <c r="A18" t="s">
        <v>0</v>
      </c>
      <c r="B18" s="3" t="s">
        <v>24</v>
      </c>
      <c r="C18" t="s">
        <v>33</v>
      </c>
      <c r="D18" t="s">
        <v>19</v>
      </c>
      <c r="E18" t="s">
        <v>19</v>
      </c>
      <c r="F18" t="s">
        <v>19</v>
      </c>
      <c r="G18" t="s">
        <v>33</v>
      </c>
      <c r="H18" t="s">
        <v>33</v>
      </c>
      <c r="I18" s="5" t="s">
        <v>33</v>
      </c>
      <c r="J18" t="s">
        <v>19</v>
      </c>
      <c r="L18" s="2" t="s">
        <v>43</v>
      </c>
      <c r="M18" s="2">
        <f>(6430 + 377)/(6430 + 377 + 1958 + 283)</f>
        <v>0.75232095490716178</v>
      </c>
      <c r="N18" s="2">
        <f>(377)/(377 + 283)</f>
        <v>0.57121212121212117</v>
      </c>
      <c r="O18" s="2">
        <f>(377)/(377 + 1958)</f>
        <v>0.16145610278372591</v>
      </c>
      <c r="P18" s="2">
        <f>2*N18*O18/(N18 + O18)</f>
        <v>0.25175292153589313</v>
      </c>
      <c r="Q18" s="2">
        <f>(6430)/(6430 + 1958)</f>
        <v>0.76657129232236532</v>
      </c>
      <c r="R18" s="2">
        <f>(6430)/(6430 + 283)</f>
        <v>0.95784299121108296</v>
      </c>
      <c r="S18" s="2">
        <f>2*Q18*R18/(Q18+R18)</f>
        <v>0.85159923183895114</v>
      </c>
    </row>
    <row r="19" spans="1:19" x14ac:dyDescent="0.25">
      <c r="A19" t="s">
        <v>0</v>
      </c>
      <c r="B19" s="3" t="s">
        <v>25</v>
      </c>
      <c r="C19" t="s">
        <v>33</v>
      </c>
      <c r="D19" t="s">
        <v>19</v>
      </c>
      <c r="E19" t="s">
        <v>19</v>
      </c>
      <c r="F19" t="s">
        <v>19</v>
      </c>
      <c r="G19" t="s">
        <v>33</v>
      </c>
      <c r="H19" t="s">
        <v>33</v>
      </c>
      <c r="I19" s="5" t="s">
        <v>33</v>
      </c>
      <c r="J19" t="s">
        <v>19</v>
      </c>
      <c r="L19" s="2" t="s">
        <v>8</v>
      </c>
      <c r="M19" s="2">
        <f>(6280 + 1306)/(6280 + 1306 + 1029 + 433)</f>
        <v>0.83841732979664019</v>
      </c>
      <c r="N19" s="2">
        <f>(1306)/(1306 + 433)</f>
        <v>0.7510063254744106</v>
      </c>
      <c r="O19" s="2">
        <f>(1306)/(1306 + 1029)</f>
        <v>0.55931477516059958</v>
      </c>
      <c r="P19" s="2">
        <f>2*N19*O19/(N19 + O19)</f>
        <v>0.64113892979872356</v>
      </c>
      <c r="Q19" s="2">
        <f>(6280)/(6280 + 1029)</f>
        <v>0.8592146668490902</v>
      </c>
      <c r="R19" s="2">
        <f>(6280)/(6280 + 433)</f>
        <v>0.93549828690600323</v>
      </c>
      <c r="S19" s="2">
        <f>2*Q19*R19/(Q19+R19)</f>
        <v>0.89573527314220502</v>
      </c>
    </row>
    <row r="21" spans="1:19" x14ac:dyDescent="0.25">
      <c r="A21" s="7" t="s">
        <v>0</v>
      </c>
      <c r="B21" s="7" t="s">
        <v>21</v>
      </c>
      <c r="C21" s="7" t="s">
        <v>33</v>
      </c>
      <c r="D21" s="7" t="s">
        <v>19</v>
      </c>
      <c r="E21" s="7" t="s">
        <v>19</v>
      </c>
      <c r="F21" s="7" t="s">
        <v>19</v>
      </c>
      <c r="G21" s="7" t="s">
        <v>33</v>
      </c>
      <c r="H21" s="7" t="s">
        <v>33</v>
      </c>
      <c r="I21" s="7" t="s">
        <v>33</v>
      </c>
      <c r="J21" s="7" t="s">
        <v>19</v>
      </c>
      <c r="K21" s="7"/>
      <c r="L21" s="8" t="s">
        <v>8</v>
      </c>
      <c r="M21" s="8">
        <f>(6306 + 1270)/(6306 + 1270 + 1065 + 407)</f>
        <v>0.83731211317418219</v>
      </c>
      <c r="N21" s="8">
        <f>(1270)/(1270 + 407)</f>
        <v>0.75730471079308292</v>
      </c>
      <c r="O21" s="8">
        <f>(1270)/(1270 + 1065)</f>
        <v>0.54389721627408993</v>
      </c>
      <c r="P21" s="8">
        <f>2*N21*O21/(N21+O21)</f>
        <v>0.63310069790628121</v>
      </c>
      <c r="Q21" s="8">
        <f>6306/(6306 + 1065)</f>
        <v>0.85551485551485551</v>
      </c>
      <c r="R21" s="8">
        <f>6306/(6306 + 407)</f>
        <v>0.9393713689855504</v>
      </c>
      <c r="S21" s="8">
        <f>2*Q21*R21/(Q21+R21)</f>
        <v>0.89548423743254768</v>
      </c>
    </row>
    <row r="23" spans="1:19" x14ac:dyDescent="0.25">
      <c r="A23" t="s">
        <v>0</v>
      </c>
      <c r="B23" s="3" t="s">
        <v>26</v>
      </c>
      <c r="C23" t="s">
        <v>33</v>
      </c>
      <c r="D23" t="s">
        <v>19</v>
      </c>
      <c r="E23" t="s">
        <v>19</v>
      </c>
      <c r="F23" t="s">
        <v>19</v>
      </c>
      <c r="G23" t="s">
        <v>33</v>
      </c>
      <c r="H23" t="s">
        <v>33</v>
      </c>
      <c r="I23" s="5" t="s">
        <v>33</v>
      </c>
      <c r="J23" t="s">
        <v>19</v>
      </c>
      <c r="L23" s="2" t="s">
        <v>34</v>
      </c>
      <c r="M23" s="2">
        <f>(6306 + 1266)/(6306 + 1266 + 1069 + 406)</f>
        <v>0.83696252901514312</v>
      </c>
      <c r="N23" s="2">
        <f>(1266)/(1266 + 406)</f>
        <v>0.75717703349282295</v>
      </c>
      <c r="O23" s="2">
        <f>(1266)/(1266 + 1069)</f>
        <v>0.54218415417558885</v>
      </c>
      <c r="P23" s="2">
        <f>2*N23*O23/(N23 + O23)</f>
        <v>0.6318941851759422</v>
      </c>
      <c r="Q23" s="2">
        <f>(6306)/(6306 + 1069)</f>
        <v>0.85505084745762716</v>
      </c>
      <c r="R23" s="2">
        <f>(6306)/(6306 + 406)</f>
        <v>0.93951132300357565</v>
      </c>
      <c r="S23" s="2">
        <f>2*Q23*R23/(Q23 + R23)</f>
        <v>0.89529353304465109</v>
      </c>
    </row>
    <row r="24" spans="1:19" x14ac:dyDescent="0.25">
      <c r="A24" t="s">
        <v>0</v>
      </c>
      <c r="B24" s="3" t="s">
        <v>27</v>
      </c>
      <c r="C24" t="s">
        <v>33</v>
      </c>
      <c r="D24" t="s">
        <v>19</v>
      </c>
      <c r="E24" t="s">
        <v>19</v>
      </c>
      <c r="F24" t="s">
        <v>19</v>
      </c>
      <c r="G24" t="s">
        <v>33</v>
      </c>
      <c r="H24" t="s">
        <v>33</v>
      </c>
      <c r="I24" s="5" t="s">
        <v>33</v>
      </c>
      <c r="J24" t="s">
        <v>19</v>
      </c>
      <c r="L24" s="2" t="s">
        <v>8</v>
      </c>
      <c r="M24" s="2">
        <f>(6280 + 1306)/(6280 + 1306 + 1029 + 433)</f>
        <v>0.83841732979664019</v>
      </c>
      <c r="N24" s="2">
        <f>(1306)/(1306 + 433)</f>
        <v>0.7510063254744106</v>
      </c>
      <c r="O24" s="2">
        <f>(1306)/(1306 + 1029)</f>
        <v>0.55931477516059958</v>
      </c>
      <c r="P24" s="2">
        <f>2*N24*O24/(N24 + O24)</f>
        <v>0.64113892979872356</v>
      </c>
      <c r="Q24" s="2">
        <f>(6280)/(6280 + 1029)</f>
        <v>0.8592146668490902</v>
      </c>
      <c r="R24" s="2">
        <f>(6280)/(6280 + 433)</f>
        <v>0.93549828690600323</v>
      </c>
      <c r="S24" s="2">
        <f>2*Q24*R24/(Q24 + R24)</f>
        <v>0.89573527314220502</v>
      </c>
    </row>
    <row r="26" spans="1:19" x14ac:dyDescent="0.25">
      <c r="A26" s="7" t="s">
        <v>0</v>
      </c>
      <c r="B26" s="7" t="s">
        <v>21</v>
      </c>
      <c r="C26" s="7" t="s">
        <v>33</v>
      </c>
      <c r="D26" s="7" t="s">
        <v>19</v>
      </c>
      <c r="E26" s="7" t="s">
        <v>19</v>
      </c>
      <c r="F26" s="7" t="s">
        <v>19</v>
      </c>
      <c r="G26" s="7" t="s">
        <v>33</v>
      </c>
      <c r="H26" s="7" t="s">
        <v>33</v>
      </c>
      <c r="I26" s="7" t="s">
        <v>33</v>
      </c>
      <c r="J26" s="7" t="s">
        <v>19</v>
      </c>
      <c r="K26" s="7"/>
      <c r="L26" s="8" t="s">
        <v>8</v>
      </c>
      <c r="M26" s="8">
        <f>(6306 + 1270)/(6306 + 1270 + 1065 + 407)</f>
        <v>0.83731211317418219</v>
      </c>
      <c r="N26" s="8">
        <f>(1270)/(1270 + 407)</f>
        <v>0.75730471079308292</v>
      </c>
      <c r="O26" s="8">
        <f>(1270)/(1270 + 1065)</f>
        <v>0.54389721627408993</v>
      </c>
      <c r="P26" s="8">
        <f>2*N26*O26/(N26+O26)</f>
        <v>0.63310069790628121</v>
      </c>
      <c r="Q26" s="8">
        <f>6306/(6306 + 1065)</f>
        <v>0.85551485551485551</v>
      </c>
      <c r="R26" s="8">
        <f>6306/(6306 + 407)</f>
        <v>0.9393713689855504</v>
      </c>
      <c r="S26" s="8">
        <f>2*Q26*R26/(Q26+R26)</f>
        <v>0.89548423743254768</v>
      </c>
    </row>
    <row r="28" spans="1:19" x14ac:dyDescent="0.25">
      <c r="A28" s="3" t="s">
        <v>28</v>
      </c>
      <c r="B28" t="s">
        <v>1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L28" s="2" t="s">
        <v>44</v>
      </c>
      <c r="M28" s="2">
        <f>(6014 + 1720)/(6014 + 1720 + 699 + 615)</f>
        <v>0.85477453580901852</v>
      </c>
      <c r="N28" s="2">
        <f>(1720)/(1720 + 699)</f>
        <v>0.71103761885076477</v>
      </c>
      <c r="O28" s="2">
        <f>(1720)/(1720 + 615)</f>
        <v>0.7366167023554604</v>
      </c>
      <c r="P28" s="2">
        <f>2*N28*O28/(N28 + O28)</f>
        <v>0.72360117795540602</v>
      </c>
      <c r="Q28" s="2">
        <f>(6014)/(6014 + 615)</f>
        <v>0.90722582591642786</v>
      </c>
      <c r="R28" s="2">
        <f>(6014)/(6014 + 699)</f>
        <v>0.89587367793832862</v>
      </c>
      <c r="S28" s="2">
        <f>2*Q28*R28/(Q28 + R28)</f>
        <v>0.90151401588967173</v>
      </c>
    </row>
    <row r="29" spans="1:19" x14ac:dyDescent="0.25">
      <c r="A29" t="s">
        <v>28</v>
      </c>
      <c r="B29" t="s">
        <v>1</v>
      </c>
      <c r="C29" s="3" t="s">
        <v>33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L29" s="2" t="s">
        <v>44</v>
      </c>
      <c r="M29" s="2">
        <f>(6033+1696)/(6033+1696 + 639 + 680)</f>
        <v>0.85422192749778958</v>
      </c>
      <c r="N29" s="2">
        <f>(1696)/(1696 + 680)</f>
        <v>0.71380471380471378</v>
      </c>
      <c r="O29" s="2">
        <f>(1696)/(1696 + 639)</f>
        <v>0.726338329764454</v>
      </c>
      <c r="P29" s="2">
        <f>2*N29*O29/(N29 + O29)</f>
        <v>0.72001698153258331</v>
      </c>
      <c r="Q29" s="2">
        <f>(6033)/(6033 + 639)</f>
        <v>0.90422661870503596</v>
      </c>
      <c r="R29" s="2">
        <f>(6033)/(6033 + 680)</f>
        <v>0.89870400715030541</v>
      </c>
      <c r="S29" s="2">
        <f>2*Q29*R29/(Q29 + R29)</f>
        <v>0.90145685468808379</v>
      </c>
    </row>
    <row r="30" spans="1:19" x14ac:dyDescent="0.25">
      <c r="A30" t="s">
        <v>28</v>
      </c>
      <c r="B30" t="s">
        <v>1</v>
      </c>
      <c r="C30" t="s">
        <v>33</v>
      </c>
      <c r="D30" t="s">
        <v>19</v>
      </c>
      <c r="E30" t="s">
        <v>19</v>
      </c>
      <c r="F30" t="s">
        <v>19</v>
      </c>
      <c r="G30" s="3" t="s">
        <v>33</v>
      </c>
      <c r="H30" s="3" t="s">
        <v>33</v>
      </c>
      <c r="I30" t="s">
        <v>19</v>
      </c>
      <c r="J30" t="s">
        <v>19</v>
      </c>
      <c r="L30" s="2" t="s">
        <v>8</v>
      </c>
      <c r="M30" s="2">
        <f>(5941+ 1632)/(5941+ 1632 + 703 +772)</f>
        <v>0.83698054818744472</v>
      </c>
      <c r="N30" s="2">
        <f>(1632)/(1632 +772)</f>
        <v>0.67886855241264554</v>
      </c>
      <c r="O30" s="2">
        <f>(1632)/(1632 + 703)</f>
        <v>0.69892933618843678</v>
      </c>
      <c r="P30" s="2">
        <f>2*N30*O30/(N30 + O30)</f>
        <v>0.68875290145600332</v>
      </c>
      <c r="Q30" s="2">
        <f>(5941)/(5941 + 703)</f>
        <v>0.89419024683925341</v>
      </c>
      <c r="R30" s="2">
        <f>(5941)/(5941 +772)</f>
        <v>0.88499925517652311</v>
      </c>
      <c r="S30" s="2">
        <f>2*Q30*R30/(Q30 + R30)</f>
        <v>0.88957101145466788</v>
      </c>
    </row>
    <row r="31" spans="1:19" x14ac:dyDescent="0.25">
      <c r="A31" t="s">
        <v>28</v>
      </c>
      <c r="B31" t="s">
        <v>1</v>
      </c>
      <c r="C31" t="s">
        <v>33</v>
      </c>
      <c r="D31" t="s">
        <v>19</v>
      </c>
      <c r="E31" t="s">
        <v>19</v>
      </c>
      <c r="F31" t="s">
        <v>19</v>
      </c>
      <c r="G31" t="s">
        <v>33</v>
      </c>
      <c r="H31" t="s">
        <v>33</v>
      </c>
      <c r="I31" s="3" t="s">
        <v>33</v>
      </c>
      <c r="J31" t="s">
        <v>19</v>
      </c>
      <c r="L31" s="2" t="s">
        <v>8</v>
      </c>
      <c r="M31" s="2">
        <f>(5940 + 1641)/(5940 + 1641 + 694 + 773)</f>
        <v>0.83786472148541113</v>
      </c>
      <c r="N31" s="2">
        <f>(1641)/(1641 + 773)</f>
        <v>0.67978458989229495</v>
      </c>
      <c r="O31" s="2">
        <f>(1641)/(1641 + 694)</f>
        <v>0.70278372591006422</v>
      </c>
      <c r="P31" s="2">
        <f>2*N31*O31/(N31 + O31)</f>
        <v>0.69109286165508532</v>
      </c>
      <c r="Q31" s="2">
        <f>(5940)/(5940 + 694)</f>
        <v>0.89538739825143199</v>
      </c>
      <c r="R31" s="2">
        <f>(5940)/(5940 + 773)</f>
        <v>0.88485029048115593</v>
      </c>
      <c r="S31" s="2">
        <f>2*Q31*R31/(Q31 + R31)</f>
        <v>0.89008766014834795</v>
      </c>
    </row>
    <row r="33" spans="1:19" x14ac:dyDescent="0.25">
      <c r="A33" s="7" t="s">
        <v>28</v>
      </c>
      <c r="B33" s="7" t="s">
        <v>1</v>
      </c>
      <c r="C33" s="7" t="s">
        <v>19</v>
      </c>
      <c r="D33" s="7" t="s">
        <v>19</v>
      </c>
      <c r="E33" s="7" t="s">
        <v>19</v>
      </c>
      <c r="F33" s="7" t="s">
        <v>19</v>
      </c>
      <c r="G33" s="7" t="s">
        <v>19</v>
      </c>
      <c r="H33" s="7" t="s">
        <v>19</v>
      </c>
      <c r="I33" s="7" t="s">
        <v>19</v>
      </c>
      <c r="J33" s="7" t="s">
        <v>19</v>
      </c>
      <c r="K33" s="7"/>
      <c r="L33" s="8" t="s">
        <v>44</v>
      </c>
      <c r="M33" s="8">
        <f>(6014 + 1720)/(6014 + 1720 + 699 + 615)</f>
        <v>0.85477453580901852</v>
      </c>
      <c r="N33" s="8">
        <f>(1720)/(1720 + 699)</f>
        <v>0.71103761885076477</v>
      </c>
      <c r="O33" s="8">
        <f>(1720)/(1720 + 615)</f>
        <v>0.7366167023554604</v>
      </c>
      <c r="P33" s="8">
        <f>2*N33*O33/(N33 + O33)</f>
        <v>0.72360117795540602</v>
      </c>
      <c r="Q33" s="8">
        <f>(6014)/(6014 + 615)</f>
        <v>0.90722582591642786</v>
      </c>
      <c r="R33" s="8">
        <f>(6014)/(6014 + 699)</f>
        <v>0.89587367793832862</v>
      </c>
      <c r="S33" s="8">
        <f>2*Q33*R33/(Q33 + R33)</f>
        <v>0.90151401588967173</v>
      </c>
    </row>
    <row r="35" spans="1:19" x14ac:dyDescent="0.25">
      <c r="A35" s="3" t="s">
        <v>29</v>
      </c>
      <c r="B35" t="s">
        <v>1</v>
      </c>
      <c r="C35" t="s">
        <v>33</v>
      </c>
      <c r="D35" t="s">
        <v>19</v>
      </c>
      <c r="E35" t="s">
        <v>19</v>
      </c>
      <c r="F35" t="s">
        <v>19</v>
      </c>
      <c r="G35" t="s">
        <v>33</v>
      </c>
      <c r="H35" t="s">
        <v>33</v>
      </c>
      <c r="I35" s="5" t="s">
        <v>33</v>
      </c>
      <c r="J35" t="s">
        <v>19</v>
      </c>
      <c r="L35" s="2" t="s">
        <v>44</v>
      </c>
      <c r="M35" s="2">
        <f>(6183 + 1458)/(6183 + 1458 + 877 + 530)</f>
        <v>0.8444960212201591</v>
      </c>
      <c r="N35" s="2">
        <f>(1458)/(1458 + 530)</f>
        <v>0.7334004024144869</v>
      </c>
      <c r="O35" s="2">
        <f>(1458)/(1458 + 877)</f>
        <v>0.62441113490364031</v>
      </c>
      <c r="P35" s="2">
        <f>2*N35*O35/(N35 + O35)</f>
        <v>0.67453157529493413</v>
      </c>
      <c r="Q35" s="2">
        <f>(6183)/(6183 + 877)</f>
        <v>0.87577903682719549</v>
      </c>
      <c r="R35" s="2">
        <f>(6183)/(6183 + 530)</f>
        <v>0.92104871145538503</v>
      </c>
      <c r="S35" s="2">
        <f>2*Q35*R35/(Q35 + R35)</f>
        <v>0.89784360705728594</v>
      </c>
    </row>
    <row r="36" spans="1:19" x14ac:dyDescent="0.25">
      <c r="A36" t="s">
        <v>29</v>
      </c>
      <c r="B36" s="3" t="s">
        <v>31</v>
      </c>
      <c r="C36" t="s">
        <v>33</v>
      </c>
      <c r="D36" t="s">
        <v>19</v>
      </c>
      <c r="E36" t="s">
        <v>19</v>
      </c>
      <c r="F36" t="s">
        <v>19</v>
      </c>
      <c r="G36" t="s">
        <v>33</v>
      </c>
      <c r="H36" t="s">
        <v>33</v>
      </c>
      <c r="I36" s="5" t="s">
        <v>33</v>
      </c>
      <c r="J36" t="s">
        <v>19</v>
      </c>
      <c r="L36" s="2" t="s">
        <v>44</v>
      </c>
      <c r="M36" s="2">
        <f>(6159 + 1478)/(6159 + 1478 + 554 + 857)</f>
        <v>0.84405393457117595</v>
      </c>
      <c r="N36" s="2">
        <f>(1478)/(1478 + 554)</f>
        <v>0.72736220472440949</v>
      </c>
      <c r="O36" s="2">
        <f>(1478)/(1478 + 857)</f>
        <v>0.63297644539614561</v>
      </c>
      <c r="P36" s="2">
        <f>2*N36*O36/(N36 + O36)</f>
        <v>0.67689489351957866</v>
      </c>
      <c r="Q36" s="2">
        <f>(6159)/(6159 + 857)</f>
        <v>0.87785062713797035</v>
      </c>
      <c r="R36" s="2">
        <f>(6159)/(6159 + 554)</f>
        <v>0.91747355876657233</v>
      </c>
      <c r="S36" s="2">
        <f>2*Q36*R36/(Q36 + R36)</f>
        <v>0.89722485250200301</v>
      </c>
    </row>
    <row r="37" spans="1:19" x14ac:dyDescent="0.25">
      <c r="A37" t="s">
        <v>29</v>
      </c>
      <c r="B37" s="3" t="s">
        <v>32</v>
      </c>
      <c r="C37" t="s">
        <v>33</v>
      </c>
      <c r="D37" t="s">
        <v>19</v>
      </c>
      <c r="E37" t="s">
        <v>19</v>
      </c>
      <c r="F37" t="s">
        <v>19</v>
      </c>
      <c r="G37" t="s">
        <v>33</v>
      </c>
      <c r="H37" t="s">
        <v>33</v>
      </c>
      <c r="I37" s="5" t="s">
        <v>33</v>
      </c>
      <c r="J37" t="s">
        <v>19</v>
      </c>
      <c r="L37" s="2" t="s">
        <v>44</v>
      </c>
      <c r="M37" s="2">
        <f>(6203 + 1424)/(6203 + 1424 + 510 + 911)</f>
        <v>0.84294871794871795</v>
      </c>
      <c r="N37" s="2">
        <f>(1424)/(1424 + 510)</f>
        <v>0.73629782833505686</v>
      </c>
      <c r="O37" s="2">
        <f>(1424)/(1424 + 911)</f>
        <v>0.60985010706638121</v>
      </c>
      <c r="P37" s="2">
        <f>2*N37*O37/(N37 + O37)</f>
        <v>0.66713516045912391</v>
      </c>
      <c r="Q37" s="2">
        <f>(6203)/(6203 + 911)</f>
        <v>0.87194264829912849</v>
      </c>
      <c r="R37" s="2">
        <f>(6203)/(6203 + 510)</f>
        <v>0.924028005362729</v>
      </c>
      <c r="S37" s="2">
        <f>2*Q37*R37/(Q37 + R37)</f>
        <v>0.89723005713459159</v>
      </c>
    </row>
    <row r="38" spans="1:19" x14ac:dyDescent="0.25">
      <c r="A38" t="s">
        <v>29</v>
      </c>
      <c r="B38" s="3" t="s">
        <v>30</v>
      </c>
      <c r="C38" t="s">
        <v>33</v>
      </c>
      <c r="D38" t="s">
        <v>19</v>
      </c>
      <c r="E38" t="s">
        <v>19</v>
      </c>
      <c r="F38" t="s">
        <v>19</v>
      </c>
      <c r="G38" t="s">
        <v>33</v>
      </c>
      <c r="H38" t="s">
        <v>33</v>
      </c>
      <c r="I38" s="5" t="s">
        <v>33</v>
      </c>
      <c r="J38" t="s">
        <v>19</v>
      </c>
      <c r="L38" s="2" t="s">
        <v>44</v>
      </c>
      <c r="M38" s="2">
        <f>(6196 + 1440)/(6196 + 1440 + 895 + 517)</f>
        <v>0.84394341290893016</v>
      </c>
      <c r="N38" s="2">
        <f>(1440)/(1440 + 517)</f>
        <v>0.7358201328564129</v>
      </c>
      <c r="O38" s="2">
        <f>(1440)/(1440 + 895)</f>
        <v>0.61670235546038543</v>
      </c>
      <c r="P38" s="2">
        <f>2*N38*O38/(N38 + O38)</f>
        <v>0.6710158434296366</v>
      </c>
      <c r="Q38" s="2">
        <f>(6196)/(6196 + 895)</f>
        <v>0.87378366944013541</v>
      </c>
      <c r="R38" s="2">
        <f>(6196)/(6196 + 517)</f>
        <v>0.92298525249515861</v>
      </c>
      <c r="S38" s="2">
        <f>2*Q38*R38/(Q38 + R38)</f>
        <v>0.89771080846131557</v>
      </c>
    </row>
    <row r="41" spans="1:19" x14ac:dyDescent="0.25">
      <c r="A41" s="3" t="s">
        <v>45</v>
      </c>
      <c r="B41" t="s">
        <v>1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L41" s="2" t="s">
        <v>44</v>
      </c>
      <c r="M41" s="2">
        <f>(6249 + 1522)/(6249 + 1522 + 464 + 813)</f>
        <v>0.85886383731211313</v>
      </c>
      <c r="N41" s="2">
        <f>(1522)/(1522 + 464)</f>
        <v>0.76636455186304131</v>
      </c>
      <c r="O41" s="2">
        <f>(1522)/(1522 + 813)</f>
        <v>0.65182012847965742</v>
      </c>
      <c r="P41" s="2">
        <f>2*N41*O41/(N41 + O41)</f>
        <v>0.70446655866697527</v>
      </c>
      <c r="Q41" s="2">
        <f>(6249)/(6249 + 813)</f>
        <v>0.88487680543755309</v>
      </c>
      <c r="R41" s="2">
        <f>(6249)/(6249 + 464)</f>
        <v>0.93088038134962015</v>
      </c>
      <c r="S41" s="2">
        <f>2*Q41*R41/(Q41 + R41)</f>
        <v>0.90729582577132484</v>
      </c>
    </row>
    <row r="42" spans="1:19" x14ac:dyDescent="0.25">
      <c r="A42" t="s">
        <v>45</v>
      </c>
      <c r="B42" t="s">
        <v>1</v>
      </c>
      <c r="C42" s="3" t="s">
        <v>33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L42" s="2" t="s">
        <v>48</v>
      </c>
      <c r="M42" s="2">
        <f>(6252 + 1527)/(6252 + 1527 + 461 + 808)</f>
        <v>0.85974801061007955</v>
      </c>
      <c r="N42" s="2">
        <f>(1527)/(1527 + 461)</f>
        <v>0.76810865191146882</v>
      </c>
      <c r="O42" s="2">
        <f>(1527)/(1527 + 808)</f>
        <v>0.65396145610278378</v>
      </c>
      <c r="P42" s="2">
        <f>2*N42*O42/(N42 + O42)</f>
        <v>0.70645385149201956</v>
      </c>
      <c r="Q42" s="2">
        <f>(6252)/(6252 + 808)</f>
        <v>0.88555240793201129</v>
      </c>
      <c r="R42" s="2">
        <f>(6252)/(6252 + 461)</f>
        <v>0.93132727543572169</v>
      </c>
      <c r="S42" s="2">
        <f>2*Q42*R42/(Q42 + R42)</f>
        <v>0.90786321062949249</v>
      </c>
    </row>
    <row r="43" spans="1:19" x14ac:dyDescent="0.25">
      <c r="A43" t="s">
        <v>45</v>
      </c>
      <c r="B43" t="s">
        <v>1</v>
      </c>
      <c r="C43" t="s">
        <v>33</v>
      </c>
      <c r="D43" t="s">
        <v>19</v>
      </c>
      <c r="E43" t="s">
        <v>19</v>
      </c>
      <c r="F43" t="s">
        <v>19</v>
      </c>
      <c r="G43" s="3" t="s">
        <v>33</v>
      </c>
      <c r="H43" s="3" t="s">
        <v>33</v>
      </c>
      <c r="I43" t="s">
        <v>19</v>
      </c>
      <c r="J43" t="s">
        <v>19</v>
      </c>
      <c r="L43" s="2" t="s">
        <v>44</v>
      </c>
      <c r="M43" s="2">
        <f>(6212 + 1441)/(6212 + 1441 + 501 + 894)</f>
        <v>0.84582228116710878</v>
      </c>
      <c r="N43" s="2">
        <f>(1441)/(1441 + 501)</f>
        <v>0.74201853759011327</v>
      </c>
      <c r="O43" s="2">
        <f>(1441)/(1441 + 894)</f>
        <v>0.6171306209850107</v>
      </c>
      <c r="P43" s="2">
        <f>2*N43*O43/(N43 + O43)</f>
        <v>0.67383680149637593</v>
      </c>
      <c r="Q43" s="2">
        <f>(6212)/(6212 + 894)</f>
        <v>0.87419082465522091</v>
      </c>
      <c r="R43" s="2">
        <f>(6212)/(6212 + 501)</f>
        <v>0.92536868762103386</v>
      </c>
      <c r="S43" s="2">
        <f>2*Q43*R43/(Q43 + R43)</f>
        <v>0.89905202981402421</v>
      </c>
    </row>
    <row r="44" spans="1:19" x14ac:dyDescent="0.25">
      <c r="A44" t="s">
        <v>45</v>
      </c>
      <c r="B44" t="s">
        <v>1</v>
      </c>
      <c r="C44" t="s">
        <v>33</v>
      </c>
      <c r="D44" t="s">
        <v>19</v>
      </c>
      <c r="E44" t="s">
        <v>19</v>
      </c>
      <c r="F44" t="s">
        <v>19</v>
      </c>
      <c r="G44" t="s">
        <v>33</v>
      </c>
      <c r="H44" t="s">
        <v>33</v>
      </c>
      <c r="I44" s="3" t="s">
        <v>33</v>
      </c>
      <c r="J44" t="s">
        <v>19</v>
      </c>
      <c r="L44" s="2" t="s">
        <v>44</v>
      </c>
      <c r="M44" s="2">
        <f>(6196 + 1471)/(6196 + 1471 + 517 + 864)</f>
        <v>0.84736958443854993</v>
      </c>
      <c r="N44" s="2">
        <f>(1471)/(1471 + 517)</f>
        <v>0.73993963782696182</v>
      </c>
      <c r="O44" s="2">
        <f>(1471)/(1471 + 864)</f>
        <v>0.62997858672376872</v>
      </c>
      <c r="P44" s="2">
        <f>2*N44*O44/(N44 + O44)</f>
        <v>0.68054591718713853</v>
      </c>
      <c r="Q44" s="2">
        <f>(6196)/(6196 + 864)</f>
        <v>0.87762039660056657</v>
      </c>
      <c r="R44" s="2">
        <f>(6196)/(6196 + 517)</f>
        <v>0.92298525249515861</v>
      </c>
      <c r="S44" s="2">
        <f>2*Q44*R44/(Q44 + R44)</f>
        <v>0.899731358454948</v>
      </c>
    </row>
    <row r="46" spans="1:19" x14ac:dyDescent="0.25">
      <c r="A46" s="7" t="s">
        <v>45</v>
      </c>
      <c r="B46" s="7" t="s">
        <v>1</v>
      </c>
      <c r="C46" s="7" t="s">
        <v>33</v>
      </c>
      <c r="D46" s="7" t="s">
        <v>19</v>
      </c>
      <c r="E46" s="7" t="s">
        <v>19</v>
      </c>
      <c r="F46" s="7" t="s">
        <v>19</v>
      </c>
      <c r="G46" s="7" t="s">
        <v>19</v>
      </c>
      <c r="H46" s="7" t="s">
        <v>19</v>
      </c>
      <c r="I46" s="7" t="s">
        <v>19</v>
      </c>
      <c r="J46" s="7" t="s">
        <v>19</v>
      </c>
      <c r="K46" s="7"/>
      <c r="L46" s="8" t="s">
        <v>48</v>
      </c>
      <c r="M46" s="8">
        <f>(6252 + 1527)/(6252 + 1527 + 461 + 808)</f>
        <v>0.85974801061007955</v>
      </c>
      <c r="N46" s="8">
        <f>(1527)/(1527 + 461)</f>
        <v>0.76810865191146882</v>
      </c>
      <c r="O46" s="8">
        <f>(1527)/(1527 + 808)</f>
        <v>0.65396145610278378</v>
      </c>
      <c r="P46" s="8">
        <f>2*N46*O46/(N46 + O46)</f>
        <v>0.70645385149201956</v>
      </c>
      <c r="Q46" s="8">
        <f>(6252)/(6252 + 808)</f>
        <v>0.88555240793201129</v>
      </c>
      <c r="R46" s="8">
        <f>(6252)/(6252 + 461)</f>
        <v>0.93132727543572169</v>
      </c>
      <c r="S46" s="8">
        <f>2*Q46*R46/(Q46 + R46)</f>
        <v>0.90786321062949249</v>
      </c>
    </row>
    <row r="48" spans="1:19" x14ac:dyDescent="0.25">
      <c r="A48" s="3" t="s">
        <v>46</v>
      </c>
      <c r="B48" t="s">
        <v>1</v>
      </c>
      <c r="C48" t="s">
        <v>19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L48" s="2">
        <v>0.88</v>
      </c>
      <c r="M48" s="2">
        <f>(6611 + 618)/(6611 + 618 + 1717 + 102)</f>
        <v>0.79896109637488943</v>
      </c>
      <c r="N48" s="2">
        <f>(618)/(618 + 102)</f>
        <v>0.85833333333333328</v>
      </c>
      <c r="O48" s="2">
        <f>(618)/(618 + 1717)</f>
        <v>0.26466809421841542</v>
      </c>
      <c r="P48" s="2">
        <f>2*N48*O48/(N48 + O48)</f>
        <v>0.40458265139116206</v>
      </c>
      <c r="Q48" s="2">
        <f>(6611)/(6611 + 1717)</f>
        <v>0.79382804995196921</v>
      </c>
      <c r="R48" s="2">
        <f>(6611)/(6611 + 102)</f>
        <v>0.98480560107254578</v>
      </c>
      <c r="S48" s="2">
        <f>2*Q48*R48/(Q48 + R48)</f>
        <v>0.87906389202845547</v>
      </c>
    </row>
    <row r="49" spans="1:19" x14ac:dyDescent="0.25">
      <c r="A49" t="s">
        <v>46</v>
      </c>
      <c r="B49" t="s">
        <v>1</v>
      </c>
      <c r="C49" s="3" t="s">
        <v>33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L49" s="2">
        <v>0.9</v>
      </c>
      <c r="M49" s="2">
        <f>(6612 + 852)/(6612 + 852 + 101 + 1483)</f>
        <v>0.82493368700265257</v>
      </c>
      <c r="N49" s="2">
        <f>(852)/(852 + 101)</f>
        <v>0.8940188877229801</v>
      </c>
      <c r="O49" s="2">
        <f>(852)/(852 + 1483)</f>
        <v>0.36488222698072803</v>
      </c>
      <c r="P49" s="2">
        <f>2*N49*O49/(N49 + O49)</f>
        <v>0.51824817518248179</v>
      </c>
      <c r="Q49" s="2">
        <f>(6612)/(6612 + 1483)</f>
        <v>0.81680049413218037</v>
      </c>
      <c r="R49" s="2">
        <f>(6612)/(6612 + 101)</f>
        <v>0.98495456576791296</v>
      </c>
      <c r="S49" s="2">
        <f>2*Q49*R49/(Q49 + R49)</f>
        <v>0.89303079416531594</v>
      </c>
    </row>
    <row r="50" spans="1:19" x14ac:dyDescent="0.25">
      <c r="A50" t="s">
        <v>46</v>
      </c>
      <c r="B50" t="s">
        <v>1</v>
      </c>
      <c r="C50" t="s">
        <v>33</v>
      </c>
      <c r="D50" t="s">
        <v>19</v>
      </c>
      <c r="E50" t="s">
        <v>19</v>
      </c>
      <c r="F50" t="s">
        <v>19</v>
      </c>
      <c r="G50" s="3" t="s">
        <v>33</v>
      </c>
      <c r="H50" s="3" t="s">
        <v>33</v>
      </c>
      <c r="I50" t="s">
        <v>19</v>
      </c>
      <c r="J50" t="s">
        <v>19</v>
      </c>
      <c r="L50" s="2">
        <v>0.89</v>
      </c>
      <c r="M50" s="2">
        <f>(6552 + 825)/(6552 + 825 + 161 + 1510)</f>
        <v>0.81531830238726788</v>
      </c>
      <c r="N50" s="2">
        <f>(825)/(825 + 161)</f>
        <v>0.83671399594320484</v>
      </c>
      <c r="O50" s="2">
        <f>(825)/(825 + 1510)</f>
        <v>0.35331905781584583</v>
      </c>
      <c r="P50" s="2">
        <f>2*N50*O50/(N50 + O50)</f>
        <v>0.49683830171635052</v>
      </c>
      <c r="Q50" s="2">
        <f>(6552)/(6552 + 1510)</f>
        <v>0.81270156288762097</v>
      </c>
      <c r="R50" s="2">
        <f>(6552)/(6552 + 161)</f>
        <v>0.97601668404588116</v>
      </c>
      <c r="S50" s="2">
        <f>2*Q50*R50/(Q50 + R50)</f>
        <v>0.88690355329949244</v>
      </c>
    </row>
    <row r="51" spans="1:19" x14ac:dyDescent="0.25">
      <c r="A51" t="s">
        <v>46</v>
      </c>
      <c r="B51" t="s">
        <v>1</v>
      </c>
      <c r="C51" t="s">
        <v>33</v>
      </c>
      <c r="D51" t="s">
        <v>19</v>
      </c>
      <c r="E51" t="s">
        <v>19</v>
      </c>
      <c r="F51" t="s">
        <v>19</v>
      </c>
      <c r="G51" t="s">
        <v>33</v>
      </c>
      <c r="H51" t="s">
        <v>33</v>
      </c>
      <c r="I51" s="3" t="s">
        <v>33</v>
      </c>
      <c r="J51" t="s">
        <v>19</v>
      </c>
      <c r="L51" s="2">
        <v>0.9</v>
      </c>
      <c r="M51" s="2">
        <f>(6548 + 828)/(6548 + 828 + 1507 + 165)</f>
        <v>0.81520778072502209</v>
      </c>
      <c r="N51" s="2">
        <f>(828)/( 828 + 165)</f>
        <v>0.83383685800604235</v>
      </c>
      <c r="O51" s="2">
        <f>(828)/(828 + 1507)</f>
        <v>0.35460385438972164</v>
      </c>
      <c r="P51" s="2">
        <f>2*N51*O51/(N51 + O51)</f>
        <v>0.4975961538461538</v>
      </c>
      <c r="Q51" s="2">
        <f>(6548)/(6548 + 1665)</f>
        <v>0.79727261658346527</v>
      </c>
      <c r="R51" s="2">
        <f>(6548)/(6548+ 165)</f>
        <v>0.97542082526441232</v>
      </c>
      <c r="S51" s="2">
        <f>2*Q51*R51/(Q51 + R51)</f>
        <v>0.87739514940372498</v>
      </c>
    </row>
    <row r="53" spans="1:19" x14ac:dyDescent="0.25">
      <c r="A53" s="3" t="s">
        <v>47</v>
      </c>
      <c r="B53" t="s">
        <v>1</v>
      </c>
      <c r="C53" t="s">
        <v>33</v>
      </c>
      <c r="D53" t="s">
        <v>19</v>
      </c>
      <c r="E53" t="s">
        <v>19</v>
      </c>
      <c r="F53" t="s">
        <v>19</v>
      </c>
      <c r="G53" t="s">
        <v>19</v>
      </c>
      <c r="H53" t="s">
        <v>19</v>
      </c>
      <c r="I53" s="5" t="s">
        <v>33</v>
      </c>
      <c r="J53" t="s">
        <v>19</v>
      </c>
      <c r="L53" s="2" t="s">
        <v>42</v>
      </c>
      <c r="M53" s="2">
        <f>(6523 + 596)/(6523 + 596 + 190 + 1739)</f>
        <v>0.7868037135278515</v>
      </c>
      <c r="N53" s="2">
        <f>(596)/(596 + 190)</f>
        <v>0.75826972010178118</v>
      </c>
      <c r="O53" s="2">
        <f>(596)/(596 + 1739)</f>
        <v>0.25524625267665951</v>
      </c>
      <c r="P53" s="2">
        <f>2*N53*O53/(N53 + O53)</f>
        <v>0.38192886895225886</v>
      </c>
      <c r="Q53" s="2">
        <f>(6523)/(6523+ 1739)</f>
        <v>0.78951827644638106</v>
      </c>
      <c r="R53" s="2">
        <f>(6523)/(6523 + 190)</f>
        <v>0.97169670788023244</v>
      </c>
      <c r="S53" s="2">
        <f>2*Q53*R53/(Q53 + R53)</f>
        <v>0.87118530884808021</v>
      </c>
    </row>
    <row r="54" spans="1:19" x14ac:dyDescent="0.25">
      <c r="A54" t="s">
        <v>47</v>
      </c>
      <c r="B54" t="s">
        <v>1</v>
      </c>
      <c r="C54" t="s">
        <v>33</v>
      </c>
      <c r="D54" t="s">
        <v>19</v>
      </c>
      <c r="E54" t="s">
        <v>19</v>
      </c>
      <c r="F54" t="s">
        <v>19</v>
      </c>
      <c r="G54" s="3" t="s">
        <v>33</v>
      </c>
      <c r="H54" s="3" t="s">
        <v>33</v>
      </c>
      <c r="I54" t="s">
        <v>33</v>
      </c>
      <c r="J54" t="s">
        <v>19</v>
      </c>
      <c r="L54" s="2" t="s">
        <v>42</v>
      </c>
      <c r="M54" s="2">
        <f>(6443 + 670)/(6443 + 670 + 270 + 1665)</f>
        <v>0.78614058355437666</v>
      </c>
      <c r="N54" s="2">
        <f>(670)/(670 + 270)</f>
        <v>0.71276595744680848</v>
      </c>
      <c r="O54" s="2">
        <f>(670)/(670 + 1665)</f>
        <v>0.28693790149892934</v>
      </c>
      <c r="P54" s="2">
        <f>2*N54*O54/(N54 + O54)</f>
        <v>0.40916030534351144</v>
      </c>
      <c r="Q54" s="2">
        <f>(6443)/(6443 + 1665)</f>
        <v>0.79464726196349289</v>
      </c>
      <c r="R54" s="2">
        <f>(6443)/(6443 + 270)</f>
        <v>0.95977953225085655</v>
      </c>
      <c r="S54" s="2">
        <f>2*Q54*R54/(Q54 + R54)</f>
        <v>0.86944200796167603</v>
      </c>
    </row>
    <row r="55" spans="1:19" x14ac:dyDescent="0.25">
      <c r="A55" s="5" t="s">
        <v>47</v>
      </c>
      <c r="B55" s="3" t="s">
        <v>49</v>
      </c>
      <c r="C55" t="s">
        <v>33</v>
      </c>
      <c r="D55" t="s">
        <v>19</v>
      </c>
      <c r="E55" t="s">
        <v>19</v>
      </c>
      <c r="F55" t="s">
        <v>19</v>
      </c>
      <c r="G55" t="s">
        <v>19</v>
      </c>
      <c r="H55" t="s">
        <v>19</v>
      </c>
      <c r="I55" s="5" t="s">
        <v>33</v>
      </c>
      <c r="J55" t="s">
        <v>19</v>
      </c>
      <c r="L55" s="2" t="s">
        <v>42</v>
      </c>
      <c r="M55" s="2">
        <f>(6547 + 576)/(6547 + 576 + 1759 + 166)</f>
        <v>0.78724580017683465</v>
      </c>
      <c r="N55" s="2">
        <f>(576)/(576 + 166)</f>
        <v>0.77628032345013476</v>
      </c>
      <c r="O55" s="2">
        <f>(576)/(576 + 1759)</f>
        <v>0.24668094218415418</v>
      </c>
      <c r="P55" s="2">
        <f>2*N55*O55/(N55 + O55)</f>
        <v>0.37439064023399415</v>
      </c>
      <c r="Q55" s="2">
        <f>(6547)/(6547+ 1759)</f>
        <v>0.78822537924392011</v>
      </c>
      <c r="R55" s="2">
        <f>(6547)/(6547 + 166)</f>
        <v>0.97527186056904513</v>
      </c>
      <c r="S55" s="2">
        <f>2*Q55*R55/(Q55 + R55)</f>
        <v>0.87182901657900003</v>
      </c>
    </row>
    <row r="56" spans="1:19" x14ac:dyDescent="0.25">
      <c r="A56" s="5" t="s">
        <v>47</v>
      </c>
      <c r="B56" s="3" t="s">
        <v>50</v>
      </c>
      <c r="C56" t="s">
        <v>33</v>
      </c>
      <c r="D56" t="s">
        <v>19</v>
      </c>
      <c r="E56" t="s">
        <v>19</v>
      </c>
      <c r="F56" t="s">
        <v>19</v>
      </c>
      <c r="G56" t="s">
        <v>19</v>
      </c>
      <c r="H56" t="s">
        <v>19</v>
      </c>
      <c r="I56" s="5" t="s">
        <v>33</v>
      </c>
      <c r="J56" t="s">
        <v>19</v>
      </c>
      <c r="L56" s="2" t="s">
        <v>42</v>
      </c>
      <c r="M56" s="2">
        <f>(6096 + 1068)/(6096 + 1068 + 1267 + 617)</f>
        <v>0.79177718832891242</v>
      </c>
      <c r="N56" s="2">
        <f>(1068)/(1068 + 617)</f>
        <v>0.63382789317507415</v>
      </c>
      <c r="O56" s="2">
        <f>(1068)/(1068 + 1267)</f>
        <v>0.45738758029978588</v>
      </c>
      <c r="P56" s="2">
        <f>2*N56*O56/(N56 + O56)</f>
        <v>0.53134328358208949</v>
      </c>
      <c r="Q56" s="2">
        <f>(6096)/(6096 + 1267)</f>
        <v>0.82792340078772242</v>
      </c>
      <c r="R56" s="2">
        <f>(6096)/(6096 + 617)</f>
        <v>0.90808878295843887</v>
      </c>
      <c r="S56" s="2">
        <f>2*Q56*R56/(Q56 + R56)</f>
        <v>0.86615515771526008</v>
      </c>
    </row>
    <row r="57" spans="1:19" x14ac:dyDescent="0.25">
      <c r="A57" s="5" t="s">
        <v>47</v>
      </c>
      <c r="B57" s="3" t="s">
        <v>53</v>
      </c>
      <c r="C57" t="s">
        <v>33</v>
      </c>
      <c r="D57" t="s">
        <v>19</v>
      </c>
      <c r="E57" t="s">
        <v>19</v>
      </c>
      <c r="F57" t="s">
        <v>19</v>
      </c>
      <c r="G57" t="s">
        <v>19</v>
      </c>
      <c r="H57" t="s">
        <v>19</v>
      </c>
      <c r="I57" s="5" t="s">
        <v>33</v>
      </c>
      <c r="J57" t="s">
        <v>19</v>
      </c>
      <c r="L57" s="2" t="s">
        <v>41</v>
      </c>
      <c r="M57" s="2">
        <f>(6232 + 1089)/(6232 + 1089 + 481 + 1246)</f>
        <v>0.80912908930150307</v>
      </c>
      <c r="N57" s="2">
        <f>(1089)/(1089 + 481)</f>
        <v>0.6936305732484076</v>
      </c>
      <c r="O57" s="2">
        <f>(1089)/(1089 + 1246)</f>
        <v>0.46638115631691651</v>
      </c>
      <c r="P57" s="2">
        <f>2*N57*O57/(N57 + O57)</f>
        <v>0.55774647887323947</v>
      </c>
      <c r="Q57" s="2">
        <f>(6232)/(6232 + 1246)</f>
        <v>0.83337790853169291</v>
      </c>
      <c r="R57" s="2">
        <f>(6232)/(6232 + 481)</f>
        <v>0.92834798152837772</v>
      </c>
      <c r="S57" s="2">
        <f>2*Q57*R57/(Q57 + R57)</f>
        <v>0.87830314988372904</v>
      </c>
    </row>
    <row r="59" spans="1:19" x14ac:dyDescent="0.25">
      <c r="A59" s="7" t="s">
        <v>47</v>
      </c>
      <c r="B59" s="7" t="s">
        <v>49</v>
      </c>
      <c r="C59" s="7" t="s">
        <v>33</v>
      </c>
      <c r="D59" s="7" t="s">
        <v>19</v>
      </c>
      <c r="E59" s="7" t="s">
        <v>19</v>
      </c>
      <c r="F59" s="7" t="s">
        <v>19</v>
      </c>
      <c r="G59" s="7" t="s">
        <v>19</v>
      </c>
      <c r="H59" s="7" t="s">
        <v>19</v>
      </c>
      <c r="I59" s="7" t="s">
        <v>33</v>
      </c>
      <c r="J59" s="7" t="s">
        <v>19</v>
      </c>
      <c r="K59" s="7"/>
      <c r="L59" s="8" t="s">
        <v>42</v>
      </c>
      <c r="M59" s="8">
        <f>(6547 + 576)/(6547 + 576 + 1759 + 166)</f>
        <v>0.78724580017683465</v>
      </c>
      <c r="N59" s="8">
        <f>(576)/(576 + 166)</f>
        <v>0.77628032345013476</v>
      </c>
      <c r="O59" s="8">
        <f>(576)/(576 + 1759)</f>
        <v>0.24668094218415418</v>
      </c>
      <c r="P59" s="8">
        <f>2*N59*O59/(N59 + O59)</f>
        <v>0.37439064023399415</v>
      </c>
      <c r="Q59" s="8">
        <f>(6547)/(6547+ 1759)</f>
        <v>0.78822537924392011</v>
      </c>
      <c r="R59" s="8">
        <f>(6547)/(6547 + 166)</f>
        <v>0.97527186056904513</v>
      </c>
      <c r="S59" s="8">
        <f>2*Q59*R59/(Q59 + R59)</f>
        <v>0.87182901657900003</v>
      </c>
    </row>
  </sheetData>
  <mergeCells count="3">
    <mergeCell ref="C2:J2"/>
    <mergeCell ref="N2:P2"/>
    <mergeCell ref="Q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9654-A3AF-4BC5-A51F-5650056B6E18}">
  <dimension ref="A2:W54"/>
  <sheetViews>
    <sheetView tabSelected="1" topLeftCell="A18" workbookViewId="0">
      <selection activeCell="T44" sqref="T44"/>
    </sheetView>
  </sheetViews>
  <sheetFormatPr defaultRowHeight="15" x14ac:dyDescent="0.25"/>
  <cols>
    <col min="1" max="1" width="20.28515625" customWidth="1"/>
    <col min="2" max="2" width="25.5703125" customWidth="1"/>
    <col min="3" max="3" width="12" customWidth="1"/>
    <col min="4" max="4" width="14.140625" customWidth="1"/>
    <col min="7" max="8" width="11.140625" customWidth="1"/>
    <col min="9" max="9" width="13.7109375" customWidth="1"/>
    <col min="10" max="10" width="12" customWidth="1"/>
    <col min="12" max="13" width="9.140625" style="2"/>
    <col min="14" max="14" width="12.5703125" style="2" customWidth="1"/>
    <col min="15" max="15" width="9.140625" style="2"/>
    <col min="16" max="16" width="10.85546875" style="2" customWidth="1"/>
    <col min="17" max="19" width="9.140625" style="2"/>
    <col min="20" max="20" width="18.85546875" customWidth="1"/>
  </cols>
  <sheetData>
    <row r="2" spans="1:23" x14ac:dyDescent="0.25">
      <c r="C2" s="11" t="s">
        <v>2</v>
      </c>
      <c r="D2" s="11"/>
      <c r="E2" s="11"/>
      <c r="F2" s="11"/>
      <c r="G2" s="11"/>
      <c r="H2" s="11"/>
      <c r="I2" s="11"/>
      <c r="J2" s="11"/>
      <c r="N2" s="12" t="s">
        <v>14</v>
      </c>
      <c r="O2" s="12"/>
      <c r="P2" s="12"/>
      <c r="Q2" s="13" t="s">
        <v>15</v>
      </c>
      <c r="R2" s="13"/>
      <c r="S2" s="13"/>
    </row>
    <row r="3" spans="1:23" x14ac:dyDescent="0.25">
      <c r="C3" t="s">
        <v>9</v>
      </c>
      <c r="D3" t="s">
        <v>10</v>
      </c>
      <c r="E3" t="s">
        <v>11</v>
      </c>
      <c r="F3" t="s">
        <v>18</v>
      </c>
      <c r="I3" t="s">
        <v>16</v>
      </c>
      <c r="J3" t="s">
        <v>17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5</v>
      </c>
      <c r="R3" s="2" t="s">
        <v>6</v>
      </c>
      <c r="S3" s="2" t="s">
        <v>7</v>
      </c>
      <c r="V3" s="2" t="s">
        <v>36</v>
      </c>
      <c r="W3" s="2" t="s">
        <v>38</v>
      </c>
    </row>
    <row r="4" spans="1:23" x14ac:dyDescent="0.25">
      <c r="A4" t="s">
        <v>0</v>
      </c>
      <c r="B4" t="s">
        <v>1</v>
      </c>
      <c r="C4" t="s">
        <v>19</v>
      </c>
      <c r="D4" t="s">
        <v>19</v>
      </c>
      <c r="E4" t="s">
        <v>19</v>
      </c>
      <c r="F4" t="s">
        <v>19</v>
      </c>
      <c r="I4" s="5" t="s">
        <v>19</v>
      </c>
      <c r="J4" t="s">
        <v>19</v>
      </c>
      <c r="L4" s="2" t="s">
        <v>40</v>
      </c>
      <c r="M4" s="2">
        <f>(6222 + 1194)/(6222 + 1194 + 614 + 1018)</f>
        <v>0.81962864721485407</v>
      </c>
      <c r="N4" s="2">
        <f>(1194)/(1194 + 614)</f>
        <v>0.66039823008849563</v>
      </c>
      <c r="O4" s="2">
        <f>(1194)/(1194 + 1018)</f>
        <v>0.53978300180831829</v>
      </c>
      <c r="P4" s="2">
        <f>2*N4*O4/(N4+O4)</f>
        <v>0.59402985074626868</v>
      </c>
      <c r="Q4" s="2">
        <f>(6222)/(6222 + 1018)</f>
        <v>0.8593922651933702</v>
      </c>
      <c r="R4" s="2">
        <f>(6222)/(6222 + 614)</f>
        <v>0.91018139262726738</v>
      </c>
      <c r="S4" s="2">
        <f>2*Q4*R4/(Q4+R4)</f>
        <v>0.88405797101449279</v>
      </c>
      <c r="V4" s="1" t="s">
        <v>37</v>
      </c>
      <c r="W4" s="1" t="s">
        <v>35</v>
      </c>
    </row>
    <row r="5" spans="1:23" x14ac:dyDescent="0.25">
      <c r="A5" t="s">
        <v>0</v>
      </c>
      <c r="B5" t="s">
        <v>1</v>
      </c>
      <c r="C5" s="3" t="s">
        <v>33</v>
      </c>
      <c r="D5" t="s">
        <v>19</v>
      </c>
      <c r="E5" t="s">
        <v>19</v>
      </c>
      <c r="F5" t="s">
        <v>19</v>
      </c>
      <c r="I5" s="3" t="s">
        <v>33</v>
      </c>
      <c r="J5" t="s">
        <v>19</v>
      </c>
      <c r="L5" s="2" t="s">
        <v>40</v>
      </c>
      <c r="M5" s="2">
        <f>(6220 + 1182)/(6220 + 1182 + 1030 + 616)</f>
        <v>0.81808134394341292</v>
      </c>
      <c r="N5" s="2">
        <f>(1182)/(1182 + 616)</f>
        <v>0.65739710789766403</v>
      </c>
      <c r="O5" s="2">
        <f>(1182)/(1182 + 1030)</f>
        <v>0.53435804701627487</v>
      </c>
      <c r="P5" s="2">
        <f>2*N5*O5/(N5+O5)</f>
        <v>0.58952618453865335</v>
      </c>
      <c r="Q5" s="2">
        <f>(6220)/(6220 + 1030)</f>
        <v>0.85793103448275865</v>
      </c>
      <c r="R5" s="2">
        <f>(6220)/(6220 + 616)</f>
        <v>0.90988882387361025</v>
      </c>
      <c r="S5" s="2">
        <f>2*Q5*R5/(Q5+R5)</f>
        <v>0.88314638648303279</v>
      </c>
    </row>
    <row r="6" spans="1:23" x14ac:dyDescent="0.25">
      <c r="G6" s="4"/>
      <c r="H6" s="4"/>
    </row>
    <row r="7" spans="1:23" x14ac:dyDescent="0.25">
      <c r="B7" s="6" t="s">
        <v>39</v>
      </c>
      <c r="C7" s="6" t="s">
        <v>33</v>
      </c>
      <c r="D7" s="6" t="s">
        <v>19</v>
      </c>
      <c r="E7" s="6" t="s">
        <v>19</v>
      </c>
      <c r="F7" s="6" t="s">
        <v>19</v>
      </c>
      <c r="G7" s="9"/>
      <c r="H7" s="9"/>
      <c r="I7" s="6" t="s">
        <v>33</v>
      </c>
      <c r="J7" s="6" t="s">
        <v>19</v>
      </c>
    </row>
    <row r="9" spans="1:23" x14ac:dyDescent="0.25">
      <c r="A9" t="s">
        <v>0</v>
      </c>
      <c r="B9" s="3" t="s">
        <v>21</v>
      </c>
      <c r="C9" t="s">
        <v>33</v>
      </c>
      <c r="D9" t="s">
        <v>19</v>
      </c>
      <c r="E9" t="s">
        <v>19</v>
      </c>
      <c r="F9" t="s">
        <v>19</v>
      </c>
      <c r="I9" s="5" t="s">
        <v>33</v>
      </c>
      <c r="J9" t="s">
        <v>19</v>
      </c>
      <c r="L9" s="2" t="s">
        <v>40</v>
      </c>
      <c r="M9" s="2">
        <f>(6233 + 1172)/(6233 + 1172 + 1040 + 603)</f>
        <v>0.81841290893015028</v>
      </c>
      <c r="N9" s="2">
        <f>(1172)/(1172 + 603)</f>
        <v>0.66028169014084503</v>
      </c>
      <c r="O9" s="2">
        <f>(1172)/(1172 + 1040)</f>
        <v>0.52983725135623871</v>
      </c>
      <c r="P9" s="2">
        <f>2*N9*O9/(N9+O9)</f>
        <v>0.58791070980687232</v>
      </c>
      <c r="Q9" s="2">
        <f>(6233)/(6233 + 1040)</f>
        <v>0.85700536229891378</v>
      </c>
      <c r="R9" s="2">
        <f>(6233)/(6233 + 603)</f>
        <v>0.91179052077238154</v>
      </c>
      <c r="S9" s="2">
        <f>2*Q9*R9/(Q9+R9)</f>
        <v>0.88354950740661986</v>
      </c>
    </row>
    <row r="10" spans="1:23" x14ac:dyDescent="0.25">
      <c r="A10" t="s">
        <v>0</v>
      </c>
      <c r="B10" s="3" t="s">
        <v>23</v>
      </c>
      <c r="C10" t="s">
        <v>33</v>
      </c>
      <c r="D10" t="s">
        <v>19</v>
      </c>
      <c r="E10" t="s">
        <v>19</v>
      </c>
      <c r="F10" t="s">
        <v>19</v>
      </c>
      <c r="I10" s="5" t="s">
        <v>33</v>
      </c>
      <c r="J10" t="s">
        <v>19</v>
      </c>
      <c r="L10" s="2" t="s">
        <v>41</v>
      </c>
      <c r="M10" s="2">
        <f>(6289 + 1113)/(6289 + 1113 + 1099 + 547)</f>
        <v>0.81808134394341292</v>
      </c>
      <c r="N10" s="2">
        <f>(1113)/(1113 + 547)</f>
        <v>0.67048192771084336</v>
      </c>
      <c r="O10" s="2">
        <f>(1113)/(1113 + 1099)</f>
        <v>0.50316455696202533</v>
      </c>
      <c r="P10" s="2">
        <f>2*N10*O10/(N10+O10)</f>
        <v>0.57489669421487599</v>
      </c>
      <c r="Q10" s="2">
        <f>(6289)/(6289 + 1099)</f>
        <v>0.8512452625879805</v>
      </c>
      <c r="R10" s="2">
        <f>(6289)/(6289 + 547)</f>
        <v>0.91998244587478062</v>
      </c>
      <c r="S10" s="2">
        <f>2*Q10*R10/(Q10+R10)</f>
        <v>0.88428008998875152</v>
      </c>
    </row>
    <row r="11" spans="1:23" x14ac:dyDescent="0.25">
      <c r="A11" t="s">
        <v>0</v>
      </c>
      <c r="B11" s="3" t="s">
        <v>20</v>
      </c>
      <c r="C11" t="s">
        <v>33</v>
      </c>
      <c r="D11" t="s">
        <v>19</v>
      </c>
      <c r="E11" t="s">
        <v>19</v>
      </c>
      <c r="F11" t="s">
        <v>19</v>
      </c>
      <c r="I11" s="5" t="s">
        <v>33</v>
      </c>
      <c r="J11" t="s">
        <v>19</v>
      </c>
      <c r="L11" s="2" t="s">
        <v>41</v>
      </c>
      <c r="M11" s="2">
        <f>(6154 + 1175)/(6154 + 1175 + 1037 + 672)</f>
        <v>0.81090949325071915</v>
      </c>
      <c r="N11" s="2">
        <f>(1175)/(1175 + 672)</f>
        <v>0.63616675690308611</v>
      </c>
      <c r="O11" s="2">
        <f>(1175)/(1175 + 1037)</f>
        <v>0.53119349005424954</v>
      </c>
      <c r="P11" s="2">
        <f>2*N11*O11/(N11+O11)</f>
        <v>0.57896033505789612</v>
      </c>
      <c r="Q11" s="2">
        <f>(6154)/(6154 + 1037)</f>
        <v>0.85579196217494091</v>
      </c>
      <c r="R11" s="2">
        <f>(6154)/(6154 + 672)</f>
        <v>0.90155288602402583</v>
      </c>
      <c r="S11" s="2">
        <f>2*Q11*R11/(Q11+R11)</f>
        <v>0.87807662124563024</v>
      </c>
    </row>
    <row r="12" spans="1:23" x14ac:dyDescent="0.25">
      <c r="A12" t="s">
        <v>0</v>
      </c>
      <c r="B12" s="3" t="s">
        <v>22</v>
      </c>
      <c r="C12" t="s">
        <v>33</v>
      </c>
      <c r="D12" t="s">
        <v>19</v>
      </c>
      <c r="E12" t="s">
        <v>19</v>
      </c>
      <c r="F12" t="s">
        <v>19</v>
      </c>
      <c r="I12" s="5" t="s">
        <v>33</v>
      </c>
      <c r="J12" t="s">
        <v>19</v>
      </c>
      <c r="L12" s="2" t="s">
        <v>42</v>
      </c>
      <c r="M12" s="2">
        <f>(6047 + 1035)/(6047 + 1035 + 789 + 1177)</f>
        <v>0.78271441202475689</v>
      </c>
      <c r="N12" s="2">
        <f>(1035)/(1035 + 789)</f>
        <v>0.56743421052631582</v>
      </c>
      <c r="O12" s="2">
        <f>(1035)/(1035 + 1177)</f>
        <v>0.46790235081374321</v>
      </c>
      <c r="P12" s="2">
        <f>2*N12*O12/(N12+O12)</f>
        <v>0.51288404360753226</v>
      </c>
      <c r="Q12" s="2">
        <f>(6047)/(6047 + 1177)</f>
        <v>0.8370708748615725</v>
      </c>
      <c r="R12" s="2">
        <f>(6047)/(6047 + 789)</f>
        <v>0.88458162668227036</v>
      </c>
      <c r="S12" s="2">
        <f>2*Q12*R12/(Q12+R12)</f>
        <v>0.86017069701280224</v>
      </c>
    </row>
    <row r="14" spans="1:23" x14ac:dyDescent="0.25">
      <c r="A14" s="7" t="s">
        <v>0</v>
      </c>
      <c r="B14" s="7" t="s">
        <v>23</v>
      </c>
      <c r="C14" s="7" t="s">
        <v>33</v>
      </c>
      <c r="D14" s="7" t="s">
        <v>19</v>
      </c>
      <c r="E14" s="7" t="s">
        <v>19</v>
      </c>
      <c r="F14" s="7" t="s">
        <v>19</v>
      </c>
      <c r="G14" s="10"/>
      <c r="H14" s="10"/>
      <c r="I14" s="7" t="s">
        <v>33</v>
      </c>
      <c r="J14" s="7" t="s">
        <v>19</v>
      </c>
      <c r="K14" s="7"/>
      <c r="L14" s="8" t="s">
        <v>41</v>
      </c>
      <c r="M14" s="8">
        <f>(6289 + 1113)/(6289 + 1113 + 1099 + 547)</f>
        <v>0.81808134394341292</v>
      </c>
      <c r="N14" s="8">
        <f>(1113)/(1113 + 547)</f>
        <v>0.67048192771084336</v>
      </c>
      <c r="O14" s="8">
        <f>(1113)/(1113 + 1099)</f>
        <v>0.50316455696202533</v>
      </c>
      <c r="P14" s="8">
        <f>2*N14*O14/(N14+O14)</f>
        <v>0.57489669421487599</v>
      </c>
      <c r="Q14" s="8">
        <f>(6289)/(6289 + 1099)</f>
        <v>0.8512452625879805</v>
      </c>
      <c r="R14" s="8">
        <f>(6289)/(6289 + 547)</f>
        <v>0.91998244587478062</v>
      </c>
      <c r="S14" s="8">
        <f>2*Q14*R14/(Q14+R14)</f>
        <v>0.88428008998875152</v>
      </c>
    </row>
    <row r="15" spans="1:23" x14ac:dyDescent="0.25">
      <c r="B15" s="4"/>
      <c r="I15" s="5"/>
    </row>
    <row r="16" spans="1:23" x14ac:dyDescent="0.25">
      <c r="A16" t="s">
        <v>0</v>
      </c>
      <c r="B16" s="3" t="s">
        <v>25</v>
      </c>
      <c r="C16" t="s">
        <v>33</v>
      </c>
      <c r="D16" t="s">
        <v>19</v>
      </c>
      <c r="E16" t="s">
        <v>19</v>
      </c>
      <c r="F16" t="s">
        <v>19</v>
      </c>
      <c r="I16" s="5" t="s">
        <v>33</v>
      </c>
      <c r="J16" t="s">
        <v>19</v>
      </c>
      <c r="L16" s="2" t="s">
        <v>40</v>
      </c>
      <c r="M16" s="2">
        <f>(6289 + 1113)/(6289 + 1113 + 1099 + 547)</f>
        <v>0.81808134394341292</v>
      </c>
      <c r="N16" s="2">
        <f>(1113)/(1113 + 547)</f>
        <v>0.67048192771084336</v>
      </c>
      <c r="O16" s="2">
        <f>(1113)/(1113 + 1099)</f>
        <v>0.50316455696202533</v>
      </c>
      <c r="P16" s="2">
        <f>2*M16*O16/(M16 + O16)</f>
        <v>0.6230930013892183</v>
      </c>
      <c r="Q16" s="2">
        <f>(6289)/(6289 + 1099)</f>
        <v>0.8512452625879805</v>
      </c>
      <c r="R16" s="2">
        <f>(6289)/(6289 + 547)</f>
        <v>0.91998244587478062</v>
      </c>
      <c r="S16" s="2">
        <f>2*Q16*R16/(Q16+R16)</f>
        <v>0.88428008998875152</v>
      </c>
    </row>
    <row r="17" spans="1:19" x14ac:dyDescent="0.25">
      <c r="A17" t="s">
        <v>0</v>
      </c>
      <c r="B17" s="3" t="s">
        <v>24</v>
      </c>
      <c r="C17" t="s">
        <v>33</v>
      </c>
      <c r="D17" t="s">
        <v>19</v>
      </c>
      <c r="E17" t="s">
        <v>19</v>
      </c>
      <c r="F17" t="s">
        <v>19</v>
      </c>
      <c r="I17" s="5" t="s">
        <v>33</v>
      </c>
      <c r="J17" t="s">
        <v>19</v>
      </c>
      <c r="L17" s="2" t="s">
        <v>43</v>
      </c>
      <c r="M17" s="2">
        <f>(6836 + 0)/(6836 + 0 + 2212 + 0)</f>
        <v>0.75552608311228997</v>
      </c>
      <c r="N17" s="2" t="e">
        <f>(0)/(0 + 0)</f>
        <v>#DIV/0!</v>
      </c>
      <c r="O17" s="2">
        <f>(0)/(0 + 2212)</f>
        <v>0</v>
      </c>
      <c r="P17" s="2" t="e">
        <f>2*N17*O17/(N17 + O17)</f>
        <v>#DIV/0!</v>
      </c>
      <c r="Q17" s="2">
        <f>(6836)/(6836 + 2212)</f>
        <v>0.75552608311228997</v>
      </c>
      <c r="R17" s="2">
        <f>(6836)/(6836 + 0)</f>
        <v>1</v>
      </c>
      <c r="S17" s="2">
        <f>2*Q17*R17/(Q17+R17)</f>
        <v>0.86074036766557538</v>
      </c>
    </row>
    <row r="19" spans="1:19" x14ac:dyDescent="0.25">
      <c r="A19" s="7" t="s">
        <v>0</v>
      </c>
      <c r="B19" s="7" t="s">
        <v>23</v>
      </c>
      <c r="C19" s="7" t="s">
        <v>33</v>
      </c>
      <c r="D19" s="7" t="s">
        <v>19</v>
      </c>
      <c r="E19" s="7" t="s">
        <v>19</v>
      </c>
      <c r="F19" s="7" t="s">
        <v>19</v>
      </c>
      <c r="G19" s="10"/>
      <c r="H19" s="10"/>
      <c r="I19" s="7" t="s">
        <v>33</v>
      </c>
      <c r="J19" s="7" t="s">
        <v>19</v>
      </c>
      <c r="K19" s="7"/>
      <c r="L19" s="8" t="s">
        <v>41</v>
      </c>
      <c r="M19" s="8">
        <f>(6289 + 1113)/(6289 + 1113 + 1099 + 547)</f>
        <v>0.81808134394341292</v>
      </c>
      <c r="N19" s="8">
        <f>(1113)/(1113 + 547)</f>
        <v>0.67048192771084336</v>
      </c>
      <c r="O19" s="8">
        <f>(1113)/(1113 + 1099)</f>
        <v>0.50316455696202533</v>
      </c>
      <c r="P19" s="8">
        <f>2*N19*O19/(N19+O19)</f>
        <v>0.57489669421487599</v>
      </c>
      <c r="Q19" s="8">
        <f>(6289)/(6289 + 1099)</f>
        <v>0.8512452625879805</v>
      </c>
      <c r="R19" s="8">
        <f>(6289)/(6289 + 547)</f>
        <v>0.91998244587478062</v>
      </c>
      <c r="S19" s="8">
        <f>2*Q19*R19/(Q19+R19)</f>
        <v>0.88428008998875152</v>
      </c>
    </row>
    <row r="21" spans="1:19" x14ac:dyDescent="0.25">
      <c r="A21" t="s">
        <v>0</v>
      </c>
      <c r="B21" s="3" t="s">
        <v>26</v>
      </c>
      <c r="C21" t="s">
        <v>33</v>
      </c>
      <c r="D21" t="s">
        <v>19</v>
      </c>
      <c r="E21" t="s">
        <v>19</v>
      </c>
      <c r="F21" t="s">
        <v>19</v>
      </c>
      <c r="I21" s="5" t="s">
        <v>33</v>
      </c>
      <c r="J21" t="s">
        <v>19</v>
      </c>
      <c r="L21" s="2" t="s">
        <v>51</v>
      </c>
      <c r="M21" s="2">
        <f>(6004 + 1155)/(6004 + 1155 + 1057 + 832)</f>
        <v>0.79122458001768348</v>
      </c>
      <c r="N21" s="2">
        <f>(1155)/(1155 + 832)</f>
        <v>0.58127830900855559</v>
      </c>
      <c r="O21" s="2">
        <f>(1155)/(1155 + 1057)</f>
        <v>0.52215189873417722</v>
      </c>
      <c r="P21" s="2">
        <f>2*M21*O21/(M21 + O21)</f>
        <v>0.62912565203543713</v>
      </c>
      <c r="Q21" s="2">
        <f>(6004)/(6004 + 1057)</f>
        <v>0.85030448944908654</v>
      </c>
      <c r="R21" s="2">
        <f>(6004)/(6004 + 832)</f>
        <v>0.87829139847864246</v>
      </c>
      <c r="S21" s="2">
        <f>2*Q21*R21/(Q21+R21)</f>
        <v>0.86407138231272929</v>
      </c>
    </row>
    <row r="22" spans="1:19" x14ac:dyDescent="0.25">
      <c r="A22" t="s">
        <v>0</v>
      </c>
      <c r="B22" s="3" t="s">
        <v>27</v>
      </c>
      <c r="C22" t="s">
        <v>33</v>
      </c>
      <c r="D22" t="s">
        <v>19</v>
      </c>
      <c r="E22" t="s">
        <v>19</v>
      </c>
      <c r="F22" t="s">
        <v>19</v>
      </c>
      <c r="I22" s="5" t="s">
        <v>33</v>
      </c>
      <c r="J22" t="s">
        <v>19</v>
      </c>
      <c r="L22" s="2" t="s">
        <v>40</v>
      </c>
      <c r="M22" s="2">
        <f>(6289 + 1113)/(6289 + 1113 + 1099 + 547)</f>
        <v>0.81808134394341292</v>
      </c>
      <c r="N22" s="2">
        <f>(1113)/(1113 + 547)</f>
        <v>0.67048192771084336</v>
      </c>
      <c r="O22" s="2">
        <f>(1113)/(1113 + 1099)</f>
        <v>0.50316455696202533</v>
      </c>
      <c r="P22" s="2">
        <f>2*M22*O22/(M22 + O22)</f>
        <v>0.6230930013892183</v>
      </c>
      <c r="Q22" s="2">
        <f>(6289)/(6289 + 1099)</f>
        <v>0.8512452625879805</v>
      </c>
      <c r="R22" s="2">
        <f>(6289)/(6289 + 547)</f>
        <v>0.91998244587478062</v>
      </c>
      <c r="S22" s="2">
        <f>2*Q22*R22/(Q22+R22)</f>
        <v>0.88428008998875152</v>
      </c>
    </row>
    <row r="24" spans="1:19" x14ac:dyDescent="0.25">
      <c r="A24" s="7" t="s">
        <v>0</v>
      </c>
      <c r="B24" s="7" t="s">
        <v>23</v>
      </c>
      <c r="C24" s="7" t="s">
        <v>33</v>
      </c>
      <c r="D24" s="7" t="s">
        <v>19</v>
      </c>
      <c r="E24" s="7" t="s">
        <v>19</v>
      </c>
      <c r="F24" s="7" t="s">
        <v>19</v>
      </c>
      <c r="G24" s="10"/>
      <c r="H24" s="10"/>
      <c r="I24" s="7" t="s">
        <v>33</v>
      </c>
      <c r="J24" s="7" t="s">
        <v>19</v>
      </c>
      <c r="K24" s="7"/>
      <c r="L24" s="8" t="s">
        <v>41</v>
      </c>
      <c r="M24" s="8">
        <f>(6289 + 1113)/(6289 + 1113 + 1099 + 547)</f>
        <v>0.81808134394341292</v>
      </c>
      <c r="N24" s="8">
        <f>(1113)/(1113 + 547)</f>
        <v>0.67048192771084336</v>
      </c>
      <c r="O24" s="8">
        <f>(1113)/(1113 + 1099)</f>
        <v>0.50316455696202533</v>
      </c>
      <c r="P24" s="8">
        <f>2*N24*O24/(N24+O24)</f>
        <v>0.57489669421487599</v>
      </c>
      <c r="Q24" s="8">
        <f>(6289)/(6289 + 1099)</f>
        <v>0.8512452625879805</v>
      </c>
      <c r="R24" s="8">
        <f>(6289)/(6289 + 547)</f>
        <v>0.91998244587478062</v>
      </c>
      <c r="S24" s="8">
        <f>2*Q24*R24/(Q24+R24)</f>
        <v>0.88428008998875152</v>
      </c>
    </row>
    <row r="26" spans="1:19" x14ac:dyDescent="0.25">
      <c r="A26" s="3" t="s">
        <v>28</v>
      </c>
      <c r="B26" t="s">
        <v>1</v>
      </c>
      <c r="C26" t="s">
        <v>19</v>
      </c>
      <c r="D26" t="s">
        <v>19</v>
      </c>
      <c r="E26" t="s">
        <v>19</v>
      </c>
      <c r="F26" t="s">
        <v>19</v>
      </c>
      <c r="I26" t="s">
        <v>19</v>
      </c>
      <c r="J26" t="s">
        <v>19</v>
      </c>
      <c r="L26" s="2" t="s">
        <v>40</v>
      </c>
      <c r="M26" s="2">
        <f>(5848 + 1521)/(5848 + 1521 + 691 + 988)</f>
        <v>0.81443412908930146</v>
      </c>
      <c r="N26" s="2">
        <f>(1521)/(1521 + 988)</f>
        <v>0.60621761658031093</v>
      </c>
      <c r="O26" s="2">
        <f>(1521)/(1521 + 691)</f>
        <v>0.68761301989150092</v>
      </c>
      <c r="P26" s="2">
        <f>2*M26*O26/(M26 + O26)</f>
        <v>0.74566968338615924</v>
      </c>
      <c r="Q26" s="2">
        <f>(5848)/(5848 + 691)</f>
        <v>0.89432634959473922</v>
      </c>
      <c r="R26" s="2">
        <f>(5848)/(5848 + 988)</f>
        <v>0.85547103569338789</v>
      </c>
      <c r="S26" s="2">
        <f>2*Q26*R26/(Q26+R26)</f>
        <v>0.87446728971962606</v>
      </c>
    </row>
    <row r="27" spans="1:19" x14ac:dyDescent="0.25">
      <c r="A27" t="s">
        <v>28</v>
      </c>
      <c r="B27" t="s">
        <v>1</v>
      </c>
      <c r="C27" s="3" t="s">
        <v>33</v>
      </c>
      <c r="D27" t="s">
        <v>19</v>
      </c>
      <c r="E27" t="s">
        <v>19</v>
      </c>
      <c r="F27" t="s">
        <v>19</v>
      </c>
      <c r="I27" s="3" t="s">
        <v>33</v>
      </c>
      <c r="J27" t="s">
        <v>19</v>
      </c>
      <c r="L27" s="2" t="s">
        <v>40</v>
      </c>
      <c r="M27" s="2">
        <f>(5890 + 1506)/(5890 + 1506 + 946 + 706)</f>
        <v>0.81741821396993808</v>
      </c>
      <c r="N27" s="2">
        <f>(1506)/(1506 + 946)</f>
        <v>0.61419249592169656</v>
      </c>
      <c r="O27" s="2">
        <f>(1506)/(1506 + 706)</f>
        <v>0.68083182640144668</v>
      </c>
      <c r="P27" s="2">
        <f>2*M27*O27/(M27 + O27)</f>
        <v>0.74289914307362315</v>
      </c>
      <c r="Q27" s="2">
        <f>(5890)/(5890 + 706)</f>
        <v>0.89296543359611891</v>
      </c>
      <c r="R27" s="2">
        <f>(5890)/(5890 + 946)</f>
        <v>0.86161497952018729</v>
      </c>
      <c r="S27" s="2">
        <f>2*Q27*R27/(Q27+R27)</f>
        <v>0.87701012507444898</v>
      </c>
    </row>
    <row r="28" spans="1:19" x14ac:dyDescent="0.25">
      <c r="G28" s="4"/>
      <c r="H28" s="4"/>
    </row>
    <row r="29" spans="1:19" x14ac:dyDescent="0.25">
      <c r="A29" s="7" t="s">
        <v>28</v>
      </c>
      <c r="B29" s="7" t="s">
        <v>1</v>
      </c>
      <c r="C29" s="7" t="s">
        <v>19</v>
      </c>
      <c r="D29" s="7" t="s">
        <v>19</v>
      </c>
      <c r="E29" s="7" t="s">
        <v>19</v>
      </c>
      <c r="F29" s="7" t="s">
        <v>19</v>
      </c>
      <c r="G29" s="10"/>
      <c r="H29" s="10"/>
      <c r="I29" s="7" t="s">
        <v>19</v>
      </c>
      <c r="J29" s="7" t="s">
        <v>19</v>
      </c>
      <c r="K29" s="7"/>
      <c r="L29" s="8" t="s">
        <v>40</v>
      </c>
      <c r="M29" s="8">
        <f>(5890 + 1506)/(5890 + 1506 + 946 + 706)</f>
        <v>0.81741821396993808</v>
      </c>
      <c r="N29" s="8">
        <f>(1506)/(1506 + 946)</f>
        <v>0.61419249592169656</v>
      </c>
      <c r="O29" s="8">
        <f>(1506)/(1506 + 706)</f>
        <v>0.68083182640144668</v>
      </c>
      <c r="P29" s="8">
        <f>2*M29*O29/(M29 + O29)</f>
        <v>0.74289914307362315</v>
      </c>
      <c r="Q29" s="8">
        <f>(5890)/(5890 + 706)</f>
        <v>0.89296543359611891</v>
      </c>
      <c r="R29" s="8">
        <f>(5890)/(5890 + 946)</f>
        <v>0.86161497952018729</v>
      </c>
      <c r="S29" s="8">
        <f>2*Q29*R29/(Q29+R29)</f>
        <v>0.87701012507444898</v>
      </c>
    </row>
    <row r="31" spans="1:19" x14ac:dyDescent="0.25">
      <c r="A31" s="3" t="s">
        <v>29</v>
      </c>
      <c r="B31" t="s">
        <v>1</v>
      </c>
      <c r="C31" t="s">
        <v>33</v>
      </c>
      <c r="D31" t="s">
        <v>19</v>
      </c>
      <c r="E31" t="s">
        <v>19</v>
      </c>
      <c r="F31" t="s">
        <v>19</v>
      </c>
      <c r="I31" s="5" t="s">
        <v>33</v>
      </c>
      <c r="J31" t="s">
        <v>19</v>
      </c>
      <c r="L31" s="2" t="s">
        <v>34</v>
      </c>
      <c r="M31" s="2">
        <f>(6140 + 1328)/(6140 + 1328 + 696 + 884)</f>
        <v>0.82537577365163572</v>
      </c>
      <c r="N31" s="2">
        <f>(1328)/(1328 + 696)</f>
        <v>0.65612648221343872</v>
      </c>
      <c r="O31" s="2">
        <f>(1328)/(1328 + 884)</f>
        <v>0.60036166365280286</v>
      </c>
      <c r="P31" s="2">
        <f>2*M31*O31/(M31 + O31)</f>
        <v>0.69511252162259907</v>
      </c>
      <c r="Q31" s="2">
        <f>(6140)/(6140 + 884)</f>
        <v>0.87414578587699321</v>
      </c>
      <c r="R31" s="2">
        <f>(6140)/(6140 + 696)</f>
        <v>0.89818607372732595</v>
      </c>
      <c r="S31" s="2">
        <f>2*Q31*R31/(Q31+R31)</f>
        <v>0.88600288600288613</v>
      </c>
    </row>
    <row r="32" spans="1:19" x14ac:dyDescent="0.25">
      <c r="A32" t="s">
        <v>29</v>
      </c>
      <c r="B32" t="s">
        <v>31</v>
      </c>
      <c r="C32" t="s">
        <v>33</v>
      </c>
      <c r="D32" t="s">
        <v>19</v>
      </c>
      <c r="E32" t="s">
        <v>19</v>
      </c>
      <c r="F32" t="s">
        <v>19</v>
      </c>
      <c r="I32" s="5" t="s">
        <v>33</v>
      </c>
      <c r="J32" t="s">
        <v>19</v>
      </c>
      <c r="L32" s="2" t="s">
        <v>34</v>
      </c>
      <c r="M32" s="2">
        <f>(6151 + 1328)/(6151 + 1328 + 884 + 685)</f>
        <v>0.82659151193633951</v>
      </c>
      <c r="N32" s="2">
        <f>(1328)/(1328 + 685)</f>
        <v>0.65971187282662691</v>
      </c>
      <c r="O32" s="2">
        <f>(1328)/(1328 + 884)</f>
        <v>0.60036166365280286</v>
      </c>
      <c r="P32" s="2">
        <f>2*M32*O32/(M32 + O32)</f>
        <v>0.69554329287994943</v>
      </c>
      <c r="Q32" s="2">
        <f>(6151)/(6151 + 884)</f>
        <v>0.87434257285003558</v>
      </c>
      <c r="R32" s="2">
        <f>(6151)/(6151 + 685)</f>
        <v>0.89979520187244</v>
      </c>
      <c r="S32" s="2">
        <f>2*Q32*R32/(Q32+R32)</f>
        <v>0.88688630956672199</v>
      </c>
    </row>
    <row r="33" spans="1:19" x14ac:dyDescent="0.25">
      <c r="A33" t="s">
        <v>29</v>
      </c>
      <c r="B33" t="s">
        <v>32</v>
      </c>
      <c r="C33" t="s">
        <v>33</v>
      </c>
      <c r="D33" t="s">
        <v>19</v>
      </c>
      <c r="E33" t="s">
        <v>19</v>
      </c>
      <c r="F33" t="s">
        <v>19</v>
      </c>
      <c r="I33" s="5" t="s">
        <v>33</v>
      </c>
      <c r="J33" t="s">
        <v>19</v>
      </c>
      <c r="L33" s="2" t="s">
        <v>34</v>
      </c>
      <c r="M33" s="2">
        <f>(6237 + 1251)/(6237 + 1251 + 599 + 961)</f>
        <v>0.82758620689655171</v>
      </c>
      <c r="N33" s="2">
        <f>(1251)/(1251 + 599)</f>
        <v>0.67621621621621619</v>
      </c>
      <c r="O33" s="2">
        <f>(1251)/(1251 + 961)</f>
        <v>0.56555153707052441</v>
      </c>
      <c r="P33" s="2">
        <f>2*M33*O33/(M33 + O33)</f>
        <v>0.6719258786800496</v>
      </c>
      <c r="Q33" s="2">
        <f>(6237)/(6237 + 961)</f>
        <v>0.86649069185884964</v>
      </c>
      <c r="R33" s="2">
        <f>(6237)/(6237 + 599)</f>
        <v>0.91237565827969569</v>
      </c>
      <c r="S33" s="2">
        <f>2*Q33*R33/(Q33+R33)</f>
        <v>0.88884138520735356</v>
      </c>
    </row>
    <row r="34" spans="1:19" x14ac:dyDescent="0.25">
      <c r="A34" t="s">
        <v>29</v>
      </c>
      <c r="B34" t="s">
        <v>30</v>
      </c>
      <c r="C34" t="s">
        <v>33</v>
      </c>
      <c r="D34" t="s">
        <v>19</v>
      </c>
      <c r="E34" t="s">
        <v>19</v>
      </c>
      <c r="F34" t="s">
        <v>19</v>
      </c>
      <c r="I34" s="5" t="s">
        <v>33</v>
      </c>
      <c r="J34" t="s">
        <v>19</v>
      </c>
      <c r="L34" s="2" t="s">
        <v>34</v>
      </c>
      <c r="M34" s="2">
        <f>(6172 + 1304)/(6172 + 1304 + 908 + 664)</f>
        <v>0.82625994694960214</v>
      </c>
      <c r="N34" s="2">
        <f>(1304)/(1304 + 664)</f>
        <v>0.66260162601626016</v>
      </c>
      <c r="O34" s="2">
        <f>(1304)/(1304 + 908)</f>
        <v>0.58951175406871614</v>
      </c>
      <c r="P34" s="2">
        <f>2*M34*O34/(M34 + O34)</f>
        <v>0.68809109589157125</v>
      </c>
      <c r="Q34" s="2">
        <f>(6172)/(6172 + 908)</f>
        <v>0.87175141242937848</v>
      </c>
      <c r="R34" s="2">
        <f>(6172)/(6172 + 664)</f>
        <v>0.90286717378583969</v>
      </c>
      <c r="S34" s="2">
        <f>2*Q34*R34/(Q34+R34)</f>
        <v>0.88703650474274209</v>
      </c>
    </row>
    <row r="36" spans="1:19" x14ac:dyDescent="0.25">
      <c r="A36" s="7" t="s">
        <v>29</v>
      </c>
      <c r="B36" s="7" t="s">
        <v>32</v>
      </c>
      <c r="C36" s="7" t="s">
        <v>33</v>
      </c>
      <c r="D36" s="7" t="s">
        <v>19</v>
      </c>
      <c r="E36" s="7" t="s">
        <v>19</v>
      </c>
      <c r="F36" s="7" t="s">
        <v>19</v>
      </c>
      <c r="G36" s="7"/>
      <c r="H36" s="7"/>
      <c r="I36" s="7" t="s">
        <v>33</v>
      </c>
      <c r="J36" s="7" t="s">
        <v>19</v>
      </c>
      <c r="K36" s="7"/>
      <c r="L36" s="8" t="s">
        <v>34</v>
      </c>
      <c r="M36" s="8">
        <f>(6237 + 1251)/(6237 + 1251 + 599 + 961)</f>
        <v>0.82758620689655171</v>
      </c>
      <c r="N36" s="8">
        <f>(1251)/(1251 + 599)</f>
        <v>0.67621621621621619</v>
      </c>
      <c r="O36" s="8">
        <f>(1251)/(1251 + 961)</f>
        <v>0.56555153707052441</v>
      </c>
      <c r="P36" s="8">
        <f>2*M36*O36/(M36 + O36)</f>
        <v>0.6719258786800496</v>
      </c>
      <c r="Q36" s="8">
        <f>(6237)/(6237 + 961)</f>
        <v>0.86649069185884964</v>
      </c>
      <c r="R36" s="8">
        <f>(6237)/(6237 + 599)</f>
        <v>0.91237565827969569</v>
      </c>
      <c r="S36" s="8">
        <f>2*Q36*R36/(Q36+R36)</f>
        <v>0.88884138520735356</v>
      </c>
    </row>
    <row r="38" spans="1:19" x14ac:dyDescent="0.25">
      <c r="A38" s="3" t="s">
        <v>45</v>
      </c>
      <c r="B38" t="s">
        <v>1</v>
      </c>
      <c r="C38" t="s">
        <v>19</v>
      </c>
      <c r="D38" t="s">
        <v>19</v>
      </c>
      <c r="E38" t="s">
        <v>19</v>
      </c>
      <c r="F38" t="s">
        <v>19</v>
      </c>
      <c r="I38" t="s">
        <v>19</v>
      </c>
      <c r="J38" t="s">
        <v>19</v>
      </c>
      <c r="L38" s="2" t="s">
        <v>34</v>
      </c>
      <c r="M38" s="2">
        <f>(6158 + 1327)/(6158 + 1327 + 678 + 885)</f>
        <v>0.82725464190981435</v>
      </c>
      <c r="N38" s="2">
        <f>(1327)/(1327 + 678)</f>
        <v>0.66184538653366587</v>
      </c>
      <c r="O38" s="2">
        <f>(1327)/(1327 + 885)</f>
        <v>0.59990958408679929</v>
      </c>
      <c r="P38" s="2">
        <f>2*M38*O38/(M38 + O38)</f>
        <v>0.69547425464007995</v>
      </c>
      <c r="Q38" s="2">
        <f>(6158)/(6158 + 885)</f>
        <v>0.87434331960812151</v>
      </c>
      <c r="R38" s="2">
        <f>(6158)/(6158 + 678)</f>
        <v>0.9008191925102399</v>
      </c>
      <c r="S38" s="2">
        <f>2*Q38*R38/(Q38+R38)</f>
        <v>0.88738381727790183</v>
      </c>
    </row>
    <row r="39" spans="1:19" x14ac:dyDescent="0.25">
      <c r="A39" t="s">
        <v>45</v>
      </c>
      <c r="B39" t="s">
        <v>1</v>
      </c>
      <c r="C39" s="3" t="s">
        <v>33</v>
      </c>
      <c r="D39" t="s">
        <v>19</v>
      </c>
      <c r="E39" t="s">
        <v>19</v>
      </c>
      <c r="F39" t="s">
        <v>19</v>
      </c>
      <c r="I39" s="3" t="s">
        <v>33</v>
      </c>
      <c r="J39" t="s">
        <v>19</v>
      </c>
      <c r="L39" s="2" t="s">
        <v>34</v>
      </c>
      <c r="M39" s="2">
        <f>(6178 + 1304)/(6178 + 1304 + 658 + 908)</f>
        <v>0.82692307692307687</v>
      </c>
      <c r="N39" s="2">
        <f>(1304)/(1304 + 658)</f>
        <v>0.66462793068297654</v>
      </c>
      <c r="O39" s="2">
        <f>(1304)/(1304 + 908)</f>
        <v>0.58951175406871614</v>
      </c>
      <c r="P39" s="2">
        <f>2*M39*O39/(M39 + O39)</f>
        <v>0.68832093491443869</v>
      </c>
      <c r="Q39" s="2">
        <f>(6178)/(6178 + 908)</f>
        <v>0.87186000564493371</v>
      </c>
      <c r="R39" s="2">
        <f>(6178)/(6178 + 658)</f>
        <v>0.90374488004681097</v>
      </c>
      <c r="S39" s="2">
        <f>2*Q39*R39/(Q39+R39)</f>
        <v>0.88751616147105306</v>
      </c>
    </row>
    <row r="40" spans="1:19" x14ac:dyDescent="0.25">
      <c r="G40" s="4"/>
      <c r="H40" s="4"/>
    </row>
    <row r="41" spans="1:19" x14ac:dyDescent="0.25">
      <c r="A41" s="7" t="s">
        <v>45</v>
      </c>
      <c r="B41" s="7" t="s">
        <v>1</v>
      </c>
      <c r="C41" s="7" t="s">
        <v>33</v>
      </c>
      <c r="D41" s="7" t="s">
        <v>19</v>
      </c>
      <c r="E41" s="7" t="s">
        <v>19</v>
      </c>
      <c r="F41" s="7" t="s">
        <v>19</v>
      </c>
      <c r="G41" s="10"/>
      <c r="H41" s="10"/>
      <c r="I41" s="7" t="s">
        <v>33</v>
      </c>
      <c r="J41" s="7" t="s">
        <v>19</v>
      </c>
      <c r="K41" s="7"/>
      <c r="L41" s="8" t="s">
        <v>34</v>
      </c>
      <c r="M41" s="8">
        <f>(6178 + 1304)/(6178 + 1304 + 658 + 908)</f>
        <v>0.82692307692307687</v>
      </c>
      <c r="N41" s="8">
        <f>(1304)/(1304 + 658)</f>
        <v>0.66462793068297654</v>
      </c>
      <c r="O41" s="8">
        <f>(1304)/(1304 + 908)</f>
        <v>0.58951175406871614</v>
      </c>
      <c r="P41" s="8">
        <f>2*M41*O41/(M41 + O41)</f>
        <v>0.68832093491443869</v>
      </c>
      <c r="Q41" s="8">
        <f>(6178)/(6178 + 908)</f>
        <v>0.87186000564493371</v>
      </c>
      <c r="R41" s="8">
        <f>(6178)/(6178 + 658)</f>
        <v>0.90374488004681097</v>
      </c>
      <c r="S41" s="8">
        <f>2*Q41*R41/(Q41+R41)</f>
        <v>0.88751616147105306</v>
      </c>
    </row>
    <row r="43" spans="1:19" x14ac:dyDescent="0.25">
      <c r="A43" s="3" t="s">
        <v>46</v>
      </c>
      <c r="B43" t="s">
        <v>1</v>
      </c>
      <c r="C43" t="s">
        <v>19</v>
      </c>
      <c r="D43" t="s">
        <v>19</v>
      </c>
      <c r="E43" t="s">
        <v>19</v>
      </c>
      <c r="F43" t="s">
        <v>19</v>
      </c>
      <c r="I43" t="s">
        <v>19</v>
      </c>
      <c r="J43" t="s">
        <v>19</v>
      </c>
      <c r="L43" s="2">
        <v>0.88</v>
      </c>
      <c r="M43" s="2">
        <f>(6718 + 382)/(6718 + 382 + 118 + 1830)</f>
        <v>0.7847038019451813</v>
      </c>
      <c r="N43" s="2">
        <f>(382)/(382 + 118)</f>
        <v>0.76400000000000001</v>
      </c>
      <c r="O43" s="2">
        <f>(382)/(382 + 1830)</f>
        <v>0.17269439421338156</v>
      </c>
      <c r="P43" s="2">
        <f>2*M43*O43/(M43 + O43)</f>
        <v>0.28308795286557403</v>
      </c>
      <c r="Q43" s="2">
        <f>(6718)/(6718 + 1830)</f>
        <v>0.78591483387926997</v>
      </c>
      <c r="R43" s="2">
        <f>(6718)/(6718 + 118)</f>
        <v>0.98273844353423057</v>
      </c>
      <c r="S43" s="2">
        <f>2*Q43*R43/(Q43+R43)</f>
        <v>0.87337493499739982</v>
      </c>
    </row>
    <row r="44" spans="1:19" x14ac:dyDescent="0.25">
      <c r="A44" t="s">
        <v>46</v>
      </c>
      <c r="B44" t="s">
        <v>1</v>
      </c>
      <c r="C44" s="3" t="s">
        <v>33</v>
      </c>
      <c r="D44" t="s">
        <v>19</v>
      </c>
      <c r="E44" t="s">
        <v>19</v>
      </c>
      <c r="F44" t="s">
        <v>19</v>
      </c>
      <c r="I44" s="3" t="s">
        <v>33</v>
      </c>
      <c r="J44" t="s">
        <v>19</v>
      </c>
      <c r="L44" s="2">
        <v>0.89</v>
      </c>
      <c r="M44" s="2">
        <f>(6721 + 391)/(6721 + 391 + 1821 + 115)</f>
        <v>0.78603006189213087</v>
      </c>
      <c r="N44" s="2">
        <f>(391)/(391 + 115)</f>
        <v>0.77272727272727271</v>
      </c>
      <c r="O44" s="2">
        <f>(391)/(391 + 1821)</f>
        <v>0.1767631103074141</v>
      </c>
      <c r="P44" s="2">
        <f>2*M44*O44/(M44 + O44)</f>
        <v>0.28862090539708529</v>
      </c>
      <c r="Q44" s="2">
        <f>(6721)/(6721 + 1821)</f>
        <v>0.78681807539217985</v>
      </c>
      <c r="R44" s="2">
        <f>(6721)/(6721+ 115)</f>
        <v>0.9831772966647162</v>
      </c>
      <c r="S44" s="2">
        <f>2*Q44*R44/(Q44+R44)</f>
        <v>0.87410586552217451</v>
      </c>
    </row>
    <row r="48" spans="1:19" x14ac:dyDescent="0.25">
      <c r="A48" s="3" t="s">
        <v>47</v>
      </c>
      <c r="B48" t="s">
        <v>1</v>
      </c>
      <c r="C48" t="s">
        <v>19</v>
      </c>
      <c r="D48" t="s">
        <v>19</v>
      </c>
      <c r="E48" t="s">
        <v>19</v>
      </c>
      <c r="F48" t="s">
        <v>19</v>
      </c>
      <c r="I48" s="5" t="s">
        <v>19</v>
      </c>
      <c r="J48" t="s">
        <v>19</v>
      </c>
      <c r="L48" s="2" t="s">
        <v>40</v>
      </c>
      <c r="M48" s="2">
        <f>(6254 + 1196)/(6254 + 1196 + 582 + 1017)</f>
        <v>0.82329539175599509</v>
      </c>
      <c r="N48" s="2">
        <f>(1196)/(1196 + 582)</f>
        <v>0.67266591676040499</v>
      </c>
      <c r="O48" s="2">
        <f>(1196)/(1196 + 1017)</f>
        <v>0.5404428377767736</v>
      </c>
      <c r="P48" s="2">
        <f>2*M48*O48/(M48 + O48)</f>
        <v>0.65253593132986099</v>
      </c>
      <c r="Q48" s="2">
        <f>(6254)/(6254 + 1017)</f>
        <v>0.86012928070416728</v>
      </c>
      <c r="R48" s="2">
        <f>(6254)/(6254 + 582)</f>
        <v>0.91486249268578113</v>
      </c>
      <c r="S48" s="2">
        <f>2*Q48*R48/(Q48+R48)</f>
        <v>0.88665201672928329</v>
      </c>
    </row>
    <row r="49" spans="1:19" x14ac:dyDescent="0.25">
      <c r="A49" t="s">
        <v>47</v>
      </c>
      <c r="B49" t="s">
        <v>1</v>
      </c>
      <c r="C49" s="3" t="s">
        <v>33</v>
      </c>
      <c r="D49" t="s">
        <v>19</v>
      </c>
      <c r="E49" t="s">
        <v>19</v>
      </c>
      <c r="F49" t="s">
        <v>19</v>
      </c>
      <c r="G49" s="4"/>
      <c r="H49" s="4"/>
      <c r="I49" s="3" t="s">
        <v>33</v>
      </c>
      <c r="J49" t="s">
        <v>19</v>
      </c>
      <c r="L49" s="2" t="s">
        <v>51</v>
      </c>
      <c r="M49" s="2">
        <f>(6314 + 969)/(6314 + 969 + 522 + 1243)</f>
        <v>0.80492926613616267</v>
      </c>
      <c r="N49" s="2">
        <f>(969)/(969 + 522)</f>
        <v>0.64989939637826966</v>
      </c>
      <c r="O49" s="2">
        <f>(969)/(969 + 1243)</f>
        <v>0.43806509945750455</v>
      </c>
      <c r="P49" s="2">
        <f>2*M49*O49/(M49 + O49)</f>
        <v>0.5673580328061798</v>
      </c>
      <c r="Q49" s="2">
        <f>(6314)/(6314 + 1243)</f>
        <v>0.83551673944687044</v>
      </c>
      <c r="R49" s="2">
        <f>(6314)/(6314 + 522)</f>
        <v>0.92363955529549446</v>
      </c>
      <c r="S49" s="2">
        <f>2*Q49*R49/(Q49+R49)</f>
        <v>0.87737094420899042</v>
      </c>
    </row>
    <row r="50" spans="1:19" x14ac:dyDescent="0.25">
      <c r="A50" s="5" t="s">
        <v>47</v>
      </c>
      <c r="B50" s="3" t="s">
        <v>49</v>
      </c>
      <c r="C50" t="s">
        <v>33</v>
      </c>
      <c r="D50" t="s">
        <v>19</v>
      </c>
      <c r="E50" t="s">
        <v>19</v>
      </c>
      <c r="F50" t="s">
        <v>19</v>
      </c>
      <c r="I50" s="5" t="s">
        <v>33</v>
      </c>
      <c r="J50" t="s">
        <v>19</v>
      </c>
      <c r="L50" s="2" t="s">
        <v>52</v>
      </c>
      <c r="M50" s="2">
        <f>(6456 + 638)/(6456 + 638 + 1574 + 380)</f>
        <v>0.78404067197170646</v>
      </c>
      <c r="N50" s="2">
        <f>(638)/(638 + 380)</f>
        <v>0.62671905697445973</v>
      </c>
      <c r="O50" s="2">
        <f>(638)/(638 + 1574)</f>
        <v>0.2884267631103074</v>
      </c>
      <c r="P50" s="2">
        <f>2*M50*O50/(M50 + O50)</f>
        <v>0.42171595288827834</v>
      </c>
      <c r="Q50" s="2">
        <f>(6456)/(6456 + 1574)</f>
        <v>0.8039850560398506</v>
      </c>
      <c r="R50" s="2">
        <f>(6456)/(6456 + 380)</f>
        <v>0.94441193680514923</v>
      </c>
      <c r="S50" s="2">
        <f>2*Q50*R50/(Q50+R50)</f>
        <v>0.86855912821202752</v>
      </c>
    </row>
    <row r="51" spans="1:19" x14ac:dyDescent="0.25">
      <c r="A51" s="5" t="s">
        <v>47</v>
      </c>
      <c r="B51" s="3" t="s">
        <v>50</v>
      </c>
      <c r="C51" t="s">
        <v>33</v>
      </c>
      <c r="D51" t="s">
        <v>19</v>
      </c>
      <c r="E51" t="s">
        <v>19</v>
      </c>
      <c r="F51" t="s">
        <v>19</v>
      </c>
      <c r="I51" s="5" t="s">
        <v>33</v>
      </c>
      <c r="J51" t="s">
        <v>19</v>
      </c>
      <c r="L51" s="2" t="s">
        <v>42</v>
      </c>
      <c r="M51" s="2">
        <f>(6836 + 0)/(6836 + 0 + 0 + 2212)</f>
        <v>0.75552608311228997</v>
      </c>
      <c r="N51" s="2" t="e">
        <f>(0)/(0 + 0)</f>
        <v>#DIV/0!</v>
      </c>
      <c r="O51" s="2">
        <f>(0)/(0 + 2212)</f>
        <v>0</v>
      </c>
      <c r="P51" s="2">
        <f>2*M51*O51/(M51 + O51)</f>
        <v>0</v>
      </c>
      <c r="Q51" s="2">
        <f>(6836)/(6836 + 2212)</f>
        <v>0.75552608311228997</v>
      </c>
      <c r="R51" s="2">
        <f>(6836)/(6836 + 0)</f>
        <v>1</v>
      </c>
      <c r="S51" s="2">
        <f>2*Q51*R51/(Q51+R51)</f>
        <v>0.86074036766557538</v>
      </c>
    </row>
    <row r="52" spans="1:19" x14ac:dyDescent="0.25">
      <c r="A52" s="5" t="s">
        <v>47</v>
      </c>
      <c r="B52" s="3" t="s">
        <v>53</v>
      </c>
      <c r="C52" t="s">
        <v>33</v>
      </c>
      <c r="D52" t="s">
        <v>19</v>
      </c>
      <c r="E52" t="s">
        <v>19</v>
      </c>
      <c r="F52" t="s">
        <v>19</v>
      </c>
      <c r="I52" s="5" t="s">
        <v>33</v>
      </c>
      <c r="J52" t="s">
        <v>19</v>
      </c>
      <c r="L52" s="2" t="s">
        <v>51</v>
      </c>
      <c r="M52" s="2">
        <f>(6297 + 943)/(6297 + 943 + 539 + 1269)</f>
        <v>0.80017683465959333</v>
      </c>
      <c r="N52" s="2">
        <f>(943)/(943 + 539)</f>
        <v>0.63630229419703099</v>
      </c>
      <c r="O52" s="2">
        <f>(943)/(943 + 1269)</f>
        <v>0.42631103074141047</v>
      </c>
      <c r="P52" s="2">
        <f>2*M52*O52/(M52 + O52)</f>
        <v>0.55626186085028861</v>
      </c>
      <c r="Q52" s="2">
        <f>(6297)/(6297 + 1269)</f>
        <v>0.83227597145122922</v>
      </c>
      <c r="R52" s="2">
        <f>(6297)/(6297 + 539)</f>
        <v>0.92115272088940903</v>
      </c>
      <c r="S52" s="2">
        <f>2*Q52*R52/(Q52+R52)</f>
        <v>0.87446188029440364</v>
      </c>
    </row>
    <row r="54" spans="1:19" x14ac:dyDescent="0.25">
      <c r="A54" s="7" t="s">
        <v>47</v>
      </c>
      <c r="B54" s="7" t="s">
        <v>1</v>
      </c>
      <c r="C54" s="7" t="s">
        <v>19</v>
      </c>
      <c r="D54" s="7" t="s">
        <v>19</v>
      </c>
      <c r="E54" s="7" t="s">
        <v>19</v>
      </c>
      <c r="F54" s="7" t="s">
        <v>19</v>
      </c>
      <c r="G54" s="7"/>
      <c r="H54" s="7"/>
      <c r="I54" s="7" t="s">
        <v>19</v>
      </c>
      <c r="J54" s="7" t="s">
        <v>19</v>
      </c>
      <c r="K54" s="7"/>
      <c r="L54" s="8" t="s">
        <v>40</v>
      </c>
      <c r="M54" s="8">
        <f>(6254 + 1196)/(6254 + 1196 + 582 + 1017)</f>
        <v>0.82329539175599509</v>
      </c>
      <c r="N54" s="8">
        <f>(1196)/(1196 + 582)</f>
        <v>0.67266591676040499</v>
      </c>
      <c r="O54" s="8">
        <f>(1196)/(1196 + 1017)</f>
        <v>0.5404428377767736</v>
      </c>
      <c r="P54" s="8">
        <f>2*M54*O54/(M54 + O54)</f>
        <v>0.65253593132986099</v>
      </c>
      <c r="Q54" s="8">
        <f>(6254)/(6254 + 1017)</f>
        <v>0.86012928070416728</v>
      </c>
      <c r="R54" s="8">
        <f>(6254)/(6254 + 582)</f>
        <v>0.91486249268578113</v>
      </c>
      <c r="S54" s="8">
        <f>2*Q54*R54/(Q54+R54)</f>
        <v>0.88665201672928329</v>
      </c>
    </row>
  </sheetData>
  <mergeCells count="3">
    <mergeCell ref="C2:J2"/>
    <mergeCell ref="N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Sugested</vt:lpstr>
      <vt:lpstr>WithoutCapital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Paulo Henrique</cp:lastModifiedBy>
  <dcterms:created xsi:type="dcterms:W3CDTF">2022-12-15T22:28:47Z</dcterms:created>
  <dcterms:modified xsi:type="dcterms:W3CDTF">2023-01-05T23:25:59Z</dcterms:modified>
</cp:coreProperties>
</file>