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, meses e lucro" sheetId="1" r:id="rId4"/>
    <sheet state="visible" name="Analise da idade dos clientes" sheetId="2" r:id="rId5"/>
    <sheet state="visible" name="Análise do setor &quot;Grãos&quot;" sheetId="3" r:id="rId6"/>
    <sheet state="visible" name="Top 5 clientes do mês" sheetId="4" r:id="rId7"/>
    <sheet state="visible" name="Pesquisa de satisfação" sheetId="5" r:id="rId8"/>
    <sheet state="visible" name="Higiene e limpeza" sheetId="6" r:id="rId9"/>
    <sheet state="visible" name="Relatório final" sheetId="7" r:id="rId10"/>
  </sheets>
  <definedNames/>
  <calcPr/>
</workbook>
</file>

<file path=xl/sharedStrings.xml><?xml version="1.0" encoding="utf-8"?>
<sst xmlns="http://schemas.openxmlformats.org/spreadsheetml/2006/main" count="169" uniqueCount="42">
  <si>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</si>
  <si>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</si>
  <si>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</si>
  <si>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</si>
  <si>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</si>
  <si>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</si>
  <si>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</si>
  <si>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</si>
  <si>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</si>
  <si>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</si>
  <si>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</si>
  <si>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</si>
  <si>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</si>
  <si>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Em azul é possível ver os meses que mais obtiveram lucro</t>
  </si>
  <si>
    <t>Janeiro</t>
  </si>
  <si>
    <t>Julho</t>
  </si>
  <si>
    <t>Dezembro</t>
  </si>
  <si>
    <t>Arroz</t>
  </si>
  <si>
    <t>Azeite</t>
  </si>
  <si>
    <t>Milho</t>
  </si>
  <si>
    <t>Ervilha</t>
  </si>
  <si>
    <t>Feijão</t>
  </si>
  <si>
    <t>Setor</t>
  </si>
  <si>
    <t>Bebidas</t>
  </si>
  <si>
    <t>Grãos</t>
  </si>
  <si>
    <t>Alimento</t>
  </si>
  <si>
    <t>Molho</t>
  </si>
  <si>
    <t>Farinhas</t>
  </si>
  <si>
    <t>Macarrão</t>
  </si>
  <si>
    <t>Molhos</t>
  </si>
  <si>
    <t>Óleos</t>
  </si>
  <si>
    <t>Tempero</t>
  </si>
  <si>
    <t>Alimentos congelados</t>
  </si>
  <si>
    <t>Frutas</t>
  </si>
  <si>
    <t>Vegetais</t>
  </si>
  <si>
    <t>Sucos</t>
  </si>
  <si>
    <t>Biscoitos</t>
  </si>
  <si>
    <t>Pães</t>
  </si>
  <si>
    <t>Higiene</t>
  </si>
  <si>
    <t>Limpeza</t>
  </si>
  <si>
    <r>
      <rPr>
        <rFont val="Arial"/>
        <color theme="1"/>
        <sz val="42.0"/>
      </rPr>
      <t xml:space="preserve">Relatório Alura </t>
    </r>
    <r>
      <rPr>
        <rFont val="Arial"/>
        <color theme="4"/>
        <sz val="42.0"/>
      </rPr>
      <t>Market</t>
    </r>
  </si>
  <si>
    <t>Faturamento mensal ao longo de 2019 até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</si>
</sst>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2">
    <font>
      <sz val="10.0"/>
      <color rgb="FF000000"/>
      <name val="Arial"/>
      <scheme val="minor"/>
    </font>
    <font>
      <sz val="14.0"/>
      <color theme="1"/>
      <name val="Arial"/>
    </font>
    <font>
      <b/>
      <sz val="13.0"/>
      <color theme="1"/>
      <name val="Arial"/>
    </font>
    <font>
      <sz val="11.0"/>
      <color theme="1"/>
      <name val="Arial"/>
    </font>
    <font>
      <sz val="12.0"/>
      <color rgb="FF000000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sz val="15.0"/>
      <color theme="1"/>
      <name val="Arial"/>
      <scheme val="minor"/>
    </font>
    <font>
      <sz val="12.0"/>
      <color theme="1"/>
      <name val="Arial"/>
    </font>
    <font>
      <sz val="42.0"/>
      <color theme="1"/>
      <name val="Arial"/>
      <scheme val="minor"/>
    </font>
    <font>
      <sz val="14.0"/>
      <color theme="1"/>
      <name val="Arial"/>
      <scheme val="minor"/>
    </font>
  </fonts>
  <fills count="3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A4BEE8"/>
        <bgColor rgb="FFA4BEE8"/>
      </patternFill>
    </fill>
    <fill>
      <patternFill patternType="solid">
        <fgColor rgb="FF769FE1"/>
        <bgColor rgb="FF769FE1"/>
      </patternFill>
    </fill>
    <fill>
      <patternFill patternType="solid">
        <fgColor rgb="FFB7CBEB"/>
        <bgColor rgb="FFB7CBEB"/>
      </patternFill>
    </fill>
    <fill>
      <patternFill patternType="solid">
        <fgColor rgb="FFF3F3F3"/>
        <bgColor rgb="FFF3F3F3"/>
      </patternFill>
    </fill>
    <fill>
      <patternFill patternType="solid">
        <fgColor rgb="FFBACDEB"/>
        <bgColor rgb="FFBACDEB"/>
      </patternFill>
    </fill>
    <fill>
      <patternFill patternType="solid">
        <fgColor rgb="FFA5BFE8"/>
        <bgColor rgb="FFA5BFE8"/>
      </patternFill>
    </fill>
    <fill>
      <patternFill patternType="solid">
        <fgColor rgb="FF94B3E5"/>
        <bgColor rgb="FF94B3E5"/>
      </patternFill>
    </fill>
    <fill>
      <patternFill patternType="solid">
        <fgColor rgb="FF6D99E0"/>
        <bgColor rgb="FF6D99E0"/>
      </patternFill>
    </fill>
    <fill>
      <patternFill patternType="solid">
        <fgColor rgb="FF89ACE4"/>
        <bgColor rgb="FF89ACE4"/>
      </patternFill>
    </fill>
    <fill>
      <patternFill patternType="solid">
        <fgColor rgb="FF8AACE4"/>
        <bgColor rgb="FF8AACE4"/>
      </patternFill>
    </fill>
    <fill>
      <patternFill patternType="solid">
        <fgColor rgb="FF77A0E1"/>
        <bgColor rgb="FF77A0E1"/>
      </patternFill>
    </fill>
    <fill>
      <patternFill patternType="solid">
        <fgColor rgb="FFBCCEEB"/>
        <bgColor rgb="FFBCCEEB"/>
      </patternFill>
    </fill>
    <fill>
      <patternFill patternType="solid">
        <fgColor rgb="FFEBEEF2"/>
        <bgColor rgb="FFEBEEF2"/>
      </patternFill>
    </fill>
    <fill>
      <patternFill patternType="solid">
        <fgColor rgb="FF6795DF"/>
        <bgColor rgb="FF6795DF"/>
      </patternFill>
    </fill>
    <fill>
      <patternFill patternType="solid">
        <fgColor rgb="FF6B98DF"/>
        <bgColor rgb="FF6B98DF"/>
      </patternFill>
    </fill>
    <fill>
      <patternFill patternType="solid">
        <fgColor rgb="FFF1F2F3"/>
        <bgColor rgb="FFF1F2F3"/>
      </patternFill>
    </fill>
    <fill>
      <patternFill patternType="solid">
        <fgColor rgb="FF4780DA"/>
        <bgColor rgb="FF4780DA"/>
      </patternFill>
    </fill>
    <fill>
      <patternFill patternType="solid">
        <fgColor rgb="FF8BADE4"/>
        <bgColor rgb="FF8BADE4"/>
      </patternFill>
    </fill>
    <fill>
      <patternFill patternType="solid">
        <fgColor rgb="FFC9D7ED"/>
        <bgColor rgb="FFC9D7ED"/>
      </patternFill>
    </fill>
    <fill>
      <patternFill patternType="solid">
        <fgColor rgb="FF92B2E5"/>
        <bgColor rgb="FF92B2E5"/>
      </patternFill>
    </fill>
    <fill>
      <patternFill patternType="solid">
        <fgColor rgb="FFBBCEEB"/>
        <bgColor rgb="FFBBCEEB"/>
      </patternFill>
    </fill>
    <fill>
      <patternFill patternType="solid">
        <fgColor rgb="FF79A1E1"/>
        <bgColor rgb="FF79A1E1"/>
      </patternFill>
    </fill>
    <fill>
      <patternFill patternType="solid">
        <fgColor rgb="FFA0BCE7"/>
        <bgColor rgb="FFA0BCE7"/>
      </patternFill>
    </fill>
    <fill>
      <patternFill patternType="solid">
        <fgColor rgb="FFF0F1F3"/>
        <bgColor rgb="FFF0F1F3"/>
      </patternFill>
    </fill>
    <fill>
      <patternFill patternType="solid">
        <fgColor rgb="FF3C78D8"/>
        <bgColor rgb="FF3C78D8"/>
      </patternFill>
    </fill>
    <fill>
      <patternFill patternType="solid">
        <fgColor rgb="FFAEC5E9"/>
        <bgColor rgb="FFAEC5E9"/>
      </patternFill>
    </fill>
    <fill>
      <patternFill patternType="solid">
        <fgColor rgb="FF759FE1"/>
        <bgColor rgb="FF759FE1"/>
      </patternFill>
    </fill>
    <fill>
      <patternFill patternType="solid">
        <fgColor rgb="FFE2E7F1"/>
        <bgColor rgb="FFE2E7F1"/>
      </patternFill>
    </fill>
    <fill>
      <patternFill patternType="solid">
        <fgColor rgb="FF90B1E5"/>
        <bgColor rgb="FF90B1E5"/>
      </patternFill>
    </fill>
    <fill>
      <patternFill patternType="solid">
        <fgColor rgb="FF4880DA"/>
        <bgColor rgb="FF4880DA"/>
      </patternFill>
    </fill>
    <fill>
      <patternFill patternType="solid">
        <fgColor rgb="FFC3D3EC"/>
        <bgColor rgb="FFC3D3EC"/>
      </patternFill>
    </fill>
    <fill>
      <patternFill patternType="solid">
        <fgColor rgb="FF759EE1"/>
        <bgColor rgb="FF759EE1"/>
      </patternFill>
    </fill>
    <fill>
      <patternFill patternType="solid">
        <fgColor rgb="FF85A9E3"/>
        <bgColor rgb="FF85A9E3"/>
      </patternFill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Border="1" applyFill="1" applyFont="1"/>
    <xf borderId="3" fillId="0" fontId="3" numFmtId="0" xfId="0" applyBorder="1" applyFont="1"/>
    <xf borderId="3" fillId="0" fontId="4" numFmtId="164" xfId="0" applyBorder="1" applyFont="1" applyNumberFormat="1"/>
    <xf borderId="4" fillId="0" fontId="4" numFmtId="164" xfId="0" applyBorder="1" applyFont="1" applyNumberFormat="1"/>
    <xf borderId="4" fillId="0" fontId="5" numFmtId="0" xfId="0" applyBorder="1" applyFont="1"/>
    <xf borderId="2" fillId="0" fontId="6" numFmtId="0" xfId="0" applyBorder="1" applyFont="1"/>
    <xf borderId="2" fillId="0" fontId="7" numFmtId="164" xfId="0" applyBorder="1" applyFont="1" applyNumberFormat="1"/>
    <xf borderId="0" fillId="0" fontId="8" numFmtId="0" xfId="0" applyAlignment="1" applyFont="1">
      <alignment readingOrder="0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horizontal="right" vertical="bottom"/>
    </xf>
    <xf borderId="3" fillId="0" fontId="3" numFmtId="0" xfId="0" applyAlignment="1" applyBorder="1" applyFont="1">
      <alignment vertical="bottom"/>
    </xf>
    <xf borderId="3" fillId="4" fontId="9" numFmtId="164" xfId="0" applyAlignment="1" applyBorder="1" applyFill="1" applyFont="1" applyNumberFormat="1">
      <alignment horizontal="right" vertical="bottom"/>
    </xf>
    <xf borderId="3" fillId="5" fontId="9" numFmtId="164" xfId="0" applyAlignment="1" applyBorder="1" applyFill="1" applyFont="1" applyNumberFormat="1">
      <alignment horizontal="right" vertical="bottom"/>
    </xf>
    <xf borderId="4" fillId="6" fontId="9" numFmtId="164" xfId="0" applyAlignment="1" applyBorder="1" applyFill="1" applyFont="1" applyNumberFormat="1">
      <alignment horizontal="right" vertical="bottom"/>
    </xf>
    <xf borderId="3" fillId="7" fontId="9" numFmtId="164" xfId="0" applyAlignment="1" applyBorder="1" applyFill="1" applyFont="1" applyNumberFormat="1">
      <alignment horizontal="right" vertical="bottom"/>
    </xf>
    <xf borderId="3" fillId="8" fontId="9" numFmtId="164" xfId="0" applyAlignment="1" applyBorder="1" applyFill="1" applyFont="1" applyNumberFormat="1">
      <alignment horizontal="right" vertical="bottom"/>
    </xf>
    <xf borderId="4" fillId="9" fontId="9" numFmtId="164" xfId="0" applyAlignment="1" applyBorder="1" applyFill="1" applyFont="1" applyNumberFormat="1">
      <alignment horizontal="right" vertical="bottom"/>
    </xf>
    <xf borderId="3" fillId="10" fontId="9" numFmtId="164" xfId="0" applyAlignment="1" applyBorder="1" applyFill="1" applyFont="1" applyNumberFormat="1">
      <alignment horizontal="right" vertical="bottom"/>
    </xf>
    <xf borderId="3" fillId="11" fontId="9" numFmtId="164" xfId="0" applyAlignment="1" applyBorder="1" applyFill="1" applyFont="1" applyNumberFormat="1">
      <alignment horizontal="right" vertical="bottom"/>
    </xf>
    <xf borderId="4" fillId="12" fontId="9" numFmtId="164" xfId="0" applyAlignment="1" applyBorder="1" applyFill="1" applyFont="1" applyNumberFormat="1">
      <alignment horizontal="right" vertical="bottom"/>
    </xf>
    <xf borderId="3" fillId="13" fontId="9" numFmtId="164" xfId="0" applyAlignment="1" applyBorder="1" applyFill="1" applyFont="1" applyNumberFormat="1">
      <alignment horizontal="right" vertical="bottom"/>
    </xf>
    <xf borderId="3" fillId="14" fontId="9" numFmtId="164" xfId="0" applyAlignment="1" applyBorder="1" applyFill="1" applyFont="1" applyNumberFormat="1">
      <alignment horizontal="right" vertical="bottom"/>
    </xf>
    <xf borderId="4" fillId="15" fontId="9" numFmtId="164" xfId="0" applyAlignment="1" applyBorder="1" applyFill="1" applyFont="1" applyNumberFormat="1">
      <alignment horizontal="right" vertical="bottom"/>
    </xf>
    <xf borderId="3" fillId="16" fontId="9" numFmtId="164" xfId="0" applyAlignment="1" applyBorder="1" applyFill="1" applyFont="1" applyNumberFormat="1">
      <alignment horizontal="right" vertical="bottom"/>
    </xf>
    <xf borderId="3" fillId="17" fontId="9" numFmtId="164" xfId="0" applyAlignment="1" applyBorder="1" applyFill="1" applyFont="1" applyNumberFormat="1">
      <alignment horizontal="right" vertical="bottom"/>
    </xf>
    <xf borderId="4" fillId="18" fontId="9" numFmtId="164" xfId="0" applyAlignment="1" applyBorder="1" applyFill="1" applyFont="1" applyNumberFormat="1">
      <alignment horizontal="right" vertical="bottom"/>
    </xf>
    <xf borderId="3" fillId="19" fontId="9" numFmtId="164" xfId="0" applyAlignment="1" applyBorder="1" applyFill="1" applyFont="1" applyNumberFormat="1">
      <alignment horizontal="right" vertical="bottom"/>
    </xf>
    <xf borderId="3" fillId="6" fontId="9" numFmtId="164" xfId="0" applyAlignment="1" applyBorder="1" applyFont="1" applyNumberFormat="1">
      <alignment horizontal="right" vertical="bottom"/>
    </xf>
    <xf borderId="4" fillId="20" fontId="9" numFmtId="164" xfId="0" applyAlignment="1" applyBorder="1" applyFill="1" applyFont="1" applyNumberFormat="1">
      <alignment horizontal="right" vertical="bottom"/>
    </xf>
    <xf borderId="3" fillId="21" fontId="9" numFmtId="164" xfId="0" applyAlignment="1" applyBorder="1" applyFill="1" applyFont="1" applyNumberFormat="1">
      <alignment horizontal="right" vertical="bottom"/>
    </xf>
    <xf borderId="3" fillId="22" fontId="9" numFmtId="164" xfId="0" applyAlignment="1" applyBorder="1" applyFill="1" applyFont="1" applyNumberFormat="1">
      <alignment horizontal="right" vertical="bottom"/>
    </xf>
    <xf borderId="4" fillId="23" fontId="9" numFmtId="164" xfId="0" applyAlignment="1" applyBorder="1" applyFill="1" applyFont="1" applyNumberFormat="1">
      <alignment horizontal="right" vertical="bottom"/>
    </xf>
    <xf borderId="3" fillId="24" fontId="9" numFmtId="164" xfId="0" applyAlignment="1" applyBorder="1" applyFill="1" applyFont="1" applyNumberFormat="1">
      <alignment horizontal="right" vertical="bottom"/>
    </xf>
    <xf borderId="3" fillId="25" fontId="9" numFmtId="164" xfId="0" applyAlignment="1" applyBorder="1" applyFill="1" applyFont="1" applyNumberFormat="1">
      <alignment horizontal="right" vertical="bottom"/>
    </xf>
    <xf borderId="4" fillId="26" fontId="9" numFmtId="164" xfId="0" applyAlignment="1" applyBorder="1" applyFill="1" applyFont="1" applyNumberFormat="1">
      <alignment horizontal="right" vertical="bottom"/>
    </xf>
    <xf borderId="3" fillId="27" fontId="9" numFmtId="164" xfId="0" applyAlignment="1" applyBorder="1" applyFill="1" applyFont="1" applyNumberFormat="1">
      <alignment horizontal="right" vertical="bottom"/>
    </xf>
    <xf borderId="4" fillId="28" fontId="9" numFmtId="164" xfId="0" applyAlignment="1" applyBorder="1" applyFill="1" applyFont="1" applyNumberFormat="1">
      <alignment horizontal="right" vertical="bottom"/>
    </xf>
    <xf borderId="3" fillId="29" fontId="9" numFmtId="164" xfId="0" applyAlignment="1" applyBorder="1" applyFill="1" applyFont="1" applyNumberFormat="1">
      <alignment horizontal="right" vertical="bottom"/>
    </xf>
    <xf borderId="3" fillId="30" fontId="9" numFmtId="164" xfId="0" applyAlignment="1" applyBorder="1" applyFill="1" applyFont="1" applyNumberFormat="1">
      <alignment horizontal="right" vertical="bottom"/>
    </xf>
    <xf borderId="3" fillId="31" fontId="9" numFmtId="164" xfId="0" applyAlignment="1" applyBorder="1" applyFill="1" applyFont="1" applyNumberFormat="1">
      <alignment horizontal="right" vertical="bottom"/>
    </xf>
    <xf borderId="3" fillId="32" fontId="9" numFmtId="164" xfId="0" applyAlignment="1" applyBorder="1" applyFill="1" applyFont="1" applyNumberFormat="1">
      <alignment horizontal="right" vertical="bottom"/>
    </xf>
    <xf borderId="4" fillId="33" fontId="9" numFmtId="164" xfId="0" applyAlignment="1" applyBorder="1" applyFill="1" applyFont="1" applyNumberFormat="1">
      <alignment horizontal="right" vertical="bottom"/>
    </xf>
    <xf borderId="3" fillId="34" fontId="9" numFmtId="164" xfId="0" applyAlignment="1" applyBorder="1" applyFill="1" applyFont="1" applyNumberFormat="1">
      <alignment horizontal="right" vertical="bottom"/>
    </xf>
    <xf borderId="3" fillId="35" fontId="9" numFmtId="164" xfId="0" applyAlignment="1" applyBorder="1" applyFill="1" applyFont="1" applyNumberFormat="1">
      <alignment horizontal="right" vertical="bottom"/>
    </xf>
    <xf borderId="4" fillId="36" fontId="9" numFmtId="164" xfId="0" applyAlignment="1" applyBorder="1" applyFill="1" applyFont="1" applyNumberFormat="1">
      <alignment horizontal="right" vertical="bottom"/>
    </xf>
    <xf borderId="0" fillId="5" fontId="5" numFmtId="0" xfId="0" applyFont="1"/>
    <xf borderId="0" fillId="37" fontId="5" numFmtId="0" xfId="0" applyFill="1" applyFont="1"/>
    <xf borderId="0" fillId="0" fontId="5" numFmtId="0" xfId="0" applyFont="1"/>
    <xf borderId="0" fillId="29" fontId="5" numFmtId="0" xfId="0" applyFont="1"/>
    <xf borderId="0" fillId="5" fontId="5" numFmtId="164" xfId="0" applyFont="1" applyNumberFormat="1"/>
    <xf borderId="0" fillId="0" fontId="5" numFmtId="164" xfId="0" applyFont="1" applyNumberFormat="1"/>
    <xf borderId="0" fillId="37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6" fontId="5" numFmtId="0" xfId="0" applyFont="1"/>
    <xf borderId="0" fillId="6" fontId="5" numFmtId="164" xfId="0" applyFont="1" applyNumberFormat="1"/>
    <xf borderId="0" fillId="6" fontId="6" numFmtId="0" xfId="0" applyAlignment="1" applyFont="1">
      <alignment vertical="bottom"/>
    </xf>
    <xf borderId="0" fillId="6" fontId="5" numFmtId="4" xfId="0" applyFont="1" applyNumberFormat="1"/>
    <xf borderId="0" fillId="37" fontId="6" numFmtId="4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5" numFmtId="4" xfId="0" applyFont="1" applyNumberFormat="1"/>
    <xf borderId="0" fillId="0" fontId="6" numFmtId="4" xfId="0" applyAlignment="1" applyFont="1" applyNumberFormat="1">
      <alignment horizontal="right" vertical="bottom"/>
    </xf>
    <xf borderId="0" fillId="37" fontId="5" numFmtId="4" xfId="0" applyAlignment="1" applyFont="1" applyNumberFormat="1">
      <alignment readingOrder="0"/>
    </xf>
    <xf borderId="0" fillId="37" fontId="5" numFmtId="164" xfId="0" applyFont="1" applyNumberFormat="1"/>
    <xf borderId="0" fillId="8" fontId="5" numFmtId="0" xfId="0" applyFont="1"/>
    <xf borderId="0" fillId="8" fontId="5" numFmtId="164" xfId="0" applyFont="1" applyNumberFormat="1"/>
    <xf borderId="0" fillId="37" fontId="5" numFmtId="164" xfId="0" applyFont="1" applyNumberFormat="1"/>
    <xf borderId="0" fillId="0" fontId="10" numFmtId="0" xfId="0" applyAlignment="1" applyFont="1">
      <alignment readingOrder="0" vertical="center"/>
    </xf>
    <xf borderId="0" fillId="2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rPr b="0" sz="2400">
                <a:solidFill>
                  <a:srgbClr val="757575"/>
                </a:solidFill>
                <a:latin typeface="+mn-lt"/>
              </a:rPr>
              <a:t>Comparação de preços do setor "Grãos"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 do setor "Grãos"'!$F$3:$F$7</c:f>
            </c:strRef>
          </c:cat>
          <c:val>
            <c:numRef>
              <c:f>'Análise do setor "Grãos"'!$G$3:$G$7</c:f>
              <c:numCache/>
            </c:numRef>
          </c:val>
        </c:ser>
        <c:axId val="1564263397"/>
        <c:axId val="613120562"/>
      </c:barChart>
      <c:catAx>
        <c:axId val="1564263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120562"/>
      </c:catAx>
      <c:valAx>
        <c:axId val="61312056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5642633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rPr b="0" sz="2000">
                <a:solidFill>
                  <a:srgbClr val="757575"/>
                </a:solidFill>
                <a:latin typeface="+mn-lt"/>
              </a:rPr>
              <a:t>Comparação de preços do setor "grãos" dos meses janeiro e julho em R$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 do setor "Grãos"'!$G$2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'Análise do setor "Grãos"'!$G$3:$G$7</c:f>
              <c:numCache/>
            </c:numRef>
          </c:val>
        </c:ser>
        <c:ser>
          <c:idx val="1"/>
          <c:order val="1"/>
          <c:tx>
            <c:strRef>
              <c:f>'Análise do setor "Grãos"'!$H$2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'Análise do setor "Grãos"'!$H$3:$H$7</c:f>
              <c:numCache/>
            </c:numRef>
          </c:val>
        </c:ser>
        <c:ser>
          <c:idx val="2"/>
          <c:order val="2"/>
          <c:tx>
            <c:strRef>
              <c:f>'Análise do setor "Grãos"'!$I$2</c:f>
            </c:strRef>
          </c:tx>
          <c:spPr>
            <a:solidFill>
              <a:srgbClr val="94B3E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'Análise do setor "Grãos"'!$I$3:$I$7</c:f>
              <c:numCache/>
            </c:numRef>
          </c:val>
        </c:ser>
        <c:axId val="952123702"/>
        <c:axId val="1846690493"/>
      </c:barChart>
      <c:catAx>
        <c:axId val="952123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690493"/>
      </c:catAx>
      <c:valAx>
        <c:axId val="1846690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2123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5 clientes do mês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'Top 5 clientes do mês'!$B$1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5 clientes do mês'!$A$2:$A$6</c:f>
            </c:strRef>
          </c:cat>
          <c:val>
            <c:numRef>
              <c:f>'Top 5 clientes do mês'!$B$2:$B$6</c:f>
              <c:numCache/>
            </c:numRef>
          </c:val>
        </c:ser>
        <c:axId val="141459211"/>
        <c:axId val="535791023"/>
      </c:barChart>
      <c:catAx>
        <c:axId val="1414592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791023"/>
      </c:catAx>
      <c:valAx>
        <c:axId val="535791023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414592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de compra versus Cliente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'Top 5 clientes do mês'!$B$1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'Top 5 clientes do mês'!$A$2:$A$6</c:f>
            </c:strRef>
          </c:cat>
          <c:val>
            <c:numRef>
              <c:f>'Top 5 clientes do mês'!$B$2:$B$6</c:f>
              <c:numCache/>
            </c:numRef>
          </c:val>
        </c:ser>
        <c:axId val="1982723289"/>
        <c:axId val="916306992"/>
      </c:barChart>
      <c:catAx>
        <c:axId val="19827232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306992"/>
      </c:catAx>
      <c:valAx>
        <c:axId val="9163069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de compra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72328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Pesquisa de satisfação dos clientes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'Pesquisa de satisfação'!$B$1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'Pesquisa de satisfação'!$A$2:$A$6</c:f>
            </c:strRef>
          </c:cat>
          <c:val>
            <c:numRef>
              <c:f>'Pesquisa de satisfação'!$B$2:$B$6</c:f>
              <c:numCache/>
            </c:numRef>
          </c:val>
        </c:ser>
        <c:ser>
          <c:idx val="1"/>
          <c:order val="1"/>
          <c:tx>
            <c:strRef>
              <c:f>'Pesquisa de satisfação'!$C$1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'Pesquisa de satisfação'!$A$2:$A$6</c:f>
            </c:strRef>
          </c:cat>
          <c:val>
            <c:numRef>
              <c:f>'Pesquisa de satisfação'!$C$2:$C$6</c:f>
              <c:numCache/>
            </c:numRef>
          </c:val>
        </c:ser>
        <c:ser>
          <c:idx val="2"/>
          <c:order val="2"/>
          <c:tx>
            <c:strRef>
              <c:f>'Pesquisa de satisfação'!$D$1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cat>
            <c:strRef>
              <c:f>'Pesquisa de satisfação'!$A$2:$A$6</c:f>
            </c:strRef>
          </c:cat>
          <c:val>
            <c:numRef>
              <c:f>'Pesquisa de satisfação'!$D$2:$D$6</c:f>
              <c:numCache/>
            </c:numRef>
          </c:val>
        </c:ser>
        <c:overlap val="100"/>
        <c:axId val="1818329233"/>
        <c:axId val="2085408509"/>
      </c:barChart>
      <c:catAx>
        <c:axId val="18183292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408509"/>
      </c:catAx>
      <c:valAx>
        <c:axId val="20854085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32923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5 clientes do mês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'Top 5 clientes do mês'!$B$1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'Top 5 clientes do mês'!$A$2:$A$6</c:f>
            </c:strRef>
          </c:cat>
          <c:val>
            <c:numRef>
              <c:f>'Top 5 clientes do mês'!$B$2:$B$6</c:f>
              <c:numCache/>
            </c:numRef>
          </c:val>
        </c:ser>
        <c:axId val="1737531715"/>
        <c:axId val="609661053"/>
      </c:barChart>
      <c:catAx>
        <c:axId val="17375317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661053"/>
      </c:catAx>
      <c:valAx>
        <c:axId val="609661053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7375317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Pesquisa de satisfação dos clientes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'Pesquisa de satisfação'!$B$1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'Pesquisa de satisfação'!$A$2:$A$6</c:f>
            </c:strRef>
          </c:cat>
          <c:val>
            <c:numRef>
              <c:f>'Pesquisa de satisfação'!$B$2:$B$6</c:f>
              <c:numCache/>
            </c:numRef>
          </c:val>
        </c:ser>
        <c:ser>
          <c:idx val="1"/>
          <c:order val="1"/>
          <c:tx>
            <c:strRef>
              <c:f>'Pesquisa de satisfação'!$C$1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cat>
            <c:strRef>
              <c:f>'Pesquisa de satisfação'!$A$2:$A$6</c:f>
            </c:strRef>
          </c:cat>
          <c:val>
            <c:numRef>
              <c:f>'Pesquisa de satisfação'!$C$2:$C$6</c:f>
              <c:numCache/>
            </c:numRef>
          </c:val>
        </c:ser>
        <c:ser>
          <c:idx val="2"/>
          <c:order val="2"/>
          <c:tx>
            <c:strRef>
              <c:f>'Pesquisa de satisfação'!$D$1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cat>
            <c:strRef>
              <c:f>'Pesquisa de satisfação'!$A$2:$A$6</c:f>
            </c:strRef>
          </c:cat>
          <c:val>
            <c:numRef>
              <c:f>'Pesquisa de satisfação'!$D$2:$D$6</c:f>
              <c:numCache/>
            </c:numRef>
          </c:val>
        </c:ser>
        <c:overlap val="100"/>
        <c:axId val="2016732707"/>
        <c:axId val="1351031583"/>
      </c:barChart>
      <c:catAx>
        <c:axId val="20167327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031583"/>
      </c:catAx>
      <c:valAx>
        <c:axId val="13510315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73270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352425</xdr:colOff>
      <xdr:row>20</xdr:row>
      <xdr:rowOff>104775</xdr:rowOff>
    </xdr:from>
    <xdr:ext cx="5781675" cy="3190875"/>
    <xdr:grpSp>
      <xdr:nvGrpSpPr>
        <xdr:cNvPr id="2" name="Shape 2" title="Desenho"/>
        <xdr:cNvGrpSpPr/>
      </xdr:nvGrpSpPr>
      <xdr:grpSpPr>
        <a:xfrm>
          <a:off x="1431025" y="1335900"/>
          <a:ext cx="6064325" cy="3172200"/>
          <a:chOff x="1431025" y="1335900"/>
          <a:chExt cx="6064325" cy="3172200"/>
        </a:xfrm>
      </xdr:grpSpPr>
      <xdr:sp>
        <xdr:nvSpPr>
          <xdr:cNvPr id="3" name="Shape 3"/>
          <xdr:cNvSpPr/>
        </xdr:nvSpPr>
        <xdr:spPr>
          <a:xfrm>
            <a:off x="1431025" y="1335900"/>
            <a:ext cx="6064200" cy="31722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3972775" y="2437200"/>
            <a:ext cx="980700" cy="9696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5100"/>
              <a:t>18</a:t>
            </a:r>
            <a:endParaRPr sz="5100"/>
          </a:p>
        </xdr:txBody>
      </xdr:sp>
      <xdr:sp>
        <xdr:nvSpPr>
          <xdr:cNvPr id="5" name="Shape 5"/>
          <xdr:cNvSpPr txBox="1"/>
        </xdr:nvSpPr>
        <xdr:spPr>
          <a:xfrm>
            <a:off x="1471050" y="4022850"/>
            <a:ext cx="6024300" cy="420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900"/>
              <a:t>É o número total de pessoas com mais de 60 anos </a:t>
            </a:r>
            <a:endParaRPr sz="1900"/>
          </a:p>
        </xdr:txBody>
      </xdr: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0</xdr:row>
      <xdr:rowOff>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447675</xdr:colOff>
      <xdr:row>0</xdr:row>
      <xdr:rowOff>38100</xdr:rowOff>
    </xdr:from>
    <xdr:ext cx="7648575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561975</xdr:colOff>
      <xdr:row>0</xdr:row>
      <xdr:rowOff>19050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638175</xdr:colOff>
      <xdr:row>0</xdr:row>
      <xdr:rowOff>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92</xdr:row>
      <xdr:rowOff>152400</xdr:rowOff>
    </xdr:from>
    <xdr:ext cx="1809750" cy="847725"/>
    <xdr:sp>
      <xdr:nvSpPr>
        <xdr:cNvPr id="6" name="Shape 6"/>
        <xdr:cNvSpPr txBox="1"/>
      </xdr:nvSpPr>
      <xdr:spPr>
        <a:xfrm>
          <a:off x="3142225" y="2691925"/>
          <a:ext cx="1791300" cy="831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         28,3% </a:t>
          </a:r>
          <a:endParaRPr sz="1400">
            <a:solidFill>
              <a:srgbClr val="FFFFFF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Limpeza e higiene</a:t>
          </a:r>
          <a:endParaRPr sz="1400">
            <a:solidFill>
              <a:srgbClr val="FFFFFF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4</xdr:col>
      <xdr:colOff>514350</xdr:colOff>
      <xdr:row>8</xdr:row>
      <xdr:rowOff>9525</xdr:rowOff>
    </xdr:from>
    <xdr:ext cx="1438275" cy="762000"/>
    <xdr:sp>
      <xdr:nvSpPr>
        <xdr:cNvPr id="7" name="Shape 7"/>
        <xdr:cNvSpPr txBox="1"/>
      </xdr:nvSpPr>
      <xdr:spPr>
        <a:xfrm>
          <a:off x="2701925" y="1731225"/>
          <a:ext cx="1421100" cy="7389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FFFFFF"/>
              </a:solidFill>
            </a:rPr>
            <a:t>         28,3% </a:t>
          </a:r>
          <a:endParaRPr sz="1200">
            <a:solidFill>
              <a:srgbClr val="FFFFFF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FFFFFF"/>
              </a:solidFill>
            </a:rPr>
            <a:t>Limpeza e higiene</a:t>
          </a:r>
          <a:endParaRPr sz="1200">
            <a:solidFill>
              <a:srgbClr val="FFFFFF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2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6</xdr:col>
      <xdr:colOff>276225</xdr:colOff>
      <xdr:row>11</xdr:row>
      <xdr:rowOff>95250</xdr:rowOff>
    </xdr:from>
    <xdr:ext cx="790575" cy="847725"/>
    <xdr:sp>
      <xdr:nvSpPr>
        <xdr:cNvPr id="8" name="Shape 8"/>
        <xdr:cNvSpPr txBox="1"/>
      </xdr:nvSpPr>
      <xdr:spPr>
        <a:xfrm>
          <a:off x="2631875" y="2131500"/>
          <a:ext cx="770400" cy="831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71,3% </a:t>
          </a:r>
          <a:endParaRPr sz="1400">
            <a:solidFill>
              <a:srgbClr val="FFFFFF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Outros </a:t>
          </a:r>
          <a:endParaRPr sz="1400">
            <a:solidFill>
              <a:srgbClr val="FFFFFF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180975</xdr:rowOff>
    </xdr:from>
    <xdr:ext cx="5772150" cy="30289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0</xdr:colOff>
      <xdr:row>6</xdr:row>
      <xdr:rowOff>180975</xdr:rowOff>
    </xdr:from>
    <xdr:ext cx="4791075" cy="302895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923925</xdr:colOff>
      <xdr:row>0</xdr:row>
      <xdr:rowOff>0</xdr:rowOff>
    </xdr:from>
    <xdr:ext cx="3867150" cy="1323975"/>
    <xdr:grpSp>
      <xdr:nvGrpSpPr>
        <xdr:cNvPr id="2" name="Shape 2" title="Desenho"/>
        <xdr:cNvGrpSpPr/>
      </xdr:nvGrpSpPr>
      <xdr:grpSpPr>
        <a:xfrm>
          <a:off x="1431025" y="1335900"/>
          <a:ext cx="6064325" cy="3172200"/>
          <a:chOff x="1431025" y="1335900"/>
          <a:chExt cx="6064325" cy="3172200"/>
        </a:xfrm>
      </xdr:grpSpPr>
      <xdr:sp>
        <xdr:nvSpPr>
          <xdr:cNvPr id="9" name="Shape 9"/>
          <xdr:cNvSpPr/>
        </xdr:nvSpPr>
        <xdr:spPr>
          <a:xfrm>
            <a:off x="1431025" y="1335900"/>
            <a:ext cx="6064200" cy="31722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3972775" y="2437200"/>
            <a:ext cx="1431000" cy="1262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7000"/>
              <a:t>18</a:t>
            </a:r>
            <a:endParaRPr sz="7000"/>
          </a:p>
        </xdr:txBody>
      </xdr:sp>
      <xdr:sp>
        <xdr:nvSpPr>
          <xdr:cNvPr id="11" name="Shape 11"/>
          <xdr:cNvSpPr txBox="1"/>
        </xdr:nvSpPr>
        <xdr:spPr>
          <a:xfrm>
            <a:off x="1471050" y="4022850"/>
            <a:ext cx="6024300" cy="420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900"/>
              <a:t>É o número total de pessoas com mais de 60 anos </a:t>
            </a:r>
            <a:endParaRPr sz="1900"/>
          </a:p>
        </xdr:txBody>
      </xdr:sp>
    </xdr:grpSp>
    <xdr:clientData fLocksWithSheet="0"/>
  </xdr:oneCellAnchor>
  <xdr:oneCellAnchor>
    <xdr:from>
      <xdr:col>1</xdr:col>
      <xdr:colOff>114300</xdr:colOff>
      <xdr:row>28</xdr:row>
      <xdr:rowOff>114300</xdr:rowOff>
    </xdr:from>
    <xdr:ext cx="2486025" cy="571500"/>
    <xdr:sp>
      <xdr:nvSpPr>
        <xdr:cNvPr id="12" name="Shape 12"/>
        <xdr:cNvSpPr txBox="1"/>
      </xdr:nvSpPr>
      <xdr:spPr>
        <a:xfrm>
          <a:off x="2101475" y="2011425"/>
          <a:ext cx="2471700" cy="5541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FFFFFF"/>
              </a:solidFill>
            </a:rPr>
            <a:t>            28,3%</a:t>
          </a:r>
          <a:endParaRPr sz="1200">
            <a:solidFill>
              <a:srgbClr val="FFFFFF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FFFFFF"/>
              </a:solidFill>
            </a:rPr>
            <a:t> Limpeza e Higiene</a:t>
          </a:r>
          <a:endParaRPr sz="12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2</xdr:col>
      <xdr:colOff>847725</xdr:colOff>
      <xdr:row>32</xdr:row>
      <xdr:rowOff>57150</xdr:rowOff>
    </xdr:from>
    <xdr:ext cx="733425" cy="942975"/>
    <xdr:sp>
      <xdr:nvSpPr>
        <xdr:cNvPr id="13" name="Shape 13"/>
        <xdr:cNvSpPr txBox="1"/>
      </xdr:nvSpPr>
      <xdr:spPr>
        <a:xfrm>
          <a:off x="1721225" y="2201550"/>
          <a:ext cx="710400" cy="9234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FFFFFF"/>
              </a:solidFill>
            </a:rPr>
            <a:t>71,3% </a:t>
          </a:r>
          <a:endParaRPr sz="1200">
            <a:solidFill>
              <a:srgbClr val="FFFFFF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FFFFFF"/>
              </a:solidFill>
            </a:rPr>
            <a:t>Outros </a:t>
          </a:r>
          <a:endParaRPr sz="1200">
            <a:solidFill>
              <a:srgbClr val="FFFFFF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200">
            <a:solidFill>
              <a:srgbClr val="FFFFFF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2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5</xdr:col>
      <xdr:colOff>542925</xdr:colOff>
      <xdr:row>1</xdr:row>
      <xdr:rowOff>9525</xdr:rowOff>
    </xdr:from>
    <xdr:ext cx="1123950" cy="1123950"/>
    <xdr:pic>
      <xdr:nvPicPr>
        <xdr:cNvPr id="0" name="image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>
        <v>2019.0</v>
      </c>
      <c r="C1" s="1">
        <v>2020.0</v>
      </c>
      <c r="D1" s="1">
        <v>2021.0</v>
      </c>
      <c r="H1" s="2" t="s">
        <v>0</v>
      </c>
      <c r="I1" s="2">
        <v>2019.0</v>
      </c>
      <c r="J1" s="2">
        <v>2020.0</v>
      </c>
      <c r="K1" s="2">
        <v>2021.0</v>
      </c>
    </row>
    <row r="2" ht="15.75" customHeight="1">
      <c r="A2" s="3" t="s">
        <v>1</v>
      </c>
      <c r="B2" s="4">
        <v>59634.0</v>
      </c>
      <c r="C2" s="4">
        <v>72798.0</v>
      </c>
      <c r="D2" s="5">
        <v>54328.0</v>
      </c>
      <c r="F2" s="6"/>
      <c r="H2" s="7" t="s">
        <v>1</v>
      </c>
      <c r="I2" s="8">
        <v>59634.0</v>
      </c>
      <c r="J2" s="8">
        <v>72798.0</v>
      </c>
      <c r="K2" s="8">
        <v>54328.0</v>
      </c>
    </row>
    <row r="3" ht="15.75" customHeight="1">
      <c r="A3" s="3" t="s">
        <v>2</v>
      </c>
      <c r="B3" s="4">
        <v>37282.0</v>
      </c>
      <c r="C3" s="4">
        <v>53509.0</v>
      </c>
      <c r="D3" s="5">
        <v>59527.0</v>
      </c>
      <c r="H3" s="7" t="s">
        <v>2</v>
      </c>
      <c r="I3" s="8">
        <v>37282.0</v>
      </c>
      <c r="J3" s="8">
        <v>53509.0</v>
      </c>
      <c r="K3" s="8">
        <v>59527.0</v>
      </c>
    </row>
    <row r="4" ht="15.75" customHeight="1">
      <c r="A4" s="3" t="s">
        <v>3</v>
      </c>
      <c r="B4" s="4">
        <v>64263.0</v>
      </c>
      <c r="C4" s="4">
        <v>75317.0</v>
      </c>
      <c r="D4" s="5">
        <v>67359.0</v>
      </c>
      <c r="H4" s="7" t="s">
        <v>3</v>
      </c>
      <c r="I4" s="8">
        <v>64263.0</v>
      </c>
      <c r="J4" s="8">
        <v>75317.0</v>
      </c>
      <c r="K4" s="8">
        <v>67359.0</v>
      </c>
    </row>
    <row r="5" ht="15.75" customHeight="1">
      <c r="A5" s="3" t="s">
        <v>4</v>
      </c>
      <c r="B5" s="4">
        <v>67181.0</v>
      </c>
      <c r="C5" s="4">
        <v>72406.0</v>
      </c>
      <c r="D5" s="5">
        <v>53025.0</v>
      </c>
      <c r="H5" s="7" t="s">
        <v>4</v>
      </c>
      <c r="I5" s="8">
        <v>67181.0</v>
      </c>
      <c r="J5" s="8">
        <v>72406.0</v>
      </c>
      <c r="K5" s="8">
        <v>53025.0</v>
      </c>
    </row>
    <row r="6" ht="15.75" customHeight="1">
      <c r="A6" s="3" t="s">
        <v>5</v>
      </c>
      <c r="B6" s="4">
        <v>39669.0</v>
      </c>
      <c r="C6" s="4">
        <v>76965.0</v>
      </c>
      <c r="D6" s="5">
        <v>75896.0</v>
      </c>
      <c r="H6" s="7" t="s">
        <v>5</v>
      </c>
      <c r="I6" s="8">
        <v>39669.0</v>
      </c>
      <c r="J6" s="8">
        <v>76965.0</v>
      </c>
      <c r="K6" s="8">
        <v>75896.0</v>
      </c>
    </row>
    <row r="7" ht="15.75" customHeight="1">
      <c r="A7" s="3" t="s">
        <v>6</v>
      </c>
      <c r="B7" s="4">
        <v>37996.0</v>
      </c>
      <c r="C7" s="4">
        <v>54416.0</v>
      </c>
      <c r="D7" s="5">
        <v>85884.0</v>
      </c>
      <c r="H7" s="7" t="s">
        <v>6</v>
      </c>
      <c r="I7" s="8">
        <v>37996.0</v>
      </c>
      <c r="J7" s="8">
        <v>54416.0</v>
      </c>
      <c r="K7" s="8">
        <v>85884.0</v>
      </c>
    </row>
    <row r="8" ht="15.75" customHeight="1">
      <c r="A8" s="3" t="s">
        <v>7</v>
      </c>
      <c r="B8" s="4">
        <v>66771.0</v>
      </c>
      <c r="C8" s="4">
        <v>49385.0</v>
      </c>
      <c r="D8" s="5">
        <v>64714.0</v>
      </c>
      <c r="H8" s="7" t="s">
        <v>7</v>
      </c>
      <c r="I8" s="8">
        <v>66771.0</v>
      </c>
      <c r="J8" s="8">
        <v>49385.0</v>
      </c>
      <c r="K8" s="8">
        <v>64714.0</v>
      </c>
    </row>
    <row r="9" ht="15.75" customHeight="1">
      <c r="A9" s="3" t="s">
        <v>8</v>
      </c>
      <c r="B9" s="4">
        <v>53238.0</v>
      </c>
      <c r="C9" s="4">
        <v>71762.0</v>
      </c>
      <c r="D9" s="5">
        <v>60745.0</v>
      </c>
      <c r="H9" s="7" t="s">
        <v>8</v>
      </c>
      <c r="I9" s="8">
        <v>53238.0</v>
      </c>
      <c r="J9" s="8">
        <v>71762.0</v>
      </c>
      <c r="K9" s="8">
        <v>60745.0</v>
      </c>
    </row>
    <row r="10" ht="15.75" customHeight="1">
      <c r="A10" s="3" t="s">
        <v>9</v>
      </c>
      <c r="B10" s="4">
        <v>38240.0</v>
      </c>
      <c r="C10" s="4">
        <v>76950.0</v>
      </c>
      <c r="D10" s="5">
        <v>88966.0</v>
      </c>
      <c r="H10" s="7" t="s">
        <v>9</v>
      </c>
      <c r="I10" s="8">
        <v>38240.0</v>
      </c>
      <c r="J10" s="8">
        <v>76950.0</v>
      </c>
      <c r="K10" s="8">
        <v>88966.0</v>
      </c>
    </row>
    <row r="11" ht="15.75" customHeight="1">
      <c r="A11" s="3" t="s">
        <v>10</v>
      </c>
      <c r="B11" s="4">
        <v>56944.0</v>
      </c>
      <c r="C11" s="4">
        <v>72938.0</v>
      </c>
      <c r="D11" s="5">
        <v>64817.0</v>
      </c>
      <c r="H11" s="7" t="s">
        <v>10</v>
      </c>
      <c r="I11" s="8">
        <v>56944.0</v>
      </c>
      <c r="J11" s="8">
        <v>72938.0</v>
      </c>
      <c r="K11" s="8">
        <v>64817.0</v>
      </c>
    </row>
    <row r="12" ht="15.75" customHeight="1">
      <c r="A12" s="3" t="s">
        <v>11</v>
      </c>
      <c r="B12" s="4">
        <v>42328.0</v>
      </c>
      <c r="C12" s="4">
        <v>65331.0</v>
      </c>
      <c r="D12" s="5">
        <v>85615.0</v>
      </c>
      <c r="H12" s="7" t="s">
        <v>11</v>
      </c>
      <c r="I12" s="8">
        <v>42328.0</v>
      </c>
      <c r="J12" s="8">
        <v>65331.0</v>
      </c>
      <c r="K12" s="8">
        <v>85615.0</v>
      </c>
    </row>
    <row r="13" ht="15.75" customHeight="1">
      <c r="A13" s="3" t="s">
        <v>12</v>
      </c>
      <c r="B13" s="4">
        <v>51081.0</v>
      </c>
      <c r="C13" s="4">
        <v>73034.0</v>
      </c>
      <c r="D13" s="5">
        <v>68590.0</v>
      </c>
      <c r="H13" s="7" t="s">
        <v>12</v>
      </c>
      <c r="I13" s="8">
        <v>51081.0</v>
      </c>
      <c r="J13" s="8">
        <v>73034.0</v>
      </c>
      <c r="K13" s="8">
        <v>68590.0</v>
      </c>
    </row>
    <row r="14" ht="15.75" customHeight="1"/>
    <row r="15" ht="15.75" customHeight="1"/>
    <row r="16" ht="15.75" customHeight="1">
      <c r="A16" s="1" t="s">
        <v>0</v>
      </c>
      <c r="B16" s="1">
        <v>2019.0</v>
      </c>
      <c r="C16" s="1">
        <v>2020.0</v>
      </c>
      <c r="D16" s="1">
        <v>2021.0</v>
      </c>
    </row>
    <row r="17" ht="15.75" customHeight="1">
      <c r="A17" s="3" t="s">
        <v>1</v>
      </c>
      <c r="B17" s="4">
        <v>59634.0</v>
      </c>
      <c r="C17" s="4">
        <v>72798.0</v>
      </c>
      <c r="D17" s="5">
        <v>54328.0</v>
      </c>
      <c r="H17" s="9" t="s">
        <v>13</v>
      </c>
    </row>
    <row r="18" ht="15.75" customHeight="1">
      <c r="A18" s="3" t="s">
        <v>2</v>
      </c>
      <c r="B18" s="4">
        <v>37282.0</v>
      </c>
      <c r="C18" s="4">
        <v>53509.0</v>
      </c>
      <c r="D18" s="5">
        <v>59527.0</v>
      </c>
      <c r="H18" s="10" t="s">
        <v>0</v>
      </c>
      <c r="I18" s="11">
        <v>2019.0</v>
      </c>
      <c r="J18" s="11">
        <v>2020.0</v>
      </c>
      <c r="K18" s="11">
        <v>2021.0</v>
      </c>
    </row>
    <row r="19" ht="15.75" customHeight="1">
      <c r="A19" s="3" t="s">
        <v>3</v>
      </c>
      <c r="B19" s="4">
        <v>64263.0</v>
      </c>
      <c r="C19" s="4">
        <v>75317.0</v>
      </c>
      <c r="D19" s="5">
        <v>67359.0</v>
      </c>
      <c r="H19" s="12" t="s">
        <v>1</v>
      </c>
      <c r="I19" s="13">
        <v>59634.0</v>
      </c>
      <c r="J19" s="14">
        <v>72798.0</v>
      </c>
      <c r="K19" s="15">
        <v>54328.0</v>
      </c>
    </row>
    <row r="20" ht="15.75" customHeight="1">
      <c r="A20" s="3" t="s">
        <v>4</v>
      </c>
      <c r="B20" s="4">
        <v>67181.0</v>
      </c>
      <c r="C20" s="4">
        <v>72406.0</v>
      </c>
      <c r="D20" s="5">
        <v>53025.0</v>
      </c>
      <c r="H20" s="12" t="s">
        <v>2</v>
      </c>
      <c r="I20" s="16">
        <v>37282.0</v>
      </c>
      <c r="J20" s="17">
        <v>53509.0</v>
      </c>
      <c r="K20" s="18">
        <v>59527.0</v>
      </c>
    </row>
    <row r="21" ht="15.75" customHeight="1">
      <c r="A21" s="3" t="s">
        <v>5</v>
      </c>
      <c r="B21" s="4">
        <v>39669.0</v>
      </c>
      <c r="C21" s="4">
        <v>76965.0</v>
      </c>
      <c r="D21" s="5">
        <v>75896.0</v>
      </c>
      <c r="H21" s="12" t="s">
        <v>3</v>
      </c>
      <c r="I21" s="19">
        <v>64263.0</v>
      </c>
      <c r="J21" s="20">
        <v>75317.0</v>
      </c>
      <c r="K21" s="21">
        <v>67359.0</v>
      </c>
    </row>
    <row r="22" ht="15.75" customHeight="1">
      <c r="A22" s="3" t="s">
        <v>6</v>
      </c>
      <c r="B22" s="4">
        <v>37996.0</v>
      </c>
      <c r="C22" s="4">
        <v>54416.0</v>
      </c>
      <c r="D22" s="5">
        <v>85884.0</v>
      </c>
      <c r="H22" s="12" t="s">
        <v>4</v>
      </c>
      <c r="I22" s="22">
        <v>67181.0</v>
      </c>
      <c r="J22" s="23">
        <v>72406.0</v>
      </c>
      <c r="K22" s="24">
        <v>53025.0</v>
      </c>
    </row>
    <row r="23" ht="15.75" customHeight="1">
      <c r="A23" s="3" t="s">
        <v>7</v>
      </c>
      <c r="B23" s="4">
        <v>66771.0</v>
      </c>
      <c r="C23" s="4">
        <v>49385.0</v>
      </c>
      <c r="D23" s="5">
        <v>64714.0</v>
      </c>
      <c r="H23" s="12" t="s">
        <v>5</v>
      </c>
      <c r="I23" s="25">
        <v>39669.0</v>
      </c>
      <c r="J23" s="26">
        <v>76965.0</v>
      </c>
      <c r="K23" s="27">
        <v>75896.0</v>
      </c>
    </row>
    <row r="24" ht="15.75" customHeight="1">
      <c r="A24" s="3" t="s">
        <v>8</v>
      </c>
      <c r="B24" s="4">
        <v>53238.0</v>
      </c>
      <c r="C24" s="4">
        <v>71762.0</v>
      </c>
      <c r="D24" s="5">
        <v>60745.0</v>
      </c>
      <c r="H24" s="12" t="s">
        <v>6</v>
      </c>
      <c r="I24" s="28">
        <v>37996.0</v>
      </c>
      <c r="J24" s="29">
        <v>54416.0</v>
      </c>
      <c r="K24" s="30">
        <v>85884.0</v>
      </c>
    </row>
    <row r="25" ht="15.75" customHeight="1">
      <c r="A25" s="3" t="s">
        <v>9</v>
      </c>
      <c r="B25" s="4">
        <v>38240.0</v>
      </c>
      <c r="C25" s="4">
        <v>76950.0</v>
      </c>
      <c r="D25" s="5">
        <v>88966.0</v>
      </c>
      <c r="H25" s="12" t="s">
        <v>7</v>
      </c>
      <c r="I25" s="31">
        <v>66771.0</v>
      </c>
      <c r="J25" s="32">
        <v>49385.0</v>
      </c>
      <c r="K25" s="33">
        <v>64714.0</v>
      </c>
    </row>
    <row r="26" ht="15.75" customHeight="1">
      <c r="A26" s="3" t="s">
        <v>10</v>
      </c>
      <c r="B26" s="4">
        <v>56944.0</v>
      </c>
      <c r="C26" s="4">
        <v>72938.0</v>
      </c>
      <c r="D26" s="5">
        <v>64817.0</v>
      </c>
      <c r="H26" s="12" t="s">
        <v>8</v>
      </c>
      <c r="I26" s="34">
        <v>53238.0</v>
      </c>
      <c r="J26" s="35">
        <v>71762.0</v>
      </c>
      <c r="K26" s="36">
        <v>60745.0</v>
      </c>
    </row>
    <row r="27" ht="15.75" customHeight="1">
      <c r="A27" s="3" t="s">
        <v>11</v>
      </c>
      <c r="B27" s="4">
        <v>42328.0</v>
      </c>
      <c r="C27" s="4">
        <v>65331.0</v>
      </c>
      <c r="D27" s="5">
        <v>85615.0</v>
      </c>
      <c r="H27" s="12" t="s">
        <v>9</v>
      </c>
      <c r="I27" s="37">
        <v>38240.0</v>
      </c>
      <c r="J27" s="26">
        <v>76950.0</v>
      </c>
      <c r="K27" s="38">
        <v>88966.0</v>
      </c>
    </row>
    <row r="28" ht="15.75" customHeight="1">
      <c r="A28" s="3" t="s">
        <v>12</v>
      </c>
      <c r="B28" s="4">
        <v>51081.0</v>
      </c>
      <c r="C28" s="4">
        <v>73034.0</v>
      </c>
      <c r="D28" s="5">
        <v>68590.0</v>
      </c>
      <c r="H28" s="12" t="s">
        <v>10</v>
      </c>
      <c r="I28" s="39">
        <v>56944.0</v>
      </c>
      <c r="J28" s="40">
        <v>72938.0</v>
      </c>
      <c r="K28" s="33">
        <v>64817.0</v>
      </c>
    </row>
    <row r="29" ht="15.75" customHeight="1">
      <c r="H29" s="12" t="s">
        <v>11</v>
      </c>
      <c r="I29" s="41">
        <v>42328.0</v>
      </c>
      <c r="J29" s="42">
        <v>65331.0</v>
      </c>
      <c r="K29" s="43">
        <v>85615.0</v>
      </c>
    </row>
    <row r="30" ht="15.75" customHeight="1">
      <c r="H30" s="12" t="s">
        <v>12</v>
      </c>
      <c r="I30" s="44">
        <v>51081.0</v>
      </c>
      <c r="J30" s="45">
        <v>73034.0</v>
      </c>
      <c r="K30" s="46">
        <v>68590.0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7:D28">
    <cfRule type="colorScale" priority="1">
      <colorScale>
        <cfvo type="min"/>
        <cfvo type="max"/>
        <color rgb="FFF3F3F3"/>
        <color rgb="FF3C78D8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7" t="str">
        <f>IFERROR(__xludf.DUMMYFUNCTION("IMPORTRANGE(""https://docs.google.com/spreadsheets/d/1-CRS9yKcTBz-WyaOUg9fRwbrSbh1P5aMZctKWryfTR0/edit?gid=927786803#gid=927786803"",""Página1!A1:G54"")"),"ID cliente")</f>
        <v>ID cliente</v>
      </c>
      <c r="B1" s="47" t="str">
        <f>IFERROR(__xludf.DUMMYFUNCTION("""COMPUTED_VALUE"""),"Nome Cliente")</f>
        <v>Nome Cliente</v>
      </c>
      <c r="C1" s="47" t="str">
        <f>IFERROR(__xludf.DUMMYFUNCTION("""COMPUTED_VALUE"""),"Idade")</f>
        <v>Idade</v>
      </c>
      <c r="D1" s="47" t="str">
        <f>IFERROR(__xludf.DUMMYFUNCTION("""COMPUTED_VALUE"""),"Gênero")</f>
        <v>Gênero</v>
      </c>
      <c r="E1" s="47" t="str">
        <f>IFERROR(__xludf.DUMMYFUNCTION("""COMPUTED_VALUE"""),"Telefone")</f>
        <v>Telefone</v>
      </c>
      <c r="F1" s="47" t="str">
        <f>IFERROR(__xludf.DUMMYFUNCTION("""COMPUTED_VALUE"""),"Cidade")</f>
        <v>Cidade</v>
      </c>
      <c r="G1" s="47" t="str">
        <f>IFERROR(__xludf.DUMMYFUNCTION("""COMPUTED_VALUE"""),"Estado")</f>
        <v>Estado</v>
      </c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49">
        <f>IFERROR(__xludf.DUMMYFUNCTION("""COMPUTED_VALUE"""),1.0)</f>
        <v>1</v>
      </c>
      <c r="B2" s="49" t="str">
        <f>IFERROR(__xludf.DUMMYFUNCTION("""COMPUTED_VALUE"""),"Daniel")</f>
        <v>Daniel</v>
      </c>
      <c r="C2" s="49">
        <f>IFERROR(__xludf.DUMMYFUNCTION("""COMPUTED_VALUE"""),65.0)</f>
        <v>65</v>
      </c>
      <c r="D2" s="49" t="str">
        <f>IFERROR(__xludf.DUMMYFUNCTION("""COMPUTED_VALUE"""),"M")</f>
        <v>M</v>
      </c>
      <c r="E2" s="49">
        <f>IFERROR(__xludf.DUMMYFUNCTION("""COMPUTED_VALUE"""),2.452513E7)</f>
        <v>24525130</v>
      </c>
      <c r="F2" s="49" t="str">
        <f>IFERROR(__xludf.DUMMYFUNCTION("""COMPUTED_VALUE"""),"Guarulhos")</f>
        <v>Guarulhos</v>
      </c>
      <c r="G2" s="49" t="str">
        <f>IFERROR(__xludf.DUMMYFUNCTION("""COMPUTED_VALUE"""),"São Paulo")</f>
        <v>São Paulo</v>
      </c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50">
        <f>IFERROR(__xludf.DUMMYFUNCTION("""COMPUTED_VALUE"""),2.0)</f>
        <v>2</v>
      </c>
      <c r="B3" s="50" t="str">
        <f>IFERROR(__xludf.DUMMYFUNCTION("""COMPUTED_VALUE"""),"Danilo")</f>
        <v>Danilo</v>
      </c>
      <c r="C3" s="50">
        <f>IFERROR(__xludf.DUMMYFUNCTION("""COMPUTED_VALUE"""),47.0)</f>
        <v>47</v>
      </c>
      <c r="D3" s="50" t="str">
        <f>IFERROR(__xludf.DUMMYFUNCTION("""COMPUTED_VALUE"""),"M")</f>
        <v>M</v>
      </c>
      <c r="E3" s="50">
        <f>IFERROR(__xludf.DUMMYFUNCTION("""COMPUTED_VALUE"""),2.4525131E7)</f>
        <v>24525131</v>
      </c>
      <c r="F3" s="50" t="str">
        <f>IFERROR(__xludf.DUMMYFUNCTION("""COMPUTED_VALUE"""),"Mauá")</f>
        <v>Mauá</v>
      </c>
      <c r="G3" s="50" t="str">
        <f>IFERROR(__xludf.DUMMYFUNCTION("""COMPUTED_VALUE"""),"São Paulo")</f>
        <v>São Paulo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49">
        <f>IFERROR(__xludf.DUMMYFUNCTION("""COMPUTED_VALUE"""),3.0)</f>
        <v>3</v>
      </c>
      <c r="B4" s="49" t="str">
        <f>IFERROR(__xludf.DUMMYFUNCTION("""COMPUTED_VALUE"""),"Marta")</f>
        <v>Marta</v>
      </c>
      <c r="C4" s="49">
        <f>IFERROR(__xludf.DUMMYFUNCTION("""COMPUTED_VALUE"""),26.0)</f>
        <v>26</v>
      </c>
      <c r="D4" s="49" t="str">
        <f>IFERROR(__xludf.DUMMYFUNCTION("""COMPUTED_VALUE"""),"F")</f>
        <v>F</v>
      </c>
      <c r="E4" s="49">
        <f>IFERROR(__xludf.DUMMYFUNCTION("""COMPUTED_VALUE"""),2.4525132E7)</f>
        <v>24525132</v>
      </c>
      <c r="F4" s="49" t="str">
        <f>IFERROR(__xludf.DUMMYFUNCTION("""COMPUTED_VALUE"""),"Guarulhos")</f>
        <v>Guarulhos</v>
      </c>
      <c r="G4" s="49" t="str">
        <f>IFERROR(__xludf.DUMMYFUNCTION("""COMPUTED_VALUE"""),"São Paulo")</f>
        <v>São Paulo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50">
        <f>IFERROR(__xludf.DUMMYFUNCTION("""COMPUTED_VALUE"""),4.0)</f>
        <v>4</v>
      </c>
      <c r="B5" s="50" t="str">
        <f>IFERROR(__xludf.DUMMYFUNCTION("""COMPUTED_VALUE"""),"Carla")</f>
        <v>Carla</v>
      </c>
      <c r="C5" s="50">
        <f>IFERROR(__xludf.DUMMYFUNCTION("""COMPUTED_VALUE"""),29.0)</f>
        <v>29</v>
      </c>
      <c r="D5" s="50" t="str">
        <f>IFERROR(__xludf.DUMMYFUNCTION("""COMPUTED_VALUE"""),"F")</f>
        <v>F</v>
      </c>
      <c r="E5" s="50">
        <f>IFERROR(__xludf.DUMMYFUNCTION("""COMPUTED_VALUE"""),2.4525133E7)</f>
        <v>24525133</v>
      </c>
      <c r="F5" s="50" t="str">
        <f>IFERROR(__xludf.DUMMYFUNCTION("""COMPUTED_VALUE"""),"Santo André")</f>
        <v>Santo André</v>
      </c>
      <c r="G5" s="50" t="str">
        <f>IFERROR(__xludf.DUMMYFUNCTION("""COMPUTED_VALUE"""),"São Paulo")</f>
        <v>São Paulo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49">
        <f>IFERROR(__xludf.DUMMYFUNCTION("""COMPUTED_VALUE"""),5.0)</f>
        <v>5</v>
      </c>
      <c r="B6" s="49" t="str">
        <f>IFERROR(__xludf.DUMMYFUNCTION("""COMPUTED_VALUE"""),"Maurício")</f>
        <v>Maurício</v>
      </c>
      <c r="C6" s="49">
        <f>IFERROR(__xludf.DUMMYFUNCTION("""COMPUTED_VALUE"""),32.0)</f>
        <v>32</v>
      </c>
      <c r="D6" s="49" t="str">
        <f>IFERROR(__xludf.DUMMYFUNCTION("""COMPUTED_VALUE"""),"M")</f>
        <v>M</v>
      </c>
      <c r="E6" s="49">
        <f>IFERROR(__xludf.DUMMYFUNCTION("""COMPUTED_VALUE"""),2.4525134E7)</f>
        <v>24525134</v>
      </c>
      <c r="F6" s="49" t="str">
        <f>IFERROR(__xludf.DUMMYFUNCTION("""COMPUTED_VALUE"""),"São Bermardo")</f>
        <v>São Bermardo</v>
      </c>
      <c r="G6" s="49" t="str">
        <f>IFERROR(__xludf.DUMMYFUNCTION("""COMPUTED_VALUE"""),"São Paulo")</f>
        <v>São Paulo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50">
        <f>IFERROR(__xludf.DUMMYFUNCTION("""COMPUTED_VALUE"""),6.0)</f>
        <v>6</v>
      </c>
      <c r="B7" s="50" t="str">
        <f>IFERROR(__xludf.DUMMYFUNCTION("""COMPUTED_VALUE"""),"Pedro")</f>
        <v>Pedro</v>
      </c>
      <c r="C7" s="50">
        <f>IFERROR(__xludf.DUMMYFUNCTION("""COMPUTED_VALUE"""),31.0)</f>
        <v>31</v>
      </c>
      <c r="D7" s="50" t="str">
        <f>IFERROR(__xludf.DUMMYFUNCTION("""COMPUTED_VALUE"""),"M")</f>
        <v>M</v>
      </c>
      <c r="E7" s="50">
        <f>IFERROR(__xludf.DUMMYFUNCTION("""COMPUTED_VALUE"""),2.4525135E7)</f>
        <v>24525135</v>
      </c>
      <c r="F7" s="50" t="str">
        <f>IFERROR(__xludf.DUMMYFUNCTION("""COMPUTED_VALUE"""),"Itaquera")</f>
        <v>Itaquera</v>
      </c>
      <c r="G7" s="50" t="str">
        <f>IFERROR(__xludf.DUMMYFUNCTION("""COMPUTED_VALUE"""),"São Paulo")</f>
        <v>São Paulo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49">
        <f>IFERROR(__xludf.DUMMYFUNCTION("""COMPUTED_VALUE"""),7.0)</f>
        <v>7</v>
      </c>
      <c r="B8" s="49" t="str">
        <f>IFERROR(__xludf.DUMMYFUNCTION("""COMPUTED_VALUE"""),"Paula")</f>
        <v>Paula</v>
      </c>
      <c r="C8" s="49">
        <f>IFERROR(__xludf.DUMMYFUNCTION("""COMPUTED_VALUE"""),50.0)</f>
        <v>50</v>
      </c>
      <c r="D8" s="49" t="str">
        <f>IFERROR(__xludf.DUMMYFUNCTION("""COMPUTED_VALUE"""),"F")</f>
        <v>F</v>
      </c>
      <c r="E8" s="49">
        <f>IFERROR(__xludf.DUMMYFUNCTION("""COMPUTED_VALUE"""),2.4525136E7)</f>
        <v>24525136</v>
      </c>
      <c r="F8" s="49" t="str">
        <f>IFERROR(__xludf.DUMMYFUNCTION("""COMPUTED_VALUE"""),"Guarulhos")</f>
        <v>Guarulhos</v>
      </c>
      <c r="G8" s="49" t="str">
        <f>IFERROR(__xludf.DUMMYFUNCTION("""COMPUTED_VALUE"""),"São Paulo")</f>
        <v>São Paulo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50">
        <f>IFERROR(__xludf.DUMMYFUNCTION("""COMPUTED_VALUE"""),8.0)</f>
        <v>8</v>
      </c>
      <c r="B9" s="50" t="str">
        <f>IFERROR(__xludf.DUMMYFUNCTION("""COMPUTED_VALUE"""),"Paulo")</f>
        <v>Paulo</v>
      </c>
      <c r="C9" s="50">
        <f>IFERROR(__xludf.DUMMYFUNCTION("""COMPUTED_VALUE"""),25.0)</f>
        <v>25</v>
      </c>
      <c r="D9" s="50" t="str">
        <f>IFERROR(__xludf.DUMMYFUNCTION("""COMPUTED_VALUE"""),"M")</f>
        <v>M</v>
      </c>
      <c r="E9" s="50">
        <f>IFERROR(__xludf.DUMMYFUNCTION("""COMPUTED_VALUE"""),2.4525137E7)</f>
        <v>24525137</v>
      </c>
      <c r="F9" s="50" t="str">
        <f>IFERROR(__xludf.DUMMYFUNCTION("""COMPUTED_VALUE"""),"Arujá")</f>
        <v>Arujá</v>
      </c>
      <c r="G9" s="50" t="str">
        <f>IFERROR(__xludf.DUMMYFUNCTION("""COMPUTED_VALUE"""),"São Paulo")</f>
        <v>São Paulo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49">
        <f>IFERROR(__xludf.DUMMYFUNCTION("""COMPUTED_VALUE"""),9.0)</f>
        <v>9</v>
      </c>
      <c r="B10" s="49" t="str">
        <f>IFERROR(__xludf.DUMMYFUNCTION("""COMPUTED_VALUE"""),"Jheniffer")</f>
        <v>Jheniffer</v>
      </c>
      <c r="C10" s="49">
        <f>IFERROR(__xludf.DUMMYFUNCTION("""COMPUTED_VALUE"""),60.0)</f>
        <v>60</v>
      </c>
      <c r="D10" s="49" t="str">
        <f>IFERROR(__xludf.DUMMYFUNCTION("""COMPUTED_VALUE"""),"F")</f>
        <v>F</v>
      </c>
      <c r="E10" s="49">
        <f>IFERROR(__xludf.DUMMYFUNCTION("""COMPUTED_VALUE"""),2.4525138E7)</f>
        <v>24525138</v>
      </c>
      <c r="F10" s="49" t="str">
        <f>IFERROR(__xludf.DUMMYFUNCTION("""COMPUTED_VALUE"""),"Diadema")</f>
        <v>Diadema</v>
      </c>
      <c r="G10" s="49" t="str">
        <f>IFERROR(__xludf.DUMMYFUNCTION("""COMPUTED_VALUE"""),"São Paulo")</f>
        <v>São Paulo</v>
      </c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50">
        <f>IFERROR(__xludf.DUMMYFUNCTION("""COMPUTED_VALUE"""),10.0)</f>
        <v>10</v>
      </c>
      <c r="B11" s="50" t="str">
        <f>IFERROR(__xludf.DUMMYFUNCTION("""COMPUTED_VALUE"""),"Marcela")</f>
        <v>Marcela</v>
      </c>
      <c r="C11" s="50">
        <f>IFERROR(__xludf.DUMMYFUNCTION("""COMPUTED_VALUE"""),30.0)</f>
        <v>30</v>
      </c>
      <c r="D11" s="50" t="str">
        <f>IFERROR(__xludf.DUMMYFUNCTION("""COMPUTED_VALUE"""),"F")</f>
        <v>F</v>
      </c>
      <c r="E11" s="50">
        <f>IFERROR(__xludf.DUMMYFUNCTION("""COMPUTED_VALUE"""),2.4525139E7)</f>
        <v>24525139</v>
      </c>
      <c r="F11" s="50" t="str">
        <f>IFERROR(__xludf.DUMMYFUNCTION("""COMPUTED_VALUE"""),"Santa Izabel")</f>
        <v>Santa Izabel</v>
      </c>
      <c r="G11" s="50" t="str">
        <f>IFERROR(__xludf.DUMMYFUNCTION("""COMPUTED_VALUE"""),"São Paulo")</f>
        <v>São Paulo</v>
      </c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49">
        <f>IFERROR(__xludf.DUMMYFUNCTION("""COMPUTED_VALUE"""),11.0)</f>
        <v>11</v>
      </c>
      <c r="B12" s="49" t="str">
        <f>IFERROR(__xludf.DUMMYFUNCTION("""COMPUTED_VALUE"""),"Marcos")</f>
        <v>Marcos</v>
      </c>
      <c r="C12" s="49">
        <f>IFERROR(__xludf.DUMMYFUNCTION("""COMPUTED_VALUE"""),48.0)</f>
        <v>48</v>
      </c>
      <c r="D12" s="49" t="str">
        <f>IFERROR(__xludf.DUMMYFUNCTION("""COMPUTED_VALUE"""),"M")</f>
        <v>M</v>
      </c>
      <c r="E12" s="49">
        <f>IFERROR(__xludf.DUMMYFUNCTION("""COMPUTED_VALUE"""),2.452514E7)</f>
        <v>24525140</v>
      </c>
      <c r="F12" s="49" t="str">
        <f>IFERROR(__xludf.DUMMYFUNCTION("""COMPUTED_VALUE"""),"Santo André")</f>
        <v>Santo André</v>
      </c>
      <c r="G12" s="49" t="str">
        <f>IFERROR(__xludf.DUMMYFUNCTION("""COMPUTED_VALUE"""),"São Paulo")</f>
        <v>São Paulo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50">
        <f>IFERROR(__xludf.DUMMYFUNCTION("""COMPUTED_VALUE"""),12.0)</f>
        <v>12</v>
      </c>
      <c r="B13" s="50" t="str">
        <f>IFERROR(__xludf.DUMMYFUNCTION("""COMPUTED_VALUE"""),"Fernando")</f>
        <v>Fernando</v>
      </c>
      <c r="C13" s="50">
        <f>IFERROR(__xludf.DUMMYFUNCTION("""COMPUTED_VALUE"""),34.0)</f>
        <v>34</v>
      </c>
      <c r="D13" s="50" t="str">
        <f>IFERROR(__xludf.DUMMYFUNCTION("""COMPUTED_VALUE"""),"M")</f>
        <v>M</v>
      </c>
      <c r="E13" s="50">
        <f>IFERROR(__xludf.DUMMYFUNCTION("""COMPUTED_VALUE"""),2.4525141E7)</f>
        <v>24525141</v>
      </c>
      <c r="F13" s="50" t="str">
        <f>IFERROR(__xludf.DUMMYFUNCTION("""COMPUTED_VALUE"""),"São Bermardo")</f>
        <v>São Bermardo</v>
      </c>
      <c r="G13" s="50" t="str">
        <f>IFERROR(__xludf.DUMMYFUNCTION("""COMPUTED_VALUE"""),"São Paulo")</f>
        <v>São Paulo</v>
      </c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49">
        <f>IFERROR(__xludf.DUMMYFUNCTION("""COMPUTED_VALUE"""),13.0)</f>
        <v>13</v>
      </c>
      <c r="B14" s="49" t="str">
        <f>IFERROR(__xludf.DUMMYFUNCTION("""COMPUTED_VALUE"""),"Ana Clara")</f>
        <v>Ana Clara</v>
      </c>
      <c r="C14" s="49">
        <f>IFERROR(__xludf.DUMMYFUNCTION("""COMPUTED_VALUE"""),60.0)</f>
        <v>60</v>
      </c>
      <c r="D14" s="49" t="str">
        <f>IFERROR(__xludf.DUMMYFUNCTION("""COMPUTED_VALUE"""),"F")</f>
        <v>F</v>
      </c>
      <c r="E14" s="49">
        <f>IFERROR(__xludf.DUMMYFUNCTION("""COMPUTED_VALUE"""),2.4525142E7)</f>
        <v>24525142</v>
      </c>
      <c r="F14" s="49" t="str">
        <f>IFERROR(__xludf.DUMMYFUNCTION("""COMPUTED_VALUE"""),"Itaquera")</f>
        <v>Itaquera</v>
      </c>
      <c r="G14" s="49" t="str">
        <f>IFERROR(__xludf.DUMMYFUNCTION("""COMPUTED_VALUE"""),"São Paulo")</f>
        <v>São Paulo</v>
      </c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50">
        <f>IFERROR(__xludf.DUMMYFUNCTION("""COMPUTED_VALUE"""),14.0)</f>
        <v>14</v>
      </c>
      <c r="B15" s="50" t="str">
        <f>IFERROR(__xludf.DUMMYFUNCTION("""COMPUTED_VALUE"""),"David")</f>
        <v>David</v>
      </c>
      <c r="C15" s="50">
        <f>IFERROR(__xludf.DUMMYFUNCTION("""COMPUTED_VALUE"""),50.0)</f>
        <v>50</v>
      </c>
      <c r="D15" s="50" t="str">
        <f>IFERROR(__xludf.DUMMYFUNCTION("""COMPUTED_VALUE"""),"M")</f>
        <v>M</v>
      </c>
      <c r="E15" s="50">
        <f>IFERROR(__xludf.DUMMYFUNCTION("""COMPUTED_VALUE"""),2.4525143E7)</f>
        <v>24525143</v>
      </c>
      <c r="F15" s="50" t="str">
        <f>IFERROR(__xludf.DUMMYFUNCTION("""COMPUTED_VALUE"""),"Guarulhos")</f>
        <v>Guarulhos</v>
      </c>
      <c r="G15" s="50" t="str">
        <f>IFERROR(__xludf.DUMMYFUNCTION("""COMPUTED_VALUE"""),"São Paulo")</f>
        <v>São Paulo</v>
      </c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49">
        <f>IFERROR(__xludf.DUMMYFUNCTION("""COMPUTED_VALUE"""),15.0)</f>
        <v>15</v>
      </c>
      <c r="B16" s="49" t="str">
        <f>IFERROR(__xludf.DUMMYFUNCTION("""COMPUTED_VALUE"""),"Allan")</f>
        <v>Allan</v>
      </c>
      <c r="C16" s="49">
        <f>IFERROR(__xludf.DUMMYFUNCTION("""COMPUTED_VALUE"""),77.0)</f>
        <v>77</v>
      </c>
      <c r="D16" s="49" t="str">
        <f>IFERROR(__xludf.DUMMYFUNCTION("""COMPUTED_VALUE"""),"M")</f>
        <v>M</v>
      </c>
      <c r="E16" s="49">
        <f>IFERROR(__xludf.DUMMYFUNCTION("""COMPUTED_VALUE"""),2.4525144E7)</f>
        <v>24525144</v>
      </c>
      <c r="F16" s="49" t="str">
        <f>IFERROR(__xludf.DUMMYFUNCTION("""COMPUTED_VALUE"""),"Arujá")</f>
        <v>Arujá</v>
      </c>
      <c r="G16" s="49" t="str">
        <f>IFERROR(__xludf.DUMMYFUNCTION("""COMPUTED_VALUE"""),"São Paulo")</f>
        <v>São Paulo</v>
      </c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50">
        <f>IFERROR(__xludf.DUMMYFUNCTION("""COMPUTED_VALUE"""),16.0)</f>
        <v>16</v>
      </c>
      <c r="B17" s="50" t="str">
        <f>IFERROR(__xludf.DUMMYFUNCTION("""COMPUTED_VALUE"""),"Karol")</f>
        <v>Karol</v>
      </c>
      <c r="C17" s="50">
        <f>IFERROR(__xludf.DUMMYFUNCTION("""COMPUTED_VALUE"""),40.0)</f>
        <v>40</v>
      </c>
      <c r="D17" s="50" t="str">
        <f>IFERROR(__xludf.DUMMYFUNCTION("""COMPUTED_VALUE"""),"F")</f>
        <v>F</v>
      </c>
      <c r="E17" s="50">
        <f>IFERROR(__xludf.DUMMYFUNCTION("""COMPUTED_VALUE"""),2.4525145E7)</f>
        <v>24525145</v>
      </c>
      <c r="F17" s="50" t="str">
        <f>IFERROR(__xludf.DUMMYFUNCTION("""COMPUTED_VALUE"""),"Diadema")</f>
        <v>Diadema</v>
      </c>
      <c r="G17" s="50" t="str">
        <f>IFERROR(__xludf.DUMMYFUNCTION("""COMPUTED_VALUE"""),"São Paulo")</f>
        <v>São Paulo</v>
      </c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49">
        <f>IFERROR(__xludf.DUMMYFUNCTION("""COMPUTED_VALUE"""),17.0)</f>
        <v>17</v>
      </c>
      <c r="B18" s="49" t="str">
        <f>IFERROR(__xludf.DUMMYFUNCTION("""COMPUTED_VALUE"""),"Caroline")</f>
        <v>Caroline</v>
      </c>
      <c r="C18" s="49">
        <f>IFERROR(__xludf.DUMMYFUNCTION("""COMPUTED_VALUE"""),24.0)</f>
        <v>24</v>
      </c>
      <c r="D18" s="49" t="str">
        <f>IFERROR(__xludf.DUMMYFUNCTION("""COMPUTED_VALUE"""),"F")</f>
        <v>F</v>
      </c>
      <c r="E18" s="49">
        <f>IFERROR(__xludf.DUMMYFUNCTION("""COMPUTED_VALUE"""),2.4525146E7)</f>
        <v>24525146</v>
      </c>
      <c r="F18" s="49" t="str">
        <f>IFERROR(__xludf.DUMMYFUNCTION("""COMPUTED_VALUE"""),"Santa IZabel")</f>
        <v>Santa IZabel</v>
      </c>
      <c r="G18" s="49" t="str">
        <f>IFERROR(__xludf.DUMMYFUNCTION("""COMPUTED_VALUE"""),"São Paulo")</f>
        <v>São Paulo</v>
      </c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50">
        <f>IFERROR(__xludf.DUMMYFUNCTION("""COMPUTED_VALUE"""),18.0)</f>
        <v>18</v>
      </c>
      <c r="B19" s="50" t="str">
        <f>IFERROR(__xludf.DUMMYFUNCTION("""COMPUTED_VALUE"""),"Heloísa")</f>
        <v>Heloísa</v>
      </c>
      <c r="C19" s="50">
        <f>IFERROR(__xludf.DUMMYFUNCTION("""COMPUTED_VALUE"""),81.0)</f>
        <v>81</v>
      </c>
      <c r="D19" s="50" t="str">
        <f>IFERROR(__xludf.DUMMYFUNCTION("""COMPUTED_VALUE"""),"F")</f>
        <v>F</v>
      </c>
      <c r="E19" s="50">
        <f>IFERROR(__xludf.DUMMYFUNCTION("""COMPUTED_VALUE"""),2.4525147E7)</f>
        <v>24525147</v>
      </c>
      <c r="F19" s="50" t="str">
        <f>IFERROR(__xludf.DUMMYFUNCTION("""COMPUTED_VALUE"""),"Santo André")</f>
        <v>Santo André</v>
      </c>
      <c r="G19" s="50" t="str">
        <f>IFERROR(__xludf.DUMMYFUNCTION("""COMPUTED_VALUE"""),"São Paulo")</f>
        <v>São Paulo</v>
      </c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49">
        <f>IFERROR(__xludf.DUMMYFUNCTION("""COMPUTED_VALUE"""),19.0)</f>
        <v>19</v>
      </c>
      <c r="B20" s="49" t="str">
        <f>IFERROR(__xludf.DUMMYFUNCTION("""COMPUTED_VALUE"""),"Morgana")</f>
        <v>Morgana</v>
      </c>
      <c r="C20" s="49">
        <f>IFERROR(__xludf.DUMMYFUNCTION("""COMPUTED_VALUE"""),33.0)</f>
        <v>33</v>
      </c>
      <c r="D20" s="49" t="str">
        <f>IFERROR(__xludf.DUMMYFUNCTION("""COMPUTED_VALUE"""),"F")</f>
        <v>F</v>
      </c>
      <c r="E20" s="49">
        <f>IFERROR(__xludf.DUMMYFUNCTION("""COMPUTED_VALUE"""),2.4525148E7)</f>
        <v>24525148</v>
      </c>
      <c r="F20" s="49" t="str">
        <f>IFERROR(__xludf.DUMMYFUNCTION("""COMPUTED_VALUE"""),"São Bermardo")</f>
        <v>São Bermardo</v>
      </c>
      <c r="G20" s="49" t="str">
        <f>IFERROR(__xludf.DUMMYFUNCTION("""COMPUTED_VALUE"""),"São Paulo")</f>
        <v>São Paulo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>
      <c r="A21" s="50">
        <f>IFERROR(__xludf.DUMMYFUNCTION("""COMPUTED_VALUE"""),20.0)</f>
        <v>20</v>
      </c>
      <c r="B21" s="50" t="str">
        <f>IFERROR(__xludf.DUMMYFUNCTION("""COMPUTED_VALUE"""),"Mylena")</f>
        <v>Mylena</v>
      </c>
      <c r="C21" s="50">
        <f>IFERROR(__xludf.DUMMYFUNCTION("""COMPUTED_VALUE"""),50.0)</f>
        <v>50</v>
      </c>
      <c r="D21" s="50" t="str">
        <f>IFERROR(__xludf.DUMMYFUNCTION("""COMPUTED_VALUE"""),"F")</f>
        <v>F</v>
      </c>
      <c r="E21" s="50">
        <f>IFERROR(__xludf.DUMMYFUNCTION("""COMPUTED_VALUE"""),2.4525149E7)</f>
        <v>24525149</v>
      </c>
      <c r="F21" s="50" t="str">
        <f>IFERROR(__xludf.DUMMYFUNCTION("""COMPUTED_VALUE"""),"Itaquera")</f>
        <v>Itaquera</v>
      </c>
      <c r="G21" s="50" t="str">
        <f>IFERROR(__xludf.DUMMYFUNCTION("""COMPUTED_VALUE"""),"São Paulo")</f>
        <v>São Paulo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>
      <c r="A22" s="49">
        <f>IFERROR(__xludf.DUMMYFUNCTION("""COMPUTED_VALUE"""),21.0)</f>
        <v>21</v>
      </c>
      <c r="B22" s="49" t="str">
        <f>IFERROR(__xludf.DUMMYFUNCTION("""COMPUTED_VALUE"""),"Thiago")</f>
        <v>Thiago</v>
      </c>
      <c r="C22" s="49">
        <f>IFERROR(__xludf.DUMMYFUNCTION("""COMPUTED_VALUE"""),42.0)</f>
        <v>42</v>
      </c>
      <c r="D22" s="49" t="str">
        <f>IFERROR(__xludf.DUMMYFUNCTION("""COMPUTED_VALUE"""),"M")</f>
        <v>M</v>
      </c>
      <c r="E22" s="49">
        <f>IFERROR(__xludf.DUMMYFUNCTION("""COMPUTED_VALUE"""),2.452515E7)</f>
        <v>24525150</v>
      </c>
      <c r="F22" s="49" t="str">
        <f>IFERROR(__xludf.DUMMYFUNCTION("""COMPUTED_VALUE"""),"Guarulhos")</f>
        <v>Guarulhos</v>
      </c>
      <c r="G22" s="49" t="str">
        <f>IFERROR(__xludf.DUMMYFUNCTION("""COMPUTED_VALUE"""),"São Paulo")</f>
        <v>São Paulo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50">
        <f>IFERROR(__xludf.DUMMYFUNCTION("""COMPUTED_VALUE"""),22.0)</f>
        <v>22</v>
      </c>
      <c r="B23" s="50" t="str">
        <f>IFERROR(__xludf.DUMMYFUNCTION("""COMPUTED_VALUE"""),"Igor")</f>
        <v>Igor</v>
      </c>
      <c r="C23" s="50">
        <f>IFERROR(__xludf.DUMMYFUNCTION("""COMPUTED_VALUE"""),21.0)</f>
        <v>21</v>
      </c>
      <c r="D23" s="50" t="str">
        <f>IFERROR(__xludf.DUMMYFUNCTION("""COMPUTED_VALUE"""),"M")</f>
        <v>M</v>
      </c>
      <c r="E23" s="50">
        <f>IFERROR(__xludf.DUMMYFUNCTION("""COMPUTED_VALUE"""),2.4525151E7)</f>
        <v>24525151</v>
      </c>
      <c r="F23" s="50" t="str">
        <f>IFERROR(__xludf.DUMMYFUNCTION("""COMPUTED_VALUE"""),"Arujá")</f>
        <v>Arujá</v>
      </c>
      <c r="G23" s="50" t="str">
        <f>IFERROR(__xludf.DUMMYFUNCTION("""COMPUTED_VALUE"""),"São Paulo")</f>
        <v>São Paulo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49">
        <f>IFERROR(__xludf.DUMMYFUNCTION("""COMPUTED_VALUE"""),23.0)</f>
        <v>23</v>
      </c>
      <c r="B24" s="49" t="str">
        <f>IFERROR(__xludf.DUMMYFUNCTION("""COMPUTED_VALUE"""),"Nico")</f>
        <v>Nico</v>
      </c>
      <c r="C24" s="49">
        <f>IFERROR(__xludf.DUMMYFUNCTION("""COMPUTED_VALUE"""),81.0)</f>
        <v>81</v>
      </c>
      <c r="D24" s="49" t="str">
        <f>IFERROR(__xludf.DUMMYFUNCTION("""COMPUTED_VALUE"""),"M")</f>
        <v>M</v>
      </c>
      <c r="E24" s="49">
        <f>IFERROR(__xludf.DUMMYFUNCTION("""COMPUTED_VALUE"""),2.4525152E7)</f>
        <v>24525152</v>
      </c>
      <c r="F24" s="49" t="str">
        <f>IFERROR(__xludf.DUMMYFUNCTION("""COMPUTED_VALUE"""),"Diadema")</f>
        <v>Diadema</v>
      </c>
      <c r="G24" s="49" t="str">
        <f>IFERROR(__xludf.DUMMYFUNCTION("""COMPUTED_VALUE"""),"São Paulo")</f>
        <v>São Paulo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50">
        <f>IFERROR(__xludf.DUMMYFUNCTION("""COMPUTED_VALUE"""),24.0)</f>
        <v>24</v>
      </c>
      <c r="B25" s="50" t="str">
        <f>IFERROR(__xludf.DUMMYFUNCTION("""COMPUTED_VALUE"""),"Guilherme")</f>
        <v>Guilherme</v>
      </c>
      <c r="C25" s="50">
        <f>IFERROR(__xludf.DUMMYFUNCTION("""COMPUTED_VALUE"""),42.0)</f>
        <v>42</v>
      </c>
      <c r="D25" s="50" t="str">
        <f>IFERROR(__xludf.DUMMYFUNCTION("""COMPUTED_VALUE"""),"M")</f>
        <v>M</v>
      </c>
      <c r="E25" s="50">
        <f>IFERROR(__xludf.DUMMYFUNCTION("""COMPUTED_VALUE"""),2.4525153E7)</f>
        <v>24525153</v>
      </c>
      <c r="F25" s="50" t="str">
        <f>IFERROR(__xludf.DUMMYFUNCTION("""COMPUTED_VALUE"""),"Santa Izabel")</f>
        <v>Santa Izabel</v>
      </c>
      <c r="G25" s="50" t="str">
        <f>IFERROR(__xludf.DUMMYFUNCTION("""COMPUTED_VALUE"""),"São Paulo")</f>
        <v>São Paulo</v>
      </c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49">
        <f>IFERROR(__xludf.DUMMYFUNCTION("""COMPUTED_VALUE"""),25.0)</f>
        <v>25</v>
      </c>
      <c r="B26" s="49" t="str">
        <f>IFERROR(__xludf.DUMMYFUNCTION("""COMPUTED_VALUE"""),"Mayra")</f>
        <v>Mayra</v>
      </c>
      <c r="C26" s="49">
        <f>IFERROR(__xludf.DUMMYFUNCTION("""COMPUTED_VALUE"""),75.0)</f>
        <v>75</v>
      </c>
      <c r="D26" s="49" t="str">
        <f>IFERROR(__xludf.DUMMYFUNCTION("""COMPUTED_VALUE"""),"F")</f>
        <v>F</v>
      </c>
      <c r="E26" s="49">
        <f>IFERROR(__xludf.DUMMYFUNCTION("""COMPUTED_VALUE"""),2.4525154E7)</f>
        <v>24525154</v>
      </c>
      <c r="F26" s="49" t="str">
        <f>IFERROR(__xludf.DUMMYFUNCTION("""COMPUTED_VALUE"""),"Santo André")</f>
        <v>Santo André</v>
      </c>
      <c r="G26" s="49" t="str">
        <f>IFERROR(__xludf.DUMMYFUNCTION("""COMPUTED_VALUE"""),"São Paulo")</f>
        <v>São Paulo</v>
      </c>
      <c r="H26" s="48"/>
      <c r="I26" s="48">
        <f>COUNTIF(C2:C54,"&gt;=60")</f>
        <v>18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50">
        <f>IFERROR(__xludf.DUMMYFUNCTION("""COMPUTED_VALUE"""),26.0)</f>
        <v>26</v>
      </c>
      <c r="B27" s="50" t="str">
        <f>IFERROR(__xludf.DUMMYFUNCTION("""COMPUTED_VALUE"""),"Ana  ")</f>
        <v>Ana  </v>
      </c>
      <c r="C27" s="50">
        <f>IFERROR(__xludf.DUMMYFUNCTION("""COMPUTED_VALUE"""),53.0)</f>
        <v>53</v>
      </c>
      <c r="D27" s="50" t="str">
        <f>IFERROR(__xludf.DUMMYFUNCTION("""COMPUTED_VALUE"""),"F")</f>
        <v>F</v>
      </c>
      <c r="E27" s="50">
        <f>IFERROR(__xludf.DUMMYFUNCTION("""COMPUTED_VALUE"""),2.4525155E7)</f>
        <v>24525155</v>
      </c>
      <c r="F27" s="50" t="str">
        <f>IFERROR(__xludf.DUMMYFUNCTION("""COMPUTED_VALUE"""),"Curitiba")</f>
        <v>Curitiba</v>
      </c>
      <c r="G27" s="50" t="str">
        <f>IFERROR(__xludf.DUMMYFUNCTION("""COMPUTED_VALUE"""),"Paraná")</f>
        <v>Paraná</v>
      </c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49">
        <f>IFERROR(__xludf.DUMMYFUNCTION("""COMPUTED_VALUE"""),27.0)</f>
        <v>27</v>
      </c>
      <c r="B28" s="49" t="str">
        <f>IFERROR(__xludf.DUMMYFUNCTION("""COMPUTED_VALUE"""),"Beatriz")</f>
        <v>Beatriz</v>
      </c>
      <c r="C28" s="49">
        <f>IFERROR(__xludf.DUMMYFUNCTION("""COMPUTED_VALUE"""),62.0)</f>
        <v>62</v>
      </c>
      <c r="D28" s="49" t="str">
        <f>IFERROR(__xludf.DUMMYFUNCTION("""COMPUTED_VALUE"""),"F")</f>
        <v>F</v>
      </c>
      <c r="E28" s="49">
        <f>IFERROR(__xludf.DUMMYFUNCTION("""COMPUTED_VALUE"""),2.4525156E7)</f>
        <v>24525156</v>
      </c>
      <c r="F28" s="49" t="str">
        <f>IFERROR(__xludf.DUMMYFUNCTION("""COMPUTED_VALUE"""),"Maringá")</f>
        <v>Maringá</v>
      </c>
      <c r="G28" s="49" t="str">
        <f>IFERROR(__xludf.DUMMYFUNCTION("""COMPUTED_VALUE"""),"Paraná")</f>
        <v>Paraná</v>
      </c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50">
        <f>IFERROR(__xludf.DUMMYFUNCTION("""COMPUTED_VALUE"""),28.0)</f>
        <v>28</v>
      </c>
      <c r="B29" s="50" t="str">
        <f>IFERROR(__xludf.DUMMYFUNCTION("""COMPUTED_VALUE"""),"Lucas")</f>
        <v>Lucas</v>
      </c>
      <c r="C29" s="50">
        <f>IFERROR(__xludf.DUMMYFUNCTION("""COMPUTED_VALUE"""),38.0)</f>
        <v>38</v>
      </c>
      <c r="D29" s="50" t="str">
        <f>IFERROR(__xludf.DUMMYFUNCTION("""COMPUTED_VALUE"""),"M")</f>
        <v>M</v>
      </c>
      <c r="E29" s="50">
        <f>IFERROR(__xludf.DUMMYFUNCTION("""COMPUTED_VALUE"""),2.4525157E7)</f>
        <v>24525157</v>
      </c>
      <c r="F29" s="50" t="str">
        <f>IFERROR(__xludf.DUMMYFUNCTION("""COMPUTED_VALUE"""),"Londrina")</f>
        <v>Londrina</v>
      </c>
      <c r="G29" s="50" t="str">
        <f>IFERROR(__xludf.DUMMYFUNCTION("""COMPUTED_VALUE"""),"Paraná")</f>
        <v>Paraná</v>
      </c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>
      <c r="A30" s="49">
        <f>IFERROR(__xludf.DUMMYFUNCTION("""COMPUTED_VALUE"""),29.0)</f>
        <v>29</v>
      </c>
      <c r="B30" s="49" t="str">
        <f>IFERROR(__xludf.DUMMYFUNCTION("""COMPUTED_VALUE"""),"Fernanda")</f>
        <v>Fernanda</v>
      </c>
      <c r="C30" s="49">
        <f>IFERROR(__xludf.DUMMYFUNCTION("""COMPUTED_VALUE"""),67.0)</f>
        <v>67</v>
      </c>
      <c r="D30" s="49" t="str">
        <f>IFERROR(__xludf.DUMMYFUNCTION("""COMPUTED_VALUE"""),"F")</f>
        <v>F</v>
      </c>
      <c r="E30" s="49">
        <f>IFERROR(__xludf.DUMMYFUNCTION("""COMPUTED_VALUE"""),2.4525158E7)</f>
        <v>24525158</v>
      </c>
      <c r="F30" s="49" t="str">
        <f>IFERROR(__xludf.DUMMYFUNCTION("""COMPUTED_VALUE"""),"Cascavel")</f>
        <v>Cascavel</v>
      </c>
      <c r="G30" s="49" t="str">
        <f>IFERROR(__xludf.DUMMYFUNCTION("""COMPUTED_VALUE"""),"Paraná")</f>
        <v>Paraná</v>
      </c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>
      <c r="A31" s="50">
        <f>IFERROR(__xludf.DUMMYFUNCTION("""COMPUTED_VALUE"""),30.0)</f>
        <v>30</v>
      </c>
      <c r="B31" s="50" t="str">
        <f>IFERROR(__xludf.DUMMYFUNCTION("""COMPUTED_VALUE"""),"Solange")</f>
        <v>Solange</v>
      </c>
      <c r="C31" s="50">
        <f>IFERROR(__xludf.DUMMYFUNCTION("""COMPUTED_VALUE"""),42.0)</f>
        <v>42</v>
      </c>
      <c r="D31" s="50" t="str">
        <f>IFERROR(__xludf.DUMMYFUNCTION("""COMPUTED_VALUE"""),"F")</f>
        <v>F</v>
      </c>
      <c r="E31" s="50">
        <f>IFERROR(__xludf.DUMMYFUNCTION("""COMPUTED_VALUE"""),2.4525159E7)</f>
        <v>24525159</v>
      </c>
      <c r="F31" s="50" t="str">
        <f>IFERROR(__xludf.DUMMYFUNCTION("""COMPUTED_VALUE"""),"Ponta Grossa")</f>
        <v>Ponta Grossa</v>
      </c>
      <c r="G31" s="50" t="str">
        <f>IFERROR(__xludf.DUMMYFUNCTION("""COMPUTED_VALUE"""),"Paraná")</f>
        <v>Paraná</v>
      </c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>
      <c r="A32" s="49">
        <f>IFERROR(__xludf.DUMMYFUNCTION("""COMPUTED_VALUE"""),31.0)</f>
        <v>31</v>
      </c>
      <c r="B32" s="49" t="str">
        <f>IFERROR(__xludf.DUMMYFUNCTION("""COMPUTED_VALUE"""),"Soraya")</f>
        <v>Soraya</v>
      </c>
      <c r="C32" s="49">
        <f>IFERROR(__xludf.DUMMYFUNCTION("""COMPUTED_VALUE"""),88.0)</f>
        <v>88</v>
      </c>
      <c r="D32" s="49" t="str">
        <f>IFERROR(__xludf.DUMMYFUNCTION("""COMPUTED_VALUE"""),"F")</f>
        <v>F</v>
      </c>
      <c r="E32" s="49">
        <f>IFERROR(__xludf.DUMMYFUNCTION("""COMPUTED_VALUE"""),2.452516E7)</f>
        <v>24525160</v>
      </c>
      <c r="F32" s="49" t="str">
        <f>IFERROR(__xludf.DUMMYFUNCTION("""COMPUTED_VALUE"""),"São José dos Pinhais")</f>
        <v>São José dos Pinhais</v>
      </c>
      <c r="G32" s="49" t="str">
        <f>IFERROR(__xludf.DUMMYFUNCTION("""COMPUTED_VALUE"""),"Paraná")</f>
        <v>Paraná</v>
      </c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>
      <c r="A33" s="50">
        <f>IFERROR(__xludf.DUMMYFUNCTION("""COMPUTED_VALUE"""),32.0)</f>
        <v>32</v>
      </c>
      <c r="B33" s="50" t="str">
        <f>IFERROR(__xludf.DUMMYFUNCTION("""COMPUTED_VALUE"""),"Agnaldo")</f>
        <v>Agnaldo</v>
      </c>
      <c r="C33" s="50">
        <f>IFERROR(__xludf.DUMMYFUNCTION("""COMPUTED_VALUE"""),64.0)</f>
        <v>64</v>
      </c>
      <c r="D33" s="50" t="str">
        <f>IFERROR(__xludf.DUMMYFUNCTION("""COMPUTED_VALUE"""),"M")</f>
        <v>M</v>
      </c>
      <c r="E33" s="50">
        <f>IFERROR(__xludf.DUMMYFUNCTION("""COMPUTED_VALUE"""),2.4525161E7)</f>
        <v>24525161</v>
      </c>
      <c r="F33" s="50" t="str">
        <f>IFERROR(__xludf.DUMMYFUNCTION("""COMPUTED_VALUE"""),"Foz do Iguaçú")</f>
        <v>Foz do Iguaçú</v>
      </c>
      <c r="G33" s="50" t="str">
        <f>IFERROR(__xludf.DUMMYFUNCTION("""COMPUTED_VALUE"""),"Paraná")</f>
        <v>Paraná</v>
      </c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>
      <c r="A34" s="49">
        <f>IFERROR(__xludf.DUMMYFUNCTION("""COMPUTED_VALUE"""),33.0)</f>
        <v>33</v>
      </c>
      <c r="B34" s="49" t="str">
        <f>IFERROR(__xludf.DUMMYFUNCTION("""COMPUTED_VALUE"""),"Alex")</f>
        <v>Alex</v>
      </c>
      <c r="C34" s="49">
        <f>IFERROR(__xludf.DUMMYFUNCTION("""COMPUTED_VALUE"""),36.0)</f>
        <v>36</v>
      </c>
      <c r="D34" s="49" t="str">
        <f>IFERROR(__xludf.DUMMYFUNCTION("""COMPUTED_VALUE"""),"M")</f>
        <v>M</v>
      </c>
      <c r="E34" s="49">
        <f>IFERROR(__xludf.DUMMYFUNCTION("""COMPUTED_VALUE"""),2.4525162E7)</f>
        <v>24525162</v>
      </c>
      <c r="F34" s="49" t="str">
        <f>IFERROR(__xludf.DUMMYFUNCTION("""COMPUTED_VALUE"""),"Pinhais")</f>
        <v>Pinhais</v>
      </c>
      <c r="G34" s="49" t="str">
        <f>IFERROR(__xludf.DUMMYFUNCTION("""COMPUTED_VALUE"""),"Paraná")</f>
        <v>Paraná</v>
      </c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>
      <c r="A35" s="50">
        <f>IFERROR(__xludf.DUMMYFUNCTION("""COMPUTED_VALUE"""),34.0)</f>
        <v>34</v>
      </c>
      <c r="B35" s="50" t="str">
        <f>IFERROR(__xludf.DUMMYFUNCTION("""COMPUTED_VALUE"""),"Alexandre")</f>
        <v>Alexandre</v>
      </c>
      <c r="C35" s="50">
        <f>IFERROR(__xludf.DUMMYFUNCTION("""COMPUTED_VALUE"""),69.0)</f>
        <v>69</v>
      </c>
      <c r="D35" s="50" t="str">
        <f>IFERROR(__xludf.DUMMYFUNCTION("""COMPUTED_VALUE"""),"M")</f>
        <v>M</v>
      </c>
      <c r="E35" s="50">
        <f>IFERROR(__xludf.DUMMYFUNCTION("""COMPUTED_VALUE"""),2.4525163E7)</f>
        <v>24525163</v>
      </c>
      <c r="F35" s="50" t="str">
        <f>IFERROR(__xludf.DUMMYFUNCTION("""COMPUTED_VALUE"""),"Colombo")</f>
        <v>Colombo</v>
      </c>
      <c r="G35" s="50" t="str">
        <f>IFERROR(__xludf.DUMMYFUNCTION("""COMPUTED_VALUE"""),"Paraná")</f>
        <v>Paraná</v>
      </c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>
      <c r="A36" s="49">
        <f>IFERROR(__xludf.DUMMYFUNCTION("""COMPUTED_VALUE"""),35.0)</f>
        <v>35</v>
      </c>
      <c r="B36" s="49" t="str">
        <f>IFERROR(__xludf.DUMMYFUNCTION("""COMPUTED_VALUE"""),"Karen")</f>
        <v>Karen</v>
      </c>
      <c r="C36" s="49">
        <f>IFERROR(__xludf.DUMMYFUNCTION("""COMPUTED_VALUE"""),58.0)</f>
        <v>58</v>
      </c>
      <c r="D36" s="49" t="str">
        <f>IFERROR(__xludf.DUMMYFUNCTION("""COMPUTED_VALUE"""),"F")</f>
        <v>F</v>
      </c>
      <c r="E36" s="49">
        <f>IFERROR(__xludf.DUMMYFUNCTION("""COMPUTED_VALUE"""),2.4525164E7)</f>
        <v>24525164</v>
      </c>
      <c r="F36" s="49" t="str">
        <f>IFERROR(__xludf.DUMMYFUNCTION("""COMPUTED_VALUE"""),"Curitiba")</f>
        <v>Curitiba</v>
      </c>
      <c r="G36" s="49" t="str">
        <f>IFERROR(__xludf.DUMMYFUNCTION("""COMPUTED_VALUE"""),"Paraná")</f>
        <v>Paraná</v>
      </c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>
      <c r="A37" s="50">
        <f>IFERROR(__xludf.DUMMYFUNCTION("""COMPUTED_VALUE"""),36.0)</f>
        <v>36</v>
      </c>
      <c r="B37" s="50" t="str">
        <f>IFERROR(__xludf.DUMMYFUNCTION("""COMPUTED_VALUE"""),"Bruna")</f>
        <v>Bruna</v>
      </c>
      <c r="C37" s="50">
        <f>IFERROR(__xludf.DUMMYFUNCTION("""COMPUTED_VALUE"""),63.0)</f>
        <v>63</v>
      </c>
      <c r="D37" s="50" t="str">
        <f>IFERROR(__xludf.DUMMYFUNCTION("""COMPUTED_VALUE"""),"F")</f>
        <v>F</v>
      </c>
      <c r="E37" s="50">
        <f>IFERROR(__xludf.DUMMYFUNCTION("""COMPUTED_VALUE"""),2.4525165E7)</f>
        <v>24525165</v>
      </c>
      <c r="F37" s="50" t="str">
        <f>IFERROR(__xludf.DUMMYFUNCTION("""COMPUTED_VALUE"""),"Maringá")</f>
        <v>Maringá</v>
      </c>
      <c r="G37" s="50" t="str">
        <f>IFERROR(__xludf.DUMMYFUNCTION("""COMPUTED_VALUE"""),"Paraná")</f>
        <v>Paraná</v>
      </c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>
      <c r="A38" s="49">
        <f>IFERROR(__xludf.DUMMYFUNCTION("""COMPUTED_VALUE"""),37.0)</f>
        <v>37</v>
      </c>
      <c r="B38" s="49" t="str">
        <f>IFERROR(__xludf.DUMMYFUNCTION("""COMPUTED_VALUE"""),"Nathalia")</f>
        <v>Nathalia</v>
      </c>
      <c r="C38" s="49">
        <f>IFERROR(__xludf.DUMMYFUNCTION("""COMPUTED_VALUE"""),32.0)</f>
        <v>32</v>
      </c>
      <c r="D38" s="49" t="str">
        <f>IFERROR(__xludf.DUMMYFUNCTION("""COMPUTED_VALUE"""),"F")</f>
        <v>F</v>
      </c>
      <c r="E38" s="49">
        <f>IFERROR(__xludf.DUMMYFUNCTION("""COMPUTED_VALUE"""),2.4525166E7)</f>
        <v>24525166</v>
      </c>
      <c r="F38" s="49" t="str">
        <f>IFERROR(__xludf.DUMMYFUNCTION("""COMPUTED_VALUE"""),"Londrina")</f>
        <v>Londrina</v>
      </c>
      <c r="G38" s="49" t="str">
        <f>IFERROR(__xludf.DUMMYFUNCTION("""COMPUTED_VALUE"""),"Paraná")</f>
        <v>Paraná</v>
      </c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>
      <c r="A39" s="50">
        <f>IFERROR(__xludf.DUMMYFUNCTION("""COMPUTED_VALUE"""),38.0)</f>
        <v>38</v>
      </c>
      <c r="B39" s="50" t="str">
        <f>IFERROR(__xludf.DUMMYFUNCTION("""COMPUTED_VALUE"""),"Nathaly")</f>
        <v>Nathaly</v>
      </c>
      <c r="C39" s="50">
        <f>IFERROR(__xludf.DUMMYFUNCTION("""COMPUTED_VALUE"""),34.0)</f>
        <v>34</v>
      </c>
      <c r="D39" s="50" t="str">
        <f>IFERROR(__xludf.DUMMYFUNCTION("""COMPUTED_VALUE"""),"F")</f>
        <v>F</v>
      </c>
      <c r="E39" s="50">
        <f>IFERROR(__xludf.DUMMYFUNCTION("""COMPUTED_VALUE"""),2.4525167E7)</f>
        <v>24525167</v>
      </c>
      <c r="F39" s="50" t="str">
        <f>IFERROR(__xludf.DUMMYFUNCTION("""COMPUTED_VALUE"""),"Cascavel")</f>
        <v>Cascavel</v>
      </c>
      <c r="G39" s="50" t="str">
        <f>IFERROR(__xludf.DUMMYFUNCTION("""COMPUTED_VALUE"""),"Paraná")</f>
        <v>Paraná</v>
      </c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>
      <c r="A40" s="49">
        <f>IFERROR(__xludf.DUMMYFUNCTION("""COMPUTED_VALUE"""),39.0)</f>
        <v>39</v>
      </c>
      <c r="B40" s="49" t="str">
        <f>IFERROR(__xludf.DUMMYFUNCTION("""COMPUTED_VALUE"""),"Enzo")</f>
        <v>Enzo</v>
      </c>
      <c r="C40" s="49">
        <f>IFERROR(__xludf.DUMMYFUNCTION("""COMPUTED_VALUE"""),21.0)</f>
        <v>21</v>
      </c>
      <c r="D40" s="49" t="str">
        <f>IFERROR(__xludf.DUMMYFUNCTION("""COMPUTED_VALUE"""),"M")</f>
        <v>M</v>
      </c>
      <c r="E40" s="49">
        <f>IFERROR(__xludf.DUMMYFUNCTION("""COMPUTED_VALUE"""),2.4525168E7)</f>
        <v>24525168</v>
      </c>
      <c r="F40" s="49" t="str">
        <f>IFERROR(__xludf.DUMMYFUNCTION("""COMPUTED_VALUE"""),"Ponta Grossa")</f>
        <v>Ponta Grossa</v>
      </c>
      <c r="G40" s="49" t="str">
        <f>IFERROR(__xludf.DUMMYFUNCTION("""COMPUTED_VALUE"""),"Paraná")</f>
        <v>Paraná</v>
      </c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>
      <c r="A41" s="50">
        <f>IFERROR(__xludf.DUMMYFUNCTION("""COMPUTED_VALUE"""),40.0)</f>
        <v>40</v>
      </c>
      <c r="B41" s="50" t="str">
        <f>IFERROR(__xludf.DUMMYFUNCTION("""COMPUTED_VALUE"""),"Alberto")</f>
        <v>Alberto</v>
      </c>
      <c r="C41" s="50">
        <f>IFERROR(__xludf.DUMMYFUNCTION("""COMPUTED_VALUE"""),90.0)</f>
        <v>90</v>
      </c>
      <c r="D41" s="50" t="str">
        <f>IFERROR(__xludf.DUMMYFUNCTION("""COMPUTED_VALUE"""),"M")</f>
        <v>M</v>
      </c>
      <c r="E41" s="50">
        <f>IFERROR(__xludf.DUMMYFUNCTION("""COMPUTED_VALUE"""),2.4525169E7)</f>
        <v>24525169</v>
      </c>
      <c r="F41" s="50" t="str">
        <f>IFERROR(__xludf.DUMMYFUNCTION("""COMPUTED_VALUE"""),"São José dos Pinhais")</f>
        <v>São José dos Pinhais</v>
      </c>
      <c r="G41" s="50" t="str">
        <f>IFERROR(__xludf.DUMMYFUNCTION("""COMPUTED_VALUE"""),"Paraná")</f>
        <v>Paraná</v>
      </c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>
      <c r="A42" s="49">
        <f>IFERROR(__xludf.DUMMYFUNCTION("""COMPUTED_VALUE"""),41.0)</f>
        <v>41</v>
      </c>
      <c r="B42" s="49" t="str">
        <f>IFERROR(__xludf.DUMMYFUNCTION("""COMPUTED_VALUE"""),"Gabriel")</f>
        <v>Gabriel</v>
      </c>
      <c r="C42" s="49">
        <f>IFERROR(__xludf.DUMMYFUNCTION("""COMPUTED_VALUE"""),46.0)</f>
        <v>46</v>
      </c>
      <c r="D42" s="49" t="str">
        <f>IFERROR(__xludf.DUMMYFUNCTION("""COMPUTED_VALUE"""),"M")</f>
        <v>M</v>
      </c>
      <c r="E42" s="49">
        <f>IFERROR(__xludf.DUMMYFUNCTION("""COMPUTED_VALUE"""),2.452517E7)</f>
        <v>24525170</v>
      </c>
      <c r="F42" s="49" t="str">
        <f>IFERROR(__xludf.DUMMYFUNCTION("""COMPUTED_VALUE"""),"Foz do Iguaçú")</f>
        <v>Foz do Iguaçú</v>
      </c>
      <c r="G42" s="49" t="str">
        <f>IFERROR(__xludf.DUMMYFUNCTION("""COMPUTED_VALUE"""),"Paraná")</f>
        <v>Paraná</v>
      </c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>
      <c r="A43" s="50">
        <f>IFERROR(__xludf.DUMMYFUNCTION("""COMPUTED_VALUE"""),42.0)</f>
        <v>42</v>
      </c>
      <c r="B43" s="50" t="str">
        <f>IFERROR(__xludf.DUMMYFUNCTION("""COMPUTED_VALUE"""),"Gabriela")</f>
        <v>Gabriela</v>
      </c>
      <c r="C43" s="50">
        <f>IFERROR(__xludf.DUMMYFUNCTION("""COMPUTED_VALUE"""),82.0)</f>
        <v>82</v>
      </c>
      <c r="D43" s="50" t="str">
        <f>IFERROR(__xludf.DUMMYFUNCTION("""COMPUTED_VALUE"""),"F")</f>
        <v>F</v>
      </c>
      <c r="E43" s="50">
        <f>IFERROR(__xludf.DUMMYFUNCTION("""COMPUTED_VALUE"""),2.4525171E7)</f>
        <v>24525171</v>
      </c>
      <c r="F43" s="50" t="str">
        <f>IFERROR(__xludf.DUMMYFUNCTION("""COMPUTED_VALUE"""),"Pinhais")</f>
        <v>Pinhais</v>
      </c>
      <c r="G43" s="50" t="str">
        <f>IFERROR(__xludf.DUMMYFUNCTION("""COMPUTED_VALUE"""),"Paraná")</f>
        <v>Paraná</v>
      </c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>
      <c r="A44" s="49">
        <f>IFERROR(__xludf.DUMMYFUNCTION("""COMPUTED_VALUE"""),43.0)</f>
        <v>43</v>
      </c>
      <c r="B44" s="49" t="str">
        <f>IFERROR(__xludf.DUMMYFUNCTION("""COMPUTED_VALUE"""),"Iris")</f>
        <v>Iris</v>
      </c>
      <c r="C44" s="49">
        <f>IFERROR(__xludf.DUMMYFUNCTION("""COMPUTED_VALUE"""),35.0)</f>
        <v>35</v>
      </c>
      <c r="D44" s="49" t="str">
        <f>IFERROR(__xludf.DUMMYFUNCTION("""COMPUTED_VALUE"""),"F")</f>
        <v>F</v>
      </c>
      <c r="E44" s="49">
        <f>IFERROR(__xludf.DUMMYFUNCTION("""COMPUTED_VALUE"""),2.4525172E7)</f>
        <v>24525172</v>
      </c>
      <c r="F44" s="49" t="str">
        <f>IFERROR(__xludf.DUMMYFUNCTION("""COMPUTED_VALUE"""),"Colombo")</f>
        <v>Colombo</v>
      </c>
      <c r="G44" s="49" t="str">
        <f>IFERROR(__xludf.DUMMYFUNCTION("""COMPUTED_VALUE"""),"Paraná")</f>
        <v>Paraná</v>
      </c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>
      <c r="A45" s="50">
        <f>IFERROR(__xludf.DUMMYFUNCTION("""COMPUTED_VALUE"""),44.0)</f>
        <v>44</v>
      </c>
      <c r="B45" s="50" t="str">
        <f>IFERROR(__xludf.DUMMYFUNCTION("""COMPUTED_VALUE"""),"Minela")</f>
        <v>Minela</v>
      </c>
      <c r="C45" s="50">
        <f>IFERROR(__xludf.DUMMYFUNCTION("""COMPUTED_VALUE"""),74.0)</f>
        <v>74</v>
      </c>
      <c r="D45" s="50" t="str">
        <f>IFERROR(__xludf.DUMMYFUNCTION("""COMPUTED_VALUE"""),"F")</f>
        <v>F</v>
      </c>
      <c r="E45" s="50">
        <f>IFERROR(__xludf.DUMMYFUNCTION("""COMPUTED_VALUE"""),2.4525173E7)</f>
        <v>24525173</v>
      </c>
      <c r="F45" s="50" t="str">
        <f>IFERROR(__xludf.DUMMYFUNCTION("""COMPUTED_VALUE"""),"Curitiba")</f>
        <v>Curitiba</v>
      </c>
      <c r="G45" s="50" t="str">
        <f>IFERROR(__xludf.DUMMYFUNCTION("""COMPUTED_VALUE"""),"Paraná")</f>
        <v>Paraná</v>
      </c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>
      <c r="A46" s="49">
        <f>IFERROR(__xludf.DUMMYFUNCTION("""COMPUTED_VALUE"""),45.0)</f>
        <v>45</v>
      </c>
      <c r="B46" s="49" t="str">
        <f>IFERROR(__xludf.DUMMYFUNCTION("""COMPUTED_VALUE"""),"Maria")</f>
        <v>Maria</v>
      </c>
      <c r="C46" s="49">
        <f>IFERROR(__xludf.DUMMYFUNCTION("""COMPUTED_VALUE"""),25.0)</f>
        <v>25</v>
      </c>
      <c r="D46" s="49" t="str">
        <f>IFERROR(__xludf.DUMMYFUNCTION("""COMPUTED_VALUE"""),"F")</f>
        <v>F</v>
      </c>
      <c r="E46" s="49">
        <f>IFERROR(__xludf.DUMMYFUNCTION("""COMPUTED_VALUE"""),2.4525174E7)</f>
        <v>24525174</v>
      </c>
      <c r="F46" s="49" t="str">
        <f>IFERROR(__xludf.DUMMYFUNCTION("""COMPUTED_VALUE"""),"Maringá")</f>
        <v>Maringá</v>
      </c>
      <c r="G46" s="49" t="str">
        <f>IFERROR(__xludf.DUMMYFUNCTION("""COMPUTED_VALUE"""),"Paraná")</f>
        <v>Paraná</v>
      </c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>
      <c r="A47" s="50">
        <f>IFERROR(__xludf.DUMMYFUNCTION("""COMPUTED_VALUE"""),46.0)</f>
        <v>46</v>
      </c>
      <c r="B47" s="50" t="str">
        <f>IFERROR(__xludf.DUMMYFUNCTION("""COMPUTED_VALUE"""),"Aparecida")</f>
        <v>Aparecida</v>
      </c>
      <c r="C47" s="50">
        <f>IFERROR(__xludf.DUMMYFUNCTION("""COMPUTED_VALUE"""),33.0)</f>
        <v>33</v>
      </c>
      <c r="D47" s="50" t="str">
        <f>IFERROR(__xludf.DUMMYFUNCTION("""COMPUTED_VALUE"""),"F")</f>
        <v>F</v>
      </c>
      <c r="E47" s="50">
        <f>IFERROR(__xludf.DUMMYFUNCTION("""COMPUTED_VALUE"""),2.4525175E7)</f>
        <v>24525175</v>
      </c>
      <c r="F47" s="50" t="str">
        <f>IFERROR(__xludf.DUMMYFUNCTION("""COMPUTED_VALUE"""),"Londrina")</f>
        <v>Londrina</v>
      </c>
      <c r="G47" s="50" t="str">
        <f>IFERROR(__xludf.DUMMYFUNCTION("""COMPUTED_VALUE"""),"Paraná")</f>
        <v>Paraná</v>
      </c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>
      <c r="A48" s="49">
        <f>IFERROR(__xludf.DUMMYFUNCTION("""COMPUTED_VALUE"""),47.0)</f>
        <v>47</v>
      </c>
      <c r="B48" s="49" t="str">
        <f>IFERROR(__xludf.DUMMYFUNCTION("""COMPUTED_VALUE"""),"Marília")</f>
        <v>Marília</v>
      </c>
      <c r="C48" s="49">
        <f>IFERROR(__xludf.DUMMYFUNCTION("""COMPUTED_VALUE"""),45.0)</f>
        <v>45</v>
      </c>
      <c r="D48" s="49" t="str">
        <f>IFERROR(__xludf.DUMMYFUNCTION("""COMPUTED_VALUE"""),"F")</f>
        <v>F</v>
      </c>
      <c r="E48" s="49">
        <f>IFERROR(__xludf.DUMMYFUNCTION("""COMPUTED_VALUE"""),2.4525176E7)</f>
        <v>24525176</v>
      </c>
      <c r="F48" s="49" t="str">
        <f>IFERROR(__xludf.DUMMYFUNCTION("""COMPUTED_VALUE"""),"Cascavel")</f>
        <v>Cascavel</v>
      </c>
      <c r="G48" s="49" t="str">
        <f>IFERROR(__xludf.DUMMYFUNCTION("""COMPUTED_VALUE"""),"Paraná")</f>
        <v>Paraná</v>
      </c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>
      <c r="A49" s="50">
        <f>IFERROR(__xludf.DUMMYFUNCTION("""COMPUTED_VALUE"""),48.0)</f>
        <v>48</v>
      </c>
      <c r="B49" s="50" t="str">
        <f>IFERROR(__xludf.DUMMYFUNCTION("""COMPUTED_VALUE"""),"Mayara")</f>
        <v>Mayara</v>
      </c>
      <c r="C49" s="50">
        <f>IFERROR(__xludf.DUMMYFUNCTION("""COMPUTED_VALUE"""),38.0)</f>
        <v>38</v>
      </c>
      <c r="D49" s="50" t="str">
        <f>IFERROR(__xludf.DUMMYFUNCTION("""COMPUTED_VALUE"""),"F")</f>
        <v>F</v>
      </c>
      <c r="E49" s="50">
        <f>IFERROR(__xludf.DUMMYFUNCTION("""COMPUTED_VALUE"""),2.4525177E7)</f>
        <v>24525177</v>
      </c>
      <c r="F49" s="50" t="str">
        <f>IFERROR(__xludf.DUMMYFUNCTION("""COMPUTED_VALUE"""),"Ponta Grossa")</f>
        <v>Ponta Grossa</v>
      </c>
      <c r="G49" s="50" t="str">
        <f>IFERROR(__xludf.DUMMYFUNCTION("""COMPUTED_VALUE"""),"Paraná")</f>
        <v>Paraná</v>
      </c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>
      <c r="A50" s="49">
        <f>IFERROR(__xludf.DUMMYFUNCTION("""COMPUTED_VALUE"""),49.0)</f>
        <v>49</v>
      </c>
      <c r="B50" s="49" t="str">
        <f>IFERROR(__xludf.DUMMYFUNCTION("""COMPUTED_VALUE"""),"Maraísa")</f>
        <v>Maraísa</v>
      </c>
      <c r="C50" s="49">
        <f>IFERROR(__xludf.DUMMYFUNCTION("""COMPUTED_VALUE"""),62.0)</f>
        <v>62</v>
      </c>
      <c r="D50" s="49" t="str">
        <f>IFERROR(__xludf.DUMMYFUNCTION("""COMPUTED_VALUE"""),"F")</f>
        <v>F</v>
      </c>
      <c r="E50" s="49">
        <f>IFERROR(__xludf.DUMMYFUNCTION("""COMPUTED_VALUE"""),2.4525178E7)</f>
        <v>24525178</v>
      </c>
      <c r="F50" s="49" t="str">
        <f>IFERROR(__xludf.DUMMYFUNCTION("""COMPUTED_VALUE"""),"São José dos Pinhais")</f>
        <v>São José dos Pinhais</v>
      </c>
      <c r="G50" s="49" t="str">
        <f>IFERROR(__xludf.DUMMYFUNCTION("""COMPUTED_VALUE"""),"Paraná")</f>
        <v>Paraná</v>
      </c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>
      <c r="A51" s="50">
        <f>IFERROR(__xludf.DUMMYFUNCTION("""COMPUTED_VALUE"""),50.0)</f>
        <v>50</v>
      </c>
      <c r="B51" s="50" t="str">
        <f>IFERROR(__xludf.DUMMYFUNCTION("""COMPUTED_VALUE"""),"Camila")</f>
        <v>Camila</v>
      </c>
      <c r="C51" s="50">
        <f>IFERROR(__xludf.DUMMYFUNCTION("""COMPUTED_VALUE"""),22.0)</f>
        <v>22</v>
      </c>
      <c r="D51" s="50" t="str">
        <f>IFERROR(__xludf.DUMMYFUNCTION("""COMPUTED_VALUE"""),"F")</f>
        <v>F</v>
      </c>
      <c r="E51" s="50">
        <f>IFERROR(__xludf.DUMMYFUNCTION("""COMPUTED_VALUE"""),2.4525179E7)</f>
        <v>24525179</v>
      </c>
      <c r="F51" s="50" t="str">
        <f>IFERROR(__xludf.DUMMYFUNCTION("""COMPUTED_VALUE"""),"Foz do Iguaçú")</f>
        <v>Foz do Iguaçú</v>
      </c>
      <c r="G51" s="50" t="str">
        <f>IFERROR(__xludf.DUMMYFUNCTION("""COMPUTED_VALUE"""),"Paraná")</f>
        <v>Paraná</v>
      </c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>
      <c r="A52" s="49">
        <f>IFERROR(__xludf.DUMMYFUNCTION("""COMPUTED_VALUE"""),51.0)</f>
        <v>51</v>
      </c>
      <c r="B52" s="49" t="str">
        <f>IFERROR(__xludf.DUMMYFUNCTION("""COMPUTED_VALUE"""),"Ricardo")</f>
        <v>Ricardo</v>
      </c>
      <c r="C52" s="49">
        <f>IFERROR(__xludf.DUMMYFUNCTION("""COMPUTED_VALUE"""),42.0)</f>
        <v>42</v>
      </c>
      <c r="D52" s="49" t="str">
        <f>IFERROR(__xludf.DUMMYFUNCTION("""COMPUTED_VALUE"""),"M")</f>
        <v>M</v>
      </c>
      <c r="E52" s="49">
        <f>IFERROR(__xludf.DUMMYFUNCTION("""COMPUTED_VALUE"""),2.452518E7)</f>
        <v>24525180</v>
      </c>
      <c r="F52" s="49" t="str">
        <f>IFERROR(__xludf.DUMMYFUNCTION("""COMPUTED_VALUE"""),"Pinhais")</f>
        <v>Pinhais</v>
      </c>
      <c r="G52" s="49" t="str">
        <f>IFERROR(__xludf.DUMMYFUNCTION("""COMPUTED_VALUE"""),"Paraná")</f>
        <v>Paraná</v>
      </c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>
      <c r="A53" s="50">
        <f>IFERROR(__xludf.DUMMYFUNCTION("""COMPUTED_VALUE"""),52.0)</f>
        <v>52</v>
      </c>
      <c r="B53" s="50" t="str">
        <f>IFERROR(__xludf.DUMMYFUNCTION("""COMPUTED_VALUE"""),"Romulo")</f>
        <v>Romulo</v>
      </c>
      <c r="C53" s="50">
        <f>IFERROR(__xludf.DUMMYFUNCTION("""COMPUTED_VALUE"""),90.0)</f>
        <v>90</v>
      </c>
      <c r="D53" s="50" t="str">
        <f>IFERROR(__xludf.DUMMYFUNCTION("""COMPUTED_VALUE"""),"M")</f>
        <v>M</v>
      </c>
      <c r="E53" s="50">
        <f>IFERROR(__xludf.DUMMYFUNCTION("""COMPUTED_VALUE"""),2.4525181E7)</f>
        <v>24525181</v>
      </c>
      <c r="F53" s="50" t="str">
        <f>IFERROR(__xludf.DUMMYFUNCTION("""COMPUTED_VALUE"""),"Pinhais")</f>
        <v>Pinhais</v>
      </c>
      <c r="G53" s="50" t="str">
        <f>IFERROR(__xludf.DUMMYFUNCTION("""COMPUTED_VALUE"""),"Paraná")</f>
        <v>Paraná</v>
      </c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>
      <c r="A54" s="49">
        <f>IFERROR(__xludf.DUMMYFUNCTION("""COMPUTED_VALUE"""),53.0)</f>
        <v>53</v>
      </c>
      <c r="B54" s="49" t="str">
        <f>IFERROR(__xludf.DUMMYFUNCTION("""COMPUTED_VALUE"""),"Rodrigo")</f>
        <v>Rodrigo</v>
      </c>
      <c r="C54" s="49">
        <f>IFERROR(__xludf.DUMMYFUNCTION("""COMPUTED_VALUE"""),42.0)</f>
        <v>42</v>
      </c>
      <c r="D54" s="49" t="str">
        <f>IFERROR(__xludf.DUMMYFUNCTION("""COMPUTED_VALUE"""),"M")</f>
        <v>M</v>
      </c>
      <c r="E54" s="49">
        <f>IFERROR(__xludf.DUMMYFUNCTION("""COMPUTED_VALUE"""),2.4525182E7)</f>
        <v>24525182</v>
      </c>
      <c r="F54" s="49" t="str">
        <f>IFERROR(__xludf.DUMMYFUNCTION("""COMPUTED_VALUE"""),"Foz do Iguaçú")</f>
        <v>Foz do Iguaçú</v>
      </c>
      <c r="G54" s="49" t="str">
        <f>IFERROR(__xludf.DUMMYFUNCTION("""COMPUTED_VALUE"""),"Paraná")</f>
        <v>Paraná</v>
      </c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  <row r="100"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</row>
    <row r="101"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</row>
    <row r="106"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</row>
    <row r="107"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</row>
    <row r="108"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</row>
    <row r="110"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</row>
    <row r="111"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</row>
    <row r="113"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</row>
    <row r="116"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</row>
    <row r="118"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</row>
    <row r="119"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</row>
    <row r="120"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</row>
    <row r="126"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</row>
    <row r="127"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</row>
    <row r="128"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</row>
    <row r="129"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</row>
    <row r="130"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</row>
    <row r="131"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</row>
    <row r="132"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</row>
    <row r="134"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</row>
    <row r="135"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</row>
    <row r="136"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</row>
    <row r="137"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</row>
    <row r="141"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</row>
    <row r="143"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</row>
    <row r="145"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</row>
    <row r="146"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</row>
    <row r="147"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</row>
    <row r="150"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</row>
    <row r="154"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</row>
    <row r="157"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</row>
    <row r="158"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</row>
    <row r="160"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</row>
    <row r="161"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</row>
    <row r="162"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</row>
    <row r="163"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</row>
    <row r="171"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</row>
    <row r="173"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</row>
    <row r="174"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</row>
    <row r="176"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</row>
    <row r="179"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</row>
    <row r="182"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</row>
    <row r="183"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</row>
    <row r="184"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</row>
    <row r="185"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</row>
    <row r="186"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</row>
    <row r="187"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</row>
    <row r="189"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</row>
    <row r="190"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</row>
    <row r="192"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</row>
    <row r="194"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</row>
    <row r="195"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</row>
    <row r="196"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</row>
    <row r="197"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</row>
    <row r="198"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</row>
    <row r="200"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</row>
    <row r="202"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</row>
    <row r="206"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</row>
    <row r="207"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</row>
    <row r="212"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</row>
    <row r="216"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</row>
    <row r="220"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</row>
    <row r="225"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</row>
    <row r="227"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</row>
    <row r="229"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</row>
    <row r="231"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</row>
    <row r="234"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</row>
    <row r="236"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</row>
    <row r="237"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</row>
    <row r="238"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</row>
    <row r="239"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</row>
    <row r="245"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</row>
    <row r="246"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</row>
    <row r="252"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</row>
    <row r="255"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</row>
    <row r="258"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</row>
    <row r="262"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</row>
    <row r="263"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</row>
    <row r="264"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</row>
    <row r="265"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</row>
    <row r="268"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</row>
    <row r="270"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</row>
    <row r="271"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</row>
    <row r="272"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</row>
    <row r="273"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</row>
    <row r="274"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</row>
    <row r="275"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</row>
    <row r="276"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</row>
    <row r="277"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</row>
    <row r="278"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</row>
    <row r="279"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</row>
    <row r="280"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</row>
    <row r="281"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</row>
    <row r="285"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</row>
    <row r="287"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</row>
    <row r="288"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</row>
    <row r="289"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</row>
    <row r="291"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</row>
    <row r="292"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</row>
    <row r="293"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</row>
    <row r="294"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</row>
    <row r="295"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</row>
    <row r="299"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</row>
    <row r="300"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</row>
    <row r="301"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</row>
    <row r="302"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</row>
    <row r="306"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</row>
    <row r="307"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</row>
    <row r="310"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</row>
    <row r="314"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</row>
    <row r="316"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</row>
    <row r="320"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</row>
    <row r="321"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</row>
    <row r="322"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</row>
    <row r="324"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</row>
    <row r="327"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</row>
    <row r="328"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</row>
    <row r="330"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</row>
    <row r="331"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</row>
    <row r="334"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</row>
    <row r="335"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</row>
    <row r="336"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</row>
    <row r="337"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</row>
    <row r="342"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</row>
    <row r="343"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</row>
    <row r="344"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</row>
    <row r="345"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</row>
    <row r="348"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</row>
    <row r="351"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</row>
    <row r="352"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</row>
    <row r="353"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</row>
    <row r="356"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</row>
    <row r="357"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</row>
    <row r="358"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</row>
    <row r="360"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</row>
    <row r="361"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</row>
    <row r="364"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</row>
    <row r="365"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</row>
    <row r="368"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</row>
    <row r="369"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</row>
    <row r="371"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</row>
    <row r="372"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</row>
    <row r="373"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</row>
    <row r="376"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</row>
    <row r="377"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</row>
    <row r="378"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</row>
    <row r="379"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</row>
    <row r="380"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</row>
    <row r="385"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</row>
    <row r="388"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</row>
    <row r="389"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</row>
    <row r="390"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</row>
    <row r="392"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</row>
    <row r="393"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</row>
    <row r="394"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</row>
    <row r="395"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</row>
    <row r="397"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</row>
    <row r="398"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</row>
    <row r="399"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</row>
    <row r="400"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</row>
    <row r="403"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</row>
    <row r="404"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</row>
    <row r="405"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</row>
    <row r="406"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</row>
    <row r="407"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</row>
    <row r="411"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</row>
    <row r="412"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</row>
    <row r="413"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</row>
    <row r="416"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</row>
    <row r="417"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</row>
    <row r="418"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</row>
    <row r="421"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</row>
    <row r="422"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</row>
    <row r="423"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</row>
    <row r="424"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</row>
    <row r="425"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</row>
    <row r="428"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</row>
    <row r="429"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</row>
    <row r="434"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</row>
    <row r="435"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</row>
    <row r="436"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</row>
    <row r="437"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</row>
    <row r="444"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</row>
    <row r="445"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</row>
    <row r="446"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</row>
    <row r="447"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</row>
    <row r="449"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</row>
    <row r="450"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</row>
    <row r="451"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</row>
    <row r="453"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</row>
    <row r="454"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</row>
    <row r="455"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</row>
    <row r="456"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</row>
    <row r="460"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</row>
    <row r="461"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</row>
    <row r="462"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</row>
    <row r="466"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</row>
    <row r="467"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</row>
    <row r="468"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</row>
    <row r="469"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</row>
    <row r="470"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</row>
    <row r="471"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</row>
    <row r="472"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</row>
    <row r="473"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</row>
    <row r="477"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</row>
    <row r="478"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</row>
    <row r="483"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</row>
    <row r="484"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</row>
    <row r="485"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</row>
    <row r="487"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</row>
    <row r="488"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</row>
    <row r="489"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</row>
    <row r="491"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</row>
    <row r="492"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</row>
    <row r="493"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</row>
    <row r="494"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</row>
    <row r="495"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</row>
    <row r="496"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</row>
    <row r="497"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</row>
    <row r="498"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</row>
    <row r="499"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</row>
    <row r="500"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</row>
    <row r="505"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</row>
    <row r="506"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</row>
    <row r="509"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</row>
    <row r="510"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</row>
    <row r="511"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</row>
    <row r="512"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</row>
    <row r="513"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</row>
    <row r="514"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</row>
    <row r="515"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</row>
    <row r="518"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</row>
    <row r="519"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</row>
    <row r="520"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</row>
    <row r="522"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</row>
    <row r="523"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</row>
    <row r="524"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</row>
    <row r="525"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</row>
    <row r="528"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</row>
    <row r="529"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</row>
    <row r="532"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</row>
    <row r="533"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</row>
    <row r="534"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</row>
    <row r="535"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</row>
    <row r="538"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</row>
    <row r="540"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</row>
    <row r="541"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</row>
    <row r="542"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</row>
    <row r="543"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</row>
    <row r="544"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</row>
    <row r="545"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</row>
    <row r="546"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</row>
    <row r="547"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</row>
    <row r="548"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</row>
    <row r="550"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</row>
    <row r="551"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</row>
    <row r="552"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</row>
    <row r="553"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</row>
    <row r="554"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</row>
    <row r="555"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</row>
    <row r="556"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</row>
    <row r="557"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</row>
    <row r="558"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</row>
    <row r="559"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</row>
    <row r="560"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</row>
    <row r="561"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</row>
    <row r="564"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</row>
    <row r="565"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</row>
    <row r="568"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</row>
    <row r="569"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</row>
    <row r="570"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</row>
    <row r="572"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</row>
    <row r="573"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</row>
    <row r="574"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</row>
    <row r="575"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</row>
    <row r="576"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</row>
    <row r="577"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</row>
    <row r="578"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</row>
    <row r="579"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</row>
    <row r="580"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</row>
    <row r="581"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</row>
    <row r="582"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</row>
    <row r="583"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</row>
    <row r="584"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</row>
    <row r="585"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</row>
    <row r="586"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</row>
    <row r="587"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</row>
    <row r="588"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</row>
    <row r="589"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</row>
    <row r="590"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</row>
    <row r="591"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</row>
    <row r="592"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</row>
    <row r="593"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</row>
    <row r="594"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</row>
    <row r="595"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</row>
    <row r="596"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</row>
    <row r="597"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</row>
    <row r="598"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</row>
    <row r="599"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</row>
    <row r="600"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</row>
    <row r="601"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</row>
    <row r="602"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</row>
    <row r="603"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</row>
    <row r="604"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</row>
    <row r="605"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</row>
    <row r="606"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</row>
    <row r="607"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</row>
    <row r="608"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</row>
    <row r="609"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</row>
    <row r="610"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</row>
    <row r="611"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</row>
    <row r="612"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</row>
    <row r="613"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</row>
    <row r="614"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</row>
    <row r="615"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</row>
    <row r="616"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</row>
    <row r="617"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</row>
    <row r="618"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</row>
    <row r="619"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</row>
    <row r="620"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</row>
    <row r="621"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</row>
    <row r="622"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</row>
    <row r="623"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</row>
    <row r="624"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</row>
    <row r="625"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</row>
    <row r="626"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</row>
    <row r="627"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</row>
    <row r="628"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</row>
    <row r="629"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</row>
    <row r="630"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</row>
    <row r="631"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</row>
    <row r="632"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</row>
    <row r="633"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</row>
    <row r="634"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</row>
    <row r="635"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</row>
    <row r="636"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</row>
    <row r="637"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</row>
    <row r="638"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</row>
    <row r="639"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</row>
    <row r="640"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</row>
    <row r="641"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</row>
    <row r="642"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</row>
    <row r="643"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</row>
    <row r="644"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</row>
    <row r="645"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</row>
    <row r="646"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</row>
    <row r="647"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</row>
    <row r="648"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</row>
    <row r="649"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</row>
    <row r="650"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</row>
    <row r="651"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</row>
    <row r="652"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</row>
    <row r="653"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</row>
    <row r="654"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</row>
    <row r="655"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</row>
    <row r="656"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</row>
    <row r="657"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</row>
    <row r="658"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</row>
    <row r="659"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</row>
    <row r="660"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</row>
    <row r="661"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</row>
    <row r="662"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</row>
    <row r="663"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</row>
    <row r="664"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</row>
    <row r="665"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</row>
    <row r="666"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</row>
    <row r="667"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</row>
    <row r="668"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</row>
    <row r="669"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</row>
    <row r="670"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</row>
    <row r="671"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</row>
    <row r="672"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</row>
    <row r="673"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</row>
    <row r="674"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</row>
    <row r="675"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</row>
    <row r="676"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</row>
    <row r="677"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</row>
    <row r="678"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</row>
    <row r="679"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</row>
    <row r="680"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</row>
    <row r="681"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</row>
    <row r="682"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</row>
    <row r="683"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</row>
    <row r="684"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</row>
    <row r="685"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</row>
    <row r="686"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</row>
    <row r="687"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</row>
    <row r="688"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</row>
    <row r="689"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</row>
    <row r="690"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</row>
    <row r="691"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</row>
    <row r="692"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</row>
    <row r="693"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</row>
    <row r="694"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</row>
    <row r="695"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</row>
    <row r="696"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</row>
    <row r="697"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</row>
    <row r="698"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</row>
    <row r="699"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</row>
    <row r="700"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</row>
    <row r="701"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</row>
    <row r="702"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</row>
    <row r="703"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</row>
    <row r="704"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</row>
    <row r="705"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</row>
    <row r="706"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</row>
    <row r="707"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</row>
    <row r="708"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</row>
    <row r="709"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</row>
    <row r="710"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</row>
    <row r="711"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</row>
    <row r="712"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</row>
    <row r="713"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</row>
    <row r="714"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</row>
    <row r="715"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</row>
    <row r="716"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</row>
    <row r="717"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</row>
    <row r="718"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</row>
    <row r="719"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</row>
    <row r="720"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</row>
    <row r="721"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</row>
    <row r="722"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</row>
    <row r="723"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</row>
    <row r="724"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</row>
    <row r="725"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</row>
    <row r="726"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</row>
    <row r="727"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</row>
    <row r="728"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</row>
    <row r="729"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</row>
    <row r="730"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</row>
    <row r="731"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</row>
    <row r="732"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</row>
    <row r="733"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</row>
    <row r="734"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</row>
    <row r="735"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</row>
    <row r="736"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</row>
    <row r="737"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</row>
    <row r="738"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</row>
    <row r="739"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</row>
    <row r="740"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</row>
    <row r="741"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</row>
    <row r="742"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</row>
    <row r="743"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</row>
    <row r="744"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</row>
    <row r="745"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</row>
    <row r="746"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</row>
    <row r="747"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</row>
    <row r="748"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</row>
    <row r="749"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</row>
    <row r="750"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</row>
    <row r="751"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</row>
    <row r="752"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</row>
    <row r="753"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</row>
    <row r="754"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</row>
    <row r="755"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</row>
    <row r="756"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</row>
    <row r="757"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</row>
    <row r="758"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</row>
    <row r="759"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</row>
    <row r="760"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</row>
    <row r="761"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</row>
    <row r="762"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</row>
    <row r="763"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</row>
    <row r="764"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</row>
    <row r="765"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</row>
    <row r="766"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</row>
    <row r="767"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</row>
    <row r="768"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</row>
    <row r="769"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</row>
    <row r="770"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</row>
    <row r="771"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</row>
    <row r="772"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</row>
    <row r="773"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</row>
    <row r="774"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</row>
    <row r="775"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</row>
    <row r="776"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</row>
    <row r="777"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</row>
    <row r="778"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</row>
    <row r="779"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</row>
    <row r="780"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</row>
    <row r="781"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</row>
    <row r="782"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</row>
    <row r="783"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</row>
    <row r="784"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</row>
    <row r="785"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</row>
    <row r="786"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</row>
    <row r="787"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</row>
    <row r="788"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</row>
    <row r="789"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</row>
    <row r="790"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</row>
    <row r="791"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</row>
    <row r="792"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</row>
    <row r="793"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</row>
    <row r="794"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</row>
    <row r="795"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</row>
    <row r="796"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</row>
    <row r="797"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</row>
    <row r="798"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</row>
    <row r="799"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</row>
    <row r="800"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</row>
    <row r="801"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</row>
    <row r="802"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</row>
    <row r="803"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</row>
    <row r="804"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</row>
    <row r="805"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</row>
    <row r="806"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</row>
    <row r="807"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</row>
    <row r="808"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</row>
    <row r="809"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</row>
    <row r="810"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</row>
    <row r="811"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</row>
    <row r="812"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</row>
    <row r="813"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</row>
    <row r="814"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</row>
    <row r="815"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</row>
    <row r="816"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</row>
    <row r="817"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</row>
    <row r="818"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</row>
    <row r="819"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</row>
    <row r="820"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</row>
    <row r="821"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</row>
    <row r="822"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</row>
    <row r="823"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</row>
    <row r="824"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</row>
    <row r="825"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</row>
    <row r="826"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</row>
    <row r="827"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</row>
    <row r="828"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</row>
    <row r="829"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</row>
    <row r="830"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</row>
    <row r="831"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</row>
    <row r="832"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</row>
    <row r="833"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</row>
    <row r="834"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</row>
    <row r="835"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</row>
    <row r="836"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</row>
    <row r="837"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</row>
    <row r="838"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</row>
    <row r="839"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</row>
    <row r="840"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</row>
    <row r="841"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</row>
    <row r="842"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</row>
    <row r="843"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</row>
    <row r="844"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</row>
    <row r="845"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</row>
    <row r="846"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</row>
    <row r="847"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</row>
    <row r="848"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</row>
    <row r="849"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</row>
    <row r="850"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</row>
    <row r="851"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</row>
    <row r="852"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</row>
    <row r="853"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</row>
    <row r="854"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</row>
    <row r="855"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</row>
    <row r="856"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</row>
    <row r="857"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</row>
    <row r="858"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</row>
    <row r="859"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</row>
    <row r="860"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</row>
    <row r="861"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</row>
    <row r="862"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</row>
    <row r="863"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</row>
    <row r="864"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</row>
    <row r="865"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</row>
    <row r="866"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</row>
    <row r="867"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</row>
    <row r="868"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</row>
    <row r="869"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</row>
    <row r="870"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</row>
    <row r="871"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</row>
    <row r="872"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</row>
    <row r="873"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</row>
    <row r="874"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</row>
    <row r="875"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</row>
    <row r="876"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</row>
    <row r="877"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</row>
    <row r="878"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</row>
    <row r="879"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</row>
    <row r="880"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</row>
    <row r="881"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</row>
    <row r="882"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</row>
    <row r="883"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</row>
    <row r="884"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</row>
    <row r="885"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</row>
    <row r="886"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</row>
    <row r="887"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</row>
    <row r="888"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</row>
    <row r="889"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</row>
    <row r="890"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</row>
    <row r="891"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</row>
    <row r="892"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</row>
    <row r="893"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</row>
    <row r="894"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</row>
    <row r="895"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</row>
    <row r="896"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</row>
    <row r="897"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</row>
    <row r="898"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</row>
    <row r="899"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</row>
    <row r="900"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</row>
    <row r="901"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</row>
    <row r="902"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</row>
    <row r="903"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</row>
    <row r="904"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</row>
    <row r="905"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</row>
    <row r="906"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</row>
    <row r="907"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</row>
    <row r="908"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</row>
    <row r="909"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</row>
    <row r="910"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</row>
    <row r="911"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</row>
    <row r="912"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</row>
    <row r="913"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</row>
    <row r="914"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</row>
    <row r="915"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</row>
    <row r="916"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</row>
    <row r="917"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</row>
    <row r="918"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</row>
    <row r="919"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</row>
    <row r="920"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</row>
    <row r="921"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</row>
    <row r="922"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</row>
    <row r="923"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</row>
    <row r="924"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</row>
    <row r="925"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</row>
    <row r="926"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</row>
    <row r="927"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</row>
    <row r="928"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</row>
    <row r="929"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</row>
    <row r="930"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</row>
    <row r="931"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</row>
    <row r="932"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</row>
    <row r="933"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</row>
    <row r="934"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</row>
    <row r="935"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</row>
    <row r="936"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</row>
    <row r="937"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</row>
    <row r="938"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</row>
    <row r="939"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</row>
    <row r="940"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</row>
    <row r="941"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</row>
    <row r="942"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</row>
    <row r="943"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</row>
    <row r="944"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</row>
    <row r="945"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</row>
    <row r="946"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</row>
    <row r="947"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</row>
    <row r="948"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</row>
    <row r="949"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</row>
    <row r="950"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</row>
    <row r="951"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</row>
    <row r="952"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</row>
    <row r="953"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</row>
    <row r="954"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</row>
    <row r="955"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</row>
    <row r="956"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</row>
    <row r="957"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</row>
    <row r="958"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</row>
    <row r="959"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</row>
    <row r="960"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</row>
    <row r="961"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</row>
    <row r="962"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</row>
    <row r="963"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</row>
    <row r="964"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</row>
    <row r="965"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</row>
    <row r="966"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</row>
    <row r="967"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</row>
    <row r="968"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</row>
    <row r="969"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</row>
    <row r="970"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</row>
    <row r="971"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</row>
    <row r="972"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</row>
    <row r="973"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</row>
    <row r="974"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</row>
    <row r="975"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</row>
    <row r="976"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</row>
    <row r="977"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</row>
    <row r="978"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</row>
    <row r="979"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</row>
    <row r="980"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</row>
    <row r="981"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</row>
    <row r="982"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</row>
    <row r="983"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</row>
    <row r="984"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</row>
    <row r="985"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</row>
    <row r="986"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</row>
    <row r="987"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</row>
    <row r="988"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</row>
    <row r="989"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</row>
    <row r="990"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</row>
    <row r="991"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</row>
    <row r="992"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</row>
    <row r="993"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</row>
    <row r="994"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</row>
    <row r="995"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</row>
    <row r="996">
      <c r="H996" s="48"/>
      <c r="I996" s="48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</row>
    <row r="997">
      <c r="H997" s="48"/>
      <c r="I997" s="48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</row>
    <row r="998">
      <c r="H998" s="48"/>
      <c r="I998" s="48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</row>
    <row r="999">
      <c r="H999" s="48"/>
      <c r="I999" s="48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</row>
    <row r="1000">
      <c r="H1000" s="48"/>
      <c r="I1000" s="48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7" t="str">
        <f>IFERROR(__xludf.DUMMYFUNCTION("importrange(""https://docs.google.com/spreadsheets/d/1DPCArsJyeulljLaj2gGRk4VnNbhVDi9ZTkZYzxQoxaA/edit?gid=197868590#gid=197868590"",""Página1!A1:D93"")"),"Índice")</f>
        <v>Índice</v>
      </c>
      <c r="B1" s="47" t="str">
        <f>IFERROR(__xludf.DUMMYFUNCTION("""COMPUTED_VALUE"""),"Produto")</f>
        <v>Produto</v>
      </c>
      <c r="C1" s="47" t="str">
        <f>IFERROR(__xludf.DUMMYFUNCTION("""COMPUTED_VALUE"""),"Setor")</f>
        <v>Setor</v>
      </c>
      <c r="D1" s="51" t="str">
        <f>IFERROR(__xludf.DUMMYFUNCTION("""COMPUTED_VALUE"""),"Preço")</f>
        <v>Preço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49">
        <f>IFERROR(__xludf.DUMMYFUNCTION("""COMPUTED_VALUE"""),57.0)</f>
        <v>57</v>
      </c>
      <c r="B2" s="49" t="str">
        <f>IFERROR(__xludf.DUMMYFUNCTION("""COMPUTED_VALUE"""),"Água")</f>
        <v>Água</v>
      </c>
      <c r="C2" s="49" t="str">
        <f>IFERROR(__xludf.DUMMYFUNCTION("""COMPUTED_VALUE"""),"Bebidas")</f>
        <v>Bebidas</v>
      </c>
      <c r="D2" s="52">
        <f>IFERROR(__xludf.DUMMYFUNCTION("""COMPUTED_VALUE"""),3.8)</f>
        <v>3.8</v>
      </c>
      <c r="E2" s="48"/>
      <c r="F2" s="48"/>
      <c r="G2" s="53" t="s">
        <v>14</v>
      </c>
      <c r="H2" s="54" t="s">
        <v>15</v>
      </c>
      <c r="I2" s="54" t="s">
        <v>16</v>
      </c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55">
        <f>IFERROR(__xludf.DUMMYFUNCTION("""COMPUTED_VALUE"""),58.0)</f>
        <v>58</v>
      </c>
      <c r="B3" s="55" t="str">
        <f>IFERROR(__xludf.DUMMYFUNCTION("""COMPUTED_VALUE"""),"Arroz")</f>
        <v>Arroz</v>
      </c>
      <c r="C3" s="55" t="str">
        <f>IFERROR(__xludf.DUMMYFUNCTION("""COMPUTED_VALUE"""),"Grãos")</f>
        <v>Grãos</v>
      </c>
      <c r="D3" s="56">
        <f>IFERROR(__xludf.DUMMYFUNCTION("""COMPUTED_VALUE"""),20.19)</f>
        <v>20.19</v>
      </c>
      <c r="E3" s="48"/>
      <c r="F3" s="57" t="s">
        <v>17</v>
      </c>
      <c r="G3" s="58">
        <v>20.19</v>
      </c>
      <c r="H3" s="59">
        <v>15.3</v>
      </c>
      <c r="I3" s="60">
        <v>18.21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49">
        <f>IFERROR(__xludf.DUMMYFUNCTION("""COMPUTED_VALUE"""),59.0)</f>
        <v>59</v>
      </c>
      <c r="B4" s="49" t="str">
        <f>IFERROR(__xludf.DUMMYFUNCTION("""COMPUTED_VALUE"""),"Azeite")</f>
        <v>Azeite</v>
      </c>
      <c r="C4" s="49" t="str">
        <f>IFERROR(__xludf.DUMMYFUNCTION("""COMPUTED_VALUE"""),"Grãos")</f>
        <v>Grãos</v>
      </c>
      <c r="D4" s="52">
        <f>IFERROR(__xludf.DUMMYFUNCTION("""COMPUTED_VALUE"""),25.7)</f>
        <v>25.7</v>
      </c>
      <c r="E4" s="48"/>
      <c r="F4" s="49" t="s">
        <v>18</v>
      </c>
      <c r="G4" s="61">
        <v>25.7</v>
      </c>
      <c r="H4" s="59">
        <v>17.8</v>
      </c>
      <c r="I4" s="60">
        <v>19.0</v>
      </c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55">
        <f>IFERROR(__xludf.DUMMYFUNCTION("""COMPUTED_VALUE"""),60.0)</f>
        <v>60</v>
      </c>
      <c r="B5" s="55" t="str">
        <f>IFERROR(__xludf.DUMMYFUNCTION("""COMPUTED_VALUE"""),"Bolachas E Biscoitos")</f>
        <v>Bolachas E Biscoitos</v>
      </c>
      <c r="C5" s="55" t="str">
        <f>IFERROR(__xludf.DUMMYFUNCTION("""COMPUTED_VALUE"""),"Alimento")</f>
        <v>Alimento</v>
      </c>
      <c r="D5" s="56">
        <f>IFERROR(__xludf.DUMMYFUNCTION("""COMPUTED_VALUE"""),2.1)</f>
        <v>2.1</v>
      </c>
      <c r="E5" s="48"/>
      <c r="F5" s="49" t="s">
        <v>19</v>
      </c>
      <c r="G5" s="61">
        <v>2.15</v>
      </c>
      <c r="H5" s="62">
        <v>5.65</v>
      </c>
      <c r="I5" s="60">
        <v>7.0</v>
      </c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49">
        <f>IFERROR(__xludf.DUMMYFUNCTION("""COMPUTED_VALUE"""),61.0)</f>
        <v>61</v>
      </c>
      <c r="B6" s="49" t="str">
        <f>IFERROR(__xludf.DUMMYFUNCTION("""COMPUTED_VALUE"""),"Café")</f>
        <v>Café</v>
      </c>
      <c r="C6" s="49" t="str">
        <f>IFERROR(__xludf.DUMMYFUNCTION("""COMPUTED_VALUE"""),"Bebidas")</f>
        <v>Bebidas</v>
      </c>
      <c r="D6" s="52">
        <f>IFERROR(__xludf.DUMMYFUNCTION("""COMPUTED_VALUE"""),11.29)</f>
        <v>11.29</v>
      </c>
      <c r="E6" s="48"/>
      <c r="F6" s="55" t="s">
        <v>20</v>
      </c>
      <c r="G6" s="63">
        <v>2.61</v>
      </c>
      <c r="H6" s="62">
        <v>6.13</v>
      </c>
      <c r="I6" s="60">
        <v>7.0</v>
      </c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55">
        <f>IFERROR(__xludf.DUMMYFUNCTION("""COMPUTED_VALUE"""),62.0)</f>
        <v>62</v>
      </c>
      <c r="B7" s="55" t="str">
        <f>IFERROR(__xludf.DUMMYFUNCTION("""COMPUTED_VALUE"""),"Chá")</f>
        <v>Chá</v>
      </c>
      <c r="C7" s="55" t="str">
        <f>IFERROR(__xludf.DUMMYFUNCTION("""COMPUTED_VALUE"""),"Bebidas")</f>
        <v>Bebidas</v>
      </c>
      <c r="D7" s="56">
        <f>IFERROR(__xludf.DUMMYFUNCTION("""COMPUTED_VALUE"""),4.05)</f>
        <v>4.05</v>
      </c>
      <c r="E7" s="48"/>
      <c r="F7" s="55" t="s">
        <v>21</v>
      </c>
      <c r="G7" s="58">
        <v>7.49</v>
      </c>
      <c r="H7" s="62">
        <v>4.32</v>
      </c>
      <c r="I7" s="60">
        <v>5.0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49">
        <f>IFERROR(__xludf.DUMMYFUNCTION("""COMPUTED_VALUE"""),63.0)</f>
        <v>63</v>
      </c>
      <c r="B8" s="49" t="str">
        <f>IFERROR(__xludf.DUMMYFUNCTION("""COMPUTED_VALUE"""),"Milho")</f>
        <v>Milho</v>
      </c>
      <c r="C8" s="49" t="str">
        <f>IFERROR(__xludf.DUMMYFUNCTION("""COMPUTED_VALUE"""),"Grãos")</f>
        <v>Grãos</v>
      </c>
      <c r="D8" s="52">
        <f>IFERROR(__xludf.DUMMYFUNCTION("""COMPUTED_VALUE"""),2.15)</f>
        <v>2.15</v>
      </c>
      <c r="E8" s="48"/>
      <c r="F8" s="48"/>
      <c r="G8" s="64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55">
        <f>IFERROR(__xludf.DUMMYFUNCTION("""COMPUTED_VALUE"""),64.0)</f>
        <v>64</v>
      </c>
      <c r="B9" s="55" t="str">
        <f>IFERROR(__xludf.DUMMYFUNCTION("""COMPUTED_VALUE"""),"Ervilha")</f>
        <v>Ervilha</v>
      </c>
      <c r="C9" s="55" t="str">
        <f>IFERROR(__xludf.DUMMYFUNCTION("""COMPUTED_VALUE"""),"Grãos")</f>
        <v>Grãos</v>
      </c>
      <c r="D9" s="56">
        <f>IFERROR(__xludf.DUMMYFUNCTION("""COMPUTED_VALUE"""),2.61)</f>
        <v>2.61</v>
      </c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49">
        <f>IFERROR(__xludf.DUMMYFUNCTION("""COMPUTED_VALUE"""),65.0)</f>
        <v>65</v>
      </c>
      <c r="B10" s="49" t="str">
        <f>IFERROR(__xludf.DUMMYFUNCTION("""COMPUTED_VALUE"""),"Extrato De Tomate")</f>
        <v>Extrato De Tomate</v>
      </c>
      <c r="C10" s="49" t="str">
        <f>IFERROR(__xludf.DUMMYFUNCTION("""COMPUTED_VALUE"""),"Molho")</f>
        <v>Molho</v>
      </c>
      <c r="D10" s="52">
        <f>IFERROR(__xludf.DUMMYFUNCTION("""COMPUTED_VALUE"""),3.79)</f>
        <v>3.79</v>
      </c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55">
        <f>IFERROR(__xludf.DUMMYFUNCTION("""COMPUTED_VALUE"""),66.0)</f>
        <v>66</v>
      </c>
      <c r="B11" s="55" t="str">
        <f>IFERROR(__xludf.DUMMYFUNCTION("""COMPUTED_VALUE"""),"Farinha")</f>
        <v>Farinha</v>
      </c>
      <c r="C11" s="55" t="str">
        <f>IFERROR(__xludf.DUMMYFUNCTION("""COMPUTED_VALUE"""),"Farinhas")</f>
        <v>Farinhas</v>
      </c>
      <c r="D11" s="56">
        <f>IFERROR(__xludf.DUMMYFUNCTION("""COMPUTED_VALUE"""),3.29)</f>
        <v>3.29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49">
        <f>IFERROR(__xludf.DUMMYFUNCTION("""COMPUTED_VALUE"""),67.0)</f>
        <v>67</v>
      </c>
      <c r="B12" s="49" t="str">
        <f>IFERROR(__xludf.DUMMYFUNCTION("""COMPUTED_VALUE"""),"Farofa")</f>
        <v>Farofa</v>
      </c>
      <c r="C12" s="49" t="str">
        <f>IFERROR(__xludf.DUMMYFUNCTION("""COMPUTED_VALUE"""),"Farinhas")</f>
        <v>Farinhas</v>
      </c>
      <c r="D12" s="52">
        <f>IFERROR(__xludf.DUMMYFUNCTION("""COMPUTED_VALUE"""),8.82)</f>
        <v>8.82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55">
        <f>IFERROR(__xludf.DUMMYFUNCTION("""COMPUTED_VALUE"""),68.0)</f>
        <v>68</v>
      </c>
      <c r="B13" s="55" t="str">
        <f>IFERROR(__xludf.DUMMYFUNCTION("""COMPUTED_VALUE"""),"Feijão")</f>
        <v>Feijão</v>
      </c>
      <c r="C13" s="55" t="str">
        <f>IFERROR(__xludf.DUMMYFUNCTION("""COMPUTED_VALUE"""),"Grãos")</f>
        <v>Grãos</v>
      </c>
      <c r="D13" s="56">
        <f>IFERROR(__xludf.DUMMYFUNCTION("""COMPUTED_VALUE"""),7.49)</f>
        <v>7.49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49">
        <f>IFERROR(__xludf.DUMMYFUNCTION("""COMPUTED_VALUE"""),69.0)</f>
        <v>69</v>
      </c>
      <c r="B14" s="49" t="str">
        <f>IFERROR(__xludf.DUMMYFUNCTION("""COMPUTED_VALUE"""),"Leite")</f>
        <v>Leite</v>
      </c>
      <c r="C14" s="49" t="str">
        <f>IFERROR(__xludf.DUMMYFUNCTION("""COMPUTED_VALUE"""),"Bebidas")</f>
        <v>Bebidas</v>
      </c>
      <c r="D14" s="52">
        <f>IFERROR(__xludf.DUMMYFUNCTION("""COMPUTED_VALUE"""),3.07)</f>
        <v>3.07</v>
      </c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55">
        <f>IFERROR(__xludf.DUMMYFUNCTION("""COMPUTED_VALUE"""),70.0)</f>
        <v>70</v>
      </c>
      <c r="B15" s="55" t="str">
        <f>IFERROR(__xludf.DUMMYFUNCTION("""COMPUTED_VALUE"""),"Macarrão")</f>
        <v>Macarrão</v>
      </c>
      <c r="C15" s="55" t="str">
        <f>IFERROR(__xludf.DUMMYFUNCTION("""COMPUTED_VALUE"""),"Macarrão")</f>
        <v>Macarrão</v>
      </c>
      <c r="D15" s="56">
        <f>IFERROR(__xludf.DUMMYFUNCTION("""COMPUTED_VALUE"""),4.67)</f>
        <v>4.67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49">
        <f>IFERROR(__xludf.DUMMYFUNCTION("""COMPUTED_VALUE"""),71.0)</f>
        <v>71</v>
      </c>
      <c r="B16" s="49" t="str">
        <f>IFERROR(__xludf.DUMMYFUNCTION("""COMPUTED_VALUE"""),"Maionese")</f>
        <v>Maionese</v>
      </c>
      <c r="C16" s="49" t="str">
        <f>IFERROR(__xludf.DUMMYFUNCTION("""COMPUTED_VALUE"""),"Molhos")</f>
        <v>Molhos</v>
      </c>
      <c r="D16" s="52">
        <f>IFERROR(__xludf.DUMMYFUNCTION("""COMPUTED_VALUE"""),7.19)</f>
        <v>7.19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55">
        <f>IFERROR(__xludf.DUMMYFUNCTION("""COMPUTED_VALUE"""),72.0)</f>
        <v>72</v>
      </c>
      <c r="B17" s="55" t="str">
        <f>IFERROR(__xludf.DUMMYFUNCTION("""COMPUTED_VALUE"""),"Óleo")</f>
        <v>Óleo</v>
      </c>
      <c r="C17" s="55" t="str">
        <f>IFERROR(__xludf.DUMMYFUNCTION("""COMPUTED_VALUE"""),"Óleos")</f>
        <v>Óleos</v>
      </c>
      <c r="D17" s="56">
        <f>IFERROR(__xludf.DUMMYFUNCTION("""COMPUTED_VALUE"""),7.59)</f>
        <v>7.59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49">
        <f>IFERROR(__xludf.DUMMYFUNCTION("""COMPUTED_VALUE"""),73.0)</f>
        <v>73</v>
      </c>
      <c r="B18" s="49" t="str">
        <f>IFERROR(__xludf.DUMMYFUNCTION("""COMPUTED_VALUE"""),"Tempero Pronto")</f>
        <v>Tempero Pronto</v>
      </c>
      <c r="C18" s="49" t="str">
        <f>IFERROR(__xludf.DUMMYFUNCTION("""COMPUTED_VALUE"""),"Tempero")</f>
        <v>Tempero</v>
      </c>
      <c r="D18" s="52">
        <f>IFERROR(__xludf.DUMMYFUNCTION("""COMPUTED_VALUE"""),9.59)</f>
        <v>9.59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55">
        <f>IFERROR(__xludf.DUMMYFUNCTION("""COMPUTED_VALUE"""),74.0)</f>
        <v>74</v>
      </c>
      <c r="B19" s="55" t="str">
        <f>IFERROR(__xludf.DUMMYFUNCTION("""COMPUTED_VALUE"""),"Batata Palito")</f>
        <v>Batata Palito</v>
      </c>
      <c r="C19" s="55" t="str">
        <f>IFERROR(__xludf.DUMMYFUNCTION("""COMPUTED_VALUE"""),"Alimentos congelados")</f>
        <v>Alimentos congelados</v>
      </c>
      <c r="D19" s="56">
        <f>IFERROR(__xludf.DUMMYFUNCTION("""COMPUTED_VALUE"""),21.9)</f>
        <v>21.9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49">
        <f>IFERROR(__xludf.DUMMYFUNCTION("""COMPUTED_VALUE"""),75.0)</f>
        <v>75</v>
      </c>
      <c r="B20" s="49" t="str">
        <f>IFERROR(__xludf.DUMMYFUNCTION("""COMPUTED_VALUE"""),"Frango")</f>
        <v>Frango</v>
      </c>
      <c r="C20" s="49" t="str">
        <f>IFERROR(__xludf.DUMMYFUNCTION("""COMPUTED_VALUE"""),"Alimentos congelados")</f>
        <v>Alimentos congelados</v>
      </c>
      <c r="D20" s="52">
        <f>IFERROR(__xludf.DUMMYFUNCTION("""COMPUTED_VALUE"""),12.59)</f>
        <v>12.59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>
      <c r="A21" s="55">
        <f>IFERROR(__xludf.DUMMYFUNCTION("""COMPUTED_VALUE"""),76.0)</f>
        <v>76</v>
      </c>
      <c r="B21" s="55" t="str">
        <f>IFERROR(__xludf.DUMMYFUNCTION("""COMPUTED_VALUE"""),"Hambúrguer")</f>
        <v>Hambúrguer</v>
      </c>
      <c r="C21" s="55" t="str">
        <f>IFERROR(__xludf.DUMMYFUNCTION("""COMPUTED_VALUE"""),"Alimentos congelados")</f>
        <v>Alimentos congelados</v>
      </c>
      <c r="D21" s="56">
        <f>IFERROR(__xludf.DUMMYFUNCTION("""COMPUTED_VALUE"""),18.57)</f>
        <v>18.57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ht="16.5" customHeight="1">
      <c r="A22" s="49">
        <f>IFERROR(__xludf.DUMMYFUNCTION("""COMPUTED_VALUE"""),77.0)</f>
        <v>77</v>
      </c>
      <c r="B22" s="49" t="str">
        <f>IFERROR(__xludf.DUMMYFUNCTION("""COMPUTED_VALUE"""),"Lasanha")</f>
        <v>Lasanha</v>
      </c>
      <c r="C22" s="49" t="str">
        <f>IFERROR(__xludf.DUMMYFUNCTION("""COMPUTED_VALUE"""),"Alimentos congelados")</f>
        <v>Alimentos congelados</v>
      </c>
      <c r="D22" s="52">
        <f>IFERROR(__xludf.DUMMYFUNCTION("""COMPUTED_VALUE"""),12.98)</f>
        <v>12.98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55">
        <f>IFERROR(__xludf.DUMMYFUNCTION("""COMPUTED_VALUE"""),78.0)</f>
        <v>78</v>
      </c>
      <c r="B23" s="55" t="str">
        <f>IFERROR(__xludf.DUMMYFUNCTION("""COMPUTED_VALUE"""),"Linguiça")</f>
        <v>Linguiça</v>
      </c>
      <c r="C23" s="55" t="str">
        <f>IFERROR(__xludf.DUMMYFUNCTION("""COMPUTED_VALUE"""),"Alimentos congelados")</f>
        <v>Alimentos congelados</v>
      </c>
      <c r="D23" s="56">
        <f>IFERROR(__xludf.DUMMYFUNCTION("""COMPUTED_VALUE"""),17.99)</f>
        <v>17.99</v>
      </c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49">
        <f>IFERROR(__xludf.DUMMYFUNCTION("""COMPUTED_VALUE"""),79.0)</f>
        <v>79</v>
      </c>
      <c r="B24" s="49" t="str">
        <f>IFERROR(__xludf.DUMMYFUNCTION("""COMPUTED_VALUE"""),"Pão De Queijo")</f>
        <v>Pão De Queijo</v>
      </c>
      <c r="C24" s="49" t="str">
        <f>IFERROR(__xludf.DUMMYFUNCTION("""COMPUTED_VALUE"""),"Alimentos congelados")</f>
        <v>Alimentos congelados</v>
      </c>
      <c r="D24" s="52">
        <f>IFERROR(__xludf.DUMMYFUNCTION("""COMPUTED_VALUE"""),27.98)</f>
        <v>27.98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55">
        <f>IFERROR(__xludf.DUMMYFUNCTION("""COMPUTED_VALUE"""),80.0)</f>
        <v>80</v>
      </c>
      <c r="B25" s="55" t="str">
        <f>IFERROR(__xludf.DUMMYFUNCTION("""COMPUTED_VALUE"""),"Petiscos")</f>
        <v>Petiscos</v>
      </c>
      <c r="C25" s="55" t="str">
        <f>IFERROR(__xludf.DUMMYFUNCTION("""COMPUTED_VALUE"""),"Alimentos congelados")</f>
        <v>Alimentos congelados</v>
      </c>
      <c r="D25" s="56">
        <f>IFERROR(__xludf.DUMMYFUNCTION("""COMPUTED_VALUE"""),14.5)</f>
        <v>14.5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49">
        <f>IFERROR(__xludf.DUMMYFUNCTION("""COMPUTED_VALUE"""),81.0)</f>
        <v>81</v>
      </c>
      <c r="B26" s="49" t="str">
        <f>IFERROR(__xludf.DUMMYFUNCTION("""COMPUTED_VALUE"""),"Pizza")</f>
        <v>Pizza</v>
      </c>
      <c r="C26" s="49" t="str">
        <f>IFERROR(__xludf.DUMMYFUNCTION("""COMPUTED_VALUE"""),"Alimentos congelados")</f>
        <v>Alimentos congelados</v>
      </c>
      <c r="D26" s="52">
        <f>IFERROR(__xludf.DUMMYFUNCTION("""COMPUTED_VALUE"""),18.87)</f>
        <v>18.87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55">
        <f>IFERROR(__xludf.DUMMYFUNCTION("""COMPUTED_VALUE"""),82.0)</f>
        <v>82</v>
      </c>
      <c r="B27" s="55" t="str">
        <f>IFERROR(__xludf.DUMMYFUNCTION("""COMPUTED_VALUE"""),"Pratos Prontos")</f>
        <v>Pratos Prontos</v>
      </c>
      <c r="C27" s="55" t="str">
        <f>IFERROR(__xludf.DUMMYFUNCTION("""COMPUTED_VALUE"""),"Alimentos congelados")</f>
        <v>Alimentos congelados</v>
      </c>
      <c r="D27" s="56">
        <f>IFERROR(__xludf.DUMMYFUNCTION("""COMPUTED_VALUE"""),22.55)</f>
        <v>22.55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49">
        <f>IFERROR(__xludf.DUMMYFUNCTION("""COMPUTED_VALUE"""),83.0)</f>
        <v>83</v>
      </c>
      <c r="B28" s="49" t="str">
        <f>IFERROR(__xludf.DUMMYFUNCTION("""COMPUTED_VALUE"""),"Banana")</f>
        <v>Banana</v>
      </c>
      <c r="C28" s="49" t="str">
        <f>IFERROR(__xludf.DUMMYFUNCTION("""COMPUTED_VALUE"""),"Frutas")</f>
        <v>Frutas</v>
      </c>
      <c r="D28" s="52">
        <f>IFERROR(__xludf.DUMMYFUNCTION("""COMPUTED_VALUE"""),4.99)</f>
        <v>4.99</v>
      </c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55">
        <f>IFERROR(__xludf.DUMMYFUNCTION("""COMPUTED_VALUE"""),84.0)</f>
        <v>84</v>
      </c>
      <c r="B29" s="55" t="str">
        <f>IFERROR(__xludf.DUMMYFUNCTION("""COMPUTED_VALUE"""),"Salsicha Vegana")</f>
        <v>Salsicha Vegana</v>
      </c>
      <c r="C29" s="55" t="str">
        <f>IFERROR(__xludf.DUMMYFUNCTION("""COMPUTED_VALUE"""),"Alimentos congelados")</f>
        <v>Alimentos congelados</v>
      </c>
      <c r="D29" s="56">
        <f>IFERROR(__xludf.DUMMYFUNCTION("""COMPUTED_VALUE"""),25.9)</f>
        <v>25.9</v>
      </c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>
      <c r="A30" s="49">
        <f>IFERROR(__xludf.DUMMYFUNCTION("""COMPUTED_VALUE"""),85.0)</f>
        <v>85</v>
      </c>
      <c r="B30" s="49" t="str">
        <f>IFERROR(__xludf.DUMMYFUNCTION("""COMPUTED_VALUE"""),"Vegetais congelados")</f>
        <v>Vegetais congelados</v>
      </c>
      <c r="C30" s="49" t="str">
        <f>IFERROR(__xludf.DUMMYFUNCTION("""COMPUTED_VALUE"""),"Vegetais")</f>
        <v>Vegetais</v>
      </c>
      <c r="D30" s="52">
        <f>IFERROR(__xludf.DUMMYFUNCTION("""COMPUTED_VALUE"""),20.09)</f>
        <v>20.09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>
      <c r="A31" s="55">
        <f>IFERROR(__xludf.DUMMYFUNCTION("""COMPUTED_VALUE"""),86.0)</f>
        <v>86</v>
      </c>
      <c r="B31" s="55" t="str">
        <f>IFERROR(__xludf.DUMMYFUNCTION("""COMPUTED_VALUE"""),"Abacate")</f>
        <v>Abacate</v>
      </c>
      <c r="C31" s="55" t="str">
        <f>IFERROR(__xludf.DUMMYFUNCTION("""COMPUTED_VALUE"""),"Frutas")</f>
        <v>Frutas</v>
      </c>
      <c r="D31" s="56">
        <f>IFERROR(__xludf.DUMMYFUNCTION("""COMPUTED_VALUE"""),14.99)</f>
        <v>14.99</v>
      </c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>
      <c r="A32" s="49">
        <f>IFERROR(__xludf.DUMMYFUNCTION("""COMPUTED_VALUE"""),87.0)</f>
        <v>87</v>
      </c>
      <c r="B32" s="49" t="str">
        <f>IFERROR(__xludf.DUMMYFUNCTION("""COMPUTED_VALUE"""),"Melancia")</f>
        <v>Melancia</v>
      </c>
      <c r="C32" s="49" t="str">
        <f>IFERROR(__xludf.DUMMYFUNCTION("""COMPUTED_VALUE"""),"Frutas")</f>
        <v>Frutas</v>
      </c>
      <c r="D32" s="52">
        <f>IFERROR(__xludf.DUMMYFUNCTION("""COMPUTED_VALUE"""),16.91)</f>
        <v>16.91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>
      <c r="A33" s="55">
        <f>IFERROR(__xludf.DUMMYFUNCTION("""COMPUTED_VALUE"""),88.0)</f>
        <v>88</v>
      </c>
      <c r="B33" s="55" t="str">
        <f>IFERROR(__xludf.DUMMYFUNCTION("""COMPUTED_VALUE"""),"Abacaxi")</f>
        <v>Abacaxi</v>
      </c>
      <c r="C33" s="55" t="str">
        <f>IFERROR(__xludf.DUMMYFUNCTION("""COMPUTED_VALUE"""),"Frutas")</f>
        <v>Frutas</v>
      </c>
      <c r="D33" s="56">
        <f>IFERROR(__xludf.DUMMYFUNCTION("""COMPUTED_VALUE"""),7.99)</f>
        <v>7.99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>
      <c r="A34" s="49">
        <f>IFERROR(__xludf.DUMMYFUNCTION("""COMPUTED_VALUE"""),89.0)</f>
        <v>89</v>
      </c>
      <c r="B34" s="49" t="str">
        <f>IFERROR(__xludf.DUMMYFUNCTION("""COMPUTED_VALUE"""),"Mamão")</f>
        <v>Mamão</v>
      </c>
      <c r="C34" s="49" t="str">
        <f>IFERROR(__xludf.DUMMYFUNCTION("""COMPUTED_VALUE"""),"Frutas")</f>
        <v>Frutas</v>
      </c>
      <c r="D34" s="52">
        <f>IFERROR(__xludf.DUMMYFUNCTION("""COMPUTED_VALUE"""),6.49)</f>
        <v>6.49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>
      <c r="A35" s="55">
        <f>IFERROR(__xludf.DUMMYFUNCTION("""COMPUTED_VALUE"""),90.0)</f>
        <v>90</v>
      </c>
      <c r="B35" s="55" t="str">
        <f>IFERROR(__xludf.DUMMYFUNCTION("""COMPUTED_VALUE"""),"Manga")</f>
        <v>Manga</v>
      </c>
      <c r="C35" s="55" t="str">
        <f>IFERROR(__xludf.DUMMYFUNCTION("""COMPUTED_VALUE"""),"Frutas")</f>
        <v>Frutas</v>
      </c>
      <c r="D35" s="56">
        <f>IFERROR(__xludf.DUMMYFUNCTION("""COMPUTED_VALUE"""),2.0)</f>
        <v>2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>
      <c r="A36" s="49">
        <f>IFERROR(__xludf.DUMMYFUNCTION("""COMPUTED_VALUE"""),91.0)</f>
        <v>91</v>
      </c>
      <c r="B36" s="49" t="str">
        <f>IFERROR(__xludf.DUMMYFUNCTION("""COMPUTED_VALUE"""),"Maçã")</f>
        <v>Maçã</v>
      </c>
      <c r="C36" s="49" t="str">
        <f>IFERROR(__xludf.DUMMYFUNCTION("""COMPUTED_VALUE"""),"Frutas")</f>
        <v>Frutas</v>
      </c>
      <c r="D36" s="52">
        <f>IFERROR(__xludf.DUMMYFUNCTION("""COMPUTED_VALUE"""),6.99)</f>
        <v>6.99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>
      <c r="A37" s="55">
        <f>IFERROR(__xludf.DUMMYFUNCTION("""COMPUTED_VALUE"""),92.0)</f>
        <v>92</v>
      </c>
      <c r="B37" s="55" t="str">
        <f>IFERROR(__xludf.DUMMYFUNCTION("""COMPUTED_VALUE"""),"Batata")</f>
        <v>Batata</v>
      </c>
      <c r="C37" s="55" t="str">
        <f>IFERROR(__xludf.DUMMYFUNCTION("""COMPUTED_VALUE"""),"Frutas")</f>
        <v>Frutas</v>
      </c>
      <c r="D37" s="56">
        <f>IFERROR(__xludf.DUMMYFUNCTION("""COMPUTED_VALUE"""),5.99)</f>
        <v>5.99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>
      <c r="A38" s="49">
        <f>IFERROR(__xludf.DUMMYFUNCTION("""COMPUTED_VALUE"""),93.0)</f>
        <v>93</v>
      </c>
      <c r="B38" s="49" t="str">
        <f>IFERROR(__xludf.DUMMYFUNCTION("""COMPUTED_VALUE"""),"Cenoura")</f>
        <v>Cenoura</v>
      </c>
      <c r="C38" s="49" t="str">
        <f>IFERROR(__xludf.DUMMYFUNCTION("""COMPUTED_VALUE"""),"Vegetais")</f>
        <v>Vegetais</v>
      </c>
      <c r="D38" s="52">
        <f>IFERROR(__xludf.DUMMYFUNCTION("""COMPUTED_VALUE"""),1.49)</f>
        <v>1.49</v>
      </c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>
      <c r="A39" s="55">
        <f>IFERROR(__xludf.DUMMYFUNCTION("""COMPUTED_VALUE"""),94.0)</f>
        <v>94</v>
      </c>
      <c r="B39" s="55" t="str">
        <f>IFERROR(__xludf.DUMMYFUNCTION("""COMPUTED_VALUE"""),"Tomate")</f>
        <v>Tomate</v>
      </c>
      <c r="C39" s="55" t="str">
        <f>IFERROR(__xludf.DUMMYFUNCTION("""COMPUTED_VALUE"""),"Vegetais")</f>
        <v>Vegetais</v>
      </c>
      <c r="D39" s="56">
        <f>IFERROR(__xludf.DUMMYFUNCTION("""COMPUTED_VALUE"""),9.51)</f>
        <v>9.51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>
      <c r="A40" s="49">
        <f>IFERROR(__xludf.DUMMYFUNCTION("""COMPUTED_VALUE"""),95.0)</f>
        <v>95</v>
      </c>
      <c r="B40" s="49" t="str">
        <f>IFERROR(__xludf.DUMMYFUNCTION("""COMPUTED_VALUE"""),"Pimentão")</f>
        <v>Pimentão</v>
      </c>
      <c r="C40" s="49" t="str">
        <f>IFERROR(__xludf.DUMMYFUNCTION("""COMPUTED_VALUE"""),"Vegetais")</f>
        <v>Vegetais</v>
      </c>
      <c r="D40" s="52">
        <f>IFERROR(__xludf.DUMMYFUNCTION("""COMPUTED_VALUE"""),14.99)</f>
        <v>14.99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>
      <c r="A41" s="55">
        <f>IFERROR(__xludf.DUMMYFUNCTION("""COMPUTED_VALUE"""),96.0)</f>
        <v>96</v>
      </c>
      <c r="B41" s="55" t="str">
        <f>IFERROR(__xludf.DUMMYFUNCTION("""COMPUTED_VALUE"""),"Beterraba")</f>
        <v>Beterraba</v>
      </c>
      <c r="C41" s="55" t="str">
        <f>IFERROR(__xludf.DUMMYFUNCTION("""COMPUTED_VALUE"""),"Vegetais")</f>
        <v>Vegetais</v>
      </c>
      <c r="D41" s="56">
        <f>IFERROR(__xludf.DUMMYFUNCTION("""COMPUTED_VALUE"""),4.65)</f>
        <v>4.65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>
      <c r="A42" s="49">
        <f>IFERROR(__xludf.DUMMYFUNCTION("""COMPUTED_VALUE"""),97.0)</f>
        <v>97</v>
      </c>
      <c r="B42" s="49" t="str">
        <f>IFERROR(__xludf.DUMMYFUNCTION("""COMPUTED_VALUE"""),"Pepino")</f>
        <v>Pepino</v>
      </c>
      <c r="C42" s="49" t="str">
        <f>IFERROR(__xludf.DUMMYFUNCTION("""COMPUTED_VALUE"""),"Vegetais")</f>
        <v>Vegetais</v>
      </c>
      <c r="D42" s="52">
        <f>IFERROR(__xludf.DUMMYFUNCTION("""COMPUTED_VALUE"""),4.37)</f>
        <v>4.37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>
      <c r="A43" s="55">
        <f>IFERROR(__xludf.DUMMYFUNCTION("""COMPUTED_VALUE"""),98.0)</f>
        <v>98</v>
      </c>
      <c r="B43" s="55" t="str">
        <f>IFERROR(__xludf.DUMMYFUNCTION("""COMPUTED_VALUE"""),"Polpas De Frutas Congeladas")</f>
        <v>Polpas De Frutas Congeladas</v>
      </c>
      <c r="C43" s="55" t="str">
        <f>IFERROR(__xludf.DUMMYFUNCTION("""COMPUTED_VALUE"""),"Sucos")</f>
        <v>Sucos</v>
      </c>
      <c r="D43" s="56">
        <f>IFERROR(__xludf.DUMMYFUNCTION("""COMPUTED_VALUE"""),2.7)</f>
        <v>2.7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>
      <c r="A44" s="49">
        <f>IFERROR(__xludf.DUMMYFUNCTION("""COMPUTED_VALUE"""),99.0)</f>
        <v>99</v>
      </c>
      <c r="B44" s="49" t="str">
        <f>IFERROR(__xludf.DUMMYFUNCTION("""COMPUTED_VALUE"""),"Alho")</f>
        <v>Alho</v>
      </c>
      <c r="C44" s="49" t="str">
        <f>IFERROR(__xludf.DUMMYFUNCTION("""COMPUTED_VALUE"""),"Tempero")</f>
        <v>Tempero</v>
      </c>
      <c r="D44" s="52">
        <f>IFERROR(__xludf.DUMMYFUNCTION("""COMPUTED_VALUE"""),4.99)</f>
        <v>4.99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>
      <c r="A45" s="55">
        <f>IFERROR(__xludf.DUMMYFUNCTION("""COMPUTED_VALUE"""),100.0)</f>
        <v>100</v>
      </c>
      <c r="B45" s="55" t="str">
        <f>IFERROR(__xludf.DUMMYFUNCTION("""COMPUTED_VALUE"""),"Cebola")</f>
        <v>Cebola</v>
      </c>
      <c r="C45" s="55" t="str">
        <f>IFERROR(__xludf.DUMMYFUNCTION("""COMPUTED_VALUE"""),"Tempero")</f>
        <v>Tempero</v>
      </c>
      <c r="D45" s="56">
        <f>IFERROR(__xludf.DUMMYFUNCTION("""COMPUTED_VALUE"""),8.01)</f>
        <v>8.01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>
      <c r="A46" s="49">
        <f>IFERROR(__xludf.DUMMYFUNCTION("""COMPUTED_VALUE"""),101.0)</f>
        <v>101</v>
      </c>
      <c r="B46" s="49" t="str">
        <f>IFERROR(__xludf.DUMMYFUNCTION("""COMPUTED_VALUE"""),"Cebolinha")</f>
        <v>Cebolinha</v>
      </c>
      <c r="C46" s="49" t="str">
        <f>IFERROR(__xludf.DUMMYFUNCTION("""COMPUTED_VALUE"""),"Tempero")</f>
        <v>Tempero</v>
      </c>
      <c r="D46" s="52">
        <f>IFERROR(__xludf.DUMMYFUNCTION("""COMPUTED_VALUE"""),2.99)</f>
        <v>2.99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>
      <c r="A47" s="55">
        <f>IFERROR(__xludf.DUMMYFUNCTION("""COMPUTED_VALUE"""),102.0)</f>
        <v>102</v>
      </c>
      <c r="B47" s="55" t="str">
        <f>IFERROR(__xludf.DUMMYFUNCTION("""COMPUTED_VALUE"""),"Salsa")</f>
        <v>Salsa</v>
      </c>
      <c r="C47" s="55" t="str">
        <f>IFERROR(__xludf.DUMMYFUNCTION("""COMPUTED_VALUE"""),"Tempero")</f>
        <v>Tempero</v>
      </c>
      <c r="D47" s="56">
        <f>IFERROR(__xludf.DUMMYFUNCTION("""COMPUTED_VALUE"""),2.49)</f>
        <v>2.49</v>
      </c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>
      <c r="A48" s="49">
        <f>IFERROR(__xludf.DUMMYFUNCTION("""COMPUTED_VALUE"""),103.0)</f>
        <v>103</v>
      </c>
      <c r="B48" s="49" t="str">
        <f>IFERROR(__xludf.DUMMYFUNCTION("""COMPUTED_VALUE"""),"Coentro")</f>
        <v>Coentro</v>
      </c>
      <c r="C48" s="49" t="str">
        <f>IFERROR(__xludf.DUMMYFUNCTION("""COMPUTED_VALUE"""),"Tempero")</f>
        <v>Tempero</v>
      </c>
      <c r="D48" s="52">
        <f>IFERROR(__xludf.DUMMYFUNCTION("""COMPUTED_VALUE"""),3.03)</f>
        <v>3.03</v>
      </c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>
      <c r="A49" s="55">
        <f>IFERROR(__xludf.DUMMYFUNCTION("""COMPUTED_VALUE"""),104.0)</f>
        <v>104</v>
      </c>
      <c r="B49" s="55" t="str">
        <f>IFERROR(__xludf.DUMMYFUNCTION("""COMPUTED_VALUE"""),"Couve")</f>
        <v>Couve</v>
      </c>
      <c r="C49" s="55" t="str">
        <f>IFERROR(__xludf.DUMMYFUNCTION("""COMPUTED_VALUE"""),"Vegetais")</f>
        <v>Vegetais</v>
      </c>
      <c r="D49" s="56">
        <f>IFERROR(__xludf.DUMMYFUNCTION("""COMPUTED_VALUE"""),3.79)</f>
        <v>3.79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>
      <c r="A50" s="49">
        <f>IFERROR(__xludf.DUMMYFUNCTION("""COMPUTED_VALUE"""),105.0)</f>
        <v>105</v>
      </c>
      <c r="B50" s="49" t="str">
        <f>IFERROR(__xludf.DUMMYFUNCTION("""COMPUTED_VALUE"""),"Alface")</f>
        <v>Alface</v>
      </c>
      <c r="C50" s="49" t="str">
        <f>IFERROR(__xludf.DUMMYFUNCTION("""COMPUTED_VALUE"""),"Vegetais")</f>
        <v>Vegetais</v>
      </c>
      <c r="D50" s="52">
        <f>IFERROR(__xludf.DUMMYFUNCTION("""COMPUTED_VALUE"""),2.99)</f>
        <v>2.99</v>
      </c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>
      <c r="A51" s="55">
        <f>IFERROR(__xludf.DUMMYFUNCTION("""COMPUTED_VALUE"""),106.0)</f>
        <v>106</v>
      </c>
      <c r="B51" s="55" t="str">
        <f>IFERROR(__xludf.DUMMYFUNCTION("""COMPUTED_VALUE"""),"Rúcula")</f>
        <v>Rúcula</v>
      </c>
      <c r="C51" s="55" t="str">
        <f>IFERROR(__xludf.DUMMYFUNCTION("""COMPUTED_VALUE"""),"Vegetais")</f>
        <v>Vegetais</v>
      </c>
      <c r="D51" s="56">
        <f>IFERROR(__xludf.DUMMYFUNCTION("""COMPUTED_VALUE"""),4.59)</f>
        <v>4.59</v>
      </c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>
      <c r="A52" s="49">
        <f>IFERROR(__xludf.DUMMYFUNCTION("""COMPUTED_VALUE"""),107.0)</f>
        <v>107</v>
      </c>
      <c r="B52" s="49" t="str">
        <f>IFERROR(__xludf.DUMMYFUNCTION("""COMPUTED_VALUE"""),"Couve-Flor")</f>
        <v>Couve-Flor</v>
      </c>
      <c r="C52" s="49" t="str">
        <f>IFERROR(__xludf.DUMMYFUNCTION("""COMPUTED_VALUE"""),"Vegetais")</f>
        <v>Vegetais</v>
      </c>
      <c r="D52" s="52">
        <f>IFERROR(__xludf.DUMMYFUNCTION("""COMPUTED_VALUE"""),6.98)</f>
        <v>6.98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>
      <c r="A53" s="55">
        <f>IFERROR(__xludf.DUMMYFUNCTION("""COMPUTED_VALUE"""),108.0)</f>
        <v>108</v>
      </c>
      <c r="B53" s="55" t="str">
        <f>IFERROR(__xludf.DUMMYFUNCTION("""COMPUTED_VALUE"""),"Repolho")</f>
        <v>Repolho</v>
      </c>
      <c r="C53" s="55" t="str">
        <f>IFERROR(__xludf.DUMMYFUNCTION("""COMPUTED_VALUE"""),"Vegetais")</f>
        <v>Vegetais</v>
      </c>
      <c r="D53" s="56">
        <f>IFERROR(__xludf.DUMMYFUNCTION("""COMPUTED_VALUE"""),5.99)</f>
        <v>5.99</v>
      </c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>
      <c r="A54" s="49">
        <f>IFERROR(__xludf.DUMMYFUNCTION("""COMPUTED_VALUE"""),109.0)</f>
        <v>109</v>
      </c>
      <c r="B54" s="49" t="str">
        <f>IFERROR(__xludf.DUMMYFUNCTION("""COMPUTED_VALUE"""),"Achocolatados")</f>
        <v>Achocolatados</v>
      </c>
      <c r="C54" s="49" t="str">
        <f>IFERROR(__xludf.DUMMYFUNCTION("""COMPUTED_VALUE"""),"Bebidas")</f>
        <v>Bebidas</v>
      </c>
      <c r="D54" s="52">
        <f>IFERROR(__xludf.DUMMYFUNCTION("""COMPUTED_VALUE"""),6.49)</f>
        <v>6.49</v>
      </c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>
      <c r="A55" s="55">
        <f>IFERROR(__xludf.DUMMYFUNCTION("""COMPUTED_VALUE"""),110.0)</f>
        <v>110</v>
      </c>
      <c r="B55" s="55" t="str">
        <f>IFERROR(__xludf.DUMMYFUNCTION("""COMPUTED_VALUE"""),"Cerveja")</f>
        <v>Cerveja</v>
      </c>
      <c r="C55" s="55" t="str">
        <f>IFERROR(__xludf.DUMMYFUNCTION("""COMPUTED_VALUE"""),"Bebidas")</f>
        <v>Bebidas</v>
      </c>
      <c r="D55" s="56">
        <f>IFERROR(__xludf.DUMMYFUNCTION("""COMPUTED_VALUE"""),3.99)</f>
        <v>3.99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>
      <c r="A56" s="49">
        <f>IFERROR(__xludf.DUMMYFUNCTION("""COMPUTED_VALUE"""),111.0)</f>
        <v>111</v>
      </c>
      <c r="B56" s="49" t="str">
        <f>IFERROR(__xludf.DUMMYFUNCTION("""COMPUTED_VALUE"""),"Energético")</f>
        <v>Energético</v>
      </c>
      <c r="C56" s="49" t="str">
        <f>IFERROR(__xludf.DUMMYFUNCTION("""COMPUTED_VALUE"""),"Bebidas")</f>
        <v>Bebidas</v>
      </c>
      <c r="D56" s="52">
        <f>IFERROR(__xludf.DUMMYFUNCTION("""COMPUTED_VALUE"""),6.98)</f>
        <v>6.98</v>
      </c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>
      <c r="A57" s="55">
        <f>IFERROR(__xludf.DUMMYFUNCTION("""COMPUTED_VALUE"""),112.0)</f>
        <v>112</v>
      </c>
      <c r="B57" s="55" t="str">
        <f>IFERROR(__xludf.DUMMYFUNCTION("""COMPUTED_VALUE"""),"Refrigerante")</f>
        <v>Refrigerante</v>
      </c>
      <c r="C57" s="55" t="str">
        <f>IFERROR(__xludf.DUMMYFUNCTION("""COMPUTED_VALUE"""),"Bebidas")</f>
        <v>Bebidas</v>
      </c>
      <c r="D57" s="56">
        <f>IFERROR(__xludf.DUMMYFUNCTION("""COMPUTED_VALUE"""),5.44)</f>
        <v>5.44</v>
      </c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>
      <c r="A58" s="49">
        <f>IFERROR(__xludf.DUMMYFUNCTION("""COMPUTED_VALUE"""),113.0)</f>
        <v>113</v>
      </c>
      <c r="B58" s="49" t="str">
        <f>IFERROR(__xludf.DUMMYFUNCTION("""COMPUTED_VALUE"""),"Suco")</f>
        <v>Suco</v>
      </c>
      <c r="C58" s="49" t="str">
        <f>IFERROR(__xludf.DUMMYFUNCTION("""COMPUTED_VALUE"""),"Bebidas")</f>
        <v>Bebidas</v>
      </c>
      <c r="D58" s="52">
        <f>IFERROR(__xludf.DUMMYFUNCTION("""COMPUTED_VALUE"""),4.25)</f>
        <v>4.25</v>
      </c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>
      <c r="A59" s="55">
        <f>IFERROR(__xludf.DUMMYFUNCTION("""COMPUTED_VALUE"""),114.0)</f>
        <v>114</v>
      </c>
      <c r="B59" s="55" t="str">
        <f>IFERROR(__xludf.DUMMYFUNCTION("""COMPUTED_VALUE"""),"Vinho")</f>
        <v>Vinho</v>
      </c>
      <c r="C59" s="55" t="str">
        <f>IFERROR(__xludf.DUMMYFUNCTION("""COMPUTED_VALUE"""),"Bebidas")</f>
        <v>Bebidas</v>
      </c>
      <c r="D59" s="56">
        <f>IFERROR(__xludf.DUMMYFUNCTION("""COMPUTED_VALUE"""),46.78)</f>
        <v>46.78</v>
      </c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>
      <c r="A60" s="49">
        <f>IFERROR(__xludf.DUMMYFUNCTION("""COMPUTED_VALUE"""),115.0)</f>
        <v>115</v>
      </c>
      <c r="B60" s="49" t="str">
        <f>IFERROR(__xludf.DUMMYFUNCTION("""COMPUTED_VALUE"""),"Vitamina")</f>
        <v>Vitamina</v>
      </c>
      <c r="C60" s="49" t="str">
        <f>IFERROR(__xludf.DUMMYFUNCTION("""COMPUTED_VALUE"""),"Bebidas")</f>
        <v>Bebidas</v>
      </c>
      <c r="D60" s="52">
        <f>IFERROR(__xludf.DUMMYFUNCTION("""COMPUTED_VALUE"""),20.0)</f>
        <v>20</v>
      </c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>
      <c r="A61" s="55">
        <f>IFERROR(__xludf.DUMMYFUNCTION("""COMPUTED_VALUE"""),116.0)</f>
        <v>116</v>
      </c>
      <c r="B61" s="55" t="str">
        <f>IFERROR(__xludf.DUMMYFUNCTION("""COMPUTED_VALUE"""),"Vodka")</f>
        <v>Vodka</v>
      </c>
      <c r="C61" s="55" t="str">
        <f>IFERROR(__xludf.DUMMYFUNCTION("""COMPUTED_VALUE"""),"Bebidas")</f>
        <v>Bebidas</v>
      </c>
      <c r="D61" s="56">
        <f>IFERROR(__xludf.DUMMYFUNCTION("""COMPUTED_VALUE"""),30.0)</f>
        <v>30</v>
      </c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ht="15.75" customHeight="1">
      <c r="A62" s="49">
        <f>IFERROR(__xludf.DUMMYFUNCTION("""COMPUTED_VALUE"""),117.0)</f>
        <v>117</v>
      </c>
      <c r="B62" s="49" t="str">
        <f>IFERROR(__xludf.DUMMYFUNCTION("""COMPUTED_VALUE"""),"Biscoito")</f>
        <v>Biscoito</v>
      </c>
      <c r="C62" s="49" t="str">
        <f>IFERROR(__xludf.DUMMYFUNCTION("""COMPUTED_VALUE"""),"Biscoitos")</f>
        <v>Biscoitos</v>
      </c>
      <c r="D62" s="52">
        <f>IFERROR(__xludf.DUMMYFUNCTION("""COMPUTED_VALUE"""),2.45)</f>
        <v>2.45</v>
      </c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>
      <c r="A63" s="55">
        <f>IFERROR(__xludf.DUMMYFUNCTION("""COMPUTED_VALUE"""),118.0)</f>
        <v>118</v>
      </c>
      <c r="B63" s="55" t="str">
        <f>IFERROR(__xludf.DUMMYFUNCTION("""COMPUTED_VALUE"""),"Bisnaguinha")</f>
        <v>Bisnaguinha</v>
      </c>
      <c r="C63" s="55" t="str">
        <f>IFERROR(__xludf.DUMMYFUNCTION("""COMPUTED_VALUE"""),"Pães")</f>
        <v>Pães</v>
      </c>
      <c r="D63" s="56">
        <f>IFERROR(__xludf.DUMMYFUNCTION("""COMPUTED_VALUE"""),5.79)</f>
        <v>5.79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>
      <c r="A64" s="49">
        <f>IFERROR(__xludf.DUMMYFUNCTION("""COMPUTED_VALUE"""),119.0)</f>
        <v>119</v>
      </c>
      <c r="B64" s="49" t="str">
        <f>IFERROR(__xludf.DUMMYFUNCTION("""COMPUTED_VALUE"""),"Broinha De Milho")</f>
        <v>Broinha De Milho</v>
      </c>
      <c r="C64" s="49" t="str">
        <f>IFERROR(__xludf.DUMMYFUNCTION("""COMPUTED_VALUE"""),"Pães")</f>
        <v>Pães</v>
      </c>
      <c r="D64" s="52">
        <f>IFERROR(__xludf.DUMMYFUNCTION("""COMPUTED_VALUE"""),6.59)</f>
        <v>6.59</v>
      </c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>
      <c r="A65" s="55">
        <f>IFERROR(__xludf.DUMMYFUNCTION("""COMPUTED_VALUE"""),120.0)</f>
        <v>120</v>
      </c>
      <c r="B65" s="55" t="str">
        <f>IFERROR(__xludf.DUMMYFUNCTION("""COMPUTED_VALUE"""),"Pão De Cachorro-Quente")</f>
        <v>Pão De Cachorro-Quente</v>
      </c>
      <c r="C65" s="55" t="str">
        <f>IFERROR(__xludf.DUMMYFUNCTION("""COMPUTED_VALUE"""),"Pães")</f>
        <v>Pães</v>
      </c>
      <c r="D65" s="56">
        <f>IFERROR(__xludf.DUMMYFUNCTION("""COMPUTED_VALUE"""),4.99)</f>
        <v>4.99</v>
      </c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>
      <c r="A66" s="49">
        <f>IFERROR(__xludf.DUMMYFUNCTION("""COMPUTED_VALUE"""),121.0)</f>
        <v>121</v>
      </c>
      <c r="B66" s="49" t="str">
        <f>IFERROR(__xludf.DUMMYFUNCTION("""COMPUTED_VALUE"""),"Pão De Forma")</f>
        <v>Pão De Forma</v>
      </c>
      <c r="C66" s="49" t="str">
        <f>IFERROR(__xludf.DUMMYFUNCTION("""COMPUTED_VALUE"""),"Pães")</f>
        <v>Pães</v>
      </c>
      <c r="D66" s="52">
        <f>IFERROR(__xludf.DUMMYFUNCTION("""COMPUTED_VALUE"""),5.89)</f>
        <v>5.89</v>
      </c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>
      <c r="A67" s="55">
        <f>IFERROR(__xludf.DUMMYFUNCTION("""COMPUTED_VALUE"""),122.0)</f>
        <v>122</v>
      </c>
      <c r="B67" s="55" t="str">
        <f>IFERROR(__xludf.DUMMYFUNCTION("""COMPUTED_VALUE"""),"Pão De Hambúrguer")</f>
        <v>Pão De Hambúrguer</v>
      </c>
      <c r="C67" s="55" t="str">
        <f>IFERROR(__xludf.DUMMYFUNCTION("""COMPUTED_VALUE"""),"Pães")</f>
        <v>Pães</v>
      </c>
      <c r="D67" s="56">
        <f>IFERROR(__xludf.DUMMYFUNCTION("""COMPUTED_VALUE"""),10.49)</f>
        <v>10.49</v>
      </c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>
      <c r="A68" s="49">
        <f>IFERROR(__xludf.DUMMYFUNCTION("""COMPUTED_VALUE"""),123.0)</f>
        <v>123</v>
      </c>
      <c r="B68" s="49" t="str">
        <f>IFERROR(__xludf.DUMMYFUNCTION("""COMPUTED_VALUE"""),"Absorvente")</f>
        <v>Absorvente</v>
      </c>
      <c r="C68" s="49" t="str">
        <f>IFERROR(__xludf.DUMMYFUNCTION("""COMPUTED_VALUE"""),"Higiene")</f>
        <v>Higiene</v>
      </c>
      <c r="D68" s="52">
        <f>IFERROR(__xludf.DUMMYFUNCTION("""COMPUTED_VALUE"""),3.69)</f>
        <v>3.69</v>
      </c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>
      <c r="A69" s="55">
        <f>IFERROR(__xludf.DUMMYFUNCTION("""COMPUTED_VALUE"""),124.0)</f>
        <v>124</v>
      </c>
      <c r="B69" s="55" t="str">
        <f>IFERROR(__xludf.DUMMYFUNCTION("""COMPUTED_VALUE"""),"Algodão")</f>
        <v>Algodão</v>
      </c>
      <c r="C69" s="55" t="str">
        <f>IFERROR(__xludf.DUMMYFUNCTION("""COMPUTED_VALUE"""),"Higiene")</f>
        <v>Higiene</v>
      </c>
      <c r="D69" s="56">
        <f>IFERROR(__xludf.DUMMYFUNCTION("""COMPUTED_VALUE"""),3.0)</f>
        <v>3</v>
      </c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>
      <c r="A70" s="49">
        <f>IFERROR(__xludf.DUMMYFUNCTION("""COMPUTED_VALUE"""),125.0)</f>
        <v>125</v>
      </c>
      <c r="B70" s="49" t="str">
        <f>IFERROR(__xludf.DUMMYFUNCTION("""COMPUTED_VALUE"""),"Condicionador")</f>
        <v>Condicionador</v>
      </c>
      <c r="C70" s="49" t="str">
        <f>IFERROR(__xludf.DUMMYFUNCTION("""COMPUTED_VALUE"""),"Higiene")</f>
        <v>Higiene</v>
      </c>
      <c r="D70" s="52">
        <f>IFERROR(__xludf.DUMMYFUNCTION("""COMPUTED_VALUE"""),9.6)</f>
        <v>9.6</v>
      </c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>
      <c r="A71" s="55">
        <f>IFERROR(__xludf.DUMMYFUNCTION("""COMPUTED_VALUE"""),126.0)</f>
        <v>126</v>
      </c>
      <c r="B71" s="55" t="str">
        <f>IFERROR(__xludf.DUMMYFUNCTION("""COMPUTED_VALUE"""),"Cotonete")</f>
        <v>Cotonete</v>
      </c>
      <c r="C71" s="55" t="str">
        <f>IFERROR(__xludf.DUMMYFUNCTION("""COMPUTED_VALUE"""),"Higiene")</f>
        <v>Higiene</v>
      </c>
      <c r="D71" s="56">
        <f>IFERROR(__xludf.DUMMYFUNCTION("""COMPUTED_VALUE"""),6.36)</f>
        <v>6.36</v>
      </c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7.25" customHeight="1">
      <c r="A72" s="49">
        <f>IFERROR(__xludf.DUMMYFUNCTION("""COMPUTED_VALUE"""),127.0)</f>
        <v>127</v>
      </c>
      <c r="B72" s="49" t="str">
        <f>IFERROR(__xludf.DUMMYFUNCTION("""COMPUTED_VALUE"""),"Escova De Dentes")</f>
        <v>Escova De Dentes</v>
      </c>
      <c r="C72" s="49" t="str">
        <f>IFERROR(__xludf.DUMMYFUNCTION("""COMPUTED_VALUE"""),"Higiene")</f>
        <v>Higiene</v>
      </c>
      <c r="D72" s="52">
        <f>IFERROR(__xludf.DUMMYFUNCTION("""COMPUTED_VALUE"""),19.9)</f>
        <v>19.9</v>
      </c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ht="14.25" customHeight="1">
      <c r="A73" s="55">
        <f>IFERROR(__xludf.DUMMYFUNCTION("""COMPUTED_VALUE"""),128.0)</f>
        <v>128</v>
      </c>
      <c r="B73" s="55" t="str">
        <f>IFERROR(__xludf.DUMMYFUNCTION("""COMPUTED_VALUE"""),"Hidratantes")</f>
        <v>Hidratantes</v>
      </c>
      <c r="C73" s="55" t="str">
        <f>IFERROR(__xludf.DUMMYFUNCTION("""COMPUTED_VALUE"""),"Higiene")</f>
        <v>Higiene</v>
      </c>
      <c r="D73" s="56">
        <f>IFERROR(__xludf.DUMMYFUNCTION("""COMPUTED_VALUE"""),49.9)</f>
        <v>49.9</v>
      </c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>
      <c r="A74" s="49">
        <f>IFERROR(__xludf.DUMMYFUNCTION("""COMPUTED_VALUE"""),129.0)</f>
        <v>129</v>
      </c>
      <c r="B74" s="49" t="str">
        <f>IFERROR(__xludf.DUMMYFUNCTION("""COMPUTED_VALUE"""),"Lâmina De Barbear")</f>
        <v>Lâmina De Barbear</v>
      </c>
      <c r="C74" s="49" t="str">
        <f>IFERROR(__xludf.DUMMYFUNCTION("""COMPUTED_VALUE"""),"Higiene")</f>
        <v>Higiene</v>
      </c>
      <c r="D74" s="52">
        <f>IFERROR(__xludf.DUMMYFUNCTION("""COMPUTED_VALUE"""),29.9)</f>
        <v>29.9</v>
      </c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>
      <c r="A75" s="55">
        <f>IFERROR(__xludf.DUMMYFUNCTION("""COMPUTED_VALUE"""),130.0)</f>
        <v>130</v>
      </c>
      <c r="B75" s="55" t="str">
        <f>IFERROR(__xludf.DUMMYFUNCTION("""COMPUTED_VALUE"""),"Papel Higiênico")</f>
        <v>Papel Higiênico</v>
      </c>
      <c r="C75" s="55" t="str">
        <f>IFERROR(__xludf.DUMMYFUNCTION("""COMPUTED_VALUE"""),"Higiene")</f>
        <v>Higiene</v>
      </c>
      <c r="D75" s="56">
        <f>IFERROR(__xludf.DUMMYFUNCTION("""COMPUTED_VALUE"""),32.15)</f>
        <v>32.15</v>
      </c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>
      <c r="A76" s="49">
        <f>IFERROR(__xludf.DUMMYFUNCTION("""COMPUTED_VALUE"""),131.0)</f>
        <v>131</v>
      </c>
      <c r="B76" s="49" t="str">
        <f>IFERROR(__xludf.DUMMYFUNCTION("""COMPUTED_VALUE"""),"Pasta De Dente")</f>
        <v>Pasta De Dente</v>
      </c>
      <c r="C76" s="49" t="str">
        <f>IFERROR(__xludf.DUMMYFUNCTION("""COMPUTED_VALUE"""),"Higiene")</f>
        <v>Higiene</v>
      </c>
      <c r="D76" s="52">
        <f>IFERROR(__xludf.DUMMYFUNCTION("""COMPUTED_VALUE"""),3.2)</f>
        <v>3.2</v>
      </c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>
      <c r="A77" s="55">
        <f>IFERROR(__xludf.DUMMYFUNCTION("""COMPUTED_VALUE"""),132.0)</f>
        <v>132</v>
      </c>
      <c r="B77" s="55" t="str">
        <f>IFERROR(__xludf.DUMMYFUNCTION("""COMPUTED_VALUE"""),"Sabonetes")</f>
        <v>Sabonetes</v>
      </c>
      <c r="C77" s="55" t="str">
        <f>IFERROR(__xludf.DUMMYFUNCTION("""COMPUTED_VALUE"""),"Higiene")</f>
        <v>Higiene</v>
      </c>
      <c r="D77" s="56">
        <f>IFERROR(__xludf.DUMMYFUNCTION("""COMPUTED_VALUE"""),3.45)</f>
        <v>3.45</v>
      </c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>
      <c r="A78" s="49">
        <f>IFERROR(__xludf.DUMMYFUNCTION("""COMPUTED_VALUE"""),133.0)</f>
        <v>133</v>
      </c>
      <c r="B78" s="49" t="str">
        <f>IFERROR(__xludf.DUMMYFUNCTION("""COMPUTED_VALUE"""),"Shampoo")</f>
        <v>Shampoo</v>
      </c>
      <c r="C78" s="49" t="str">
        <f>IFERROR(__xludf.DUMMYFUNCTION("""COMPUTED_VALUE"""),"Higiene")</f>
        <v>Higiene</v>
      </c>
      <c r="D78" s="52">
        <f>IFERROR(__xludf.DUMMYFUNCTION("""COMPUTED_VALUE"""),35.79)</f>
        <v>35.79</v>
      </c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>
      <c r="A79" s="55">
        <f>IFERROR(__xludf.DUMMYFUNCTION("""COMPUTED_VALUE"""),134.0)</f>
        <v>134</v>
      </c>
      <c r="B79" s="55" t="str">
        <f>IFERROR(__xludf.DUMMYFUNCTION("""COMPUTED_VALUE"""),"Água Sanitária")</f>
        <v>Água Sanitária</v>
      </c>
      <c r="C79" s="55" t="str">
        <f>IFERROR(__xludf.DUMMYFUNCTION("""COMPUTED_VALUE"""),"Limpeza")</f>
        <v>Limpeza</v>
      </c>
      <c r="D79" s="56">
        <f>IFERROR(__xludf.DUMMYFUNCTION("""COMPUTED_VALUE"""),3.19)</f>
        <v>3.19</v>
      </c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>
      <c r="A80" s="49">
        <f>IFERROR(__xludf.DUMMYFUNCTION("""COMPUTED_VALUE"""),135.0)</f>
        <v>135</v>
      </c>
      <c r="B80" s="49" t="str">
        <f>IFERROR(__xludf.DUMMYFUNCTION("""COMPUTED_VALUE"""),"Alvejante")</f>
        <v>Alvejante</v>
      </c>
      <c r="C80" s="49" t="str">
        <f>IFERROR(__xludf.DUMMYFUNCTION("""COMPUTED_VALUE"""),"Limpeza")</f>
        <v>Limpeza</v>
      </c>
      <c r="D80" s="52">
        <f>IFERROR(__xludf.DUMMYFUNCTION("""COMPUTED_VALUE"""),11.99)</f>
        <v>11.99</v>
      </c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>
      <c r="A81" s="55">
        <f>IFERROR(__xludf.DUMMYFUNCTION("""COMPUTED_VALUE"""),136.0)</f>
        <v>136</v>
      </c>
      <c r="B81" s="55" t="str">
        <f>IFERROR(__xludf.DUMMYFUNCTION("""COMPUTED_VALUE"""),"Amaciante")</f>
        <v>Amaciante</v>
      </c>
      <c r="C81" s="55" t="str">
        <f>IFERROR(__xludf.DUMMYFUNCTION("""COMPUTED_VALUE"""),"Limpeza")</f>
        <v>Limpeza</v>
      </c>
      <c r="D81" s="56">
        <f>IFERROR(__xludf.DUMMYFUNCTION("""COMPUTED_VALUE"""),14.29)</f>
        <v>14.29</v>
      </c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>
      <c r="A82" s="49">
        <f>IFERROR(__xludf.DUMMYFUNCTION("""COMPUTED_VALUE"""),137.0)</f>
        <v>137</v>
      </c>
      <c r="B82" s="49" t="str">
        <f>IFERROR(__xludf.DUMMYFUNCTION("""COMPUTED_VALUE"""),"Desinfetante")</f>
        <v>Desinfetante</v>
      </c>
      <c r="C82" s="49" t="str">
        <f>IFERROR(__xludf.DUMMYFUNCTION("""COMPUTED_VALUE"""),"Limpeza")</f>
        <v>Limpeza</v>
      </c>
      <c r="D82" s="52">
        <f>IFERROR(__xludf.DUMMYFUNCTION("""COMPUTED_VALUE"""),5.45)</f>
        <v>5.45</v>
      </c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>
      <c r="A83" s="55">
        <f>IFERROR(__xludf.DUMMYFUNCTION("""COMPUTED_VALUE"""),138.0)</f>
        <v>138</v>
      </c>
      <c r="B83" s="55" t="str">
        <f>IFERROR(__xludf.DUMMYFUNCTION("""COMPUTED_VALUE"""),"Detergente")</f>
        <v>Detergente</v>
      </c>
      <c r="C83" s="55" t="str">
        <f>IFERROR(__xludf.DUMMYFUNCTION("""COMPUTED_VALUE"""),"Limpeza")</f>
        <v>Limpeza</v>
      </c>
      <c r="D83" s="56">
        <f>IFERROR(__xludf.DUMMYFUNCTION("""COMPUTED_VALUE"""),1.69)</f>
        <v>1.69</v>
      </c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>
      <c r="A84" s="49">
        <f>IFERROR(__xludf.DUMMYFUNCTION("""COMPUTED_VALUE"""),139.0)</f>
        <v>139</v>
      </c>
      <c r="B84" s="49" t="str">
        <f>IFERROR(__xludf.DUMMYFUNCTION("""COMPUTED_VALUE"""),"Escovinhas")</f>
        <v>Escovinhas</v>
      </c>
      <c r="C84" s="49" t="str">
        <f>IFERROR(__xludf.DUMMYFUNCTION("""COMPUTED_VALUE"""),"Limpeza")</f>
        <v>Limpeza</v>
      </c>
      <c r="D84" s="52">
        <f>IFERROR(__xludf.DUMMYFUNCTION("""COMPUTED_VALUE"""),10.0)</f>
        <v>10</v>
      </c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>
      <c r="A85" s="55">
        <f>IFERROR(__xludf.DUMMYFUNCTION("""COMPUTED_VALUE"""),140.0)</f>
        <v>140</v>
      </c>
      <c r="B85" s="55" t="str">
        <f>IFERROR(__xludf.DUMMYFUNCTION("""COMPUTED_VALUE"""),"Esponja De Aço")</f>
        <v>Esponja De Aço</v>
      </c>
      <c r="C85" s="55" t="str">
        <f>IFERROR(__xludf.DUMMYFUNCTION("""COMPUTED_VALUE"""),"Limpeza")</f>
        <v>Limpeza</v>
      </c>
      <c r="D85" s="56">
        <f>IFERROR(__xludf.DUMMYFUNCTION("""COMPUTED_VALUE"""),1.27)</f>
        <v>1.27</v>
      </c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>
      <c r="A86" s="49">
        <f>IFERROR(__xludf.DUMMYFUNCTION("""COMPUTED_VALUE"""),141.0)</f>
        <v>141</v>
      </c>
      <c r="B86" s="49" t="str">
        <f>IFERROR(__xludf.DUMMYFUNCTION("""COMPUTED_VALUE"""),"Luvas De Borracha")</f>
        <v>Luvas De Borracha</v>
      </c>
      <c r="C86" s="49" t="str">
        <f>IFERROR(__xludf.DUMMYFUNCTION("""COMPUTED_VALUE"""),"Limpeza")</f>
        <v>Limpeza</v>
      </c>
      <c r="D86" s="52">
        <f>IFERROR(__xludf.DUMMYFUNCTION("""COMPUTED_VALUE"""),3.94)</f>
        <v>3.94</v>
      </c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>
      <c r="A87" s="55">
        <f>IFERROR(__xludf.DUMMYFUNCTION("""COMPUTED_VALUE"""),142.0)</f>
        <v>142</v>
      </c>
      <c r="B87" s="55" t="str">
        <f>IFERROR(__xludf.DUMMYFUNCTION("""COMPUTED_VALUE"""),"Pá")</f>
        <v>Pá</v>
      </c>
      <c r="C87" s="55" t="str">
        <f>IFERROR(__xludf.DUMMYFUNCTION("""COMPUTED_VALUE"""),"Limpeza")</f>
        <v>Limpeza</v>
      </c>
      <c r="D87" s="56">
        <f>IFERROR(__xludf.DUMMYFUNCTION("""COMPUTED_VALUE"""),9.6)</f>
        <v>9.6</v>
      </c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>
      <c r="A88" s="49">
        <f>IFERROR(__xludf.DUMMYFUNCTION("""COMPUTED_VALUE"""),143.0)</f>
        <v>143</v>
      </c>
      <c r="B88" s="49" t="str">
        <f>IFERROR(__xludf.DUMMYFUNCTION("""COMPUTED_VALUE"""),"Pano De Chão")</f>
        <v>Pano De Chão</v>
      </c>
      <c r="C88" s="49" t="str">
        <f>IFERROR(__xludf.DUMMYFUNCTION("""COMPUTED_VALUE"""),"Limpeza")</f>
        <v>Limpeza</v>
      </c>
      <c r="D88" s="52">
        <f>IFERROR(__xludf.DUMMYFUNCTION("""COMPUTED_VALUE"""),26.89)</f>
        <v>26.89</v>
      </c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>
      <c r="A89" s="55">
        <f>IFERROR(__xludf.DUMMYFUNCTION("""COMPUTED_VALUE"""),144.0)</f>
        <v>144</v>
      </c>
      <c r="B89" s="55" t="str">
        <f>IFERROR(__xludf.DUMMYFUNCTION("""COMPUTED_VALUE"""),"Pano De Prato")</f>
        <v>Pano De Prato</v>
      </c>
      <c r="C89" s="55" t="str">
        <f>IFERROR(__xludf.DUMMYFUNCTION("""COMPUTED_VALUE"""),"Limpeza")</f>
        <v>Limpeza</v>
      </c>
      <c r="D89" s="56">
        <f>IFERROR(__xludf.DUMMYFUNCTION("""COMPUTED_VALUE"""),3.79)</f>
        <v>3.79</v>
      </c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>
      <c r="A90" s="49">
        <f>IFERROR(__xludf.DUMMYFUNCTION("""COMPUTED_VALUE"""),145.0)</f>
        <v>145</v>
      </c>
      <c r="B90" s="49" t="str">
        <f>IFERROR(__xludf.DUMMYFUNCTION("""COMPUTED_VALUE"""),"Rodo")</f>
        <v>Rodo</v>
      </c>
      <c r="C90" s="49" t="str">
        <f>IFERROR(__xludf.DUMMYFUNCTION("""COMPUTED_VALUE"""),"Limpeza")</f>
        <v>Limpeza</v>
      </c>
      <c r="D90" s="52">
        <f>IFERROR(__xludf.DUMMYFUNCTION("""COMPUTED_VALUE"""),8.9)</f>
        <v>8.9</v>
      </c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>
      <c r="A91" s="55">
        <f>IFERROR(__xludf.DUMMYFUNCTION("""COMPUTED_VALUE"""),146.0)</f>
        <v>146</v>
      </c>
      <c r="B91" s="55" t="str">
        <f>IFERROR(__xludf.DUMMYFUNCTION("""COMPUTED_VALUE"""),"Sabão Em Barra")</f>
        <v>Sabão Em Barra</v>
      </c>
      <c r="C91" s="55" t="str">
        <f>IFERROR(__xludf.DUMMYFUNCTION("""COMPUTED_VALUE"""),"Limpeza")</f>
        <v>Limpeza</v>
      </c>
      <c r="D91" s="56">
        <f>IFERROR(__xludf.DUMMYFUNCTION("""COMPUTED_VALUE"""),2.5)</f>
        <v>2.5</v>
      </c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>
      <c r="A92" s="49">
        <f>IFERROR(__xludf.DUMMYFUNCTION("""COMPUTED_VALUE"""),147.0)</f>
        <v>147</v>
      </c>
      <c r="B92" s="49" t="str">
        <f>IFERROR(__xludf.DUMMYFUNCTION("""COMPUTED_VALUE"""),"Sabão Em Pó")</f>
        <v>Sabão Em Pó</v>
      </c>
      <c r="C92" s="49" t="str">
        <f>IFERROR(__xludf.DUMMYFUNCTION("""COMPUTED_VALUE"""),"Limpeza")</f>
        <v>Limpeza</v>
      </c>
      <c r="D92" s="52">
        <f>IFERROR(__xludf.DUMMYFUNCTION("""COMPUTED_VALUE"""),8.19)</f>
        <v>8.19</v>
      </c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>
      <c r="A93" s="55">
        <f>IFERROR(__xludf.DUMMYFUNCTION("""COMPUTED_VALUE"""),148.0)</f>
        <v>148</v>
      </c>
      <c r="B93" s="55" t="str">
        <f>IFERROR(__xludf.DUMMYFUNCTION("""COMPUTED_VALUE"""),"Vassoura")</f>
        <v>Vassoura</v>
      </c>
      <c r="C93" s="55" t="str">
        <f>IFERROR(__xludf.DUMMYFUNCTION("""COMPUTED_VALUE"""),"Limpeza")</f>
        <v>Limpeza</v>
      </c>
      <c r="D93" s="56">
        <f>IFERROR(__xludf.DUMMYFUNCTION("""COMPUTED_VALUE"""),12.35)</f>
        <v>12.35</v>
      </c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ht="16.5" customHeight="1">
      <c r="R94" s="48"/>
    </row>
    <row r="95">
      <c r="R95" s="48"/>
    </row>
    <row r="96">
      <c r="R96" s="48"/>
    </row>
    <row r="97">
      <c r="R97" s="48"/>
    </row>
    <row r="98">
      <c r="R98" s="48"/>
    </row>
    <row r="99">
      <c r="R99" s="48"/>
    </row>
    <row r="100">
      <c r="R100" s="48"/>
    </row>
    <row r="101">
      <c r="R101" s="48"/>
    </row>
    <row r="102">
      <c r="R102" s="48"/>
    </row>
    <row r="103">
      <c r="R103" s="48"/>
    </row>
    <row r="104">
      <c r="R104" s="48"/>
    </row>
    <row r="105">
      <c r="R105" s="48"/>
    </row>
    <row r="106">
      <c r="R106" s="48"/>
    </row>
    <row r="107">
      <c r="R107" s="48"/>
    </row>
    <row r="108">
      <c r="R108" s="48"/>
    </row>
    <row r="109">
      <c r="R109" s="48"/>
    </row>
    <row r="110">
      <c r="R110" s="48"/>
    </row>
    <row r="111">
      <c r="R111" s="48"/>
    </row>
    <row r="112">
      <c r="R112" s="48"/>
    </row>
    <row r="113">
      <c r="R113" s="48"/>
    </row>
    <row r="114">
      <c r="R114" s="48"/>
    </row>
    <row r="115">
      <c r="R115" s="48"/>
    </row>
    <row r="116">
      <c r="R116" s="48"/>
    </row>
    <row r="117">
      <c r="R117" s="48"/>
    </row>
    <row r="118">
      <c r="R118" s="48"/>
    </row>
    <row r="119">
      <c r="R119" s="48"/>
    </row>
    <row r="120">
      <c r="R120" s="48"/>
    </row>
    <row r="121">
      <c r="R121" s="48"/>
    </row>
    <row r="122">
      <c r="R122" s="48"/>
    </row>
    <row r="123">
      <c r="R123" s="48"/>
    </row>
    <row r="124">
      <c r="R124" s="48"/>
    </row>
    <row r="125">
      <c r="R125" s="48"/>
    </row>
    <row r="126">
      <c r="R126" s="48"/>
    </row>
    <row r="127">
      <c r="R127" s="48"/>
    </row>
    <row r="128">
      <c r="R128" s="48"/>
    </row>
    <row r="129">
      <c r="R129" s="48"/>
    </row>
    <row r="130">
      <c r="R130" s="48"/>
    </row>
    <row r="131">
      <c r="R131" s="48"/>
    </row>
    <row r="132">
      <c r="R132" s="48"/>
    </row>
    <row r="133">
      <c r="R133" s="48"/>
    </row>
    <row r="134">
      <c r="R134" s="48"/>
    </row>
    <row r="135">
      <c r="R135" s="48"/>
    </row>
    <row r="136">
      <c r="R136" s="48"/>
    </row>
    <row r="137">
      <c r="R137" s="48"/>
    </row>
    <row r="138">
      <c r="R138" s="48"/>
    </row>
    <row r="139">
      <c r="R139" s="48"/>
    </row>
    <row r="140">
      <c r="R140" s="48"/>
    </row>
    <row r="141">
      <c r="R141" s="48"/>
    </row>
    <row r="142">
      <c r="R142" s="48"/>
    </row>
    <row r="143">
      <c r="R143" s="48"/>
    </row>
    <row r="144">
      <c r="R144" s="48"/>
    </row>
    <row r="145">
      <c r="R145" s="48"/>
    </row>
    <row r="146">
      <c r="R146" s="48"/>
    </row>
    <row r="147">
      <c r="R147" s="48"/>
    </row>
    <row r="148">
      <c r="R148" s="48"/>
    </row>
    <row r="149">
      <c r="R149" s="48"/>
    </row>
    <row r="150">
      <c r="R150" s="48"/>
    </row>
    <row r="151">
      <c r="R151" s="48"/>
    </row>
    <row r="152">
      <c r="R152" s="48"/>
    </row>
    <row r="153">
      <c r="R153" s="48"/>
    </row>
    <row r="154">
      <c r="R154" s="48"/>
    </row>
    <row r="155">
      <c r="R155" s="48"/>
    </row>
    <row r="156">
      <c r="R156" s="48"/>
    </row>
    <row r="157">
      <c r="R157" s="48"/>
    </row>
    <row r="158">
      <c r="R158" s="48"/>
    </row>
    <row r="159">
      <c r="R159" s="48"/>
    </row>
    <row r="160">
      <c r="R160" s="48"/>
    </row>
    <row r="161">
      <c r="R161" s="48"/>
    </row>
    <row r="162">
      <c r="R162" s="48"/>
    </row>
    <row r="163">
      <c r="R163" s="48"/>
    </row>
    <row r="164">
      <c r="R164" s="48"/>
    </row>
    <row r="165">
      <c r="R165" s="48"/>
    </row>
    <row r="166">
      <c r="R166" s="48"/>
    </row>
    <row r="167">
      <c r="R167" s="48"/>
    </row>
    <row r="168">
      <c r="R168" s="48"/>
    </row>
    <row r="169">
      <c r="R169" s="48"/>
    </row>
    <row r="170">
      <c r="R170" s="48"/>
    </row>
    <row r="171">
      <c r="R171" s="48"/>
    </row>
    <row r="172">
      <c r="R172" s="48"/>
    </row>
    <row r="173">
      <c r="R173" s="48"/>
    </row>
    <row r="174">
      <c r="R174" s="48"/>
    </row>
    <row r="175">
      <c r="R175" s="48"/>
    </row>
    <row r="176">
      <c r="R176" s="48"/>
    </row>
    <row r="177">
      <c r="R177" s="48"/>
    </row>
    <row r="178">
      <c r="R178" s="48"/>
    </row>
    <row r="179">
      <c r="R179" s="48"/>
    </row>
    <row r="180">
      <c r="R180" s="48"/>
    </row>
    <row r="181">
      <c r="R181" s="48"/>
    </row>
    <row r="182">
      <c r="R182" s="48"/>
    </row>
    <row r="183">
      <c r="R183" s="48"/>
    </row>
    <row r="184">
      <c r="R184" s="48"/>
    </row>
    <row r="185">
      <c r="R185" s="48"/>
    </row>
    <row r="186">
      <c r="R186" s="48"/>
    </row>
    <row r="187">
      <c r="R187" s="48"/>
    </row>
    <row r="188">
      <c r="R188" s="48"/>
    </row>
    <row r="189">
      <c r="R189" s="48"/>
    </row>
    <row r="190">
      <c r="R190" s="48"/>
    </row>
    <row r="191">
      <c r="R191" s="48"/>
    </row>
    <row r="192">
      <c r="R192" s="48"/>
    </row>
    <row r="193">
      <c r="R193" s="48"/>
    </row>
    <row r="194">
      <c r="R194" s="48"/>
    </row>
    <row r="195">
      <c r="R195" s="48"/>
    </row>
    <row r="196">
      <c r="R196" s="48"/>
    </row>
    <row r="197">
      <c r="R197" s="48"/>
    </row>
    <row r="198">
      <c r="R198" s="48"/>
    </row>
    <row r="199">
      <c r="R199" s="48"/>
    </row>
    <row r="200">
      <c r="R200" s="48"/>
    </row>
    <row r="201">
      <c r="R201" s="48"/>
    </row>
    <row r="202">
      <c r="R202" s="48"/>
    </row>
    <row r="203">
      <c r="R203" s="48"/>
    </row>
    <row r="204">
      <c r="R204" s="48"/>
    </row>
    <row r="205">
      <c r="R205" s="48"/>
    </row>
    <row r="206">
      <c r="R206" s="48"/>
    </row>
    <row r="207">
      <c r="R207" s="48"/>
    </row>
    <row r="208">
      <c r="R208" s="48"/>
    </row>
    <row r="209">
      <c r="R209" s="48"/>
    </row>
    <row r="210">
      <c r="R210" s="48"/>
    </row>
    <row r="211">
      <c r="R211" s="48"/>
    </row>
    <row r="212">
      <c r="R212" s="48"/>
    </row>
    <row r="213">
      <c r="R213" s="48"/>
    </row>
    <row r="214">
      <c r="R214" s="48"/>
    </row>
    <row r="215">
      <c r="R215" s="48"/>
    </row>
    <row r="216">
      <c r="R216" s="48"/>
    </row>
    <row r="217">
      <c r="R217" s="48"/>
    </row>
    <row r="218">
      <c r="R218" s="48"/>
    </row>
    <row r="219">
      <c r="R219" s="48"/>
    </row>
    <row r="220">
      <c r="R220" s="48"/>
    </row>
    <row r="221">
      <c r="R221" s="48"/>
    </row>
    <row r="222">
      <c r="R222" s="48"/>
    </row>
    <row r="223">
      <c r="R223" s="48"/>
    </row>
    <row r="224">
      <c r="R224" s="48"/>
    </row>
    <row r="225">
      <c r="R225" s="48"/>
    </row>
    <row r="226">
      <c r="R226" s="48"/>
    </row>
    <row r="227">
      <c r="R227" s="48"/>
    </row>
    <row r="228">
      <c r="R228" s="48"/>
    </row>
    <row r="229">
      <c r="R229" s="48"/>
    </row>
    <row r="230">
      <c r="R230" s="48"/>
    </row>
    <row r="231">
      <c r="R231" s="48"/>
    </row>
    <row r="232">
      <c r="R232" s="48"/>
    </row>
    <row r="233">
      <c r="R233" s="48"/>
    </row>
    <row r="234">
      <c r="R234" s="48"/>
    </row>
    <row r="235">
      <c r="R235" s="48"/>
    </row>
    <row r="236">
      <c r="R236" s="48"/>
    </row>
    <row r="237">
      <c r="R237" s="48"/>
    </row>
    <row r="238">
      <c r="R238" s="48"/>
    </row>
    <row r="239">
      <c r="R239" s="48"/>
    </row>
    <row r="240">
      <c r="R240" s="48"/>
    </row>
    <row r="241">
      <c r="R241" s="48"/>
    </row>
    <row r="242">
      <c r="R242" s="48"/>
    </row>
    <row r="243">
      <c r="R243" s="48"/>
    </row>
    <row r="244">
      <c r="R244" s="48"/>
    </row>
    <row r="245">
      <c r="R245" s="48"/>
    </row>
    <row r="246">
      <c r="R246" s="48"/>
    </row>
    <row r="247">
      <c r="R247" s="48"/>
    </row>
    <row r="248">
      <c r="R248" s="48"/>
    </row>
    <row r="249">
      <c r="R249" s="48"/>
    </row>
    <row r="250">
      <c r="R250" s="48"/>
    </row>
    <row r="251">
      <c r="R251" s="48"/>
    </row>
    <row r="252">
      <c r="R252" s="48"/>
    </row>
    <row r="253">
      <c r="R253" s="48"/>
    </row>
    <row r="254">
      <c r="R254" s="48"/>
    </row>
    <row r="255">
      <c r="R255" s="48"/>
    </row>
    <row r="256">
      <c r="R256" s="48"/>
    </row>
    <row r="257">
      <c r="R257" s="48"/>
    </row>
    <row r="258">
      <c r="R258" s="48"/>
    </row>
    <row r="259">
      <c r="R259" s="48"/>
    </row>
    <row r="260">
      <c r="R260" s="48"/>
    </row>
    <row r="261">
      <c r="R261" s="48"/>
    </row>
    <row r="262">
      <c r="R262" s="48"/>
    </row>
    <row r="263">
      <c r="R263" s="48"/>
    </row>
    <row r="264">
      <c r="R264" s="48"/>
    </row>
    <row r="265">
      <c r="R265" s="48"/>
    </row>
    <row r="266">
      <c r="R266" s="48"/>
    </row>
    <row r="267">
      <c r="R267" s="48"/>
    </row>
    <row r="268">
      <c r="R268" s="48"/>
    </row>
    <row r="269">
      <c r="R269" s="48"/>
    </row>
    <row r="270">
      <c r="R270" s="48"/>
    </row>
    <row r="271">
      <c r="R271" s="48"/>
    </row>
    <row r="272">
      <c r="R272" s="48"/>
    </row>
    <row r="273">
      <c r="R273" s="48"/>
    </row>
    <row r="274">
      <c r="R274" s="48"/>
    </row>
    <row r="275">
      <c r="R275" s="48"/>
    </row>
    <row r="276">
      <c r="R276" s="48"/>
    </row>
    <row r="277">
      <c r="R277" s="48"/>
    </row>
    <row r="278">
      <c r="R278" s="48"/>
    </row>
    <row r="279">
      <c r="R279" s="48"/>
    </row>
    <row r="280">
      <c r="R280" s="48"/>
    </row>
    <row r="281">
      <c r="R281" s="48"/>
    </row>
    <row r="282">
      <c r="R282" s="48"/>
    </row>
    <row r="283">
      <c r="R283" s="48"/>
    </row>
    <row r="284">
      <c r="R284" s="48"/>
    </row>
    <row r="285">
      <c r="R285" s="48"/>
    </row>
    <row r="286">
      <c r="R286" s="48"/>
    </row>
    <row r="287">
      <c r="R287" s="48"/>
    </row>
    <row r="288">
      <c r="R288" s="48"/>
    </row>
    <row r="289">
      <c r="R289" s="48"/>
    </row>
    <row r="290">
      <c r="R290" s="48"/>
    </row>
    <row r="291">
      <c r="R291" s="48"/>
    </row>
    <row r="292">
      <c r="R292" s="48"/>
    </row>
    <row r="293">
      <c r="R293" s="48"/>
    </row>
    <row r="294">
      <c r="R294" s="48"/>
    </row>
    <row r="295">
      <c r="R295" s="48"/>
    </row>
    <row r="296">
      <c r="R296" s="48"/>
    </row>
    <row r="297">
      <c r="R297" s="48"/>
    </row>
    <row r="298">
      <c r="R298" s="48"/>
    </row>
    <row r="299">
      <c r="R299" s="48"/>
    </row>
    <row r="300">
      <c r="R300" s="48"/>
    </row>
    <row r="301">
      <c r="R301" s="48"/>
    </row>
    <row r="302">
      <c r="R302" s="48"/>
    </row>
    <row r="303">
      <c r="R303" s="48"/>
    </row>
    <row r="304">
      <c r="R304" s="48"/>
    </row>
    <row r="305">
      <c r="R305" s="48"/>
    </row>
    <row r="306">
      <c r="R306" s="48"/>
    </row>
    <row r="307">
      <c r="R307" s="48"/>
    </row>
    <row r="308">
      <c r="R308" s="48"/>
    </row>
    <row r="309">
      <c r="R309" s="48"/>
    </row>
    <row r="310">
      <c r="R310" s="48"/>
    </row>
    <row r="311">
      <c r="R311" s="48"/>
    </row>
    <row r="312">
      <c r="R312" s="48"/>
    </row>
    <row r="313">
      <c r="R313" s="48"/>
    </row>
    <row r="314">
      <c r="R314" s="48"/>
    </row>
    <row r="315">
      <c r="R315" s="48"/>
    </row>
    <row r="316">
      <c r="R316" s="48"/>
    </row>
    <row r="317">
      <c r="R317" s="48"/>
    </row>
    <row r="318">
      <c r="R318" s="48"/>
    </row>
    <row r="319">
      <c r="R319" s="48"/>
    </row>
    <row r="320">
      <c r="R320" s="48"/>
    </row>
    <row r="321">
      <c r="R321" s="48"/>
    </row>
    <row r="322">
      <c r="R322" s="48"/>
    </row>
    <row r="323">
      <c r="R323" s="48"/>
    </row>
    <row r="324">
      <c r="R324" s="48"/>
    </row>
    <row r="325">
      <c r="R325" s="48"/>
    </row>
    <row r="326">
      <c r="R326" s="48"/>
    </row>
    <row r="327">
      <c r="R327" s="48"/>
    </row>
    <row r="328">
      <c r="R328" s="48"/>
    </row>
    <row r="329">
      <c r="R329" s="48"/>
    </row>
    <row r="330">
      <c r="R330" s="48"/>
    </row>
    <row r="331">
      <c r="R331" s="48"/>
    </row>
    <row r="332">
      <c r="R332" s="48"/>
    </row>
    <row r="333">
      <c r="R333" s="48"/>
    </row>
    <row r="334">
      <c r="R334" s="48"/>
    </row>
    <row r="335">
      <c r="R335" s="48"/>
    </row>
    <row r="336">
      <c r="R336" s="48"/>
    </row>
    <row r="337">
      <c r="R337" s="48"/>
    </row>
    <row r="338">
      <c r="R338" s="48"/>
    </row>
    <row r="339">
      <c r="R339" s="48"/>
    </row>
    <row r="340">
      <c r="R340" s="48"/>
    </row>
    <row r="341">
      <c r="R341" s="48"/>
    </row>
    <row r="342">
      <c r="R342" s="48"/>
    </row>
    <row r="343">
      <c r="R343" s="48"/>
    </row>
    <row r="344">
      <c r="R344" s="48"/>
    </row>
    <row r="345">
      <c r="R345" s="48"/>
    </row>
    <row r="346">
      <c r="R346" s="48"/>
    </row>
    <row r="347">
      <c r="R347" s="48"/>
    </row>
    <row r="348">
      <c r="R348" s="48"/>
    </row>
    <row r="349">
      <c r="R349" s="48"/>
    </row>
    <row r="350">
      <c r="R350" s="48"/>
    </row>
    <row r="351">
      <c r="R351" s="48"/>
    </row>
    <row r="352">
      <c r="R352" s="48"/>
    </row>
    <row r="353">
      <c r="R353" s="48"/>
    </row>
    <row r="354">
      <c r="R354" s="48"/>
    </row>
    <row r="355">
      <c r="R355" s="48"/>
    </row>
    <row r="356">
      <c r="R356" s="48"/>
    </row>
    <row r="357">
      <c r="R357" s="48"/>
    </row>
    <row r="358">
      <c r="R358" s="48"/>
    </row>
    <row r="359">
      <c r="R359" s="48"/>
    </row>
    <row r="360">
      <c r="R360" s="48"/>
    </row>
    <row r="361">
      <c r="R361" s="48"/>
    </row>
    <row r="362">
      <c r="R362" s="48"/>
    </row>
    <row r="363">
      <c r="R363" s="48"/>
    </row>
    <row r="364">
      <c r="R364" s="48"/>
    </row>
    <row r="365">
      <c r="R365" s="48"/>
    </row>
    <row r="366">
      <c r="R366" s="48"/>
    </row>
    <row r="367">
      <c r="R367" s="48"/>
    </row>
    <row r="368">
      <c r="R368" s="48"/>
    </row>
    <row r="369">
      <c r="R369" s="48"/>
    </row>
    <row r="370">
      <c r="R370" s="48"/>
    </row>
    <row r="371">
      <c r="R371" s="48"/>
    </row>
    <row r="372">
      <c r="R372" s="48"/>
    </row>
    <row r="373">
      <c r="R373" s="48"/>
    </row>
    <row r="374">
      <c r="R374" s="48"/>
    </row>
    <row r="375">
      <c r="R375" s="48"/>
    </row>
    <row r="376">
      <c r="R376" s="48"/>
    </row>
    <row r="377">
      <c r="R377" s="48"/>
    </row>
    <row r="378">
      <c r="R378" s="48"/>
    </row>
    <row r="379">
      <c r="R379" s="48"/>
    </row>
    <row r="380">
      <c r="R380" s="48"/>
    </row>
    <row r="381">
      <c r="R381" s="48"/>
    </row>
    <row r="382">
      <c r="R382" s="48"/>
    </row>
    <row r="383">
      <c r="R383" s="48"/>
    </row>
    <row r="384">
      <c r="R384" s="48"/>
    </row>
    <row r="385">
      <c r="R385" s="48"/>
    </row>
    <row r="386">
      <c r="R386" s="48"/>
    </row>
    <row r="387">
      <c r="R387" s="48"/>
    </row>
    <row r="388">
      <c r="R388" s="48"/>
    </row>
    <row r="389">
      <c r="R389" s="48"/>
    </row>
    <row r="390">
      <c r="R390" s="48"/>
    </row>
    <row r="391">
      <c r="R391" s="48"/>
    </row>
    <row r="392">
      <c r="R392" s="48"/>
    </row>
    <row r="393">
      <c r="R393" s="48"/>
    </row>
    <row r="394">
      <c r="R394" s="48"/>
    </row>
    <row r="395">
      <c r="R395" s="48"/>
    </row>
    <row r="396">
      <c r="R396" s="48"/>
    </row>
    <row r="397">
      <c r="R397" s="48"/>
    </row>
    <row r="398">
      <c r="R398" s="48"/>
    </row>
    <row r="399">
      <c r="R399" s="48"/>
    </row>
    <row r="400">
      <c r="R400" s="48"/>
    </row>
    <row r="401">
      <c r="R401" s="48"/>
    </row>
    <row r="402">
      <c r="R402" s="48"/>
    </row>
    <row r="403">
      <c r="R403" s="48"/>
    </row>
    <row r="404">
      <c r="R404" s="48"/>
    </row>
    <row r="405">
      <c r="R405" s="48"/>
    </row>
    <row r="406">
      <c r="R406" s="48"/>
    </row>
    <row r="407">
      <c r="R407" s="48"/>
    </row>
    <row r="408">
      <c r="R408" s="48"/>
    </row>
    <row r="409">
      <c r="R409" s="48"/>
    </row>
    <row r="410">
      <c r="R410" s="48"/>
    </row>
    <row r="411">
      <c r="R411" s="48"/>
    </row>
    <row r="412">
      <c r="R412" s="48"/>
    </row>
    <row r="413">
      <c r="R413" s="48"/>
    </row>
    <row r="414">
      <c r="R414" s="48"/>
    </row>
    <row r="415">
      <c r="R415" s="48"/>
    </row>
    <row r="416">
      <c r="R416" s="48"/>
    </row>
    <row r="417">
      <c r="R417" s="48"/>
    </row>
    <row r="418">
      <c r="R418" s="48"/>
    </row>
    <row r="419">
      <c r="R419" s="48"/>
    </row>
    <row r="420">
      <c r="R420" s="48"/>
    </row>
    <row r="421">
      <c r="R421" s="48"/>
    </row>
    <row r="422">
      <c r="R422" s="48"/>
    </row>
    <row r="423">
      <c r="R423" s="48"/>
    </row>
    <row r="424">
      <c r="R424" s="48"/>
    </row>
    <row r="425">
      <c r="R425" s="48"/>
    </row>
    <row r="426">
      <c r="R426" s="48"/>
    </row>
    <row r="427">
      <c r="R427" s="48"/>
    </row>
    <row r="428">
      <c r="R428" s="48"/>
    </row>
    <row r="429">
      <c r="R429" s="48"/>
    </row>
    <row r="430">
      <c r="R430" s="48"/>
    </row>
    <row r="431">
      <c r="R431" s="48"/>
    </row>
    <row r="432">
      <c r="R432" s="48"/>
    </row>
    <row r="433">
      <c r="R433" s="48"/>
    </row>
    <row r="434">
      <c r="R434" s="48"/>
    </row>
    <row r="435">
      <c r="R435" s="48"/>
    </row>
    <row r="436">
      <c r="R436" s="48"/>
    </row>
    <row r="437">
      <c r="R437" s="48"/>
    </row>
    <row r="438">
      <c r="R438" s="48"/>
    </row>
    <row r="439">
      <c r="R439" s="48"/>
    </row>
    <row r="440">
      <c r="R440" s="48"/>
    </row>
    <row r="441">
      <c r="R441" s="48"/>
    </row>
    <row r="442">
      <c r="R442" s="48"/>
    </row>
    <row r="443">
      <c r="R443" s="48"/>
    </row>
    <row r="444">
      <c r="R444" s="48"/>
    </row>
    <row r="445">
      <c r="R445" s="48"/>
    </row>
    <row r="446">
      <c r="R446" s="48"/>
    </row>
    <row r="447">
      <c r="R447" s="48"/>
    </row>
    <row r="448">
      <c r="R448" s="48"/>
    </row>
    <row r="449">
      <c r="R449" s="48"/>
    </row>
    <row r="450">
      <c r="R450" s="48"/>
    </row>
    <row r="451">
      <c r="R451" s="48"/>
    </row>
    <row r="452">
      <c r="R452" s="48"/>
    </row>
    <row r="453">
      <c r="R453" s="48"/>
    </row>
    <row r="454">
      <c r="R454" s="48"/>
    </row>
    <row r="455">
      <c r="R455" s="48"/>
    </row>
    <row r="456">
      <c r="R456" s="48"/>
    </row>
    <row r="457">
      <c r="R457" s="48"/>
    </row>
    <row r="458">
      <c r="R458" s="48"/>
    </row>
    <row r="459">
      <c r="R459" s="48"/>
    </row>
    <row r="460">
      <c r="R460" s="48"/>
    </row>
    <row r="461">
      <c r="R461" s="48"/>
    </row>
    <row r="462">
      <c r="R462" s="48"/>
    </row>
    <row r="463">
      <c r="R463" s="48"/>
    </row>
    <row r="464">
      <c r="R464" s="48"/>
    </row>
    <row r="465">
      <c r="R465" s="48"/>
    </row>
    <row r="466">
      <c r="R466" s="48"/>
    </row>
    <row r="467">
      <c r="R467" s="48"/>
    </row>
    <row r="468">
      <c r="R468" s="48"/>
    </row>
    <row r="469">
      <c r="R469" s="48"/>
    </row>
    <row r="470">
      <c r="R470" s="48"/>
    </row>
    <row r="471">
      <c r="R471" s="48"/>
    </row>
    <row r="472">
      <c r="R472" s="48"/>
    </row>
    <row r="473">
      <c r="R473" s="48"/>
    </row>
    <row r="474">
      <c r="R474" s="48"/>
    </row>
    <row r="475">
      <c r="R475" s="48"/>
    </row>
    <row r="476">
      <c r="R476" s="48"/>
    </row>
    <row r="477">
      <c r="R477" s="48"/>
    </row>
    <row r="478">
      <c r="R478" s="48"/>
    </row>
    <row r="479">
      <c r="R479" s="48"/>
    </row>
    <row r="480">
      <c r="R480" s="48"/>
    </row>
    <row r="481">
      <c r="R481" s="48"/>
    </row>
    <row r="482">
      <c r="R482" s="48"/>
    </row>
    <row r="483">
      <c r="R483" s="48"/>
    </row>
    <row r="484">
      <c r="R484" s="48"/>
    </row>
    <row r="485">
      <c r="R485" s="48"/>
    </row>
    <row r="486">
      <c r="R486" s="48"/>
    </row>
    <row r="487">
      <c r="R487" s="48"/>
    </row>
    <row r="488">
      <c r="R488" s="48"/>
    </row>
    <row r="489">
      <c r="R489" s="48"/>
    </row>
    <row r="490">
      <c r="R490" s="48"/>
    </row>
    <row r="491">
      <c r="R491" s="48"/>
    </row>
    <row r="492">
      <c r="R492" s="48"/>
    </row>
    <row r="493">
      <c r="R493" s="48"/>
    </row>
    <row r="494">
      <c r="R494" s="48"/>
    </row>
    <row r="495">
      <c r="R495" s="48"/>
    </row>
    <row r="496">
      <c r="R496" s="48"/>
    </row>
    <row r="497">
      <c r="R497" s="48"/>
    </row>
    <row r="498">
      <c r="R498" s="48"/>
    </row>
    <row r="499">
      <c r="R499" s="48"/>
    </row>
    <row r="500">
      <c r="R500" s="48"/>
    </row>
    <row r="501">
      <c r="R501" s="48"/>
    </row>
    <row r="502">
      <c r="R502" s="48"/>
    </row>
    <row r="503">
      <c r="R503" s="48"/>
    </row>
    <row r="504">
      <c r="R504" s="48"/>
    </row>
    <row r="505">
      <c r="R505" s="48"/>
    </row>
    <row r="506">
      <c r="R506" s="48"/>
    </row>
    <row r="507">
      <c r="R507" s="48"/>
    </row>
    <row r="508">
      <c r="R508" s="48"/>
    </row>
    <row r="509">
      <c r="R509" s="48"/>
    </row>
    <row r="510">
      <c r="R510" s="48"/>
    </row>
    <row r="511">
      <c r="R511" s="48"/>
    </row>
    <row r="512">
      <c r="R512" s="48"/>
    </row>
    <row r="513">
      <c r="R513" s="48"/>
    </row>
    <row r="514">
      <c r="R514" s="48"/>
    </row>
    <row r="515">
      <c r="R515" s="48"/>
    </row>
    <row r="516">
      <c r="R516" s="48"/>
    </row>
    <row r="517">
      <c r="R517" s="48"/>
    </row>
    <row r="518">
      <c r="R518" s="48"/>
    </row>
    <row r="519">
      <c r="R519" s="48"/>
    </row>
    <row r="520">
      <c r="R520" s="48"/>
    </row>
    <row r="521">
      <c r="R521" s="48"/>
    </row>
    <row r="522">
      <c r="R522" s="48"/>
    </row>
    <row r="523">
      <c r="R523" s="48"/>
    </row>
    <row r="524">
      <c r="R524" s="48"/>
    </row>
    <row r="525">
      <c r="R525" s="48"/>
    </row>
    <row r="526">
      <c r="R526" s="48"/>
    </row>
    <row r="527">
      <c r="R527" s="48"/>
    </row>
    <row r="528">
      <c r="R528" s="48"/>
    </row>
    <row r="529">
      <c r="R529" s="48"/>
    </row>
    <row r="530">
      <c r="R530" s="48"/>
    </row>
    <row r="531">
      <c r="R531" s="48"/>
    </row>
    <row r="532">
      <c r="R532" s="48"/>
    </row>
    <row r="533">
      <c r="R533" s="48"/>
    </row>
    <row r="534">
      <c r="R534" s="48"/>
    </row>
    <row r="535">
      <c r="R535" s="48"/>
    </row>
    <row r="536">
      <c r="R536" s="48"/>
    </row>
    <row r="537">
      <c r="R537" s="48"/>
    </row>
    <row r="538">
      <c r="R538" s="48"/>
    </row>
    <row r="539">
      <c r="R539" s="48"/>
    </row>
    <row r="540">
      <c r="R540" s="48"/>
    </row>
    <row r="541">
      <c r="R541" s="48"/>
    </row>
    <row r="542">
      <c r="R542" s="48"/>
    </row>
    <row r="543">
      <c r="R543" s="48"/>
    </row>
    <row r="544">
      <c r="R544" s="48"/>
    </row>
    <row r="545">
      <c r="R545" s="48"/>
    </row>
    <row r="546">
      <c r="R546" s="48"/>
    </row>
    <row r="547">
      <c r="R547" s="48"/>
    </row>
    <row r="548">
      <c r="R548" s="48"/>
    </row>
    <row r="549">
      <c r="R549" s="48"/>
    </row>
    <row r="550">
      <c r="R550" s="48"/>
    </row>
    <row r="551">
      <c r="R551" s="48"/>
    </row>
    <row r="552">
      <c r="R552" s="48"/>
    </row>
    <row r="553">
      <c r="R553" s="48"/>
    </row>
    <row r="554">
      <c r="R554" s="48"/>
    </row>
    <row r="555">
      <c r="R555" s="48"/>
    </row>
    <row r="556">
      <c r="R556" s="48"/>
    </row>
    <row r="557">
      <c r="R557" s="48"/>
    </row>
    <row r="558">
      <c r="R558" s="48"/>
    </row>
    <row r="559">
      <c r="R559" s="48"/>
    </row>
    <row r="560">
      <c r="R560" s="48"/>
    </row>
    <row r="561">
      <c r="R561" s="48"/>
    </row>
    <row r="562">
      <c r="R562" s="48"/>
    </row>
    <row r="563">
      <c r="R563" s="48"/>
    </row>
    <row r="564">
      <c r="R564" s="48"/>
    </row>
    <row r="565">
      <c r="R565" s="48"/>
    </row>
    <row r="566">
      <c r="R566" s="48"/>
    </row>
    <row r="567">
      <c r="R567" s="48"/>
    </row>
    <row r="568">
      <c r="R568" s="48"/>
    </row>
    <row r="569">
      <c r="R569" s="48"/>
    </row>
    <row r="570">
      <c r="R570" s="48"/>
    </row>
    <row r="571">
      <c r="R571" s="48"/>
    </row>
    <row r="572">
      <c r="R572" s="48"/>
    </row>
    <row r="573">
      <c r="R573" s="48"/>
    </row>
    <row r="574">
      <c r="R574" s="48"/>
    </row>
    <row r="575">
      <c r="R575" s="48"/>
    </row>
    <row r="576">
      <c r="R576" s="48"/>
    </row>
    <row r="577">
      <c r="R577" s="48"/>
    </row>
    <row r="578">
      <c r="R578" s="48"/>
    </row>
    <row r="579">
      <c r="R579" s="48"/>
    </row>
    <row r="580">
      <c r="R580" s="48"/>
    </row>
    <row r="581">
      <c r="R581" s="48"/>
    </row>
    <row r="582">
      <c r="R582" s="48"/>
    </row>
    <row r="583">
      <c r="R583" s="48"/>
    </row>
    <row r="584">
      <c r="R584" s="48"/>
    </row>
    <row r="585">
      <c r="R585" s="48"/>
    </row>
    <row r="586">
      <c r="R586" s="48"/>
    </row>
    <row r="587">
      <c r="R587" s="48"/>
    </row>
    <row r="588">
      <c r="R588" s="48"/>
    </row>
    <row r="589">
      <c r="R589" s="48"/>
    </row>
    <row r="590">
      <c r="R590" s="48"/>
    </row>
    <row r="591">
      <c r="R591" s="48"/>
    </row>
    <row r="592">
      <c r="R592" s="48"/>
    </row>
    <row r="593">
      <c r="R593" s="48"/>
    </row>
    <row r="594">
      <c r="R594" s="48"/>
    </row>
    <row r="595">
      <c r="R595" s="48"/>
    </row>
    <row r="596">
      <c r="R596" s="48"/>
    </row>
    <row r="597">
      <c r="R597" s="48"/>
    </row>
    <row r="598">
      <c r="R598" s="48"/>
    </row>
    <row r="599">
      <c r="R599" s="48"/>
    </row>
    <row r="600">
      <c r="R600" s="48"/>
    </row>
    <row r="601">
      <c r="R601" s="48"/>
    </row>
    <row r="602">
      <c r="R602" s="48"/>
    </row>
    <row r="603">
      <c r="R603" s="48"/>
    </row>
    <row r="604">
      <c r="R604" s="48"/>
    </row>
    <row r="605">
      <c r="R605" s="48"/>
    </row>
    <row r="606">
      <c r="R606" s="48"/>
    </row>
    <row r="607">
      <c r="R607" s="48"/>
    </row>
    <row r="608">
      <c r="R608" s="48"/>
    </row>
    <row r="609">
      <c r="R609" s="48"/>
    </row>
    <row r="610">
      <c r="R610" s="48"/>
    </row>
    <row r="611">
      <c r="R611" s="48"/>
    </row>
    <row r="612">
      <c r="R612" s="48"/>
    </row>
    <row r="613">
      <c r="R613" s="48"/>
    </row>
    <row r="614">
      <c r="R614" s="48"/>
    </row>
    <row r="615">
      <c r="R615" s="48"/>
    </row>
    <row r="616">
      <c r="R616" s="48"/>
    </row>
    <row r="617">
      <c r="R617" s="48"/>
    </row>
    <row r="618">
      <c r="R618" s="48"/>
    </row>
    <row r="619">
      <c r="R619" s="48"/>
    </row>
    <row r="620">
      <c r="R620" s="48"/>
    </row>
    <row r="621">
      <c r="R621" s="48"/>
    </row>
    <row r="622">
      <c r="R622" s="48"/>
    </row>
    <row r="623">
      <c r="R623" s="48"/>
    </row>
    <row r="624">
      <c r="R624" s="48"/>
    </row>
    <row r="625">
      <c r="R625" s="48"/>
    </row>
    <row r="626">
      <c r="R626" s="48"/>
    </row>
    <row r="627">
      <c r="R627" s="48"/>
    </row>
    <row r="628">
      <c r="R628" s="48"/>
    </row>
    <row r="629">
      <c r="R629" s="48"/>
    </row>
    <row r="630">
      <c r="R630" s="48"/>
    </row>
    <row r="631">
      <c r="R631" s="48"/>
    </row>
    <row r="632">
      <c r="R632" s="48"/>
    </row>
    <row r="633">
      <c r="R633" s="48"/>
    </row>
    <row r="634">
      <c r="R634" s="48"/>
    </row>
    <row r="635">
      <c r="R635" s="48"/>
    </row>
    <row r="636">
      <c r="R636" s="48"/>
    </row>
    <row r="637">
      <c r="R637" s="48"/>
    </row>
    <row r="638">
      <c r="R638" s="48"/>
    </row>
    <row r="639">
      <c r="R639" s="48"/>
    </row>
    <row r="640">
      <c r="R640" s="48"/>
    </row>
    <row r="641">
      <c r="R641" s="48"/>
    </row>
    <row r="642">
      <c r="R642" s="48"/>
    </row>
    <row r="643">
      <c r="R643" s="48"/>
    </row>
    <row r="644">
      <c r="R644" s="48"/>
    </row>
    <row r="645">
      <c r="R645" s="48"/>
    </row>
    <row r="646">
      <c r="R646" s="48"/>
    </row>
    <row r="647">
      <c r="R647" s="48"/>
    </row>
    <row r="648">
      <c r="R648" s="48"/>
    </row>
    <row r="649">
      <c r="R649" s="48"/>
    </row>
    <row r="650">
      <c r="R650" s="48"/>
    </row>
    <row r="651">
      <c r="R651" s="48"/>
    </row>
    <row r="652">
      <c r="R652" s="48"/>
    </row>
    <row r="653">
      <c r="R653" s="48"/>
    </row>
    <row r="654">
      <c r="R654" s="48"/>
    </row>
    <row r="655">
      <c r="R655" s="48"/>
    </row>
    <row r="656">
      <c r="R656" s="48"/>
    </row>
    <row r="657">
      <c r="R657" s="48"/>
    </row>
    <row r="658">
      <c r="R658" s="48"/>
    </row>
    <row r="659">
      <c r="R659" s="48"/>
    </row>
    <row r="660">
      <c r="R660" s="48"/>
    </row>
    <row r="661">
      <c r="R661" s="48"/>
    </row>
    <row r="662">
      <c r="R662" s="48"/>
    </row>
    <row r="663">
      <c r="R663" s="48"/>
    </row>
    <row r="664">
      <c r="R664" s="48"/>
    </row>
    <row r="665">
      <c r="R665" s="48"/>
    </row>
    <row r="666">
      <c r="R666" s="48"/>
    </row>
    <row r="667">
      <c r="R667" s="48"/>
    </row>
    <row r="668">
      <c r="R668" s="48"/>
    </row>
    <row r="669">
      <c r="R669" s="48"/>
    </row>
    <row r="670">
      <c r="R670" s="48"/>
    </row>
    <row r="671">
      <c r="R671" s="48"/>
    </row>
    <row r="672">
      <c r="R672" s="48"/>
    </row>
    <row r="673">
      <c r="R673" s="48"/>
    </row>
    <row r="674">
      <c r="R674" s="48"/>
    </row>
    <row r="675">
      <c r="R675" s="48"/>
    </row>
    <row r="676">
      <c r="R676" s="48"/>
    </row>
    <row r="677">
      <c r="R677" s="48"/>
    </row>
    <row r="678">
      <c r="R678" s="48"/>
    </row>
    <row r="679">
      <c r="R679" s="48"/>
    </row>
    <row r="680">
      <c r="R680" s="48"/>
    </row>
    <row r="681">
      <c r="R681" s="48"/>
    </row>
    <row r="682">
      <c r="R682" s="48"/>
    </row>
    <row r="683">
      <c r="R683" s="48"/>
    </row>
    <row r="684">
      <c r="R684" s="48"/>
    </row>
    <row r="685">
      <c r="R685" s="48"/>
    </row>
    <row r="686">
      <c r="R686" s="48"/>
    </row>
    <row r="687">
      <c r="R687" s="48"/>
    </row>
    <row r="688">
      <c r="R688" s="48"/>
    </row>
    <row r="689">
      <c r="R689" s="48"/>
    </row>
    <row r="690">
      <c r="R690" s="48"/>
    </row>
    <row r="691">
      <c r="R691" s="48"/>
    </row>
    <row r="692">
      <c r="R692" s="48"/>
    </row>
    <row r="693">
      <c r="R693" s="48"/>
    </row>
    <row r="694">
      <c r="R694" s="48"/>
    </row>
    <row r="695">
      <c r="R695" s="48"/>
    </row>
    <row r="696">
      <c r="R696" s="48"/>
    </row>
    <row r="697">
      <c r="R697" s="48"/>
    </row>
    <row r="698">
      <c r="R698" s="48"/>
    </row>
    <row r="699">
      <c r="R699" s="48"/>
    </row>
    <row r="700">
      <c r="R700" s="48"/>
    </row>
    <row r="701">
      <c r="R701" s="48"/>
    </row>
    <row r="702">
      <c r="R702" s="48"/>
    </row>
    <row r="703">
      <c r="R703" s="48"/>
    </row>
    <row r="704">
      <c r="R704" s="48"/>
    </row>
    <row r="705">
      <c r="R705" s="48"/>
    </row>
    <row r="706">
      <c r="R706" s="48"/>
    </row>
    <row r="707">
      <c r="R707" s="48"/>
    </row>
    <row r="708">
      <c r="R708" s="48"/>
    </row>
    <row r="709">
      <c r="R709" s="48"/>
    </row>
    <row r="710">
      <c r="R710" s="48"/>
    </row>
    <row r="711">
      <c r="R711" s="48"/>
    </row>
    <row r="712">
      <c r="R712" s="48"/>
    </row>
    <row r="713">
      <c r="R713" s="48"/>
    </row>
    <row r="714">
      <c r="R714" s="48"/>
    </row>
    <row r="715">
      <c r="R715" s="48"/>
    </row>
    <row r="716">
      <c r="R716" s="48"/>
    </row>
    <row r="717">
      <c r="R717" s="48"/>
    </row>
    <row r="718">
      <c r="R718" s="48"/>
    </row>
    <row r="719">
      <c r="R719" s="48"/>
    </row>
    <row r="720">
      <c r="R720" s="48"/>
    </row>
    <row r="721">
      <c r="R721" s="48"/>
    </row>
    <row r="722">
      <c r="R722" s="48"/>
    </row>
    <row r="723">
      <c r="R723" s="48"/>
    </row>
    <row r="724">
      <c r="R724" s="48"/>
    </row>
    <row r="725">
      <c r="R725" s="48"/>
    </row>
    <row r="726">
      <c r="R726" s="48"/>
    </row>
    <row r="727">
      <c r="R727" s="48"/>
    </row>
    <row r="728">
      <c r="R728" s="48"/>
    </row>
    <row r="729">
      <c r="R729" s="48"/>
    </row>
    <row r="730">
      <c r="R730" s="48"/>
    </row>
    <row r="731">
      <c r="R731" s="48"/>
    </row>
    <row r="732">
      <c r="R732" s="48"/>
    </row>
    <row r="733">
      <c r="R733" s="48"/>
    </row>
    <row r="734">
      <c r="R734" s="48"/>
    </row>
    <row r="735">
      <c r="R735" s="48"/>
    </row>
    <row r="736">
      <c r="R736" s="48"/>
    </row>
    <row r="737">
      <c r="R737" s="48"/>
    </row>
    <row r="738">
      <c r="R738" s="48"/>
    </row>
    <row r="739">
      <c r="R739" s="48"/>
    </row>
    <row r="740">
      <c r="R740" s="48"/>
    </row>
    <row r="741">
      <c r="R741" s="48"/>
    </row>
    <row r="742">
      <c r="R742" s="48"/>
    </row>
    <row r="743">
      <c r="R743" s="48"/>
    </row>
    <row r="744">
      <c r="R744" s="48"/>
    </row>
    <row r="745">
      <c r="R745" s="48"/>
    </row>
    <row r="746">
      <c r="R746" s="48"/>
    </row>
    <row r="747">
      <c r="R747" s="48"/>
    </row>
    <row r="748">
      <c r="R748" s="48"/>
    </row>
    <row r="749">
      <c r="R749" s="48"/>
    </row>
    <row r="750">
      <c r="R750" s="48"/>
    </row>
    <row r="751">
      <c r="R751" s="48"/>
    </row>
    <row r="752">
      <c r="R752" s="48"/>
    </row>
    <row r="753">
      <c r="R753" s="48"/>
    </row>
    <row r="754">
      <c r="R754" s="48"/>
    </row>
    <row r="755">
      <c r="R755" s="48"/>
    </row>
    <row r="756">
      <c r="R756" s="48"/>
    </row>
    <row r="757">
      <c r="R757" s="48"/>
    </row>
    <row r="758">
      <c r="R758" s="48"/>
    </row>
    <row r="759">
      <c r="R759" s="48"/>
    </row>
    <row r="760">
      <c r="R760" s="48"/>
    </row>
    <row r="761">
      <c r="R761" s="48"/>
    </row>
    <row r="762">
      <c r="R762" s="48"/>
    </row>
    <row r="763">
      <c r="R763" s="48"/>
    </row>
    <row r="764">
      <c r="R764" s="48"/>
    </row>
    <row r="765">
      <c r="R765" s="48"/>
    </row>
    <row r="766">
      <c r="R766" s="48"/>
    </row>
    <row r="767">
      <c r="R767" s="48"/>
    </row>
    <row r="768">
      <c r="R768" s="48"/>
    </row>
    <row r="769">
      <c r="R769" s="48"/>
    </row>
    <row r="770">
      <c r="R770" s="48"/>
    </row>
    <row r="771">
      <c r="R771" s="48"/>
    </row>
    <row r="772">
      <c r="R772" s="48"/>
    </row>
    <row r="773">
      <c r="R773" s="48"/>
    </row>
    <row r="774">
      <c r="R774" s="48"/>
    </row>
    <row r="775">
      <c r="R775" s="48"/>
    </row>
    <row r="776">
      <c r="R776" s="48"/>
    </row>
    <row r="777">
      <c r="R777" s="48"/>
    </row>
    <row r="778">
      <c r="R778" s="48"/>
    </row>
    <row r="779">
      <c r="R779" s="48"/>
    </row>
    <row r="780">
      <c r="R780" s="48"/>
    </row>
    <row r="781">
      <c r="R781" s="48"/>
    </row>
    <row r="782">
      <c r="R782" s="48"/>
    </row>
    <row r="783">
      <c r="R783" s="48"/>
    </row>
    <row r="784">
      <c r="R784" s="48"/>
    </row>
    <row r="785">
      <c r="R785" s="48"/>
    </row>
    <row r="786">
      <c r="R786" s="48"/>
    </row>
    <row r="787">
      <c r="R787" s="48"/>
    </row>
    <row r="788">
      <c r="R788" s="48"/>
    </row>
    <row r="789">
      <c r="R789" s="48"/>
    </row>
    <row r="790">
      <c r="R790" s="48"/>
    </row>
    <row r="791">
      <c r="R791" s="48"/>
    </row>
    <row r="792">
      <c r="R792" s="48"/>
    </row>
    <row r="793">
      <c r="R793" s="48"/>
    </row>
    <row r="794">
      <c r="R794" s="48"/>
    </row>
    <row r="795">
      <c r="R795" s="48"/>
    </row>
    <row r="796">
      <c r="R796" s="48"/>
    </row>
    <row r="797">
      <c r="R797" s="48"/>
    </row>
    <row r="798">
      <c r="R798" s="48"/>
    </row>
    <row r="799">
      <c r="R799" s="48"/>
    </row>
    <row r="800">
      <c r="R800" s="48"/>
    </row>
    <row r="801">
      <c r="R801" s="48"/>
    </row>
    <row r="802">
      <c r="R802" s="48"/>
    </row>
    <row r="803">
      <c r="R803" s="48"/>
    </row>
    <row r="804">
      <c r="R804" s="48"/>
    </row>
    <row r="805">
      <c r="R805" s="48"/>
    </row>
    <row r="806">
      <c r="R806" s="48"/>
    </row>
    <row r="807">
      <c r="R807" s="48"/>
    </row>
    <row r="808">
      <c r="R808" s="48"/>
    </row>
    <row r="809">
      <c r="R809" s="48"/>
    </row>
    <row r="810">
      <c r="R810" s="48"/>
    </row>
    <row r="811">
      <c r="R811" s="48"/>
    </row>
    <row r="812">
      <c r="R812" s="48"/>
    </row>
    <row r="813">
      <c r="R813" s="48"/>
    </row>
    <row r="814">
      <c r="R814" s="48"/>
    </row>
    <row r="815">
      <c r="R815" s="48"/>
    </row>
    <row r="816">
      <c r="R816" s="48"/>
    </row>
    <row r="817">
      <c r="R817" s="48"/>
    </row>
    <row r="818">
      <c r="R818" s="48"/>
    </row>
    <row r="819">
      <c r="R819" s="48"/>
    </row>
    <row r="820">
      <c r="R820" s="48"/>
    </row>
    <row r="821">
      <c r="R821" s="48"/>
    </row>
    <row r="822">
      <c r="R822" s="48"/>
    </row>
    <row r="823">
      <c r="R823" s="48"/>
    </row>
    <row r="824">
      <c r="R824" s="48"/>
    </row>
    <row r="825">
      <c r="R825" s="48"/>
    </row>
    <row r="826">
      <c r="R826" s="48"/>
    </row>
    <row r="827">
      <c r="R827" s="48"/>
    </row>
    <row r="828">
      <c r="R828" s="48"/>
    </row>
    <row r="829">
      <c r="R829" s="48"/>
    </row>
    <row r="830">
      <c r="R830" s="48"/>
    </row>
    <row r="831">
      <c r="R831" s="48"/>
    </row>
    <row r="832">
      <c r="R832" s="48"/>
    </row>
    <row r="833">
      <c r="R833" s="48"/>
    </row>
    <row r="834">
      <c r="R834" s="48"/>
    </row>
    <row r="835">
      <c r="R835" s="48"/>
    </row>
    <row r="836">
      <c r="R836" s="48"/>
    </row>
    <row r="837">
      <c r="R837" s="48"/>
    </row>
    <row r="838">
      <c r="R838" s="48"/>
    </row>
    <row r="839">
      <c r="R839" s="48"/>
    </row>
    <row r="840">
      <c r="R840" s="48"/>
    </row>
    <row r="841">
      <c r="R841" s="48"/>
    </row>
    <row r="842">
      <c r="R842" s="48"/>
    </row>
    <row r="843">
      <c r="R843" s="48"/>
    </row>
    <row r="844">
      <c r="R844" s="48"/>
    </row>
    <row r="845">
      <c r="R845" s="48"/>
    </row>
    <row r="846">
      <c r="R846" s="48"/>
    </row>
    <row r="847">
      <c r="R847" s="48"/>
    </row>
    <row r="848">
      <c r="R848" s="48"/>
    </row>
    <row r="849">
      <c r="R849" s="48"/>
    </row>
    <row r="850">
      <c r="R850" s="48"/>
    </row>
    <row r="851">
      <c r="R851" s="48"/>
    </row>
    <row r="852">
      <c r="R852" s="48"/>
    </row>
    <row r="853">
      <c r="R853" s="48"/>
    </row>
    <row r="854">
      <c r="R854" s="48"/>
    </row>
    <row r="855">
      <c r="R855" s="48"/>
    </row>
    <row r="856">
      <c r="R856" s="48"/>
    </row>
    <row r="857">
      <c r="R857" s="48"/>
    </row>
    <row r="858">
      <c r="R858" s="48"/>
    </row>
    <row r="859">
      <c r="R859" s="48"/>
    </row>
    <row r="860">
      <c r="R860" s="48"/>
    </row>
    <row r="861">
      <c r="R861" s="48"/>
    </row>
    <row r="862">
      <c r="R862" s="48"/>
    </row>
    <row r="863">
      <c r="R863" s="48"/>
    </row>
    <row r="864">
      <c r="R864" s="48"/>
    </row>
    <row r="865">
      <c r="R865" s="48"/>
    </row>
    <row r="866">
      <c r="R866" s="48"/>
    </row>
    <row r="867">
      <c r="R867" s="48"/>
    </row>
    <row r="868">
      <c r="R868" s="48"/>
    </row>
    <row r="869">
      <c r="R869" s="48"/>
    </row>
    <row r="870">
      <c r="R870" s="48"/>
    </row>
    <row r="871">
      <c r="R871" s="48"/>
    </row>
    <row r="872">
      <c r="R872" s="48"/>
    </row>
    <row r="873">
      <c r="R873" s="48"/>
    </row>
    <row r="874">
      <c r="R874" s="48"/>
    </row>
    <row r="875">
      <c r="R875" s="48"/>
    </row>
    <row r="876">
      <c r="R876" s="48"/>
    </row>
    <row r="877">
      <c r="R877" s="48"/>
    </row>
    <row r="878">
      <c r="R878" s="48"/>
    </row>
    <row r="879">
      <c r="R879" s="48"/>
    </row>
    <row r="880">
      <c r="R880" s="48"/>
    </row>
    <row r="881">
      <c r="R881" s="48"/>
    </row>
    <row r="882">
      <c r="R882" s="48"/>
    </row>
    <row r="883">
      <c r="R883" s="48"/>
    </row>
    <row r="884">
      <c r="R884" s="48"/>
    </row>
    <row r="885">
      <c r="R885" s="48"/>
    </row>
    <row r="886">
      <c r="R886" s="48"/>
    </row>
    <row r="887">
      <c r="R887" s="48"/>
    </row>
    <row r="888">
      <c r="R888" s="48"/>
    </row>
    <row r="889">
      <c r="R889" s="48"/>
    </row>
    <row r="890">
      <c r="R890" s="48"/>
    </row>
    <row r="891">
      <c r="R891" s="48"/>
    </row>
    <row r="892">
      <c r="R892" s="48"/>
    </row>
    <row r="893">
      <c r="R893" s="48"/>
    </row>
    <row r="894">
      <c r="R894" s="48"/>
    </row>
    <row r="895">
      <c r="R895" s="48"/>
    </row>
    <row r="896">
      <c r="R896" s="48"/>
    </row>
    <row r="897">
      <c r="R897" s="48"/>
    </row>
    <row r="898">
      <c r="R898" s="48"/>
    </row>
    <row r="899">
      <c r="R899" s="48"/>
    </row>
    <row r="900">
      <c r="R900" s="48"/>
    </row>
    <row r="901">
      <c r="R901" s="48"/>
    </row>
    <row r="902">
      <c r="R902" s="48"/>
    </row>
    <row r="903">
      <c r="R903" s="48"/>
    </row>
    <row r="904">
      <c r="R904" s="48"/>
    </row>
    <row r="905">
      <c r="R905" s="48"/>
    </row>
    <row r="906">
      <c r="R906" s="48"/>
    </row>
    <row r="907">
      <c r="R907" s="48"/>
    </row>
    <row r="908">
      <c r="R908" s="48"/>
    </row>
    <row r="909">
      <c r="R909" s="48"/>
    </row>
    <row r="910">
      <c r="R910" s="48"/>
    </row>
    <row r="911">
      <c r="R911" s="48"/>
    </row>
    <row r="912">
      <c r="R912" s="48"/>
    </row>
    <row r="913">
      <c r="R913" s="48"/>
    </row>
    <row r="914">
      <c r="R914" s="48"/>
    </row>
    <row r="915">
      <c r="R915" s="48"/>
    </row>
    <row r="916">
      <c r="R916" s="48"/>
    </row>
    <row r="917">
      <c r="R917" s="48"/>
    </row>
    <row r="918">
      <c r="R918" s="48"/>
    </row>
    <row r="919">
      <c r="R919" s="48"/>
    </row>
    <row r="920">
      <c r="R920" s="48"/>
    </row>
    <row r="921">
      <c r="R921" s="48"/>
    </row>
    <row r="922">
      <c r="R922" s="48"/>
    </row>
    <row r="923">
      <c r="R923" s="48"/>
    </row>
    <row r="924">
      <c r="R924" s="48"/>
    </row>
    <row r="925">
      <c r="R925" s="48"/>
    </row>
    <row r="926">
      <c r="R926" s="48"/>
    </row>
    <row r="927">
      <c r="R927" s="48"/>
    </row>
    <row r="928">
      <c r="R928" s="48"/>
    </row>
    <row r="929">
      <c r="R929" s="48"/>
    </row>
    <row r="930">
      <c r="R930" s="48"/>
    </row>
    <row r="931">
      <c r="R931" s="48"/>
    </row>
    <row r="932">
      <c r="R932" s="48"/>
    </row>
    <row r="933">
      <c r="R933" s="48"/>
    </row>
    <row r="934">
      <c r="R934" s="48"/>
    </row>
    <row r="935">
      <c r="R935" s="48"/>
    </row>
    <row r="936">
      <c r="R936" s="48"/>
    </row>
    <row r="937">
      <c r="R937" s="48"/>
    </row>
    <row r="938">
      <c r="R938" s="48"/>
    </row>
    <row r="939">
      <c r="R939" s="48"/>
    </row>
    <row r="940">
      <c r="R940" s="48"/>
    </row>
    <row r="941">
      <c r="R941" s="48"/>
    </row>
    <row r="942">
      <c r="R942" s="48"/>
    </row>
    <row r="943">
      <c r="R943" s="48"/>
    </row>
    <row r="944">
      <c r="R944" s="48"/>
    </row>
    <row r="945">
      <c r="R945" s="48"/>
    </row>
    <row r="946">
      <c r="R946" s="48"/>
    </row>
    <row r="947">
      <c r="R947" s="48"/>
    </row>
    <row r="948">
      <c r="R948" s="48"/>
    </row>
    <row r="949">
      <c r="R949" s="48"/>
    </row>
    <row r="950">
      <c r="R950" s="48"/>
    </row>
    <row r="951">
      <c r="R951" s="48"/>
    </row>
    <row r="952">
      <c r="R952" s="48"/>
    </row>
    <row r="953">
      <c r="R953" s="48"/>
    </row>
    <row r="954">
      <c r="R954" s="48"/>
    </row>
    <row r="955">
      <c r="R955" s="48"/>
    </row>
    <row r="956">
      <c r="R956" s="48"/>
    </row>
    <row r="957">
      <c r="R957" s="48"/>
    </row>
    <row r="958">
      <c r="R958" s="48"/>
    </row>
    <row r="959">
      <c r="R959" s="48"/>
    </row>
    <row r="960">
      <c r="R960" s="48"/>
    </row>
    <row r="961">
      <c r="R961" s="48"/>
    </row>
    <row r="962">
      <c r="R962" s="48"/>
    </row>
    <row r="963">
      <c r="R963" s="48"/>
    </row>
    <row r="964">
      <c r="R964" s="48"/>
    </row>
    <row r="965">
      <c r="R965" s="48"/>
    </row>
    <row r="966">
      <c r="R966" s="48"/>
    </row>
    <row r="967">
      <c r="R967" s="48"/>
    </row>
    <row r="968">
      <c r="R968" s="48"/>
    </row>
    <row r="969">
      <c r="R969" s="48"/>
    </row>
    <row r="970">
      <c r="R970" s="48"/>
    </row>
    <row r="971">
      <c r="R971" s="48"/>
    </row>
    <row r="972">
      <c r="R972" s="48"/>
    </row>
    <row r="973">
      <c r="R973" s="48"/>
    </row>
    <row r="974">
      <c r="R974" s="48"/>
    </row>
    <row r="975">
      <c r="R975" s="48"/>
    </row>
    <row r="976">
      <c r="R976" s="48"/>
    </row>
    <row r="977">
      <c r="R977" s="48"/>
    </row>
    <row r="978">
      <c r="R978" s="48"/>
    </row>
    <row r="979">
      <c r="R979" s="48"/>
    </row>
    <row r="980">
      <c r="R980" s="48"/>
    </row>
    <row r="981">
      <c r="R981" s="48"/>
    </row>
    <row r="982">
      <c r="R982" s="48"/>
    </row>
    <row r="983">
      <c r="R983" s="48"/>
    </row>
    <row r="984">
      <c r="R984" s="48"/>
    </row>
    <row r="985">
      <c r="R985" s="48"/>
    </row>
    <row r="986">
      <c r="R986" s="48"/>
    </row>
    <row r="987">
      <c r="R987" s="48"/>
    </row>
    <row r="988">
      <c r="R988" s="48"/>
    </row>
    <row r="989">
      <c r="R989" s="48"/>
    </row>
    <row r="990">
      <c r="R990" s="48"/>
    </row>
    <row r="991">
      <c r="R991" s="48"/>
    </row>
    <row r="992">
      <c r="R992" s="48"/>
    </row>
    <row r="993">
      <c r="R993" s="48"/>
    </row>
    <row r="994">
      <c r="R994" s="48"/>
    </row>
    <row r="995">
      <c r="R995" s="48"/>
    </row>
    <row r="996">
      <c r="R996" s="48"/>
    </row>
    <row r="997">
      <c r="R997" s="48"/>
    </row>
    <row r="998">
      <c r="R998" s="48"/>
    </row>
    <row r="999">
      <c r="R999" s="48"/>
    </row>
    <row r="1000">
      <c r="R1000" s="4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7" t="str">
        <f>IFERROR(__xludf.DUMMYFUNCTION("importrange(""https://docs.google.com/spreadsheets/d/1hK0jk5BFSLWLXys9eH6QHx-fT4xhwbar-X_Hc4Ltm8w/edit?gid=288195509#gid=288195509"",""A1:B54"")"),"Cliente")</f>
        <v>Cliente</v>
      </c>
      <c r="B1" s="47" t="str">
        <f>IFERROR(__xludf.DUMMYFUNCTION("""COMPUTED_VALUE"""),"Valor de compra")</f>
        <v>Valor de compra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>
      <c r="A2" s="49" t="str">
        <f>IFERROR(__xludf.DUMMYFUNCTION("""COMPUTED_VALUE"""),"Thiago")</f>
        <v>Thiago</v>
      </c>
      <c r="B2" s="52">
        <f>IFERROR(__xludf.DUMMYFUNCTION("""COMPUTED_VALUE"""),1780.0)</f>
        <v>1780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ht="18.0" customHeight="1">
      <c r="A3" s="65" t="str">
        <f>IFERROR(__xludf.DUMMYFUNCTION("""COMPUTED_VALUE"""),"Ricardo")</f>
        <v>Ricardo</v>
      </c>
      <c r="B3" s="66">
        <f>IFERROR(__xludf.DUMMYFUNCTION("""COMPUTED_VALUE"""),1322.0)</f>
        <v>1322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>
      <c r="A4" s="49" t="str">
        <f>IFERROR(__xludf.DUMMYFUNCTION("""COMPUTED_VALUE"""),"Pedro")</f>
        <v>Pedro</v>
      </c>
      <c r="B4" s="52">
        <f>IFERROR(__xludf.DUMMYFUNCTION("""COMPUTED_VALUE"""),1244.0)</f>
        <v>1244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>
      <c r="A5" s="65" t="str">
        <f>IFERROR(__xludf.DUMMYFUNCTION("""COMPUTED_VALUE"""),"Soraya")</f>
        <v>Soraya</v>
      </c>
      <c r="B5" s="66">
        <f>IFERROR(__xludf.DUMMYFUNCTION("""COMPUTED_VALUE"""),1200.0)</f>
        <v>1200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>
      <c r="A6" s="49" t="str">
        <f>IFERROR(__xludf.DUMMYFUNCTION("""COMPUTED_VALUE"""),"Paulo")</f>
        <v>Paulo</v>
      </c>
      <c r="B6" s="52">
        <f>IFERROR(__xludf.DUMMYFUNCTION("""COMPUTED_VALUE"""),1176.0)</f>
        <v>1176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>
      <c r="A7" s="65" t="str">
        <f>IFERROR(__xludf.DUMMYFUNCTION("""COMPUTED_VALUE"""),"Paula")</f>
        <v>Paula</v>
      </c>
      <c r="B7" s="66">
        <f>IFERROR(__xludf.DUMMYFUNCTION("""COMPUTED_VALUE"""),1171.0)</f>
        <v>1171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>
      <c r="A8" s="49" t="str">
        <f>IFERROR(__xludf.DUMMYFUNCTION("""COMPUTED_VALUE"""),"Nico")</f>
        <v>Nico</v>
      </c>
      <c r="B8" s="52">
        <f>IFERROR(__xludf.DUMMYFUNCTION("""COMPUTED_VALUE"""),1136.0)</f>
        <v>1136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>
      <c r="A9" s="65" t="str">
        <f>IFERROR(__xludf.DUMMYFUNCTION("""COMPUTED_VALUE"""),"Nathaly")</f>
        <v>Nathaly</v>
      </c>
      <c r="B9" s="66">
        <f>IFERROR(__xludf.DUMMYFUNCTION("""COMPUTED_VALUE"""),1072.0)</f>
        <v>1072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>
      <c r="A10" s="49" t="str">
        <f>IFERROR(__xludf.DUMMYFUNCTION("""COMPUTED_VALUE"""),"Nathalia")</f>
        <v>Nathalia</v>
      </c>
      <c r="B10" s="52">
        <f>IFERROR(__xludf.DUMMYFUNCTION("""COMPUTED_VALUE"""),1033.0)</f>
        <v>1033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>
      <c r="A11" s="65" t="str">
        <f>IFERROR(__xludf.DUMMYFUNCTION("""COMPUTED_VALUE"""),"Solange")</f>
        <v>Solange</v>
      </c>
      <c r="B11" s="66">
        <f>IFERROR(__xludf.DUMMYFUNCTION("""COMPUTED_VALUE"""),980.0)</f>
        <v>980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>
      <c r="A12" s="49" t="str">
        <f>IFERROR(__xludf.DUMMYFUNCTION("""COMPUTED_VALUE"""),"Mylena")</f>
        <v>Mylena</v>
      </c>
      <c r="B12" s="52">
        <f>IFERROR(__xludf.DUMMYFUNCTION("""COMPUTED_VALUE"""),945.0)</f>
        <v>945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>
      <c r="A13" s="65" t="str">
        <f>IFERROR(__xludf.DUMMYFUNCTION("""COMPUTED_VALUE"""),"Morgana")</f>
        <v>Morgana</v>
      </c>
      <c r="B13" s="66">
        <f>IFERROR(__xludf.DUMMYFUNCTION("""COMPUTED_VALUE"""),934.0)</f>
        <v>934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>
      <c r="A14" s="49" t="str">
        <f>IFERROR(__xludf.DUMMYFUNCTION("""COMPUTED_VALUE"""),"Minela")</f>
        <v>Minela</v>
      </c>
      <c r="B14" s="52">
        <f>IFERROR(__xludf.DUMMYFUNCTION("""COMPUTED_VALUE"""),917.0)</f>
        <v>917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>
      <c r="A15" s="65" t="str">
        <f>IFERROR(__xludf.DUMMYFUNCTION("""COMPUTED_VALUE"""),"Mayra")</f>
        <v>Mayra</v>
      </c>
      <c r="B15" s="66">
        <f>IFERROR(__xludf.DUMMYFUNCTION("""COMPUTED_VALUE"""),853.0)</f>
        <v>853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>
      <c r="A16" s="49" t="str">
        <f>IFERROR(__xludf.DUMMYFUNCTION("""COMPUTED_VALUE"""),"Mayara")</f>
        <v>Mayara</v>
      </c>
      <c r="B16" s="52">
        <f>IFERROR(__xludf.DUMMYFUNCTION("""COMPUTED_VALUE"""),829.0)</f>
        <v>829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>
      <c r="A17" s="65" t="str">
        <f>IFERROR(__xludf.DUMMYFUNCTION("""COMPUTED_VALUE"""),"Maurício")</f>
        <v>Maurício</v>
      </c>
      <c r="B17" s="66">
        <f>IFERROR(__xludf.DUMMYFUNCTION("""COMPUTED_VALUE"""),808.0)</f>
        <v>808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>
      <c r="A18" s="49" t="str">
        <f>IFERROR(__xludf.DUMMYFUNCTION("""COMPUTED_VALUE"""),"Marta")</f>
        <v>Marta</v>
      </c>
      <c r="B18" s="67">
        <f>IFERROR(__xludf.DUMMYFUNCTION("""COMPUTED_VALUE"""),805.0)</f>
        <v>805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>
      <c r="A19" s="65" t="str">
        <f>IFERROR(__xludf.DUMMYFUNCTION("""COMPUTED_VALUE"""),"Marília")</f>
        <v>Marília</v>
      </c>
      <c r="B19" s="66">
        <f>IFERROR(__xludf.DUMMYFUNCTION("""COMPUTED_VALUE"""),805.0)</f>
        <v>805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>
      <c r="A20" s="49" t="str">
        <f>IFERROR(__xludf.DUMMYFUNCTION("""COMPUTED_VALUE"""),"Maria")</f>
        <v>Maria</v>
      </c>
      <c r="B20" s="52">
        <f>IFERROR(__xludf.DUMMYFUNCTION("""COMPUTED_VALUE"""),794.0)</f>
        <v>794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>
      <c r="A21" s="65" t="str">
        <f>IFERROR(__xludf.DUMMYFUNCTION("""COMPUTED_VALUE"""),"Marcos")</f>
        <v>Marcos</v>
      </c>
      <c r="B21" s="66">
        <f>IFERROR(__xludf.DUMMYFUNCTION("""COMPUTED_VALUE"""),780.0)</f>
        <v>780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>
      <c r="A22" s="49" t="str">
        <f>IFERROR(__xludf.DUMMYFUNCTION("""COMPUTED_VALUE"""),"Marcela")</f>
        <v>Marcela</v>
      </c>
      <c r="B22" s="52">
        <f>IFERROR(__xludf.DUMMYFUNCTION("""COMPUTED_VALUE"""),774.0)</f>
        <v>774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>
      <c r="A23" s="65" t="str">
        <f>IFERROR(__xludf.DUMMYFUNCTION("""COMPUTED_VALUE"""),"Maraísa")</f>
        <v>Maraísa</v>
      </c>
      <c r="B23" s="66">
        <f>IFERROR(__xludf.DUMMYFUNCTION("""COMPUTED_VALUE"""),763.0)</f>
        <v>763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>
      <c r="A24" s="49" t="str">
        <f>IFERROR(__xludf.DUMMYFUNCTION("""COMPUTED_VALUE"""),"Lucas")</f>
        <v>Lucas</v>
      </c>
      <c r="B24" s="52">
        <f>IFERROR(__xludf.DUMMYFUNCTION("""COMPUTED_VALUE"""),758.0)</f>
        <v>758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>
      <c r="A25" s="65" t="str">
        <f>IFERROR(__xludf.DUMMYFUNCTION("""COMPUTED_VALUE"""),"Karol")</f>
        <v>Karol</v>
      </c>
      <c r="B25" s="66">
        <f>IFERROR(__xludf.DUMMYFUNCTION("""COMPUTED_VALUE"""),757.0)</f>
        <v>757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>
      <c r="A26" s="49" t="str">
        <f>IFERROR(__xludf.DUMMYFUNCTION("""COMPUTED_VALUE"""),"Karen")</f>
        <v>Karen</v>
      </c>
      <c r="B26" s="52">
        <f>IFERROR(__xludf.DUMMYFUNCTION("""COMPUTED_VALUE"""),750.0)</f>
        <v>750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>
      <c r="A27" s="65" t="str">
        <f>IFERROR(__xludf.DUMMYFUNCTION("""COMPUTED_VALUE"""),"Jheniffer")</f>
        <v>Jheniffer</v>
      </c>
      <c r="B27" s="66">
        <f>IFERROR(__xludf.DUMMYFUNCTION("""COMPUTED_VALUE"""),745.0)</f>
        <v>745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>
      <c r="A28" s="49" t="str">
        <f>IFERROR(__xludf.DUMMYFUNCTION("""COMPUTED_VALUE"""),"Iris")</f>
        <v>Iris</v>
      </c>
      <c r="B28" s="52">
        <f>IFERROR(__xludf.DUMMYFUNCTION("""COMPUTED_VALUE"""),733.0)</f>
        <v>733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>
      <c r="A29" s="65" t="str">
        <f>IFERROR(__xludf.DUMMYFUNCTION("""COMPUTED_VALUE"""),"Romulo")</f>
        <v>Romulo</v>
      </c>
      <c r="B29" s="66">
        <f>IFERROR(__xludf.DUMMYFUNCTION("""COMPUTED_VALUE"""),730.0)</f>
        <v>730</v>
      </c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>
      <c r="A30" s="49" t="str">
        <f>IFERROR(__xludf.DUMMYFUNCTION("""COMPUTED_VALUE"""),"Igor")</f>
        <v>Igor</v>
      </c>
      <c r="B30" s="52">
        <f>IFERROR(__xludf.DUMMYFUNCTION("""COMPUTED_VALUE"""),690.0)</f>
        <v>690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>
      <c r="A31" s="65" t="str">
        <f>IFERROR(__xludf.DUMMYFUNCTION("""COMPUTED_VALUE"""),"Heloísa")</f>
        <v>Heloísa</v>
      </c>
      <c r="B31" s="66">
        <f>IFERROR(__xludf.DUMMYFUNCTION("""COMPUTED_VALUE"""),688.0)</f>
        <v>688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ht="15.75" customHeight="1">
      <c r="A32" s="49" t="str">
        <f>IFERROR(__xludf.DUMMYFUNCTION("""COMPUTED_VALUE"""),"Guilherme")</f>
        <v>Guilherme</v>
      </c>
      <c r="B32" s="52">
        <f>IFERROR(__xludf.DUMMYFUNCTION("""COMPUTED_VALUE"""),627.0)</f>
        <v>627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>
      <c r="A33" s="65" t="str">
        <f>IFERROR(__xludf.DUMMYFUNCTION("""COMPUTED_VALUE"""),"Gabriela")</f>
        <v>Gabriela</v>
      </c>
      <c r="B33" s="66">
        <f>IFERROR(__xludf.DUMMYFUNCTION("""COMPUTED_VALUE"""),624.0)</f>
        <v>624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>
      <c r="A34" s="49" t="str">
        <f>IFERROR(__xludf.DUMMYFUNCTION("""COMPUTED_VALUE"""),"Gabriel")</f>
        <v>Gabriel</v>
      </c>
      <c r="B34" s="52">
        <f>IFERROR(__xludf.DUMMYFUNCTION("""COMPUTED_VALUE"""),604.0)</f>
        <v>604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>
      <c r="A35" s="65" t="str">
        <f>IFERROR(__xludf.DUMMYFUNCTION("""COMPUTED_VALUE"""),"Fernando")</f>
        <v>Fernando</v>
      </c>
      <c r="B35" s="66">
        <f>IFERROR(__xludf.DUMMYFUNCTION("""COMPUTED_VALUE"""),561.0)</f>
        <v>561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>
      <c r="A36" s="49" t="str">
        <f>IFERROR(__xludf.DUMMYFUNCTION("""COMPUTED_VALUE"""),"Fernanda")</f>
        <v>Fernanda</v>
      </c>
      <c r="B36" s="52">
        <f>IFERROR(__xludf.DUMMYFUNCTION("""COMPUTED_VALUE"""),526.0)</f>
        <v>526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>
      <c r="A37" s="65" t="str">
        <f>IFERROR(__xludf.DUMMYFUNCTION("""COMPUTED_VALUE"""),"Enzo")</f>
        <v>Enzo</v>
      </c>
      <c r="B37" s="66">
        <f>IFERROR(__xludf.DUMMYFUNCTION("""COMPUTED_VALUE"""),514.0)</f>
        <v>514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>
      <c r="A38" s="49" t="str">
        <f>IFERROR(__xludf.DUMMYFUNCTION("""COMPUTED_VALUE"""),"David")</f>
        <v>David</v>
      </c>
      <c r="B38" s="52">
        <f>IFERROR(__xludf.DUMMYFUNCTION("""COMPUTED_VALUE"""),492.0)</f>
        <v>492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>
      <c r="A39" s="65" t="str">
        <f>IFERROR(__xludf.DUMMYFUNCTION("""COMPUTED_VALUE"""),"Danilo")</f>
        <v>Danilo</v>
      </c>
      <c r="B39" s="66">
        <f>IFERROR(__xludf.DUMMYFUNCTION("""COMPUTED_VALUE"""),488.0)</f>
        <v>488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ht="15.75" customHeight="1">
      <c r="A40" s="49" t="str">
        <f>IFERROR(__xludf.DUMMYFUNCTION("""COMPUTED_VALUE"""),"Daniel")</f>
        <v>Daniel</v>
      </c>
      <c r="B40" s="52">
        <f>IFERROR(__xludf.DUMMYFUNCTION("""COMPUTED_VALUE"""),485.0)</f>
        <v>485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>
      <c r="A41" s="65" t="str">
        <f>IFERROR(__xludf.DUMMYFUNCTION("""COMPUTED_VALUE"""),"Rodrigo")</f>
        <v>Rodrigo</v>
      </c>
      <c r="B41" s="66">
        <f>IFERROR(__xludf.DUMMYFUNCTION("""COMPUTED_VALUE"""),482.0)</f>
        <v>482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>
      <c r="A42" s="49" t="str">
        <f>IFERROR(__xludf.DUMMYFUNCTION("""COMPUTED_VALUE"""),"Caroline")</f>
        <v>Caroline</v>
      </c>
      <c r="B42" s="52">
        <f>IFERROR(__xludf.DUMMYFUNCTION("""COMPUTED_VALUE"""),471.0)</f>
        <v>471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>
      <c r="A43" s="65" t="str">
        <f>IFERROR(__xludf.DUMMYFUNCTION("""COMPUTED_VALUE"""),"Carla")</f>
        <v>Carla</v>
      </c>
      <c r="B43" s="66">
        <f>IFERROR(__xludf.DUMMYFUNCTION("""COMPUTED_VALUE"""),434.0)</f>
        <v>434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>
      <c r="A44" s="49" t="str">
        <f>IFERROR(__xludf.DUMMYFUNCTION("""COMPUTED_VALUE"""),"Camila")</f>
        <v>Camila</v>
      </c>
      <c r="B44" s="52">
        <f>IFERROR(__xludf.DUMMYFUNCTION("""COMPUTED_VALUE"""),387.0)</f>
        <v>387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>
      <c r="A45" s="65" t="str">
        <f>IFERROR(__xludf.DUMMYFUNCTION("""COMPUTED_VALUE"""),"Bruna")</f>
        <v>Bruna</v>
      </c>
      <c r="B45" s="66">
        <f>IFERROR(__xludf.DUMMYFUNCTION("""COMPUTED_VALUE"""),365.0)</f>
        <v>365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>
      <c r="A46" s="49" t="str">
        <f>IFERROR(__xludf.DUMMYFUNCTION("""COMPUTED_VALUE"""),"Beatriz")</f>
        <v>Beatriz</v>
      </c>
      <c r="B46" s="52">
        <f>IFERROR(__xludf.DUMMYFUNCTION("""COMPUTED_VALUE"""),364.0)</f>
        <v>364</v>
      </c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>
      <c r="A47" s="65" t="str">
        <f>IFERROR(__xludf.DUMMYFUNCTION("""COMPUTED_VALUE"""),"Aparecida")</f>
        <v>Aparecida</v>
      </c>
      <c r="B47" s="66">
        <f>IFERROR(__xludf.DUMMYFUNCTION("""COMPUTED_VALUE"""),316.0)</f>
        <v>316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>
      <c r="A48" s="49" t="str">
        <f>IFERROR(__xludf.DUMMYFUNCTION("""COMPUTED_VALUE"""),"Ana Clara")</f>
        <v>Ana Clara</v>
      </c>
      <c r="B48" s="52">
        <f>IFERROR(__xludf.DUMMYFUNCTION("""COMPUTED_VALUE"""),277.0)</f>
        <v>277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>
      <c r="A49" s="65" t="str">
        <f>IFERROR(__xludf.DUMMYFUNCTION("""COMPUTED_VALUE"""),"Ana  ")</f>
        <v>Ana  </v>
      </c>
      <c r="B49" s="66">
        <f>IFERROR(__xludf.DUMMYFUNCTION("""COMPUTED_VALUE"""),233.0)</f>
        <v>233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>
      <c r="A50" s="49" t="str">
        <f>IFERROR(__xludf.DUMMYFUNCTION("""COMPUTED_VALUE"""),"Allan")</f>
        <v>Allan</v>
      </c>
      <c r="B50" s="52">
        <f>IFERROR(__xludf.DUMMYFUNCTION("""COMPUTED_VALUE"""),220.0)</f>
        <v>220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>
      <c r="A51" s="65" t="str">
        <f>IFERROR(__xludf.DUMMYFUNCTION("""COMPUTED_VALUE"""),"Alexandre")</f>
        <v>Alexandre</v>
      </c>
      <c r="B51" s="66">
        <f>IFERROR(__xludf.DUMMYFUNCTION("""COMPUTED_VALUE"""),198.0)</f>
        <v>198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>
      <c r="A52" s="49" t="str">
        <f>IFERROR(__xludf.DUMMYFUNCTION("""COMPUTED_VALUE"""),"Alex")</f>
        <v>Alex</v>
      </c>
      <c r="B52" s="52">
        <f>IFERROR(__xludf.DUMMYFUNCTION("""COMPUTED_VALUE"""),190.0)</f>
        <v>190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>
      <c r="A53" s="65" t="str">
        <f>IFERROR(__xludf.DUMMYFUNCTION("""COMPUTED_VALUE"""),"Alberto")</f>
        <v>Alberto</v>
      </c>
      <c r="B53" s="66">
        <f>IFERROR(__xludf.DUMMYFUNCTION("""COMPUTED_VALUE"""),184.0)</f>
        <v>184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>
      <c r="A54" s="49" t="str">
        <f>IFERROR(__xludf.DUMMYFUNCTION("""COMPUTED_VALUE"""),"Agnaldo")</f>
        <v>Agnaldo</v>
      </c>
      <c r="B54" s="52">
        <f>IFERROR(__xludf.DUMMYFUNCTION("""COMPUTED_VALUE"""),159.0)</f>
        <v>159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9" t="str">
        <f>IFERROR(__xludf.DUMMYFUNCTION("importrange(""https://docs.google.com/spreadsheets/d/1HZy0mvgxSNMbzbzukf-xlVi5sieGmXUGERoHJE5mQAI/edit?gid=413197047#gid=413197047"",""A1:D6"")"),"")</f>
        <v/>
      </c>
      <c r="B1" s="49" t="str">
        <f>IFERROR(__xludf.DUMMYFUNCTION("""COMPUTED_VALUE"""),"Insatisfeito")</f>
        <v>Insatisfeito</v>
      </c>
      <c r="C1" s="49" t="str">
        <f>IFERROR(__xludf.DUMMYFUNCTION("""COMPUTED_VALUE"""),"Satisfatório")</f>
        <v>Satisfatório</v>
      </c>
      <c r="D1" s="49" t="str">
        <f>IFERROR(__xludf.DUMMYFUNCTION("""COMPUTED_VALUE"""),"Plenamente satisfeito")</f>
        <v>Plenamente satisfeito</v>
      </c>
    </row>
    <row r="2">
      <c r="A2" s="49" t="str">
        <f>IFERROR(__xludf.DUMMYFUNCTION("""COMPUTED_VALUE"""),"Preços")</f>
        <v>Preços</v>
      </c>
      <c r="B2" s="49">
        <f>IFERROR(__xludf.DUMMYFUNCTION("""COMPUTED_VALUE"""),15.0)</f>
        <v>15</v>
      </c>
      <c r="C2" s="49">
        <f>IFERROR(__xludf.DUMMYFUNCTION("""COMPUTED_VALUE"""),58.0)</f>
        <v>58</v>
      </c>
      <c r="D2" s="49">
        <f>IFERROR(__xludf.DUMMYFUNCTION("""COMPUTED_VALUE"""),27.0)</f>
        <v>27</v>
      </c>
    </row>
    <row r="3">
      <c r="A3" s="49" t="str">
        <f>IFERROR(__xludf.DUMMYFUNCTION("""COMPUTED_VALUE"""),"Disponibilidade de produtos")</f>
        <v>Disponibilidade de produtos</v>
      </c>
      <c r="B3" s="49">
        <f>IFERROR(__xludf.DUMMYFUNCTION("""COMPUTED_VALUE"""),8.0)</f>
        <v>8</v>
      </c>
      <c r="C3" s="49">
        <f>IFERROR(__xludf.DUMMYFUNCTION("""COMPUTED_VALUE"""),78.0)</f>
        <v>78</v>
      </c>
      <c r="D3" s="49">
        <f>IFERROR(__xludf.DUMMYFUNCTION("""COMPUTED_VALUE"""),14.0)</f>
        <v>14</v>
      </c>
    </row>
    <row r="4">
      <c r="A4" s="49" t="str">
        <f>IFERROR(__xludf.DUMMYFUNCTION("""COMPUTED_VALUE"""),"Localização dos produtos")</f>
        <v>Localização dos produtos</v>
      </c>
      <c r="B4" s="49">
        <f>IFERROR(__xludf.DUMMYFUNCTION("""COMPUTED_VALUE"""),11.0)</f>
        <v>11</v>
      </c>
      <c r="C4" s="49">
        <f>IFERROR(__xludf.DUMMYFUNCTION("""COMPUTED_VALUE"""),69.0)</f>
        <v>69</v>
      </c>
      <c r="D4" s="49">
        <f>IFERROR(__xludf.DUMMYFUNCTION("""COMPUTED_VALUE"""),20.0)</f>
        <v>20</v>
      </c>
    </row>
    <row r="5">
      <c r="A5" s="49" t="str">
        <f>IFERROR(__xludf.DUMMYFUNCTION("""COMPUTED_VALUE"""),"Horário de funcionamento")</f>
        <v>Horário de funcionamento</v>
      </c>
      <c r="B5" s="49">
        <f>IFERROR(__xludf.DUMMYFUNCTION("""COMPUTED_VALUE"""),3.0)</f>
        <v>3</v>
      </c>
      <c r="C5" s="49">
        <f>IFERROR(__xludf.DUMMYFUNCTION("""COMPUTED_VALUE"""),77.0)</f>
        <v>77</v>
      </c>
      <c r="D5" s="49">
        <f>IFERROR(__xludf.DUMMYFUNCTION("""COMPUTED_VALUE"""),20.0)</f>
        <v>20</v>
      </c>
    </row>
    <row r="6">
      <c r="A6" s="49" t="str">
        <f>IFERROR(__xludf.DUMMYFUNCTION("""COMPUTED_VALUE"""),"Qualidade dos produtos")</f>
        <v>Qualidade dos produtos</v>
      </c>
      <c r="B6" s="49">
        <f>IFERROR(__xludf.DUMMYFUNCTION("""COMPUTED_VALUE"""),7.0)</f>
        <v>7</v>
      </c>
      <c r="C6" s="49">
        <f>IFERROR(__xludf.DUMMYFUNCTION("""COMPUTED_VALUE"""),35.0)</f>
        <v>35</v>
      </c>
      <c r="D6" s="49">
        <f>IFERROR(__xludf.DUMMYFUNCTION("""COMPUTED_VALUE"""),58.0)</f>
        <v>58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7" t="s">
        <v>22</v>
      </c>
    </row>
    <row r="2">
      <c r="A2" s="49" t="s">
        <v>23</v>
      </c>
    </row>
    <row r="3">
      <c r="A3" s="55" t="s">
        <v>24</v>
      </c>
    </row>
    <row r="4">
      <c r="A4" s="49" t="s">
        <v>24</v>
      </c>
    </row>
    <row r="5">
      <c r="A5" s="55" t="s">
        <v>25</v>
      </c>
    </row>
    <row r="6">
      <c r="A6" s="49" t="s">
        <v>23</v>
      </c>
    </row>
    <row r="7">
      <c r="A7" s="55" t="s">
        <v>23</v>
      </c>
    </row>
    <row r="8">
      <c r="A8" s="49" t="s">
        <v>24</v>
      </c>
    </row>
    <row r="9">
      <c r="A9" s="55" t="s">
        <v>24</v>
      </c>
    </row>
    <row r="10">
      <c r="A10" s="49" t="s">
        <v>26</v>
      </c>
    </row>
    <row r="11">
      <c r="A11" s="55" t="s">
        <v>27</v>
      </c>
    </row>
    <row r="12">
      <c r="A12" s="49" t="s">
        <v>27</v>
      </c>
    </row>
    <row r="13">
      <c r="A13" s="55" t="s">
        <v>24</v>
      </c>
    </row>
    <row r="14">
      <c r="A14" s="49" t="s">
        <v>23</v>
      </c>
    </row>
    <row r="15">
      <c r="A15" s="55" t="s">
        <v>28</v>
      </c>
    </row>
    <row r="16">
      <c r="A16" s="49" t="s">
        <v>29</v>
      </c>
    </row>
    <row r="17">
      <c r="A17" s="55" t="s">
        <v>30</v>
      </c>
    </row>
    <row r="18">
      <c r="A18" s="49" t="s">
        <v>31</v>
      </c>
    </row>
    <row r="19">
      <c r="A19" s="55" t="s">
        <v>32</v>
      </c>
    </row>
    <row r="20">
      <c r="A20" s="49" t="s">
        <v>32</v>
      </c>
    </row>
    <row r="21">
      <c r="A21" s="55" t="s">
        <v>32</v>
      </c>
    </row>
    <row r="22">
      <c r="A22" s="49" t="s">
        <v>32</v>
      </c>
    </row>
    <row r="23">
      <c r="A23" s="55" t="s">
        <v>32</v>
      </c>
    </row>
    <row r="24">
      <c r="A24" s="49" t="s">
        <v>32</v>
      </c>
    </row>
    <row r="25">
      <c r="A25" s="55" t="s">
        <v>32</v>
      </c>
    </row>
    <row r="26">
      <c r="A26" s="49" t="s">
        <v>32</v>
      </c>
    </row>
    <row r="27">
      <c r="A27" s="55" t="s">
        <v>32</v>
      </c>
    </row>
    <row r="28">
      <c r="A28" s="49" t="s">
        <v>33</v>
      </c>
    </row>
    <row r="29">
      <c r="A29" s="55" t="s">
        <v>32</v>
      </c>
    </row>
    <row r="30">
      <c r="A30" s="49" t="s">
        <v>34</v>
      </c>
    </row>
    <row r="31">
      <c r="A31" s="55" t="s">
        <v>33</v>
      </c>
    </row>
    <row r="32">
      <c r="A32" s="49" t="s">
        <v>33</v>
      </c>
    </row>
    <row r="33">
      <c r="A33" s="55" t="s">
        <v>33</v>
      </c>
    </row>
    <row r="34">
      <c r="A34" s="49" t="s">
        <v>33</v>
      </c>
    </row>
    <row r="35">
      <c r="A35" s="55" t="s">
        <v>33</v>
      </c>
    </row>
    <row r="36">
      <c r="A36" s="49" t="s">
        <v>33</v>
      </c>
    </row>
    <row r="37">
      <c r="A37" s="55" t="s">
        <v>33</v>
      </c>
    </row>
    <row r="38">
      <c r="A38" s="49" t="s">
        <v>34</v>
      </c>
    </row>
    <row r="39">
      <c r="A39" s="55" t="s">
        <v>34</v>
      </c>
    </row>
    <row r="40">
      <c r="A40" s="49" t="s">
        <v>34</v>
      </c>
    </row>
    <row r="41">
      <c r="A41" s="55" t="s">
        <v>34</v>
      </c>
    </row>
    <row r="42">
      <c r="A42" s="49" t="s">
        <v>34</v>
      </c>
    </row>
    <row r="43">
      <c r="A43" s="55" t="s">
        <v>35</v>
      </c>
    </row>
    <row r="44">
      <c r="A44" s="49" t="s">
        <v>31</v>
      </c>
    </row>
    <row r="45">
      <c r="A45" s="55" t="s">
        <v>31</v>
      </c>
    </row>
    <row r="46">
      <c r="A46" s="49" t="s">
        <v>31</v>
      </c>
    </row>
    <row r="47">
      <c r="A47" s="55" t="s">
        <v>31</v>
      </c>
    </row>
    <row r="48">
      <c r="A48" s="49" t="s">
        <v>31</v>
      </c>
    </row>
    <row r="49">
      <c r="A49" s="55" t="s">
        <v>34</v>
      </c>
    </row>
    <row r="50">
      <c r="A50" s="49" t="s">
        <v>34</v>
      </c>
    </row>
    <row r="51">
      <c r="A51" s="55" t="s">
        <v>34</v>
      </c>
    </row>
    <row r="52">
      <c r="A52" s="49" t="s">
        <v>34</v>
      </c>
    </row>
    <row r="53">
      <c r="A53" s="55" t="s">
        <v>34</v>
      </c>
    </row>
    <row r="54">
      <c r="A54" s="49" t="s">
        <v>23</v>
      </c>
    </row>
    <row r="55">
      <c r="A55" s="55" t="s">
        <v>23</v>
      </c>
    </row>
    <row r="56">
      <c r="A56" s="49" t="s">
        <v>23</v>
      </c>
    </row>
    <row r="57">
      <c r="A57" s="55" t="s">
        <v>23</v>
      </c>
    </row>
    <row r="58">
      <c r="A58" s="49" t="s">
        <v>23</v>
      </c>
    </row>
    <row r="59">
      <c r="A59" s="55" t="s">
        <v>23</v>
      </c>
    </row>
    <row r="60">
      <c r="A60" s="49" t="s">
        <v>23</v>
      </c>
    </row>
    <row r="61">
      <c r="A61" s="55" t="s">
        <v>23</v>
      </c>
    </row>
    <row r="62">
      <c r="A62" s="49" t="s">
        <v>36</v>
      </c>
    </row>
    <row r="63">
      <c r="A63" s="55" t="s">
        <v>37</v>
      </c>
    </row>
    <row r="64">
      <c r="A64" s="49" t="s">
        <v>37</v>
      </c>
    </row>
    <row r="65">
      <c r="A65" s="55" t="s">
        <v>37</v>
      </c>
    </row>
    <row r="66">
      <c r="A66" s="49" t="s">
        <v>37</v>
      </c>
    </row>
    <row r="67">
      <c r="A67" s="55" t="s">
        <v>37</v>
      </c>
    </row>
    <row r="68">
      <c r="A68" s="49" t="s">
        <v>38</v>
      </c>
    </row>
    <row r="69">
      <c r="A69" s="55" t="s">
        <v>38</v>
      </c>
    </row>
    <row r="70">
      <c r="A70" s="49" t="s">
        <v>38</v>
      </c>
    </row>
    <row r="71">
      <c r="A71" s="55" t="s">
        <v>38</v>
      </c>
    </row>
    <row r="72">
      <c r="A72" s="49" t="s">
        <v>38</v>
      </c>
    </row>
    <row r="73">
      <c r="A73" s="55" t="s">
        <v>38</v>
      </c>
    </row>
    <row r="74">
      <c r="A74" s="49" t="s">
        <v>38</v>
      </c>
    </row>
    <row r="75">
      <c r="A75" s="55" t="s">
        <v>38</v>
      </c>
    </row>
    <row r="76">
      <c r="A76" s="49" t="s">
        <v>38</v>
      </c>
    </row>
    <row r="77">
      <c r="A77" s="55" t="s">
        <v>38</v>
      </c>
    </row>
    <row r="78">
      <c r="A78" s="49" t="s">
        <v>38</v>
      </c>
    </row>
    <row r="79">
      <c r="A79" s="55" t="s">
        <v>39</v>
      </c>
    </row>
    <row r="80">
      <c r="A80" s="49" t="s">
        <v>39</v>
      </c>
    </row>
    <row r="81">
      <c r="A81" s="55" t="s">
        <v>39</v>
      </c>
    </row>
    <row r="82">
      <c r="A82" s="49" t="s">
        <v>39</v>
      </c>
    </row>
    <row r="83">
      <c r="A83" s="55" t="s">
        <v>39</v>
      </c>
    </row>
    <row r="84">
      <c r="A84" s="49" t="s">
        <v>39</v>
      </c>
    </row>
    <row r="85">
      <c r="A85" s="55" t="s">
        <v>39</v>
      </c>
    </row>
    <row r="86">
      <c r="A86" s="49" t="s">
        <v>39</v>
      </c>
    </row>
    <row r="87">
      <c r="A87" s="55" t="s">
        <v>39</v>
      </c>
    </row>
    <row r="88">
      <c r="A88" s="49" t="s">
        <v>39</v>
      </c>
    </row>
    <row r="89">
      <c r="A89" s="55" t="s">
        <v>39</v>
      </c>
    </row>
    <row r="90">
      <c r="A90" s="49" t="s">
        <v>39</v>
      </c>
    </row>
    <row r="91">
      <c r="A91" s="55" t="s">
        <v>39</v>
      </c>
    </row>
    <row r="92">
      <c r="A92" s="49" t="s">
        <v>39</v>
      </c>
    </row>
    <row r="93">
      <c r="A93" s="55" t="s">
        <v>39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68" t="s">
        <v>40</v>
      </c>
    </row>
    <row r="24">
      <c r="G24" s="69" t="s">
        <v>41</v>
      </c>
    </row>
    <row r="25">
      <c r="G25" s="10" t="s">
        <v>0</v>
      </c>
      <c r="H25" s="11">
        <v>2019.0</v>
      </c>
      <c r="I25" s="11">
        <v>2020.0</v>
      </c>
      <c r="J25" s="11">
        <v>2021.0</v>
      </c>
    </row>
    <row r="26">
      <c r="G26" s="12" t="s">
        <v>1</v>
      </c>
      <c r="H26" s="13">
        <v>59634.0</v>
      </c>
      <c r="I26" s="14">
        <v>72798.0</v>
      </c>
      <c r="J26" s="15">
        <v>54328.0</v>
      </c>
    </row>
    <row r="27">
      <c r="G27" s="12" t="s">
        <v>2</v>
      </c>
      <c r="H27" s="16">
        <v>37282.0</v>
      </c>
      <c r="I27" s="17">
        <v>53509.0</v>
      </c>
      <c r="J27" s="18">
        <v>59527.0</v>
      </c>
    </row>
    <row r="28">
      <c r="G28" s="12" t="s">
        <v>3</v>
      </c>
      <c r="H28" s="19">
        <v>64263.0</v>
      </c>
      <c r="I28" s="20">
        <v>75317.0</v>
      </c>
      <c r="J28" s="21">
        <v>67359.0</v>
      </c>
    </row>
    <row r="29">
      <c r="G29" s="12" t="s">
        <v>4</v>
      </c>
      <c r="H29" s="22">
        <v>67181.0</v>
      </c>
      <c r="I29" s="23">
        <v>72406.0</v>
      </c>
      <c r="J29" s="24">
        <v>53025.0</v>
      </c>
    </row>
    <row r="30">
      <c r="G30" s="12" t="s">
        <v>5</v>
      </c>
      <c r="H30" s="25">
        <v>39669.0</v>
      </c>
      <c r="I30" s="26">
        <v>76965.0</v>
      </c>
      <c r="J30" s="27">
        <v>75896.0</v>
      </c>
    </row>
    <row r="31">
      <c r="G31" s="12" t="s">
        <v>6</v>
      </c>
      <c r="H31" s="28">
        <v>37996.0</v>
      </c>
      <c r="I31" s="29">
        <v>54416.0</v>
      </c>
      <c r="J31" s="30">
        <v>85884.0</v>
      </c>
    </row>
    <row r="32">
      <c r="G32" s="12" t="s">
        <v>7</v>
      </c>
      <c r="H32" s="31">
        <v>66771.0</v>
      </c>
      <c r="I32" s="32">
        <v>49385.0</v>
      </c>
      <c r="J32" s="33">
        <v>64714.0</v>
      </c>
    </row>
    <row r="33">
      <c r="G33" s="12" t="s">
        <v>8</v>
      </c>
      <c r="H33" s="34">
        <v>53238.0</v>
      </c>
      <c r="I33" s="35">
        <v>71762.0</v>
      </c>
      <c r="J33" s="36">
        <v>60745.0</v>
      </c>
    </row>
    <row r="34">
      <c r="G34" s="12" t="s">
        <v>9</v>
      </c>
      <c r="H34" s="37">
        <v>38240.0</v>
      </c>
      <c r="I34" s="26">
        <v>76950.0</v>
      </c>
      <c r="J34" s="38">
        <v>88966.0</v>
      </c>
    </row>
    <row r="35">
      <c r="G35" s="12" t="s">
        <v>10</v>
      </c>
      <c r="H35" s="39">
        <v>56944.0</v>
      </c>
      <c r="I35" s="40">
        <v>72938.0</v>
      </c>
      <c r="J35" s="33">
        <v>64817.0</v>
      </c>
    </row>
    <row r="36">
      <c r="G36" s="12" t="s">
        <v>11</v>
      </c>
      <c r="H36" s="41">
        <v>42328.0</v>
      </c>
      <c r="I36" s="42">
        <v>65331.0</v>
      </c>
      <c r="J36" s="43">
        <v>85615.0</v>
      </c>
    </row>
    <row r="37">
      <c r="G37" s="12" t="s">
        <v>12</v>
      </c>
      <c r="H37" s="44">
        <v>51081.0</v>
      </c>
      <c r="I37" s="45">
        <v>73034.0</v>
      </c>
      <c r="J37" s="46">
        <v>68590.0</v>
      </c>
    </row>
  </sheetData>
  <mergeCells count="2">
    <mergeCell ref="A1:G7"/>
    <mergeCell ref="G24:J24"/>
  </mergeCells>
  <drawing r:id="rId1"/>
</worksheet>
</file>