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tilizador\Desktop\CONTABILIDADE\"/>
    </mc:Choice>
  </mc:AlternateContent>
  <xr:revisionPtr revIDLastSave="0" documentId="13_ncr:1_{8CB6ABDA-0859-42C5-9A77-4A75866481CB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Janeiro" sheetId="1" r:id="rId1"/>
    <sheet name="Fevereiro" sheetId="2" r:id="rId2"/>
    <sheet name="Março" sheetId="3" r:id="rId3"/>
    <sheet name="Abril" sheetId="4" r:id="rId4"/>
    <sheet name="Maio" sheetId="5" r:id="rId5"/>
    <sheet name="Junho" sheetId="6" r:id="rId6"/>
    <sheet name="Julho (2)" sheetId="7" r:id="rId7"/>
    <sheet name="Agosto" sheetId="8" r:id="rId8"/>
    <sheet name="Setembro" sheetId="9" r:id="rId9"/>
  </sheets>
  <definedNames>
    <definedName name="_xlnm.Print_Area" localSheetId="3">Abril!$C$1:$L$101</definedName>
    <definedName name="_xlnm.Print_Area" localSheetId="7">Agosto!$C$1:$L$98</definedName>
    <definedName name="_xlnm.Print_Area" localSheetId="1">Fevereiro!$C$1:$L$97</definedName>
    <definedName name="_xlnm.Print_Area" localSheetId="0">Janeiro!$C$1:$L$112</definedName>
    <definedName name="_xlnm.Print_Area" localSheetId="6">'Julho (2)'!$C$1:$L$98</definedName>
    <definedName name="_xlnm.Print_Area" localSheetId="5">Junho!$C$1:$L$96</definedName>
    <definedName name="_xlnm.Print_Area" localSheetId="4">Maio!$C$1:$L$102</definedName>
    <definedName name="_xlnm.Print_Area" localSheetId="2">Março!$C$1:$L$97</definedName>
    <definedName name="_xlnm.Print_Area" localSheetId="8">Setembro!$C$1:$L$98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6" l="1"/>
  <c r="H46" i="6"/>
  <c r="G79" i="5"/>
  <c r="H46" i="2"/>
  <c r="L33" i="5"/>
  <c r="L33" i="6" l="1"/>
  <c r="G30" i="5"/>
  <c r="H44" i="4"/>
  <c r="G76" i="5"/>
  <c r="H76" i="5" s="1"/>
  <c r="F25" i="5"/>
  <c r="G25" i="5" s="1"/>
  <c r="H45" i="5"/>
  <c r="H23" i="5"/>
  <c r="F44" i="8"/>
  <c r="H44" i="8"/>
  <c r="H74" i="5"/>
  <c r="G74" i="5" s="1"/>
  <c r="H20" i="5"/>
  <c r="H48" i="4"/>
  <c r="K45" i="5"/>
  <c r="F44" i="5"/>
  <c r="F45" i="5"/>
  <c r="G17" i="5"/>
  <c r="G16" i="5"/>
  <c r="H16" i="5" s="1"/>
  <c r="G15" i="5"/>
  <c r="H15" i="5" s="1"/>
  <c r="K24" i="8"/>
  <c r="K24" i="9"/>
  <c r="I92" i="4"/>
  <c r="H51" i="8"/>
  <c r="F51" i="8"/>
  <c r="H44" i="9"/>
  <c r="H51" i="9" s="1"/>
  <c r="F44" i="9"/>
  <c r="H45" i="7"/>
  <c r="F45" i="7"/>
  <c r="I48" i="7"/>
  <c r="E95" i="9"/>
  <c r="F94" i="9"/>
  <c r="E93" i="9"/>
  <c r="H89" i="9"/>
  <c r="F89" i="9"/>
  <c r="G86" i="9"/>
  <c r="G85" i="9"/>
  <c r="G84" i="9"/>
  <c r="G83" i="9"/>
  <c r="G82" i="9"/>
  <c r="G89" i="9" s="1"/>
  <c r="G95" i="9" s="1"/>
  <c r="G66" i="9"/>
  <c r="G65" i="9"/>
  <c r="H65" i="9" s="1"/>
  <c r="G63" i="9"/>
  <c r="H63" i="9" s="1"/>
  <c r="G62" i="9"/>
  <c r="H62" i="9" s="1"/>
  <c r="H79" i="9" s="1"/>
  <c r="G61" i="9"/>
  <c r="F60" i="9"/>
  <c r="G60" i="9" s="1"/>
  <c r="G79" i="9" s="1"/>
  <c r="G94" i="9" s="1"/>
  <c r="F59" i="9"/>
  <c r="F79" i="9" s="1"/>
  <c r="E94" i="9" s="1"/>
  <c r="G58" i="9"/>
  <c r="G57" i="9"/>
  <c r="E51" i="9"/>
  <c r="F51" i="9"/>
  <c r="H39" i="9"/>
  <c r="G39" i="9"/>
  <c r="F39" i="9"/>
  <c r="L33" i="9"/>
  <c r="E95" i="8"/>
  <c r="F94" i="8"/>
  <c r="G93" i="8"/>
  <c r="E93" i="8"/>
  <c r="H89" i="8"/>
  <c r="F89" i="8"/>
  <c r="G86" i="8"/>
  <c r="G85" i="8"/>
  <c r="G84" i="8"/>
  <c r="G83" i="8"/>
  <c r="G82" i="8"/>
  <c r="G89" i="8" s="1"/>
  <c r="G95" i="8" s="1"/>
  <c r="F79" i="8"/>
  <c r="E94" i="8" s="1"/>
  <c r="G66" i="8"/>
  <c r="G65" i="8"/>
  <c r="H65" i="8" s="1"/>
  <c r="G63" i="8"/>
  <c r="H63" i="8" s="1"/>
  <c r="G62" i="8"/>
  <c r="H62" i="8" s="1"/>
  <c r="G61" i="8"/>
  <c r="F60" i="8"/>
  <c r="G60" i="8" s="1"/>
  <c r="F59" i="8"/>
  <c r="G58" i="8"/>
  <c r="G79" i="8" s="1"/>
  <c r="G94" i="8" s="1"/>
  <c r="G57" i="8"/>
  <c r="G51" i="8"/>
  <c r="K8" i="8" s="1"/>
  <c r="E51" i="8"/>
  <c r="H39" i="8"/>
  <c r="G39" i="8"/>
  <c r="K14" i="8" s="1"/>
  <c r="F39" i="8"/>
  <c r="L33" i="8"/>
  <c r="H49" i="5"/>
  <c r="G12" i="5"/>
  <c r="H12" i="5" s="1"/>
  <c r="G14" i="5"/>
  <c r="H14" i="5" s="1"/>
  <c r="G13" i="5"/>
  <c r="H13" i="5" s="1"/>
  <c r="H47" i="7"/>
  <c r="F47" i="7"/>
  <c r="H50" i="5"/>
  <c r="F50" i="5"/>
  <c r="G10" i="5"/>
  <c r="H58" i="4"/>
  <c r="H24" i="4"/>
  <c r="G24" i="4"/>
  <c r="H72" i="5"/>
  <c r="H44" i="7"/>
  <c r="H45" i="6"/>
  <c r="H68" i="4"/>
  <c r="G68" i="4"/>
  <c r="G71" i="5"/>
  <c r="H22" i="4"/>
  <c r="E52" i="5"/>
  <c r="H52" i="5" s="1"/>
  <c r="K24" i="7"/>
  <c r="K24" i="6"/>
  <c r="H46" i="7"/>
  <c r="F44" i="7"/>
  <c r="F49" i="5"/>
  <c r="F48" i="5"/>
  <c r="F47" i="5"/>
  <c r="G55" i="5"/>
  <c r="K8" i="5" s="1"/>
  <c r="F94" i="7"/>
  <c r="H89" i="7"/>
  <c r="F89" i="7"/>
  <c r="E95" i="7" s="1"/>
  <c r="G86" i="7"/>
  <c r="G85" i="7"/>
  <c r="G84" i="7"/>
  <c r="G83" i="7"/>
  <c r="G82" i="7"/>
  <c r="G66" i="7"/>
  <c r="G65" i="7"/>
  <c r="H65" i="7" s="1"/>
  <c r="G63" i="7"/>
  <c r="H63" i="7" s="1"/>
  <c r="G62" i="7"/>
  <c r="H62" i="7" s="1"/>
  <c r="G61" i="7"/>
  <c r="F60" i="7"/>
  <c r="G60" i="7" s="1"/>
  <c r="F59" i="7"/>
  <c r="G58" i="7"/>
  <c r="G57" i="7"/>
  <c r="G51" i="7"/>
  <c r="K8" i="7" s="1"/>
  <c r="E51" i="7"/>
  <c r="H39" i="7"/>
  <c r="G39" i="7"/>
  <c r="F39" i="7"/>
  <c r="E93" i="7" s="1"/>
  <c r="F44" i="6"/>
  <c r="F49" i="6" s="1"/>
  <c r="H44" i="6"/>
  <c r="F92" i="6"/>
  <c r="H87" i="6"/>
  <c r="F87" i="6"/>
  <c r="E93" i="6" s="1"/>
  <c r="G84" i="6"/>
  <c r="G83" i="6"/>
  <c r="G82" i="6"/>
  <c r="G81" i="6"/>
  <c r="G80" i="6"/>
  <c r="G64" i="6"/>
  <c r="G63" i="6"/>
  <c r="H63" i="6" s="1"/>
  <c r="G61" i="6"/>
  <c r="H61" i="6" s="1"/>
  <c r="G60" i="6"/>
  <c r="H60" i="6" s="1"/>
  <c r="G59" i="6"/>
  <c r="F58" i="6"/>
  <c r="G58" i="6" s="1"/>
  <c r="F57" i="6"/>
  <c r="G56" i="6"/>
  <c r="G55" i="6"/>
  <c r="G49" i="6"/>
  <c r="K8" i="6" s="1"/>
  <c r="H39" i="6"/>
  <c r="G39" i="6"/>
  <c r="G91" i="6" s="1"/>
  <c r="F39" i="6"/>
  <c r="E91" i="6" s="1"/>
  <c r="E63" i="1"/>
  <c r="H63" i="1" s="1"/>
  <c r="H45" i="4"/>
  <c r="G86" i="3"/>
  <c r="L33" i="4"/>
  <c r="G53" i="3"/>
  <c r="L33" i="3"/>
  <c r="L33" i="1"/>
  <c r="H75" i="4"/>
  <c r="G75" i="4" s="1"/>
  <c r="H73" i="4"/>
  <c r="G15" i="4"/>
  <c r="H15" i="4" s="1"/>
  <c r="G53" i="4"/>
  <c r="E53" i="4"/>
  <c r="F47" i="4"/>
  <c r="F46" i="4"/>
  <c r="H51" i="5"/>
  <c r="H11" i="4"/>
  <c r="G72" i="4"/>
  <c r="H71" i="4"/>
  <c r="H9" i="4"/>
  <c r="F8" i="4"/>
  <c r="G8" i="4" s="1"/>
  <c r="G68" i="3"/>
  <c r="H68" i="3" s="1"/>
  <c r="F45" i="3"/>
  <c r="H58" i="3"/>
  <c r="G21" i="3"/>
  <c r="H21" i="3" s="1"/>
  <c r="G5" i="4"/>
  <c r="H5" i="4" s="1"/>
  <c r="G4" i="4"/>
  <c r="H4" i="4" s="1"/>
  <c r="H3" i="4"/>
  <c r="G19" i="3"/>
  <c r="H19" i="3" s="1"/>
  <c r="H75" i="3"/>
  <c r="G75" i="3" s="1"/>
  <c r="G18" i="3"/>
  <c r="G74" i="3"/>
  <c r="H74" i="3" s="1"/>
  <c r="G73" i="3"/>
  <c r="H73" i="3" s="1"/>
  <c r="K24" i="5"/>
  <c r="E44" i="5"/>
  <c r="H44" i="5" s="1"/>
  <c r="F98" i="5"/>
  <c r="H93" i="5"/>
  <c r="F93" i="5"/>
  <c r="E99" i="5" s="1"/>
  <c r="G90" i="5"/>
  <c r="G89" i="5"/>
  <c r="G88" i="5"/>
  <c r="G87" i="5"/>
  <c r="G86" i="5"/>
  <c r="G70" i="5"/>
  <c r="G69" i="5"/>
  <c r="H69" i="5" s="1"/>
  <c r="G67" i="5"/>
  <c r="H67" i="5" s="1"/>
  <c r="G66" i="5"/>
  <c r="H66" i="5" s="1"/>
  <c r="G65" i="5"/>
  <c r="F64" i="5"/>
  <c r="G64" i="5" s="1"/>
  <c r="F63" i="5"/>
  <c r="G62" i="5"/>
  <c r="G61" i="5"/>
  <c r="F16" i="3"/>
  <c r="G16" i="3" s="1"/>
  <c r="H44" i="2"/>
  <c r="G17" i="3"/>
  <c r="H17" i="3" s="1"/>
  <c r="E45" i="3"/>
  <c r="H45" i="3" s="1"/>
  <c r="G69" i="4"/>
  <c r="H15" i="3"/>
  <c r="G14" i="3"/>
  <c r="H14" i="3" s="1"/>
  <c r="G13" i="3"/>
  <c r="H49" i="3"/>
  <c r="H62" i="1"/>
  <c r="H50" i="3"/>
  <c r="H52" i="3"/>
  <c r="H45" i="2"/>
  <c r="H72" i="3"/>
  <c r="G72" i="3" s="1"/>
  <c r="F49" i="4"/>
  <c r="H49" i="4"/>
  <c r="K24" i="2"/>
  <c r="F45" i="4"/>
  <c r="I88" i="2"/>
  <c r="K24" i="4"/>
  <c r="K24" i="3"/>
  <c r="F39" i="5" l="1"/>
  <c r="E97" i="5" s="1"/>
  <c r="I93" i="5"/>
  <c r="I87" i="6" s="1"/>
  <c r="I89" i="7" s="1"/>
  <c r="I89" i="8" s="1"/>
  <c r="I89" i="9" s="1"/>
  <c r="G51" i="9"/>
  <c r="K8" i="9" s="1"/>
  <c r="G89" i="7"/>
  <c r="G95" i="7" s="1"/>
  <c r="E92" i="9"/>
  <c r="E96" i="9" s="1"/>
  <c r="F96" i="9" s="1"/>
  <c r="G92" i="9"/>
  <c r="K13" i="9"/>
  <c r="K14" i="9"/>
  <c r="K9" i="9"/>
  <c r="G93" i="9"/>
  <c r="E92" i="8"/>
  <c r="E96" i="8" s="1"/>
  <c r="F96" i="8" s="1"/>
  <c r="F95" i="8"/>
  <c r="K13" i="8"/>
  <c r="G92" i="8"/>
  <c r="G96" i="8" s="1"/>
  <c r="H79" i="8"/>
  <c r="K9" i="8" s="1"/>
  <c r="K10" i="8"/>
  <c r="G79" i="7"/>
  <c r="G94" i="7" s="1"/>
  <c r="F51" i="7"/>
  <c r="G92" i="7" s="1"/>
  <c r="H79" i="7"/>
  <c r="K9" i="7" s="1"/>
  <c r="H39" i="5"/>
  <c r="G39" i="5"/>
  <c r="G97" i="5" s="1"/>
  <c r="L33" i="7"/>
  <c r="F77" i="6"/>
  <c r="E92" i="6" s="1"/>
  <c r="E92" i="7"/>
  <c r="F93" i="7" s="1"/>
  <c r="H51" i="7"/>
  <c r="F79" i="7"/>
  <c r="E94" i="7" s="1"/>
  <c r="G93" i="7"/>
  <c r="G87" i="6"/>
  <c r="G93" i="6" s="1"/>
  <c r="H77" i="6"/>
  <c r="K9" i="6" s="1"/>
  <c r="E49" i="6"/>
  <c r="G77" i="6"/>
  <c r="G92" i="6" s="1"/>
  <c r="K13" i="6"/>
  <c r="G90" i="6"/>
  <c r="H49" i="6"/>
  <c r="F55" i="5"/>
  <c r="K13" i="5" s="1"/>
  <c r="F83" i="5"/>
  <c r="E98" i="5" s="1"/>
  <c r="E55" i="5"/>
  <c r="E96" i="5" s="1"/>
  <c r="F99" i="5" s="1"/>
  <c r="G93" i="5"/>
  <c r="G99" i="5" s="1"/>
  <c r="G83" i="5"/>
  <c r="G98" i="5" s="1"/>
  <c r="H55" i="5"/>
  <c r="H83" i="5"/>
  <c r="G10" i="3"/>
  <c r="H10" i="3" s="1"/>
  <c r="G8" i="3"/>
  <c r="G96" i="7" l="1"/>
  <c r="K13" i="7"/>
  <c r="F95" i="9"/>
  <c r="F93" i="9"/>
  <c r="K10" i="9"/>
  <c r="K15" i="9"/>
  <c r="K16" i="9" s="1"/>
  <c r="G96" i="9"/>
  <c r="F93" i="8"/>
  <c r="K15" i="8"/>
  <c r="K16" i="8" s="1"/>
  <c r="K14" i="7"/>
  <c r="K9" i="5"/>
  <c r="K10" i="5" s="1"/>
  <c r="F95" i="7"/>
  <c r="K15" i="7"/>
  <c r="K16" i="7" s="1"/>
  <c r="K10" i="7"/>
  <c r="E96" i="7"/>
  <c r="F96" i="7" s="1"/>
  <c r="K10" i="6"/>
  <c r="K14" i="6"/>
  <c r="E90" i="6"/>
  <c r="F93" i="6" s="1"/>
  <c r="G94" i="6"/>
  <c r="G96" i="5"/>
  <c r="G100" i="5" s="1"/>
  <c r="K14" i="5"/>
  <c r="F97" i="5"/>
  <c r="E100" i="5"/>
  <c r="F100" i="5" s="1"/>
  <c r="G7" i="3"/>
  <c r="H7" i="3" s="1"/>
  <c r="G71" i="3"/>
  <c r="F49" i="3"/>
  <c r="L44" i="3"/>
  <c r="G64" i="2"/>
  <c r="K15" i="5" l="1"/>
  <c r="K16" i="5" s="1"/>
  <c r="K15" i="6"/>
  <c r="K16" i="6" s="1"/>
  <c r="E94" i="6"/>
  <c r="F94" i="6" s="1"/>
  <c r="F91" i="6"/>
  <c r="F70" i="3"/>
  <c r="G70" i="3" s="1"/>
  <c r="F69" i="3"/>
  <c r="G69" i="3" s="1"/>
  <c r="G67" i="2" l="1"/>
  <c r="G30" i="2"/>
  <c r="H30" i="2" s="1"/>
  <c r="G29" i="2"/>
  <c r="H29" i="2" s="1"/>
  <c r="G28" i="2"/>
  <c r="H28" i="2" s="1"/>
  <c r="G27" i="2" l="1"/>
  <c r="H26" i="2" l="1"/>
  <c r="G25" i="2"/>
  <c r="H25" i="2" s="1"/>
  <c r="G24" i="2" l="1"/>
  <c r="H24" i="2" s="1"/>
  <c r="G23" i="2"/>
  <c r="H23" i="2" s="1"/>
  <c r="F44" i="2" l="1"/>
  <c r="L46" i="2"/>
  <c r="L47" i="2" s="1"/>
  <c r="H21" i="2" l="1"/>
  <c r="H20" i="2" l="1"/>
  <c r="F48" i="4" l="1"/>
  <c r="F53" i="4" s="1"/>
  <c r="F97" i="4"/>
  <c r="H92" i="4"/>
  <c r="F92" i="4"/>
  <c r="E98" i="4" s="1"/>
  <c r="G89" i="4"/>
  <c r="G88" i="4"/>
  <c r="G87" i="4"/>
  <c r="G86" i="4"/>
  <c r="G85" i="4"/>
  <c r="G67" i="4"/>
  <c r="H67" i="4" s="1"/>
  <c r="G65" i="4"/>
  <c r="H65" i="4" s="1"/>
  <c r="G64" i="4"/>
  <c r="H64" i="4" s="1"/>
  <c r="G63" i="4"/>
  <c r="F62" i="4"/>
  <c r="F61" i="4"/>
  <c r="G60" i="4"/>
  <c r="G59" i="4"/>
  <c r="K8" i="4"/>
  <c r="H53" i="4"/>
  <c r="H39" i="4"/>
  <c r="G39" i="4"/>
  <c r="G96" i="4" s="1"/>
  <c r="F39" i="4"/>
  <c r="E96" i="4" s="1"/>
  <c r="F82" i="4" l="1"/>
  <c r="E97" i="4" s="1"/>
  <c r="G92" i="4"/>
  <c r="G98" i="4" s="1"/>
  <c r="H82" i="4"/>
  <c r="K9" i="4" s="1"/>
  <c r="K10" i="4" s="1"/>
  <c r="E95" i="4"/>
  <c r="F96" i="4" s="1"/>
  <c r="G62" i="4"/>
  <c r="G82" i="4" s="1"/>
  <c r="G97" i="4" s="1"/>
  <c r="G19" i="2"/>
  <c r="H19" i="2" s="1"/>
  <c r="H65" i="2"/>
  <c r="G65" i="2" s="1"/>
  <c r="E99" i="4" l="1"/>
  <c r="F99" i="4" s="1"/>
  <c r="F98" i="4"/>
  <c r="K13" i="4"/>
  <c r="G95" i="4"/>
  <c r="G99" i="4" s="1"/>
  <c r="K14" i="4"/>
  <c r="E43" i="2"/>
  <c r="H43" i="2" s="1"/>
  <c r="K15" i="4" l="1"/>
  <c r="K16" i="4" s="1"/>
  <c r="H61" i="1"/>
  <c r="F43" i="2" l="1"/>
  <c r="G14" i="2" l="1"/>
  <c r="H58" i="1" l="1"/>
  <c r="G80" i="1"/>
  <c r="H80" i="1" s="1"/>
  <c r="E48" i="2" l="1"/>
  <c r="H48" i="2" s="1"/>
  <c r="F93" i="3"/>
  <c r="H88" i="3"/>
  <c r="F88" i="3"/>
  <c r="G85" i="3"/>
  <c r="G84" i="3"/>
  <c r="G83" i="3"/>
  <c r="G82" i="3"/>
  <c r="G81" i="3"/>
  <c r="G67" i="3"/>
  <c r="H67" i="3" s="1"/>
  <c r="G65" i="3"/>
  <c r="H65" i="3" s="1"/>
  <c r="G64" i="3"/>
  <c r="H64" i="3" s="1"/>
  <c r="G63" i="3"/>
  <c r="F62" i="3"/>
  <c r="G62" i="3" s="1"/>
  <c r="F61" i="3"/>
  <c r="G60" i="3"/>
  <c r="G59" i="3"/>
  <c r="K8" i="3"/>
  <c r="E46" i="3"/>
  <c r="F39" i="3"/>
  <c r="E92" i="3" s="1"/>
  <c r="G39" i="3"/>
  <c r="E53" i="3" l="1"/>
  <c r="H46" i="3"/>
  <c r="E94" i="3"/>
  <c r="I88" i="3"/>
  <c r="F46" i="3"/>
  <c r="F53" i="3" s="1"/>
  <c r="H78" i="3"/>
  <c r="G88" i="3"/>
  <c r="G94" i="3" s="1"/>
  <c r="F78" i="3"/>
  <c r="E93" i="3" s="1"/>
  <c r="G78" i="3"/>
  <c r="G93" i="3" s="1"/>
  <c r="G92" i="3"/>
  <c r="H53" i="3"/>
  <c r="H39" i="3"/>
  <c r="G10" i="2"/>
  <c r="H10" i="2" s="1"/>
  <c r="K9" i="3" l="1"/>
  <c r="K10" i="3" s="1"/>
  <c r="E91" i="3"/>
  <c r="E95" i="3" s="1"/>
  <c r="F95" i="3" s="1"/>
  <c r="K14" i="3"/>
  <c r="K13" i="3"/>
  <c r="G91" i="3"/>
  <c r="G95" i="3" s="1"/>
  <c r="E59" i="1"/>
  <c r="H59" i="1" s="1"/>
  <c r="F94" i="3" l="1"/>
  <c r="F92" i="3"/>
  <c r="K15" i="3"/>
  <c r="K16" i="3" s="1"/>
  <c r="G26" i="1"/>
  <c r="H26" i="1" s="1"/>
  <c r="H25" i="1"/>
  <c r="G70" i="1" l="1"/>
  <c r="H70" i="1" s="1"/>
  <c r="G19" i="1" l="1"/>
  <c r="H19" i="1" s="1"/>
  <c r="L33" i="2"/>
  <c r="G18" i="1" l="1"/>
  <c r="H18" i="1" s="1"/>
  <c r="F16" i="1"/>
  <c r="G17" i="1" l="1"/>
  <c r="H17" i="1" s="1"/>
  <c r="H60" i="1" l="1"/>
  <c r="E64" i="1"/>
  <c r="H64" i="1" l="1"/>
  <c r="H65" i="1" s="1"/>
  <c r="E65" i="1"/>
  <c r="G16" i="1"/>
  <c r="G84" i="1"/>
  <c r="H84" i="1" s="1"/>
  <c r="G15" i="1"/>
  <c r="H15" i="1" s="1"/>
  <c r="G13" i="1" l="1"/>
  <c r="H13" i="1" s="1"/>
  <c r="G12" i="1"/>
  <c r="H12" i="1" s="1"/>
  <c r="F58" i="1" l="1"/>
  <c r="F65" i="1" s="1"/>
  <c r="H83" i="1"/>
  <c r="G83" i="1" s="1"/>
  <c r="G10" i="1"/>
  <c r="G5" i="1" l="1"/>
  <c r="H5" i="1" s="1"/>
  <c r="E49" i="2" l="1"/>
  <c r="F93" i="2"/>
  <c r="H88" i="2"/>
  <c r="F88" i="2"/>
  <c r="E94" i="2" s="1"/>
  <c r="G85" i="2"/>
  <c r="G84" i="2"/>
  <c r="G83" i="2"/>
  <c r="G82" i="2"/>
  <c r="G81" i="2"/>
  <c r="G63" i="2"/>
  <c r="H63" i="2" s="1"/>
  <c r="G61" i="2"/>
  <c r="H61" i="2" s="1"/>
  <c r="G60" i="2"/>
  <c r="H60" i="2" s="1"/>
  <c r="G59" i="2"/>
  <c r="F58" i="2"/>
  <c r="G58" i="2" s="1"/>
  <c r="F57" i="2"/>
  <c r="G56" i="2"/>
  <c r="G55" i="2"/>
  <c r="H54" i="2" s="1"/>
  <c r="G49" i="2"/>
  <c r="K8" i="2" s="1"/>
  <c r="H38" i="2"/>
  <c r="G38" i="2"/>
  <c r="G92" i="2" s="1"/>
  <c r="F38" i="2"/>
  <c r="E92" i="2" s="1"/>
  <c r="F78" i="2" l="1"/>
  <c r="E93" i="2" s="1"/>
  <c r="G88" i="2"/>
  <c r="G94" i="2" s="1"/>
  <c r="H78" i="2"/>
  <c r="K9" i="2" s="1"/>
  <c r="G78" i="2"/>
  <c r="G93" i="2" s="1"/>
  <c r="E91" i="2"/>
  <c r="F49" i="2"/>
  <c r="H49" i="2"/>
  <c r="E95" i="2" l="1"/>
  <c r="F95" i="2" s="1"/>
  <c r="K14" i="2"/>
  <c r="K10" i="2"/>
  <c r="F92" i="2"/>
  <c r="F94" i="2"/>
  <c r="K13" i="2"/>
  <c r="G91" i="2"/>
  <c r="G95" i="2" s="1"/>
  <c r="K15" i="2" l="1"/>
  <c r="K16" i="2" s="1"/>
  <c r="F108" i="1"/>
  <c r="H103" i="1"/>
  <c r="F103" i="1"/>
  <c r="G100" i="1"/>
  <c r="G99" i="1"/>
  <c r="G98" i="1"/>
  <c r="G97" i="1"/>
  <c r="G96" i="1"/>
  <c r="G79" i="1"/>
  <c r="H79" i="1" s="1"/>
  <c r="G77" i="1"/>
  <c r="H77" i="1" s="1"/>
  <c r="G75" i="1"/>
  <c r="F74" i="1"/>
  <c r="G74" i="1" s="1"/>
  <c r="F73" i="1"/>
  <c r="G72" i="1"/>
  <c r="G71" i="1"/>
  <c r="G65" i="1"/>
  <c r="K8" i="1" s="1"/>
  <c r="K27" i="1" s="1"/>
  <c r="K27" i="2" s="1"/>
  <c r="K27" i="3" s="1"/>
  <c r="E106" i="1"/>
  <c r="H53" i="1"/>
  <c r="G53" i="1"/>
  <c r="G107" i="1" s="1"/>
  <c r="F53" i="1"/>
  <c r="E107" i="1" s="1"/>
  <c r="K27" i="4" l="1"/>
  <c r="K27" i="5" s="1"/>
  <c r="K27" i="6" s="1"/>
  <c r="K27" i="7" s="1"/>
  <c r="K27" i="8" s="1"/>
  <c r="K27" i="9" s="1"/>
  <c r="F93" i="1"/>
  <c r="E108" i="1" s="1"/>
  <c r="K13" i="1"/>
  <c r="K22" i="1" s="1"/>
  <c r="K22" i="2" s="1"/>
  <c r="K22" i="3" s="1"/>
  <c r="G103" i="1"/>
  <c r="G109" i="1" s="1"/>
  <c r="E109" i="1"/>
  <c r="I103" i="1"/>
  <c r="H93" i="1"/>
  <c r="K9" i="1" s="1"/>
  <c r="K28" i="1" s="1"/>
  <c r="K28" i="2" s="1"/>
  <c r="G93" i="1"/>
  <c r="G108" i="1" s="1"/>
  <c r="E113" i="1"/>
  <c r="F107" i="1"/>
  <c r="K22" i="4" l="1"/>
  <c r="K22" i="5" s="1"/>
  <c r="K22" i="6" s="1"/>
  <c r="K22" i="7" s="1"/>
  <c r="K22" i="8" s="1"/>
  <c r="K22" i="9" s="1"/>
  <c r="E98" i="2"/>
  <c r="E98" i="3" s="1"/>
  <c r="E102" i="4" s="1"/>
  <c r="K29" i="2"/>
  <c r="L30" i="2" s="1"/>
  <c r="L32" i="2" s="1"/>
  <c r="K28" i="3"/>
  <c r="E110" i="1"/>
  <c r="F110" i="1" s="1"/>
  <c r="G106" i="1"/>
  <c r="G110" i="1" s="1"/>
  <c r="K14" i="1"/>
  <c r="K23" i="1" s="1"/>
  <c r="F109" i="1"/>
  <c r="K29" i="1"/>
  <c r="K10" i="1"/>
  <c r="E103" i="5" l="1"/>
  <c r="E97" i="6" s="1"/>
  <c r="E99" i="7" s="1"/>
  <c r="E99" i="8" s="1"/>
  <c r="E99" i="9" s="1"/>
  <c r="K29" i="3"/>
  <c r="L30" i="3" s="1"/>
  <c r="L32" i="3" s="1"/>
  <c r="K28" i="4"/>
  <c r="L30" i="1"/>
  <c r="L32" i="1" s="1"/>
  <c r="K15" i="1"/>
  <c r="K16" i="1" s="1"/>
  <c r="K25" i="1"/>
  <c r="K26" i="1" s="1"/>
  <c r="K23" i="2"/>
  <c r="K29" i="4" l="1"/>
  <c r="L30" i="4" s="1"/>
  <c r="L32" i="4" s="1"/>
  <c r="K28" i="5"/>
  <c r="K25" i="2"/>
  <c r="K26" i="2" s="1"/>
  <c r="K23" i="3"/>
  <c r="K28" i="6" l="1"/>
  <c r="K29" i="5"/>
  <c r="L30" i="5" s="1"/>
  <c r="L32" i="5" s="1"/>
  <c r="K25" i="3"/>
  <c r="K26" i="3" s="1"/>
  <c r="K23" i="4"/>
  <c r="K28" i="7" l="1"/>
  <c r="K29" i="6"/>
  <c r="L30" i="6" s="1"/>
  <c r="L32" i="6" s="1"/>
  <c r="K25" i="4"/>
  <c r="K26" i="4" s="1"/>
  <c r="K23" i="5"/>
  <c r="K29" i="7" l="1"/>
  <c r="L30" i="7" s="1"/>
  <c r="L32" i="7" s="1"/>
  <c r="K28" i="8"/>
  <c r="K23" i="6"/>
  <c r="K25" i="5"/>
  <c r="K26" i="5" s="1"/>
  <c r="K28" i="9" l="1"/>
  <c r="K29" i="9" s="1"/>
  <c r="L30" i="9" s="1"/>
  <c r="L32" i="9" s="1"/>
  <c r="K29" i="8"/>
  <c r="L30" i="8" s="1"/>
  <c r="L32" i="8" s="1"/>
  <c r="K23" i="7"/>
  <c r="K25" i="6"/>
  <c r="K26" i="6" s="1"/>
  <c r="K25" i="7" l="1"/>
  <c r="K26" i="7" s="1"/>
  <c r="K23" i="8"/>
  <c r="K23" i="9" l="1"/>
  <c r="K25" i="9" s="1"/>
  <c r="K26" i="9" s="1"/>
  <c r="K25" i="8"/>
  <c r="K26" i="8" s="1"/>
</calcChain>
</file>

<file path=xl/sharedStrings.xml><?xml version="1.0" encoding="utf-8"?>
<sst xmlns="http://schemas.openxmlformats.org/spreadsheetml/2006/main" count="1206" uniqueCount="453">
  <si>
    <t>data</t>
  </si>
  <si>
    <t>n. fact</t>
  </si>
  <si>
    <t>liquido FAC</t>
  </si>
  <si>
    <t>imposto</t>
  </si>
  <si>
    <t>IMPOSTOS</t>
  </si>
  <si>
    <t>IVA vendas-Portugal</t>
  </si>
  <si>
    <t>IVA compras e desp</t>
  </si>
  <si>
    <t>IVA</t>
  </si>
  <si>
    <t>vendas</t>
  </si>
  <si>
    <t>compras e despesas</t>
  </si>
  <si>
    <t>irc</t>
  </si>
  <si>
    <t>GLOBAL ANUAL FACTURADO</t>
  </si>
  <si>
    <t>vendas global</t>
  </si>
  <si>
    <t>compras/desp global</t>
  </si>
  <si>
    <t>Amortizações</t>
  </si>
  <si>
    <t>iva</t>
  </si>
  <si>
    <t>compras/desp  global</t>
  </si>
  <si>
    <t>IVA vendas-França</t>
  </si>
  <si>
    <t>ft</t>
  </si>
  <si>
    <t>VENDAS</t>
  </si>
  <si>
    <t xml:space="preserve">Fatura </t>
  </si>
  <si>
    <t>Haver</t>
  </si>
  <si>
    <t>AD2/646</t>
  </si>
  <si>
    <t>Lusomobilier-michel devred</t>
  </si>
  <si>
    <t>AD2/651</t>
  </si>
  <si>
    <t>Tissier Batiste</t>
  </si>
  <si>
    <t>DESPESAS GERAIS</t>
  </si>
  <si>
    <t>Agencia contineltal</t>
  </si>
  <si>
    <t>avença</t>
  </si>
  <si>
    <t>Winner Ccs</t>
  </si>
  <si>
    <t>CCs prog jan</t>
  </si>
  <si>
    <t>BPI</t>
  </si>
  <si>
    <t>Crédito tesla-renda5</t>
  </si>
  <si>
    <t>armazém frança</t>
  </si>
  <si>
    <t>Renda Armazém frança</t>
  </si>
  <si>
    <t>Totta</t>
  </si>
  <si>
    <t>Comissão gestão conta</t>
  </si>
  <si>
    <t>SEGURO SAUDE</t>
  </si>
  <si>
    <t>Vodafone</t>
  </si>
  <si>
    <t>TV+Net+Voz-</t>
  </si>
  <si>
    <t>NOS</t>
  </si>
  <si>
    <t>Nos Follow pro</t>
  </si>
  <si>
    <t>Tesla</t>
  </si>
  <si>
    <t>net</t>
  </si>
  <si>
    <t>GRENKE</t>
  </si>
  <si>
    <t>ferramentas</t>
  </si>
  <si>
    <t>Via verde</t>
  </si>
  <si>
    <t>portagens</t>
  </si>
  <si>
    <t>FUNCIONÁRIOS</t>
  </si>
  <si>
    <t>Paulo</t>
  </si>
  <si>
    <t>Salário Jan</t>
  </si>
  <si>
    <t>Marisa</t>
  </si>
  <si>
    <t>Manike</t>
  </si>
  <si>
    <t>IGFSS</t>
  </si>
  <si>
    <t>Seg. Social Jan</t>
  </si>
  <si>
    <t>IGCP/EPE</t>
  </si>
  <si>
    <t>Retenção Fonte</t>
  </si>
  <si>
    <t>COMPAS</t>
  </si>
  <si>
    <t>DESPESAS ADMINISTRATIVAS</t>
  </si>
  <si>
    <t>FUNCIONARIOS</t>
  </si>
  <si>
    <t>SALDO</t>
  </si>
  <si>
    <t>Vendas acumuladas</t>
  </si>
  <si>
    <t>reembolso 2025</t>
  </si>
  <si>
    <t>Frederick Dias</t>
  </si>
  <si>
    <t>transferiu adi. A 11-12-24</t>
  </si>
  <si>
    <t>Agnês e Frank</t>
  </si>
  <si>
    <t>1/932</t>
  </si>
  <si>
    <t>Olhares relevantes</t>
  </si>
  <si>
    <t>sofas</t>
  </si>
  <si>
    <t>fac em 12/24</t>
  </si>
  <si>
    <t>Nelson Simões-eoslemaire</t>
  </si>
  <si>
    <t>Paypro global</t>
  </si>
  <si>
    <t>sketchup</t>
  </si>
  <si>
    <t>1/853</t>
  </si>
  <si>
    <t>Kamané</t>
  </si>
  <si>
    <t>embalamento</t>
  </si>
  <si>
    <t>Naima Karouchi-SARL Emba.</t>
  </si>
  <si>
    <t>2107,50€para lusomobilier %</t>
  </si>
  <si>
    <t>Lusomobilier - Bokobza</t>
  </si>
  <si>
    <t>didier</t>
  </si>
  <si>
    <t>Salário</t>
  </si>
  <si>
    <t>Seg. Social</t>
  </si>
  <si>
    <t>Plans Pluriel</t>
  </si>
  <si>
    <t>2025/8</t>
  </si>
  <si>
    <t>Astralacc</t>
  </si>
  <si>
    <t>lacados</t>
  </si>
  <si>
    <t>2025/20</t>
  </si>
  <si>
    <t>couropele-barbosa e alves</t>
  </si>
  <si>
    <t>sofás agnês</t>
  </si>
  <si>
    <t>2025/1</t>
  </si>
  <si>
    <t>Camif</t>
  </si>
  <si>
    <t>moeis devred</t>
  </si>
  <si>
    <t>2/942</t>
  </si>
  <si>
    <t>Telesdias</t>
  </si>
  <si>
    <t>pedras</t>
  </si>
  <si>
    <t>125/62</t>
  </si>
  <si>
    <t>Vidraria Pereira</t>
  </si>
  <si>
    <t>vidros</t>
  </si>
  <si>
    <t>2/666</t>
  </si>
  <si>
    <t>2/667</t>
  </si>
  <si>
    <t>Henrique da Silva</t>
  </si>
  <si>
    <t>2/668</t>
  </si>
  <si>
    <t>voo paris</t>
  </si>
  <si>
    <t>Trip</t>
  </si>
  <si>
    <t>2025/65</t>
  </si>
  <si>
    <t>Roverluz</t>
  </si>
  <si>
    <t>leds</t>
  </si>
  <si>
    <t xml:space="preserve">BP </t>
  </si>
  <si>
    <t>gasoleo</t>
  </si>
  <si>
    <t>Galp</t>
  </si>
  <si>
    <t>2025/2</t>
  </si>
  <si>
    <t>Polidor com arte</t>
  </si>
  <si>
    <t>polimento</t>
  </si>
  <si>
    <t>125/95</t>
  </si>
  <si>
    <t>espelho</t>
  </si>
  <si>
    <t>A25/2</t>
  </si>
  <si>
    <t>Rui Bessa</t>
  </si>
  <si>
    <t>moveis</t>
  </si>
  <si>
    <t>vidraria pereira</t>
  </si>
  <si>
    <t>Benoit Plessy</t>
  </si>
  <si>
    <t>TVA=468</t>
  </si>
  <si>
    <t>TVA=84</t>
  </si>
  <si>
    <t>TVA em 11/24 de 1635,30€</t>
  </si>
  <si>
    <t>Low cost parking</t>
  </si>
  <si>
    <t>contipaper</t>
  </si>
  <si>
    <t>CTOTTA</t>
  </si>
  <si>
    <t>despesas viagem</t>
  </si>
  <si>
    <t>deu 5450 para os 2 filhos</t>
  </si>
  <si>
    <t>s/fac</t>
  </si>
  <si>
    <t>2025/23</t>
  </si>
  <si>
    <t>2/669</t>
  </si>
  <si>
    <t>2/670</t>
  </si>
  <si>
    <t>tva=489</t>
  </si>
  <si>
    <t>tva=366</t>
  </si>
  <si>
    <t>2025/29</t>
  </si>
  <si>
    <t>polimento portas</t>
  </si>
  <si>
    <t>B/4718</t>
  </si>
  <si>
    <t>Transportes sousa</t>
  </si>
  <si>
    <t>A25/6</t>
  </si>
  <si>
    <t>cozinha + estante</t>
  </si>
  <si>
    <t>f37426</t>
  </si>
  <si>
    <t>casferim</t>
  </si>
  <si>
    <t>ferragem</t>
  </si>
  <si>
    <t>f37467</t>
  </si>
  <si>
    <t>f37528</t>
  </si>
  <si>
    <t>2/672</t>
  </si>
  <si>
    <t>MME Folha</t>
  </si>
  <si>
    <t>TVA=312</t>
  </si>
  <si>
    <t>1/876</t>
  </si>
  <si>
    <t>cmr 79 e 80</t>
  </si>
  <si>
    <t>2025/9</t>
  </si>
  <si>
    <t>JP</t>
  </si>
  <si>
    <t>fatura adiantamento</t>
  </si>
  <si>
    <t>f37316</t>
  </si>
  <si>
    <t>f37098</t>
  </si>
  <si>
    <t>camas e roupeiro</t>
  </si>
  <si>
    <t>f74 e 141</t>
  </si>
  <si>
    <t>5/16235</t>
  </si>
  <si>
    <t>2/11565</t>
  </si>
  <si>
    <t>Mundo das ferragens</t>
  </si>
  <si>
    <t>Momel</t>
  </si>
  <si>
    <t>f2500575</t>
  </si>
  <si>
    <t>pio</t>
  </si>
  <si>
    <t>ad2/665</t>
  </si>
  <si>
    <t>ad2/671</t>
  </si>
  <si>
    <t>ft88</t>
  </si>
  <si>
    <t>Rebelo</t>
  </si>
  <si>
    <t>f37619</t>
  </si>
  <si>
    <t>f37660</t>
  </si>
  <si>
    <t>Agnes deu 2500</t>
  </si>
  <si>
    <t>Kevin Tissier</t>
  </si>
  <si>
    <t>lusom. M.o.</t>
  </si>
  <si>
    <t>2025/14</t>
  </si>
  <si>
    <t>lacados (estante, cozinha e aro)</t>
  </si>
  <si>
    <t>B/4738</t>
  </si>
  <si>
    <t>Transportes sousa e sousa</t>
  </si>
  <si>
    <t>2025/152</t>
  </si>
  <si>
    <t>Mundenreferencia</t>
  </si>
  <si>
    <t>TVA=2799,2</t>
  </si>
  <si>
    <t>2/673</t>
  </si>
  <si>
    <t>WURTH</t>
  </si>
  <si>
    <t>2024-25</t>
  </si>
  <si>
    <t>Lusomobilier</t>
  </si>
  <si>
    <t>125/259</t>
  </si>
  <si>
    <t>2/37890</t>
  </si>
  <si>
    <t>2/38763</t>
  </si>
  <si>
    <t>A25/8</t>
  </si>
  <si>
    <t>AD2674</t>
  </si>
  <si>
    <t>Sofia Prado Rodrigues</t>
  </si>
  <si>
    <t>galp</t>
  </si>
  <si>
    <t>1/879</t>
  </si>
  <si>
    <t>Patrice Mendes-EST 933</t>
  </si>
  <si>
    <t>TVA=454,58</t>
  </si>
  <si>
    <t>TVA= 1583,33</t>
  </si>
  <si>
    <t>2025/194</t>
  </si>
  <si>
    <t>EXAUSTOR</t>
  </si>
  <si>
    <t>2025/224</t>
  </si>
  <si>
    <t>Francisco J Dias</t>
  </si>
  <si>
    <t>tva=1146,33</t>
  </si>
  <si>
    <t>2/675</t>
  </si>
  <si>
    <t>Agnes deu 5000</t>
  </si>
  <si>
    <t>A25/9</t>
  </si>
  <si>
    <t>2 cozinhas</t>
  </si>
  <si>
    <t>f1/886</t>
  </si>
  <si>
    <t>b/4820</t>
  </si>
  <si>
    <t>2025/21</t>
  </si>
  <si>
    <t>mooveis</t>
  </si>
  <si>
    <t>2025/22</t>
  </si>
  <si>
    <t xml:space="preserve">Lacados   </t>
  </si>
  <si>
    <t>218/25A</t>
  </si>
  <si>
    <t>J S Coelho</t>
  </si>
  <si>
    <t>ad2/676</t>
  </si>
  <si>
    <t>Pharmacie Bertrand</t>
  </si>
  <si>
    <t>Gaspar Leão</t>
  </si>
  <si>
    <t>Cepsa</t>
  </si>
  <si>
    <t>pneus tesla</t>
  </si>
  <si>
    <t>2/677</t>
  </si>
  <si>
    <t>2/678</t>
  </si>
  <si>
    <t>google</t>
  </si>
  <si>
    <t>anuidade</t>
  </si>
  <si>
    <t>Fidelidade</t>
  </si>
  <si>
    <t>seguro jumper</t>
  </si>
  <si>
    <t>seguro iveco</t>
  </si>
  <si>
    <t>2025/15</t>
  </si>
  <si>
    <t>moveis nelson</t>
  </si>
  <si>
    <t>2025/17</t>
  </si>
  <si>
    <t>moves</t>
  </si>
  <si>
    <t>Kevin Benssousan</t>
  </si>
  <si>
    <t>pedido de baixada</t>
  </si>
  <si>
    <t>e-redes</t>
  </si>
  <si>
    <t>acerto seguro trabalhadores</t>
  </si>
  <si>
    <t>TVA=918,3</t>
  </si>
  <si>
    <t>Boreal Batiment-Alexandre</t>
  </si>
  <si>
    <t>B/4851</t>
  </si>
  <si>
    <t>cmr 54939 e 54938</t>
  </si>
  <si>
    <t>Invoice</t>
  </si>
  <si>
    <t>cmr 102</t>
  </si>
  <si>
    <t>B/4766</t>
  </si>
  <si>
    <t>cmr402/401</t>
  </si>
  <si>
    <t>1/952</t>
  </si>
  <si>
    <t>Olhares Relevantes</t>
  </si>
  <si>
    <t>sofás</t>
  </si>
  <si>
    <t>TVA=433,33</t>
  </si>
  <si>
    <t xml:space="preserve"> -750€ gabriel-700mo-300%</t>
  </si>
  <si>
    <t>TVA=91,67</t>
  </si>
  <si>
    <t>2/679</t>
  </si>
  <si>
    <t>2/680</t>
  </si>
  <si>
    <t>2/681</t>
  </si>
  <si>
    <t>TVA=1000,97</t>
  </si>
  <si>
    <t>Notario Arnaldo Martins</t>
  </si>
  <si>
    <t>Reconhecimento assinatura</t>
  </si>
  <si>
    <t>2024-29</t>
  </si>
  <si>
    <t>paris 11-3</t>
  </si>
  <si>
    <t>Low cost park</t>
  </si>
  <si>
    <t>voo 18-3</t>
  </si>
  <si>
    <t>B/4886</t>
  </si>
  <si>
    <t>Batiste Tissier</t>
  </si>
  <si>
    <t>M.O.-benoit</t>
  </si>
  <si>
    <t>fred</t>
  </si>
  <si>
    <t>f3567</t>
  </si>
  <si>
    <t>Dagol</t>
  </si>
  <si>
    <t>Acrilicos-nelson simões</t>
  </si>
  <si>
    <t>B/4900</t>
  </si>
  <si>
    <t>cmr777</t>
  </si>
  <si>
    <t>Lusomobilier (sara)</t>
  </si>
  <si>
    <t>tampo quartz armazem</t>
  </si>
  <si>
    <t>fat1050</t>
  </si>
  <si>
    <t>Trp</t>
  </si>
  <si>
    <t>voo 24/03</t>
  </si>
  <si>
    <t>Lowcost park</t>
  </si>
  <si>
    <t>2500/18</t>
  </si>
  <si>
    <t>Carlos Pinto</t>
  </si>
  <si>
    <t>AT</t>
  </si>
  <si>
    <t>IUC citroen</t>
  </si>
  <si>
    <t>CCTotta</t>
  </si>
  <si>
    <t>2/686+687</t>
  </si>
  <si>
    <t>ad2/685</t>
  </si>
  <si>
    <t>ad2/684</t>
  </si>
  <si>
    <t>ad2/683</t>
  </si>
  <si>
    <t>ad2/682</t>
  </si>
  <si>
    <t>2/39056</t>
  </si>
  <si>
    <t>ad2/689</t>
  </si>
  <si>
    <t>Malfondet</t>
  </si>
  <si>
    <t>AD2/689</t>
  </si>
  <si>
    <t>TVA50% em Março e 50%maio</t>
  </si>
  <si>
    <t>Leao informatica</t>
  </si>
  <si>
    <t>impressora</t>
  </si>
  <si>
    <t>PC alimentador e grafica</t>
  </si>
  <si>
    <t>TRIP</t>
  </si>
  <si>
    <t>Voo 2/4/25</t>
  </si>
  <si>
    <t>Repsol</t>
  </si>
  <si>
    <t>A25/16</t>
  </si>
  <si>
    <t>moveis bertrand</t>
  </si>
  <si>
    <t>transportes mesquita</t>
  </si>
  <si>
    <t>Citroen</t>
  </si>
  <si>
    <t xml:space="preserve">reparação </t>
  </si>
  <si>
    <t>TVA=2060</t>
  </si>
  <si>
    <t>2/688</t>
  </si>
  <si>
    <t xml:space="preserve"> 50%tva março</t>
  </si>
  <si>
    <t>2/39792</t>
  </si>
  <si>
    <t>2/39869</t>
  </si>
  <si>
    <t>irs</t>
  </si>
  <si>
    <t>A25/17</t>
  </si>
  <si>
    <t>cozluso+sophie</t>
  </si>
  <si>
    <t>2/690</t>
  </si>
  <si>
    <t>B4939</t>
  </si>
  <si>
    <t>Transportes Sousa e Sousa</t>
  </si>
  <si>
    <t>cmr 456</t>
  </si>
  <si>
    <t>Citast</t>
  </si>
  <si>
    <t>inspeção</t>
  </si>
  <si>
    <t>sos concertos</t>
  </si>
  <si>
    <t>matriculas novas</t>
  </si>
  <si>
    <t>FA25/36</t>
  </si>
  <si>
    <t>Dupê</t>
  </si>
  <si>
    <t>Gonçalves Folha</t>
  </si>
  <si>
    <t>Bstiste Tissier</t>
  </si>
  <si>
    <t>NC2/149</t>
  </si>
  <si>
    <t>2/691</t>
  </si>
  <si>
    <t>SAS Belfor</t>
  </si>
  <si>
    <t>125/645</t>
  </si>
  <si>
    <t>VIDRARIA PEREIRA</t>
  </si>
  <si>
    <t>VIDROS</t>
  </si>
  <si>
    <t>1/910</t>
  </si>
  <si>
    <t>Kamane</t>
  </si>
  <si>
    <t>cartao</t>
  </si>
  <si>
    <t>A25/18</t>
  </si>
  <si>
    <t>DRESSING</t>
  </si>
  <si>
    <t>ad2/693</t>
  </si>
  <si>
    <t>TVA=541,67</t>
  </si>
  <si>
    <t>ad2/692</t>
  </si>
  <si>
    <t>TVA=2500</t>
  </si>
  <si>
    <t>Francisco J dias</t>
  </si>
  <si>
    <t xml:space="preserve">moveis   </t>
  </si>
  <si>
    <t>2/694</t>
  </si>
  <si>
    <t>TVA=454,59</t>
  </si>
  <si>
    <t>2/695</t>
  </si>
  <si>
    <t>Worten</t>
  </si>
  <si>
    <t>rato</t>
  </si>
  <si>
    <t>at</t>
  </si>
  <si>
    <t>IRS</t>
  </si>
  <si>
    <t>GALP</t>
  </si>
  <si>
    <t>GASOLEO</t>
  </si>
  <si>
    <t>TVA (nc)=-1635,33</t>
  </si>
  <si>
    <t xml:space="preserve">erro iva fat. Ad. Tirou em pt </t>
  </si>
  <si>
    <t>SAS EOS/belfor</t>
  </si>
  <si>
    <t>jormardoce</t>
  </si>
  <si>
    <t>2025/41</t>
  </si>
  <si>
    <t>2/40278</t>
  </si>
  <si>
    <t>2/40398</t>
  </si>
  <si>
    <t>IES</t>
  </si>
  <si>
    <t>B/5011</t>
  </si>
  <si>
    <t>cmr 350</t>
  </si>
  <si>
    <t>2/40589</t>
  </si>
  <si>
    <t>2/40605</t>
  </si>
  <si>
    <t>ferragem MDME DUPE</t>
  </si>
  <si>
    <t>Zezete</t>
  </si>
  <si>
    <t>TVA2500€em Abril</t>
  </si>
  <si>
    <t>TVA 514,67€em Abril</t>
  </si>
  <si>
    <t>A25/22</t>
  </si>
  <si>
    <t>A25/24</t>
  </si>
  <si>
    <t>2/697</t>
  </si>
  <si>
    <t>2/696</t>
  </si>
  <si>
    <t>22/470</t>
  </si>
  <si>
    <t>PRIVILEGEDETAILS</t>
  </si>
  <si>
    <t>TAMPOS MADEIRA</t>
  </si>
  <si>
    <t>Gnr Freamunde</t>
  </si>
  <si>
    <t>baixada</t>
  </si>
  <si>
    <t>Rui Aslexandre Fernandes</t>
  </si>
  <si>
    <t>TVA=2220</t>
  </si>
  <si>
    <t>Prosico</t>
  </si>
  <si>
    <t>carregar extintores</t>
  </si>
  <si>
    <t>1/930</t>
  </si>
  <si>
    <t>2025/662</t>
  </si>
  <si>
    <t>roverluz</t>
  </si>
  <si>
    <t>f1/3775</t>
  </si>
  <si>
    <t>2025/773</t>
  </si>
  <si>
    <t>Armando folha</t>
  </si>
  <si>
    <t>A25/26</t>
  </si>
  <si>
    <t>moveis Malfondet</t>
  </si>
  <si>
    <t>2025/532</t>
  </si>
  <si>
    <t>Alarsat</t>
  </si>
  <si>
    <t>anuidade cartão GSM</t>
  </si>
  <si>
    <t>2024-31</t>
  </si>
  <si>
    <t>Montagem</t>
  </si>
  <si>
    <t>AC1511369</t>
  </si>
  <si>
    <t>Transportes Mesquita</t>
  </si>
  <si>
    <t>CMR 1064368</t>
  </si>
  <si>
    <t>503-25A</t>
  </si>
  <si>
    <t>Pedras</t>
  </si>
  <si>
    <t>2/41140</t>
  </si>
  <si>
    <t>Casferim</t>
  </si>
  <si>
    <t>Vitor Melo - Pedras</t>
  </si>
  <si>
    <t>TVA=275,33</t>
  </si>
  <si>
    <t>Lusomibilier - Mark bokobza</t>
  </si>
  <si>
    <t>Febol</t>
  </si>
  <si>
    <t>ferragens</t>
  </si>
  <si>
    <t>José Sousa</t>
  </si>
  <si>
    <t>Eduardo Varela</t>
  </si>
  <si>
    <t>TVA=1027,09</t>
  </si>
  <si>
    <t>2025/49</t>
  </si>
  <si>
    <t>2025/50</t>
  </si>
  <si>
    <t>verniz</t>
  </si>
  <si>
    <t>Primagran - Leroy Merlin</t>
  </si>
  <si>
    <t>pia</t>
  </si>
  <si>
    <t>B/5091</t>
  </si>
  <si>
    <t>cmr 733 e 734</t>
  </si>
  <si>
    <t>2025/575</t>
  </si>
  <si>
    <t>exaustor + pio</t>
  </si>
  <si>
    <t>2/699</t>
  </si>
  <si>
    <t>2/701</t>
  </si>
  <si>
    <t>2/698/700</t>
  </si>
  <si>
    <t>ad2/702</t>
  </si>
  <si>
    <t>TVA=3556</t>
  </si>
  <si>
    <t>A25/28</t>
  </si>
  <si>
    <t>Cozinha Dupê</t>
  </si>
  <si>
    <t>2025/783</t>
  </si>
  <si>
    <t>cama e camseiro</t>
  </si>
  <si>
    <t>125/875</t>
  </si>
  <si>
    <t>Vidraria pereira</t>
  </si>
  <si>
    <t>Festeiros</t>
  </si>
  <si>
    <t>Donarivo</t>
  </si>
  <si>
    <t>José sousa</t>
  </si>
  <si>
    <t>ad</t>
  </si>
  <si>
    <t>pago em Maio</t>
  </si>
  <si>
    <t>2/41646</t>
  </si>
  <si>
    <t>2/703</t>
  </si>
  <si>
    <t>B/5136</t>
  </si>
  <si>
    <t>cmr1227</t>
  </si>
  <si>
    <t>Vueling</t>
  </si>
  <si>
    <t>voos</t>
  </si>
  <si>
    <t>citroen</t>
  </si>
  <si>
    <t>1/946</t>
  </si>
  <si>
    <t>cartão</t>
  </si>
  <si>
    <t>2025/620</t>
  </si>
  <si>
    <t>A25/29</t>
  </si>
  <si>
    <t>MOVEIS</t>
  </si>
  <si>
    <t>A1/399</t>
  </si>
  <si>
    <t xml:space="preserve">Rebelo </t>
  </si>
  <si>
    <t>ACP</t>
  </si>
  <si>
    <t>Anuidade qotas</t>
  </si>
  <si>
    <t>648-25A</t>
  </si>
  <si>
    <t>J. Sousa &amp; Coelho lda.</t>
  </si>
  <si>
    <t>2/705</t>
  </si>
  <si>
    <t>2/704</t>
  </si>
  <si>
    <t>TVA=382,45</t>
  </si>
  <si>
    <t>TVA=2144,67</t>
  </si>
  <si>
    <t>TVA=2715,07</t>
  </si>
  <si>
    <t xml:space="preserve"> contabilidade </t>
  </si>
  <si>
    <t>Interprev</t>
  </si>
  <si>
    <t>sht</t>
  </si>
  <si>
    <t>dad blue</t>
  </si>
  <si>
    <t>transf.1545 revolut</t>
  </si>
  <si>
    <t>TVA=254,5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</si>
</sst>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-* #,##0.00\ [$€-816]_-;\-* #,##0.00\ [$€-816]_-;_-* &quot;-&quot;??\ [$€-816]_-;_-@_-"/>
    <numFmt numFmtId="165" formatCode="[$-816]d/mmm;@"/>
    <numFmt numFmtId="166" formatCode="0.00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1" xfId="0" applyBorder="1"/>
    <xf numFmtId="164" fontId="5" fillId="0" borderId="2" xfId="0" applyNumberFormat="1" applyFont="1" applyBorder="1"/>
    <xf numFmtId="0" fontId="0" fillId="0" borderId="2" xfId="0" applyBorder="1"/>
    <xf numFmtId="164" fontId="0" fillId="0" borderId="1" xfId="0" applyNumberFormat="1" applyBorder="1"/>
    <xf numFmtId="164" fontId="0" fillId="0" borderId="0" xfId="0" applyNumberFormat="1"/>
    <xf numFmtId="16" fontId="0" fillId="0" borderId="3" xfId="0" applyNumberFormat="1" applyBorder="1"/>
    <xf numFmtId="0" fontId="0" fillId="0" borderId="4" xfId="0" applyBorder="1"/>
    <xf numFmtId="0" fontId="0" fillId="0" borderId="5" xfId="0" applyBorder="1"/>
    <xf numFmtId="164" fontId="6" fillId="0" borderId="5" xfId="0" applyNumberFormat="1" applyFont="1" applyBorder="1"/>
    <xf numFmtId="0" fontId="6" fillId="0" borderId="5" xfId="0" applyFont="1" applyBorder="1"/>
    <xf numFmtId="164" fontId="6" fillId="0" borderId="0" xfId="0" applyNumberFormat="1" applyFont="1"/>
    <xf numFmtId="164" fontId="0" fillId="0" borderId="3" xfId="0" applyNumberFormat="1" applyBorder="1"/>
    <xf numFmtId="164" fontId="4" fillId="0" borderId="0" xfId="0" applyNumberFormat="1" applyFont="1" applyAlignment="1">
      <alignment horizontal="right"/>
    </xf>
    <xf numFmtId="164" fontId="4" fillId="0" borderId="0" xfId="0" applyNumberFormat="1" applyFont="1"/>
    <xf numFmtId="16" fontId="7" fillId="0" borderId="3" xfId="0" applyNumberFormat="1" applyFont="1" applyBorder="1"/>
    <xf numFmtId="164" fontId="0" fillId="0" borderId="0" xfId="0" applyNumberFormat="1" applyAlignment="1">
      <alignment horizontal="right"/>
    </xf>
    <xf numFmtId="44" fontId="0" fillId="0" borderId="5" xfId="1" applyFont="1" applyFill="1" applyBorder="1"/>
    <xf numFmtId="164" fontId="5" fillId="0" borderId="0" xfId="0" applyNumberFormat="1" applyFont="1" applyAlignment="1">
      <alignment horizontal="right"/>
    </xf>
    <xf numFmtId="10" fontId="0" fillId="0" borderId="0" xfId="0" applyNumberFormat="1"/>
    <xf numFmtId="164" fontId="6" fillId="2" borderId="5" xfId="0" applyNumberFormat="1" applyFont="1" applyFill="1" applyBorder="1"/>
    <xf numFmtId="164" fontId="0" fillId="3" borderId="0" xfId="0" applyNumberFormat="1" applyFill="1"/>
    <xf numFmtId="9" fontId="5" fillId="0" borderId="0" xfId="2" applyFont="1"/>
    <xf numFmtId="164" fontId="5" fillId="0" borderId="0" xfId="0" applyNumberFormat="1" applyFont="1"/>
    <xf numFmtId="164" fontId="8" fillId="0" borderId="0" xfId="0" applyNumberFormat="1" applyFont="1"/>
    <xf numFmtId="164" fontId="4" fillId="4" borderId="0" xfId="0" applyNumberFormat="1" applyFont="1" applyFill="1"/>
    <xf numFmtId="164" fontId="4" fillId="0" borderId="6" xfId="0" applyNumberFormat="1" applyFont="1" applyBorder="1"/>
    <xf numFmtId="164" fontId="4" fillId="0" borderId="7" xfId="0" applyNumberFormat="1" applyFont="1" applyBorder="1"/>
    <xf numFmtId="0" fontId="5" fillId="0" borderId="5" xfId="0" applyFont="1" applyBorder="1"/>
    <xf numFmtId="16" fontId="0" fillId="0" borderId="1" xfId="0" applyNumberFormat="1" applyBorder="1"/>
    <xf numFmtId="0" fontId="0" fillId="0" borderId="8" xfId="0" applyBorder="1"/>
    <xf numFmtId="0" fontId="0" fillId="0" borderId="9" xfId="0" applyBorder="1"/>
    <xf numFmtId="164" fontId="4" fillId="0" borderId="9" xfId="0" applyNumberFormat="1" applyFont="1" applyBorder="1"/>
    <xf numFmtId="16" fontId="0" fillId="0" borderId="0" xfId="0" applyNumberFormat="1"/>
    <xf numFmtId="0" fontId="5" fillId="0" borderId="2" xfId="0" applyFont="1" applyBorder="1"/>
    <xf numFmtId="16" fontId="4" fillId="0" borderId="4" xfId="0" applyNumberFormat="1" applyFont="1" applyBorder="1"/>
    <xf numFmtId="0" fontId="0" fillId="0" borderId="3" xfId="0" applyBorder="1"/>
    <xf numFmtId="164" fontId="3" fillId="0" borderId="0" xfId="0" applyNumberFormat="1" applyFont="1"/>
    <xf numFmtId="9" fontId="0" fillId="0" borderId="0" xfId="2" applyFont="1"/>
    <xf numFmtId="16" fontId="0" fillId="0" borderId="8" xfId="0" applyNumberFormat="1" applyBorder="1"/>
    <xf numFmtId="164" fontId="4" fillId="0" borderId="1" xfId="0" applyNumberFormat="1" applyFont="1" applyBorder="1"/>
    <xf numFmtId="164" fontId="0" fillId="5" borderId="0" xfId="0" applyNumberFormat="1" applyFill="1"/>
    <xf numFmtId="17" fontId="0" fillId="0" borderId="0" xfId="0" applyNumberFormat="1"/>
    <xf numFmtId="165" fontId="0" fillId="0" borderId="3" xfId="0" applyNumberFormat="1" applyBorder="1"/>
    <xf numFmtId="166" fontId="0" fillId="0" borderId="0" xfId="2" applyNumberFormat="1" applyFont="1"/>
    <xf numFmtId="164" fontId="0" fillId="0" borderId="5" xfId="0" applyNumberFormat="1" applyBorder="1"/>
    <xf numFmtId="16" fontId="0" fillId="0" borderId="10" xfId="0" applyNumberFormat="1" applyBorder="1"/>
    <xf numFmtId="0" fontId="0" fillId="0" borderId="10" xfId="0" applyBorder="1"/>
    <xf numFmtId="164" fontId="0" fillId="0" borderId="10" xfId="0" applyNumberFormat="1" applyBorder="1"/>
    <xf numFmtId="0" fontId="0" fillId="0" borderId="7" xfId="0" applyBorder="1"/>
    <xf numFmtId="164" fontId="2" fillId="0" borderId="0" xfId="0" applyNumberFormat="1" applyFont="1"/>
    <xf numFmtId="0" fontId="0" fillId="0" borderId="11" xfId="0" applyBorder="1"/>
    <xf numFmtId="164" fontId="0" fillId="0" borderId="11" xfId="0" applyNumberFormat="1" applyBorder="1"/>
    <xf numFmtId="0" fontId="5" fillId="0" borderId="12" xfId="0" applyFont="1" applyBorder="1" applyAlignment="1">
      <alignment horizontal="right"/>
    </xf>
    <xf numFmtId="164" fontId="5" fillId="0" borderId="1" xfId="0" applyNumberFormat="1" applyFont="1" applyBorder="1"/>
    <xf numFmtId="164" fontId="0" fillId="0" borderId="6" xfId="0" applyNumberFormat="1" applyBorder="1"/>
    <xf numFmtId="0" fontId="9" fillId="0" borderId="0" xfId="0" applyFont="1"/>
    <xf numFmtId="164" fontId="9" fillId="0" borderId="0" xfId="0" applyNumberFormat="1" applyFont="1"/>
    <xf numFmtId="0" fontId="0" fillId="6" borderId="4" xfId="0" applyFill="1" applyBorder="1"/>
    <xf numFmtId="0" fontId="0" fillId="6" borderId="5" xfId="0" applyFill="1" applyBorder="1"/>
    <xf numFmtId="44" fontId="0" fillId="6" borderId="5" xfId="1" applyFont="1" applyFill="1" applyBorder="1"/>
    <xf numFmtId="164" fontId="0" fillId="6" borderId="0" xfId="0" applyNumberFormat="1" applyFill="1"/>
    <xf numFmtId="164" fontId="0" fillId="0" borderId="0" xfId="0" applyNumberFormat="1" applyAlignment="1">
      <alignment vertical="justify"/>
    </xf>
    <xf numFmtId="0" fontId="0" fillId="0" borderId="0" xfId="0" applyAlignment="1">
      <alignment vertical="justify"/>
    </xf>
    <xf numFmtId="16" fontId="4" fillId="0" borderId="4" xfId="0" applyNumberFormat="1" applyFont="1" applyBorder="1" applyAlignment="1">
      <alignment vertical="justify"/>
    </xf>
    <xf numFmtId="0" fontId="0" fillId="0" borderId="3" xfId="0" applyBorder="1" applyAlignment="1">
      <alignment vertical="justify"/>
    </xf>
    <xf numFmtId="164" fontId="0" fillId="0" borderId="3" xfId="0" applyNumberFormat="1" applyBorder="1" applyAlignment="1">
      <alignment vertical="justify"/>
    </xf>
    <xf numFmtId="164" fontId="3" fillId="0" borderId="0" xfId="0" applyNumberFormat="1" applyFont="1" applyAlignment="1">
      <alignment vertical="justify"/>
    </xf>
    <xf numFmtId="164" fontId="6" fillId="0" borderId="0" xfId="0" applyNumberFormat="1" applyFont="1" applyAlignment="1">
      <alignment vertical="justify"/>
    </xf>
    <xf numFmtId="164" fontId="3" fillId="6" borderId="0" xfId="0" applyNumberFormat="1" applyFont="1" applyFill="1"/>
    <xf numFmtId="164" fontId="3" fillId="6" borderId="0" xfId="0" applyNumberFormat="1" applyFont="1" applyFill="1" applyAlignment="1">
      <alignment vertical="justify"/>
    </xf>
    <xf numFmtId="164" fontId="10" fillId="0" borderId="0" xfId="0" applyNumberFormat="1" applyFont="1"/>
    <xf numFmtId="164" fontId="10" fillId="0" borderId="0" xfId="0" applyNumberFormat="1" applyFont="1" applyAlignment="1">
      <alignment vertical="justify"/>
    </xf>
    <xf numFmtId="164" fontId="6" fillId="6" borderId="0" xfId="0" applyNumberFormat="1" applyFont="1" applyFill="1"/>
    <xf numFmtId="164" fontId="10" fillId="6" borderId="0" xfId="0" applyNumberFormat="1" applyFont="1" applyFill="1"/>
    <xf numFmtId="16" fontId="11" fillId="0" borderId="3" xfId="0" applyNumberFormat="1" applyFont="1" applyBorder="1"/>
    <xf numFmtId="0" fontId="0" fillId="2" borderId="4" xfId="0" applyFill="1" applyBorder="1"/>
    <xf numFmtId="164" fontId="12" fillId="0" borderId="0" xfId="0" applyNumberFormat="1" applyFont="1"/>
    <xf numFmtId="16" fontId="13" fillId="0" borderId="3" xfId="0" applyNumberFormat="1" applyFont="1" applyBorder="1"/>
    <xf numFmtId="164" fontId="12" fillId="0" borderId="0" xfId="0" applyNumberFormat="1" applyFont="1" applyAlignment="1">
      <alignment vertical="justify"/>
    </xf>
    <xf numFmtId="164" fontId="0" fillId="6" borderId="0" xfId="0" applyNumberFormat="1" applyFill="1" applyAlignment="1">
      <alignment horizontal="left" vertical="justify"/>
    </xf>
  </cellXfs>
  <cellStyles count="5">
    <cellStyle name="Moeda" xfId="1" builtinId="4"/>
    <cellStyle name="Moeda 2" xfId="4" xr:uid="{00000000-0005-0000-0000-000001000000}"/>
    <cellStyle name="Moeda 3" xfId="3" xr:uid="{00000000-0005-0000-0000-000002000000}"/>
    <cellStyle name="Normal" xfId="0" builtinId="0"/>
    <cellStyle name="Pe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20"/>
  <sheetViews>
    <sheetView topLeftCell="B55" zoomScale="84" zoomScaleNormal="84" workbookViewId="0">
      <selection activeCell="H63" sqref="H63"/>
    </sheetView>
  </sheetViews>
  <sheetFormatPr defaultRowHeight="15" x14ac:dyDescent="0.25"/>
  <cols>
    <col min="1" max="1" width="12" customWidth="1"/>
    <col min="2" max="2" width="10.5703125" customWidth="1"/>
    <col min="3" max="3" width="8.7109375" customWidth="1"/>
    <col min="4" max="4" width="29.28515625" bestFit="1" customWidth="1"/>
    <col min="5" max="5" width="32.7109375" bestFit="1" customWidth="1"/>
    <col min="6" max="6" width="13" style="5" bestFit="1" customWidth="1"/>
    <col min="7" max="7" width="21.28515625" style="5" bestFit="1" customWidth="1"/>
    <col min="8" max="8" width="13.42578125" style="5" customWidth="1"/>
    <col min="9" max="9" width="13.28515625" style="5" customWidth="1"/>
    <col min="10" max="10" width="19.7109375" bestFit="1" customWidth="1"/>
    <col min="11" max="11" width="16.42578125" bestFit="1" customWidth="1"/>
    <col min="12" max="12" width="12.7109375" bestFit="1" customWidth="1"/>
    <col min="13" max="14" width="11.7109375" bestFit="1" customWidth="1"/>
    <col min="15" max="15" width="12.7109375" bestFit="1" customWidth="1"/>
    <col min="16" max="16" width="10.7109375" bestFit="1" customWidth="1"/>
    <col min="17" max="17" width="11.7109375" bestFit="1" customWidth="1"/>
  </cols>
  <sheetData>
    <row r="2" spans="2:11" x14ac:dyDescent="0.25">
      <c r="B2" s="1" t="s">
        <v>0</v>
      </c>
      <c r="C2" s="1" t="s">
        <v>1</v>
      </c>
      <c r="D2" s="2"/>
      <c r="E2" s="3"/>
      <c r="F2" s="4"/>
      <c r="G2" s="5" t="s">
        <v>2</v>
      </c>
      <c r="H2" s="5" t="s">
        <v>3</v>
      </c>
    </row>
    <row r="3" spans="2:11" x14ac:dyDescent="0.25">
      <c r="B3" s="6">
        <v>45663</v>
      </c>
      <c r="C3" s="6" t="s">
        <v>66</v>
      </c>
      <c r="D3" s="7" t="s">
        <v>67</v>
      </c>
      <c r="E3" s="8" t="s">
        <v>68</v>
      </c>
      <c r="F3" s="9">
        <v>2681.4</v>
      </c>
      <c r="G3" s="5">
        <v>2180</v>
      </c>
      <c r="H3" s="5">
        <v>501.4</v>
      </c>
    </row>
    <row r="4" spans="2:11" x14ac:dyDescent="0.25">
      <c r="B4" s="6">
        <v>45667</v>
      </c>
      <c r="C4" s="6" t="s">
        <v>73</v>
      </c>
      <c r="D4" s="7" t="s">
        <v>74</v>
      </c>
      <c r="E4" s="8" t="s">
        <v>75</v>
      </c>
      <c r="F4" s="9">
        <v>319.95999999999998</v>
      </c>
      <c r="G4" s="5">
        <v>260.13</v>
      </c>
      <c r="H4" s="5">
        <v>59.83</v>
      </c>
    </row>
    <row r="5" spans="2:11" x14ac:dyDescent="0.25">
      <c r="B5" s="6">
        <v>45671</v>
      </c>
      <c r="C5" s="6" t="s">
        <v>83</v>
      </c>
      <c r="D5" s="7" t="s">
        <v>84</v>
      </c>
      <c r="E5" s="8" t="s">
        <v>85</v>
      </c>
      <c r="F5" s="9">
        <v>455.15</v>
      </c>
      <c r="G5" s="5">
        <f>F5/1.23</f>
        <v>370.04065040650403</v>
      </c>
      <c r="H5" s="5">
        <f>F5-G5</f>
        <v>85.109349593495949</v>
      </c>
    </row>
    <row r="6" spans="2:11" x14ac:dyDescent="0.25">
      <c r="B6" s="6">
        <v>45671</v>
      </c>
      <c r="C6" s="6" t="s">
        <v>86</v>
      </c>
      <c r="D6" s="7" t="s">
        <v>87</v>
      </c>
      <c r="E6" s="8" t="s">
        <v>88</v>
      </c>
      <c r="F6" s="9">
        <v>2214</v>
      </c>
      <c r="G6" s="5">
        <v>1800</v>
      </c>
      <c r="H6" s="5">
        <v>414</v>
      </c>
      <c r="J6" t="s">
        <v>4</v>
      </c>
    </row>
    <row r="7" spans="2:11" s="5" customFormat="1" x14ac:dyDescent="0.25">
      <c r="B7" s="6">
        <v>45671</v>
      </c>
      <c r="C7" s="6" t="s">
        <v>89</v>
      </c>
      <c r="D7" s="7" t="s">
        <v>90</v>
      </c>
      <c r="E7" s="10" t="s">
        <v>91</v>
      </c>
      <c r="F7" s="9">
        <v>1667.94</v>
      </c>
      <c r="G7" s="11">
        <v>1356.05</v>
      </c>
      <c r="H7" s="11">
        <v>311.89</v>
      </c>
    </row>
    <row r="8" spans="2:11" s="5" customFormat="1" x14ac:dyDescent="0.25">
      <c r="B8" s="6">
        <v>45672</v>
      </c>
      <c r="C8" s="6" t="s">
        <v>92</v>
      </c>
      <c r="D8" s="7" t="s">
        <v>93</v>
      </c>
      <c r="E8" s="8" t="s">
        <v>94</v>
      </c>
      <c r="F8" s="12">
        <v>700</v>
      </c>
      <c r="G8" s="5">
        <v>569.1</v>
      </c>
      <c r="H8" s="5">
        <v>130.88999999999999</v>
      </c>
      <c r="J8" s="5" t="s">
        <v>5</v>
      </c>
      <c r="K8" s="5">
        <f>G65</f>
        <v>0</v>
      </c>
    </row>
    <row r="9" spans="2:11" s="5" customFormat="1" x14ac:dyDescent="0.25">
      <c r="B9" s="6">
        <v>45672</v>
      </c>
      <c r="C9" s="6" t="s">
        <v>95</v>
      </c>
      <c r="D9" s="7" t="s">
        <v>96</v>
      </c>
      <c r="E9" s="8" t="s">
        <v>97</v>
      </c>
      <c r="F9" s="9">
        <v>207.68</v>
      </c>
      <c r="G9" s="5">
        <v>168.85</v>
      </c>
      <c r="H9" s="5">
        <v>38.83</v>
      </c>
      <c r="J9" s="5" t="s">
        <v>6</v>
      </c>
      <c r="K9" s="5">
        <f>H53+H93+H103</f>
        <v>5614.4965853658532</v>
      </c>
    </row>
    <row r="10" spans="2:11" s="5" customFormat="1" x14ac:dyDescent="0.25">
      <c r="B10" s="6">
        <v>45673</v>
      </c>
      <c r="C10" s="6"/>
      <c r="D10" s="7" t="s">
        <v>103</v>
      </c>
      <c r="E10" s="8" t="s">
        <v>102</v>
      </c>
      <c r="F10" s="9">
        <v>221.67</v>
      </c>
      <c r="G10" s="5">
        <f>F10</f>
        <v>221.67</v>
      </c>
      <c r="H10" s="5">
        <v>0</v>
      </c>
      <c r="J10" s="13" t="s">
        <v>7</v>
      </c>
      <c r="K10" s="14">
        <f>K8-K9</f>
        <v>-5614.4965853658532</v>
      </c>
    </row>
    <row r="11" spans="2:11" s="5" customFormat="1" x14ac:dyDescent="0.25">
      <c r="B11" s="6">
        <v>45672</v>
      </c>
      <c r="C11" s="6" t="s">
        <v>104</v>
      </c>
      <c r="D11" s="7" t="s">
        <v>105</v>
      </c>
      <c r="E11" s="8" t="s">
        <v>106</v>
      </c>
      <c r="F11" s="9">
        <v>186.69</v>
      </c>
      <c r="G11" s="5">
        <v>151.78</v>
      </c>
      <c r="H11" s="5">
        <v>34.909999999999997</v>
      </c>
    </row>
    <row r="12" spans="2:11" s="5" customFormat="1" x14ac:dyDescent="0.25">
      <c r="B12" s="6">
        <v>45677</v>
      </c>
      <c r="C12" s="6" t="s">
        <v>110</v>
      </c>
      <c r="D12" s="7" t="s">
        <v>111</v>
      </c>
      <c r="E12" s="8" t="s">
        <v>112</v>
      </c>
      <c r="F12" s="9">
        <v>842.55</v>
      </c>
      <c r="G12" s="5">
        <f>F12/1.23</f>
        <v>685</v>
      </c>
      <c r="H12" s="5">
        <f>F12-G12</f>
        <v>157.54999999999995</v>
      </c>
    </row>
    <row r="13" spans="2:11" s="5" customFormat="1" x14ac:dyDescent="0.25">
      <c r="B13" s="6">
        <v>45677</v>
      </c>
      <c r="C13" s="6" t="s">
        <v>115</v>
      </c>
      <c r="D13" s="7" t="s">
        <v>116</v>
      </c>
      <c r="E13" s="8" t="s">
        <v>117</v>
      </c>
      <c r="F13" s="9">
        <v>6088.28</v>
      </c>
      <c r="G13" s="5">
        <f>F13/1.23</f>
        <v>4949.8211382113823</v>
      </c>
      <c r="H13" s="5">
        <f>F13-G13</f>
        <v>1138.4588617886175</v>
      </c>
      <c r="J13" s="5" t="s">
        <v>8</v>
      </c>
      <c r="K13" s="5">
        <f>F65</f>
        <v>10875</v>
      </c>
    </row>
    <row r="14" spans="2:11" s="5" customFormat="1" x14ac:dyDescent="0.25">
      <c r="B14" s="6">
        <v>45678</v>
      </c>
      <c r="C14" s="6" t="s">
        <v>113</v>
      </c>
      <c r="D14" s="7" t="s">
        <v>118</v>
      </c>
      <c r="E14" s="8" t="s">
        <v>114</v>
      </c>
      <c r="F14" s="9">
        <v>67.7</v>
      </c>
      <c r="G14" s="5">
        <v>55.04</v>
      </c>
      <c r="H14" s="5">
        <v>12.66</v>
      </c>
      <c r="J14" s="5" t="s">
        <v>9</v>
      </c>
      <c r="K14" s="5">
        <f>G53+G93+G103</f>
        <v>31419.593414634153</v>
      </c>
    </row>
    <row r="15" spans="2:11" s="5" customFormat="1" x14ac:dyDescent="0.25">
      <c r="B15" s="6"/>
      <c r="C15" s="6" t="s">
        <v>157</v>
      </c>
      <c r="D15" s="7" t="s">
        <v>123</v>
      </c>
      <c r="E15" s="8"/>
      <c r="F15" s="9">
        <v>35.700000000000003</v>
      </c>
      <c r="G15" s="5">
        <f>F15/1.23</f>
        <v>29.024390243902442</v>
      </c>
      <c r="H15" s="5">
        <f>F15-G15</f>
        <v>6.6756097560975611</v>
      </c>
      <c r="K15" s="5">
        <f>K13-K14</f>
        <v>-20544.593414634153</v>
      </c>
    </row>
    <row r="16" spans="2:11" s="5" customFormat="1" x14ac:dyDescent="0.25">
      <c r="B16" s="6"/>
      <c r="C16" s="6"/>
      <c r="D16" s="7" t="s">
        <v>125</v>
      </c>
      <c r="E16" s="8" t="s">
        <v>126</v>
      </c>
      <c r="F16" s="9">
        <f>43.4+36+54+85.3+29.75+109.34</f>
        <v>357.78999999999996</v>
      </c>
      <c r="G16" s="5">
        <f>F16</f>
        <v>357.78999999999996</v>
      </c>
      <c r="H16" s="5">
        <v>0</v>
      </c>
      <c r="J16" s="13" t="s">
        <v>10</v>
      </c>
      <c r="K16" s="14">
        <f>K15*0.17</f>
        <v>-3492.5808804878061</v>
      </c>
    </row>
    <row r="17" spans="1:14" s="5" customFormat="1" x14ac:dyDescent="0.25">
      <c r="B17" s="6">
        <v>45684</v>
      </c>
      <c r="C17" s="6" t="s">
        <v>129</v>
      </c>
      <c r="D17" s="7" t="s">
        <v>84</v>
      </c>
      <c r="E17" s="8" t="s">
        <v>85</v>
      </c>
      <c r="F17" s="9">
        <v>320.27</v>
      </c>
      <c r="G17" s="5">
        <f>F17/1.23</f>
        <v>260.3821138211382</v>
      </c>
      <c r="H17" s="5">
        <f>F17-G17</f>
        <v>59.887886178861777</v>
      </c>
    </row>
    <row r="18" spans="1:14" s="5" customFormat="1" x14ac:dyDescent="0.25">
      <c r="B18" s="6">
        <v>45685</v>
      </c>
      <c r="C18" s="15" t="s">
        <v>156</v>
      </c>
      <c r="D18" s="7" t="s">
        <v>105</v>
      </c>
      <c r="E18" s="8" t="s">
        <v>106</v>
      </c>
      <c r="F18" s="9">
        <v>100.11</v>
      </c>
      <c r="G18" s="5">
        <f>F18/1.23</f>
        <v>81.390243902439025</v>
      </c>
      <c r="H18" s="5">
        <f>F18-G18</f>
        <v>18.719756097560975</v>
      </c>
    </row>
    <row r="19" spans="1:14" s="5" customFormat="1" x14ac:dyDescent="0.25">
      <c r="A19" s="16"/>
      <c r="B19" s="6">
        <v>45687</v>
      </c>
      <c r="C19" s="6" t="s">
        <v>134</v>
      </c>
      <c r="D19" s="7" t="s">
        <v>84</v>
      </c>
      <c r="E19" s="8" t="s">
        <v>135</v>
      </c>
      <c r="F19" s="17">
        <v>86.1</v>
      </c>
      <c r="G19" s="5">
        <f>F19/1.23</f>
        <v>70</v>
      </c>
      <c r="H19" s="5">
        <f>F19-G19</f>
        <v>16.099999999999994</v>
      </c>
    </row>
    <row r="20" spans="1:14" s="5" customFormat="1" x14ac:dyDescent="0.25">
      <c r="B20" s="6">
        <v>45688</v>
      </c>
      <c r="C20" s="6" t="s">
        <v>136</v>
      </c>
      <c r="D20" s="7" t="s">
        <v>137</v>
      </c>
      <c r="E20" s="8" t="s">
        <v>149</v>
      </c>
      <c r="F20" s="17">
        <v>750</v>
      </c>
      <c r="G20" s="5">
        <v>750</v>
      </c>
      <c r="H20" s="5">
        <v>0</v>
      </c>
    </row>
    <row r="21" spans="1:14" s="5" customFormat="1" x14ac:dyDescent="0.25">
      <c r="B21" s="6">
        <v>45688</v>
      </c>
      <c r="C21" s="6" t="s">
        <v>140</v>
      </c>
      <c r="D21" s="7" t="s">
        <v>141</v>
      </c>
      <c r="E21" s="8" t="s">
        <v>142</v>
      </c>
      <c r="F21" s="9">
        <v>125.55</v>
      </c>
      <c r="G21" s="5">
        <v>120.07</v>
      </c>
      <c r="H21" s="5">
        <v>23.48</v>
      </c>
      <c r="J21" s="14" t="s">
        <v>11</v>
      </c>
    </row>
    <row r="22" spans="1:14" s="5" customFormat="1" x14ac:dyDescent="0.25">
      <c r="B22" s="6">
        <v>45688</v>
      </c>
      <c r="C22" s="6" t="s">
        <v>150</v>
      </c>
      <c r="D22" s="58" t="s">
        <v>151</v>
      </c>
      <c r="E22" s="59" t="s">
        <v>152</v>
      </c>
      <c r="F22" s="60">
        <v>11359.05</v>
      </c>
      <c r="G22" s="61">
        <v>9235</v>
      </c>
      <c r="H22" s="61">
        <v>2124.0500000000002</v>
      </c>
      <c r="I22" s="18" t="s">
        <v>10</v>
      </c>
      <c r="J22" s="5" t="s">
        <v>12</v>
      </c>
      <c r="K22" s="14">
        <f>K13</f>
        <v>10875</v>
      </c>
      <c r="M22" s="19"/>
    </row>
    <row r="23" spans="1:14" s="5" customFormat="1" x14ac:dyDescent="0.25">
      <c r="B23" s="6">
        <v>45686</v>
      </c>
      <c r="C23" s="6" t="s">
        <v>153</v>
      </c>
      <c r="D23" s="7" t="s">
        <v>141</v>
      </c>
      <c r="E23" s="8" t="s">
        <v>142</v>
      </c>
      <c r="F23" s="9">
        <v>35.47</v>
      </c>
      <c r="G23" s="5">
        <v>28.84</v>
      </c>
      <c r="H23" s="5">
        <v>6.63</v>
      </c>
      <c r="I23" s="13"/>
      <c r="J23" s="5" t="s">
        <v>13</v>
      </c>
      <c r="K23" s="5">
        <f>K14</f>
        <v>31419.593414634153</v>
      </c>
    </row>
    <row r="24" spans="1:14" s="5" customFormat="1" x14ac:dyDescent="0.25">
      <c r="B24" s="6">
        <v>45680</v>
      </c>
      <c r="C24" s="6" t="s">
        <v>154</v>
      </c>
      <c r="D24" s="7" t="s">
        <v>141</v>
      </c>
      <c r="E24" s="8" t="s">
        <v>142</v>
      </c>
      <c r="F24" s="20">
        <v>175.93</v>
      </c>
      <c r="G24" s="5">
        <v>143.03</v>
      </c>
      <c r="H24" s="5">
        <v>32.9</v>
      </c>
      <c r="I24" s="13"/>
      <c r="J24" s="13" t="s">
        <v>14</v>
      </c>
      <c r="K24" s="5">
        <v>1714.45</v>
      </c>
    </row>
    <row r="25" spans="1:14" s="5" customFormat="1" x14ac:dyDescent="0.25">
      <c r="B25" s="6">
        <v>45685</v>
      </c>
      <c r="C25" s="6" t="s">
        <v>110</v>
      </c>
      <c r="D25" s="7" t="s">
        <v>90</v>
      </c>
      <c r="E25" s="8" t="s">
        <v>155</v>
      </c>
      <c r="F25" s="9">
        <v>1377.6</v>
      </c>
      <c r="G25" s="5">
        <v>1120</v>
      </c>
      <c r="H25" s="5">
        <f>F25-G25</f>
        <v>257.59999999999991</v>
      </c>
      <c r="I25" s="13"/>
      <c r="K25" s="21">
        <f>K22-K23-K24</f>
        <v>-22259.043414634154</v>
      </c>
      <c r="L25" s="11"/>
    </row>
    <row r="26" spans="1:14" s="5" customFormat="1" x14ac:dyDescent="0.25">
      <c r="B26" s="6">
        <v>45666</v>
      </c>
      <c r="C26" s="6" t="s">
        <v>158</v>
      </c>
      <c r="D26" s="7" t="s">
        <v>159</v>
      </c>
      <c r="E26" s="8" t="s">
        <v>142</v>
      </c>
      <c r="F26" s="12">
        <v>26.01</v>
      </c>
      <c r="G26" s="5">
        <f>F26/1.23</f>
        <v>21.146341463414636</v>
      </c>
      <c r="H26" s="5">
        <f>F26-G26</f>
        <v>4.8636585365853655</v>
      </c>
      <c r="I26" s="13"/>
      <c r="J26" s="22">
        <v>0.17</v>
      </c>
      <c r="K26" s="23">
        <f>K25*0.17</f>
        <v>-3784.0373804878063</v>
      </c>
    </row>
    <row r="27" spans="1:14" s="5" customFormat="1" x14ac:dyDescent="0.25">
      <c r="B27" s="6">
        <v>45680</v>
      </c>
      <c r="C27" s="6" t="s">
        <v>161</v>
      </c>
      <c r="D27" s="7" t="s">
        <v>160</v>
      </c>
      <c r="E27" s="8" t="s">
        <v>162</v>
      </c>
      <c r="F27" s="9">
        <v>336.09</v>
      </c>
      <c r="G27" s="5">
        <v>273.04000000000002</v>
      </c>
      <c r="H27" s="5">
        <v>62.85</v>
      </c>
      <c r="I27" s="18" t="s">
        <v>15</v>
      </c>
      <c r="J27" s="5" t="s">
        <v>12</v>
      </c>
      <c r="K27" s="5">
        <f>K8</f>
        <v>0</v>
      </c>
    </row>
    <row r="28" spans="1:14" s="5" customFormat="1" x14ac:dyDescent="0.25">
      <c r="B28" s="6"/>
      <c r="C28" s="6"/>
      <c r="D28" s="7"/>
      <c r="E28" s="8"/>
      <c r="F28" s="9"/>
      <c r="I28" s="13"/>
      <c r="J28" s="5" t="s">
        <v>16</v>
      </c>
      <c r="K28" s="5">
        <f>K9</f>
        <v>5614.4965853658532</v>
      </c>
    </row>
    <row r="29" spans="1:14" s="5" customFormat="1" x14ac:dyDescent="0.25">
      <c r="B29" s="6"/>
      <c r="C29" s="6"/>
      <c r="D29" s="7"/>
      <c r="E29" s="10"/>
      <c r="F29" s="9"/>
      <c r="G29" s="11"/>
      <c r="H29" s="11"/>
      <c r="J29" s="18" t="s">
        <v>3</v>
      </c>
      <c r="K29" s="23">
        <f>K27-K28</f>
        <v>-5614.4965853658532</v>
      </c>
    </row>
    <row r="30" spans="1:14" s="5" customFormat="1" x14ac:dyDescent="0.25">
      <c r="B30" s="6"/>
      <c r="C30" s="6"/>
      <c r="D30" s="7"/>
      <c r="E30" s="8"/>
      <c r="F30" s="9"/>
      <c r="J30" s="16"/>
      <c r="K30" s="24"/>
      <c r="L30" s="25">
        <f>K30+K29</f>
        <v>-5614.4965853658532</v>
      </c>
    </row>
    <row r="31" spans="1:14" s="5" customFormat="1" x14ac:dyDescent="0.25">
      <c r="B31" s="6"/>
      <c r="C31" s="6"/>
      <c r="D31" s="7"/>
      <c r="E31" s="10"/>
      <c r="F31" s="9"/>
      <c r="G31" s="11"/>
      <c r="H31" s="11"/>
      <c r="J31" s="18"/>
      <c r="K31" s="24" t="s">
        <v>62</v>
      </c>
      <c r="L31" s="5">
        <v>0</v>
      </c>
    </row>
    <row r="32" spans="1:14" s="5" customFormat="1" x14ac:dyDescent="0.25">
      <c r="B32" s="6"/>
      <c r="C32" s="6"/>
      <c r="D32" s="7"/>
      <c r="E32" s="8"/>
      <c r="F32" s="9"/>
      <c r="J32" s="18"/>
      <c r="K32" s="23"/>
      <c r="L32" s="26">
        <f>SUM(L30:L31)</f>
        <v>-5614.4965853658532</v>
      </c>
      <c r="N32" s="14"/>
    </row>
    <row r="33" spans="2:12" s="5" customFormat="1" x14ac:dyDescent="0.25">
      <c r="B33" s="6"/>
      <c r="C33" s="6"/>
      <c r="D33" s="7"/>
      <c r="E33" s="8"/>
      <c r="F33" s="9"/>
      <c r="J33" s="18"/>
      <c r="K33" s="14" t="s">
        <v>17</v>
      </c>
      <c r="L33" s="27">
        <f>468+84+489+366-1635.33</f>
        <v>-228.32999999999993</v>
      </c>
    </row>
    <row r="34" spans="2:12" s="5" customFormat="1" x14ac:dyDescent="0.25">
      <c r="B34" s="6"/>
      <c r="C34" s="6"/>
      <c r="D34" s="7"/>
      <c r="E34" s="8"/>
      <c r="F34" s="9"/>
      <c r="J34" s="18"/>
      <c r="K34" s="14"/>
      <c r="L34" s="14"/>
    </row>
    <row r="35" spans="2:12" s="5" customFormat="1" x14ac:dyDescent="0.25">
      <c r="B35" s="6"/>
      <c r="C35" s="6"/>
      <c r="D35" s="7"/>
      <c r="E35" s="8"/>
      <c r="F35" s="9"/>
      <c r="J35" s="18"/>
      <c r="K35" s="14"/>
      <c r="L35" s="14"/>
    </row>
    <row r="36" spans="2:12" s="5" customFormat="1" x14ac:dyDescent="0.25">
      <c r="B36" s="6"/>
      <c r="C36" s="6"/>
      <c r="D36" s="7"/>
      <c r="E36" s="8"/>
      <c r="F36" s="9"/>
      <c r="J36" s="18"/>
      <c r="K36" s="14"/>
      <c r="L36" s="14"/>
    </row>
    <row r="37" spans="2:12" s="5" customFormat="1" x14ac:dyDescent="0.25">
      <c r="B37" s="6"/>
      <c r="C37" s="6"/>
      <c r="D37" s="7"/>
      <c r="E37" s="8"/>
      <c r="F37" s="9"/>
      <c r="J37" s="18"/>
      <c r="K37" s="14"/>
      <c r="L37" s="14"/>
    </row>
    <row r="38" spans="2:12" s="5" customFormat="1" x14ac:dyDescent="0.25">
      <c r="B38" s="6"/>
      <c r="C38" s="6"/>
      <c r="D38" s="7"/>
      <c r="E38" s="8"/>
      <c r="F38" s="9"/>
      <c r="J38" s="18"/>
      <c r="K38" s="14"/>
      <c r="L38" s="14"/>
    </row>
    <row r="39" spans="2:12" s="5" customFormat="1" x14ac:dyDescent="0.25">
      <c r="B39" s="6"/>
      <c r="C39" s="6"/>
      <c r="D39" s="7"/>
      <c r="E39" s="8"/>
      <c r="F39" s="9"/>
      <c r="J39" s="18"/>
      <c r="K39" s="14"/>
      <c r="L39" s="14"/>
    </row>
    <row r="40" spans="2:12" s="5" customFormat="1" x14ac:dyDescent="0.25">
      <c r="B40" s="6"/>
      <c r="C40" s="6"/>
      <c r="D40" s="7"/>
      <c r="E40" s="8"/>
      <c r="F40" s="9"/>
      <c r="J40" s="18"/>
      <c r="K40" s="14"/>
      <c r="L40" s="14"/>
    </row>
    <row r="41" spans="2:12" s="5" customFormat="1" x14ac:dyDescent="0.25">
      <c r="B41" s="6"/>
      <c r="C41" s="6"/>
      <c r="D41" s="7"/>
      <c r="E41" s="8"/>
      <c r="F41" s="9"/>
      <c r="J41" s="18"/>
      <c r="K41" s="14"/>
      <c r="L41" s="14"/>
    </row>
    <row r="42" spans="2:12" s="5" customFormat="1" x14ac:dyDescent="0.25">
      <c r="B42" s="6"/>
      <c r="C42" s="6"/>
      <c r="D42" s="7"/>
      <c r="E42" s="8"/>
      <c r="F42" s="9"/>
      <c r="J42" s="18"/>
      <c r="K42" s="14"/>
      <c r="L42" s="14"/>
    </row>
    <row r="43" spans="2:12" s="5" customFormat="1" x14ac:dyDescent="0.25">
      <c r="B43" s="6"/>
      <c r="C43" s="6"/>
      <c r="D43" s="7"/>
      <c r="E43" s="8"/>
      <c r="F43" s="9"/>
      <c r="J43" s="18"/>
      <c r="K43" s="14"/>
      <c r="L43" s="14"/>
    </row>
    <row r="44" spans="2:12" s="5" customFormat="1" x14ac:dyDescent="0.25">
      <c r="B44" s="6"/>
      <c r="C44" s="6"/>
      <c r="D44" s="7"/>
      <c r="E44" s="8"/>
      <c r="F44" s="9"/>
      <c r="J44" s="18"/>
      <c r="K44" s="14"/>
      <c r="L44" s="14"/>
    </row>
    <row r="45" spans="2:12" s="5" customFormat="1" x14ac:dyDescent="0.25">
      <c r="B45" s="6"/>
      <c r="C45" s="6"/>
      <c r="D45" s="7"/>
      <c r="E45" s="8"/>
      <c r="F45" s="9"/>
      <c r="J45" s="18"/>
      <c r="K45" s="14"/>
      <c r="L45" s="14"/>
    </row>
    <row r="46" spans="2:12" s="5" customFormat="1" x14ac:dyDescent="0.25">
      <c r="B46" s="6"/>
      <c r="C46" s="6"/>
      <c r="D46" s="7"/>
      <c r="E46" s="8"/>
      <c r="F46" s="9"/>
      <c r="J46" s="18"/>
      <c r="K46" s="14"/>
      <c r="L46" s="14"/>
    </row>
    <row r="47" spans="2:12" s="5" customFormat="1" x14ac:dyDescent="0.25">
      <c r="B47" s="6"/>
      <c r="C47" s="6"/>
      <c r="D47" s="7"/>
      <c r="E47" s="8"/>
      <c r="F47" s="9"/>
      <c r="J47" s="18"/>
      <c r="K47" s="14"/>
      <c r="L47" s="14"/>
    </row>
    <row r="48" spans="2:12" s="5" customFormat="1" x14ac:dyDescent="0.25">
      <c r="B48" s="6"/>
      <c r="C48" s="6"/>
      <c r="D48" s="7"/>
      <c r="E48" s="8"/>
      <c r="F48" s="9"/>
      <c r="J48" s="18"/>
      <c r="K48" s="14"/>
      <c r="L48" s="14"/>
    </row>
    <row r="49" spans="1:17" s="5" customFormat="1" x14ac:dyDescent="0.25">
      <c r="B49" s="6"/>
      <c r="C49" s="6"/>
      <c r="D49" s="7"/>
      <c r="E49" s="8"/>
      <c r="F49" s="9"/>
      <c r="J49" s="18"/>
      <c r="K49" s="14"/>
      <c r="L49" s="14"/>
    </row>
    <row r="50" spans="1:17" s="5" customFormat="1" x14ac:dyDescent="0.25">
      <c r="B50" s="6"/>
      <c r="C50" s="6"/>
      <c r="D50" s="7"/>
      <c r="E50" s="8"/>
      <c r="F50" s="9"/>
      <c r="J50" s="18"/>
      <c r="K50" s="14"/>
      <c r="L50" s="14"/>
    </row>
    <row r="51" spans="1:17" s="5" customFormat="1" x14ac:dyDescent="0.25">
      <c r="B51" s="6"/>
      <c r="C51" s="6"/>
      <c r="D51" s="7"/>
      <c r="E51" s="28"/>
      <c r="F51" s="17"/>
      <c r="G51" s="23"/>
      <c r="L51" s="14"/>
    </row>
    <row r="52" spans="1:17" s="5" customFormat="1" x14ac:dyDescent="0.25">
      <c r="B52" s="6"/>
      <c r="C52" s="6"/>
      <c r="D52" s="7"/>
      <c r="E52" s="8"/>
      <c r="F52" s="17"/>
    </row>
    <row r="53" spans="1:17" x14ac:dyDescent="0.25">
      <c r="B53" s="29"/>
      <c r="C53" s="29"/>
      <c r="D53" s="30"/>
      <c r="E53" s="31"/>
      <c r="F53" s="32">
        <f>SUM(F3:F52)</f>
        <v>30738.69</v>
      </c>
      <c r="G53" s="5">
        <f>SUM(G3:G52)</f>
        <v>25257.194878048784</v>
      </c>
      <c r="H53" s="14">
        <f>SUM(H3:H52)</f>
        <v>5499.2851219512195</v>
      </c>
      <c r="J53" s="5"/>
      <c r="M53" s="5"/>
      <c r="Q53" s="5"/>
    </row>
    <row r="54" spans="1:17" x14ac:dyDescent="0.25">
      <c r="C54" s="33"/>
      <c r="M54" s="5"/>
      <c r="Q54" s="5"/>
    </row>
    <row r="55" spans="1:17" x14ac:dyDescent="0.25">
      <c r="C55" s="33"/>
      <c r="M55" s="5"/>
      <c r="N55" s="5"/>
      <c r="O55" s="5"/>
      <c r="Q55" s="5"/>
    </row>
    <row r="56" spans="1:17" x14ac:dyDescent="0.25">
      <c r="C56" s="33"/>
      <c r="M56" s="5"/>
      <c r="N56" s="5"/>
      <c r="O56" s="5"/>
      <c r="Q56" s="5"/>
    </row>
    <row r="57" spans="1:17" x14ac:dyDescent="0.25">
      <c r="B57" t="s">
        <v>18</v>
      </c>
      <c r="C57" s="29"/>
      <c r="D57" s="34" t="s">
        <v>19</v>
      </c>
      <c r="E57" s="31"/>
      <c r="F57" s="5" t="s">
        <v>20</v>
      </c>
      <c r="G57" s="5" t="s">
        <v>3</v>
      </c>
      <c r="H57" s="5" t="s">
        <v>21</v>
      </c>
      <c r="M57" s="5"/>
      <c r="O57" s="5"/>
      <c r="Q57" s="5"/>
    </row>
    <row r="58" spans="1:17" s="5" customFormat="1" x14ac:dyDescent="0.25">
      <c r="A58" t="s">
        <v>22</v>
      </c>
      <c r="B58" s="5" t="s">
        <v>22</v>
      </c>
      <c r="C58" s="35" t="s">
        <v>101</v>
      </c>
      <c r="D58" s="36" t="s">
        <v>23</v>
      </c>
      <c r="E58" s="12">
        <v>3840</v>
      </c>
      <c r="F58" s="37">
        <f>E58</f>
        <v>3840</v>
      </c>
      <c r="G58" s="37">
        <v>0</v>
      </c>
      <c r="H58" s="11">
        <f>E58-2120-1720</f>
        <v>0</v>
      </c>
      <c r="I58" s="38"/>
      <c r="M58" s="5" t="s">
        <v>171</v>
      </c>
    </row>
    <row r="59" spans="1:17" s="5" customFormat="1" x14ac:dyDescent="0.25">
      <c r="B59" s="37" t="s">
        <v>69</v>
      </c>
      <c r="C59" s="35" t="s">
        <v>98</v>
      </c>
      <c r="D59" s="36" t="s">
        <v>65</v>
      </c>
      <c r="E59" s="12">
        <f>7550+450</f>
        <v>8000</v>
      </c>
      <c r="F59" s="37">
        <v>2340</v>
      </c>
      <c r="G59" s="37" t="s">
        <v>120</v>
      </c>
      <c r="H59" s="11">
        <f>E59-5000-3000</f>
        <v>0</v>
      </c>
      <c r="I59" s="5" t="s">
        <v>127</v>
      </c>
    </row>
    <row r="60" spans="1:17" s="5" customFormat="1" x14ac:dyDescent="0.25">
      <c r="B60" s="37"/>
      <c r="C60" s="35" t="s">
        <v>99</v>
      </c>
      <c r="D60" s="36" t="s">
        <v>100</v>
      </c>
      <c r="E60" s="12">
        <v>1200</v>
      </c>
      <c r="F60" s="37">
        <v>420</v>
      </c>
      <c r="G60" s="37" t="s">
        <v>121</v>
      </c>
      <c r="H60" s="11">
        <f>E60-600-600</f>
        <v>0</v>
      </c>
    </row>
    <row r="61" spans="1:17" s="5" customFormat="1" x14ac:dyDescent="0.25">
      <c r="B61" s="37" t="s">
        <v>69</v>
      </c>
      <c r="C61" s="35"/>
      <c r="D61" s="36" t="s">
        <v>63</v>
      </c>
      <c r="E61" s="12">
        <v>12645</v>
      </c>
      <c r="F61" s="37">
        <v>0</v>
      </c>
      <c r="G61" s="37" t="s">
        <v>342</v>
      </c>
      <c r="H61" s="11">
        <f>E61-4000-2500-4500-1645</f>
        <v>0</v>
      </c>
      <c r="I61" s="5" t="s">
        <v>64</v>
      </c>
      <c r="K61" s="5" t="s">
        <v>77</v>
      </c>
    </row>
    <row r="62" spans="1:17" s="5" customFormat="1" x14ac:dyDescent="0.25">
      <c r="B62" s="37"/>
      <c r="C62" s="35" t="s">
        <v>130</v>
      </c>
      <c r="D62" s="36" t="s">
        <v>25</v>
      </c>
      <c r="E62" s="12">
        <v>21442.5</v>
      </c>
      <c r="F62" s="37">
        <v>2445</v>
      </c>
      <c r="G62" s="37" t="s">
        <v>132</v>
      </c>
      <c r="H62" s="73">
        <f>E62-9812-1000-3993-6637.5</f>
        <v>0</v>
      </c>
      <c r="I62" s="5" t="s">
        <v>122</v>
      </c>
      <c r="K62" s="5" t="s">
        <v>169</v>
      </c>
      <c r="M62" s="5">
        <v>1400</v>
      </c>
    </row>
    <row r="63" spans="1:17" s="5" customFormat="1" x14ac:dyDescent="0.25">
      <c r="B63" s="37"/>
      <c r="C63" s="35" t="s">
        <v>131</v>
      </c>
      <c r="D63" s="36" t="s">
        <v>170</v>
      </c>
      <c r="E63" s="12">
        <f>6561.5-435</f>
        <v>6126.5</v>
      </c>
      <c r="F63" s="37">
        <v>1830</v>
      </c>
      <c r="G63" s="37" t="s">
        <v>133</v>
      </c>
      <c r="H63" s="74">
        <f>E63-5000-264-862.5</f>
        <v>0</v>
      </c>
      <c r="K63" s="5" t="s">
        <v>200</v>
      </c>
      <c r="M63" s="5">
        <v>400</v>
      </c>
    </row>
    <row r="64" spans="1:17" s="5" customFormat="1" x14ac:dyDescent="0.25">
      <c r="B64"/>
      <c r="C64" s="35" t="s">
        <v>128</v>
      </c>
      <c r="D64" s="36" t="s">
        <v>82</v>
      </c>
      <c r="E64" s="12">
        <f>1575+657.15</f>
        <v>2232.15</v>
      </c>
      <c r="F64" s="37">
        <v>0</v>
      </c>
      <c r="G64" s="37">
        <v>0</v>
      </c>
      <c r="H64" s="11">
        <f>E64-2240</f>
        <v>-7.8499999999999091</v>
      </c>
    </row>
    <row r="65" spans="2:10" s="5" customFormat="1" x14ac:dyDescent="0.25">
      <c r="C65" s="39"/>
      <c r="D65" s="1"/>
      <c r="E65" s="40">
        <f>SUM(E58:E64)</f>
        <v>55486.15</v>
      </c>
      <c r="F65" s="14">
        <f>SUM(F58:F64)</f>
        <v>10875</v>
      </c>
      <c r="G65" s="14">
        <f>SUM(G58:G60)</f>
        <v>0</v>
      </c>
      <c r="H65" s="14">
        <f>SUM(H58:H64)</f>
        <v>-7.8499999999999091</v>
      </c>
    </row>
    <row r="66" spans="2:10" s="5" customFormat="1" x14ac:dyDescent="0.25">
      <c r="C66" s="33"/>
      <c r="D66" s="36"/>
      <c r="G66" s="37"/>
    </row>
    <row r="67" spans="2:10" s="5" customFormat="1" x14ac:dyDescent="0.25">
      <c r="C67" s="33"/>
      <c r="D67" s="36"/>
      <c r="G67" s="14"/>
    </row>
    <row r="68" spans="2:10" s="5" customFormat="1" x14ac:dyDescent="0.25">
      <c r="C68" s="33"/>
      <c r="D68" s="36"/>
    </row>
    <row r="69" spans="2:10" s="5" customFormat="1" x14ac:dyDescent="0.25">
      <c r="B69" s="1" t="s">
        <v>1</v>
      </c>
      <c r="C69" s="1"/>
      <c r="D69" s="34" t="s">
        <v>26</v>
      </c>
      <c r="E69" s="1"/>
      <c r="F69" s="4"/>
      <c r="G69" s="5" t="s">
        <v>2</v>
      </c>
      <c r="H69" s="5" t="s">
        <v>3</v>
      </c>
    </row>
    <row r="70" spans="2:10" s="5" customFormat="1" x14ac:dyDescent="0.25">
      <c r="B70"/>
      <c r="C70" s="6"/>
      <c r="D70" t="s">
        <v>27</v>
      </c>
      <c r="E70" s="36" t="s">
        <v>28</v>
      </c>
      <c r="F70" s="12">
        <v>268.10000000000002</v>
      </c>
      <c r="G70" s="5">
        <f>F70/1.23</f>
        <v>217.96747967479678</v>
      </c>
      <c r="H70" s="5">
        <f>F70-G70</f>
        <v>50.132520325203245</v>
      </c>
    </row>
    <row r="71" spans="2:10" s="5" customFormat="1" x14ac:dyDescent="0.25">
      <c r="B71"/>
      <c r="C71" s="6"/>
      <c r="D71" t="s">
        <v>29</v>
      </c>
      <c r="E71" s="36" t="s">
        <v>30</v>
      </c>
      <c r="F71" s="12">
        <v>222</v>
      </c>
      <c r="G71" s="5">
        <f>F71</f>
        <v>222</v>
      </c>
      <c r="H71" s="5">
        <v>0</v>
      </c>
    </row>
    <row r="72" spans="2:10" s="5" customFormat="1" x14ac:dyDescent="0.25">
      <c r="B72"/>
      <c r="C72" s="6"/>
      <c r="D72" t="s">
        <v>31</v>
      </c>
      <c r="E72" s="36" t="s">
        <v>32</v>
      </c>
      <c r="F72" s="12">
        <v>956.04</v>
      </c>
      <c r="G72" s="41">
        <f>138.79+2.6+5.65</f>
        <v>147.04</v>
      </c>
      <c r="H72" s="5">
        <v>0</v>
      </c>
      <c r="I72" s="37"/>
    </row>
    <row r="73" spans="2:10" s="5" customFormat="1" x14ac:dyDescent="0.25">
      <c r="B73" s="42"/>
      <c r="C73" s="6"/>
      <c r="D73" t="s">
        <v>33</v>
      </c>
      <c r="E73" s="36" t="s">
        <v>34</v>
      </c>
      <c r="F73" s="12">
        <f>G73+H73</f>
        <v>900</v>
      </c>
      <c r="G73" s="5">
        <v>900</v>
      </c>
      <c r="H73" s="5">
        <v>0</v>
      </c>
    </row>
    <row r="74" spans="2:10" s="5" customFormat="1" x14ac:dyDescent="0.25">
      <c r="B74"/>
      <c r="C74" s="6"/>
      <c r="D74" s="33" t="s">
        <v>35</v>
      </c>
      <c r="E74" s="36" t="s">
        <v>36</v>
      </c>
      <c r="F74" s="12">
        <f>15.8+0.63</f>
        <v>16.43</v>
      </c>
      <c r="G74" s="5">
        <f>F74</f>
        <v>16.43</v>
      </c>
      <c r="H74" s="5">
        <v>0</v>
      </c>
    </row>
    <row r="75" spans="2:10" s="5" customFormat="1" x14ac:dyDescent="0.25">
      <c r="B75"/>
      <c r="C75" s="6"/>
      <c r="D75" s="33" t="s">
        <v>35</v>
      </c>
      <c r="E75" s="36" t="s">
        <v>37</v>
      </c>
      <c r="F75" s="12">
        <v>30.56</v>
      </c>
      <c r="G75" s="5">
        <f>F75</f>
        <v>30.56</v>
      </c>
      <c r="H75" s="5">
        <v>0</v>
      </c>
    </row>
    <row r="76" spans="2:10" s="5" customFormat="1" x14ac:dyDescent="0.25">
      <c r="B76"/>
      <c r="C76" s="43"/>
      <c r="D76" t="s">
        <v>38</v>
      </c>
      <c r="E76" s="36" t="s">
        <v>39</v>
      </c>
      <c r="F76" s="12">
        <v>128.83000000000001</v>
      </c>
      <c r="G76" s="5">
        <v>104.74</v>
      </c>
      <c r="H76" s="5">
        <v>24.09</v>
      </c>
      <c r="J76" s="44"/>
    </row>
    <row r="77" spans="2:10" s="5" customFormat="1" x14ac:dyDescent="0.25">
      <c r="B77"/>
      <c r="C77" s="6"/>
      <c r="D77" t="s">
        <v>40</v>
      </c>
      <c r="E77" s="36" t="s">
        <v>41</v>
      </c>
      <c r="F77" s="12">
        <v>8.61</v>
      </c>
      <c r="G77" s="5">
        <f>F77/1.23</f>
        <v>7</v>
      </c>
      <c r="H77" s="5">
        <f>F77-G77</f>
        <v>1.6099999999999994</v>
      </c>
    </row>
    <row r="78" spans="2:10" s="5" customFormat="1" x14ac:dyDescent="0.25">
      <c r="B78"/>
      <c r="C78" s="6"/>
      <c r="D78" t="s">
        <v>42</v>
      </c>
      <c r="E78" s="36" t="s">
        <v>43</v>
      </c>
      <c r="F78" s="12">
        <v>9.99</v>
      </c>
      <c r="G78" s="5">
        <v>8.1199999999999992</v>
      </c>
      <c r="H78" s="5">
        <v>1.87</v>
      </c>
      <c r="J78" s="44"/>
    </row>
    <row r="79" spans="2:10" s="5" customFormat="1" x14ac:dyDescent="0.25">
      <c r="B79"/>
      <c r="C79" s="6"/>
      <c r="D79" s="7" t="s">
        <v>44</v>
      </c>
      <c r="E79" s="36" t="s">
        <v>45</v>
      </c>
      <c r="F79" s="12">
        <v>113</v>
      </c>
      <c r="G79" s="5">
        <f>F79/1.23</f>
        <v>91.869918699186996</v>
      </c>
      <c r="H79" s="5">
        <f>F79-G79</f>
        <v>21.130081300813004</v>
      </c>
      <c r="J79" s="44"/>
    </row>
    <row r="80" spans="2:10" s="5" customFormat="1" x14ac:dyDescent="0.25">
      <c r="B80"/>
      <c r="C80" s="6"/>
      <c r="D80" s="7" t="s">
        <v>46</v>
      </c>
      <c r="E80" s="36" t="s">
        <v>47</v>
      </c>
      <c r="F80" s="12">
        <v>3.8</v>
      </c>
      <c r="G80" s="5">
        <f>F80/1.23</f>
        <v>3.089430894308943</v>
      </c>
      <c r="H80" s="5">
        <f>F80-G80</f>
        <v>0.7105691056910568</v>
      </c>
      <c r="J80" s="44"/>
    </row>
    <row r="81" spans="2:13" s="5" customFormat="1" x14ac:dyDescent="0.25">
      <c r="B81"/>
      <c r="C81" s="6"/>
      <c r="D81" s="7" t="s">
        <v>71</v>
      </c>
      <c r="E81" s="8" t="s">
        <v>72</v>
      </c>
      <c r="F81" s="45">
        <v>100</v>
      </c>
      <c r="G81" s="5">
        <v>100</v>
      </c>
      <c r="H81" s="5">
        <v>0</v>
      </c>
      <c r="J81" s="44"/>
    </row>
    <row r="82" spans="2:13" s="5" customFormat="1" x14ac:dyDescent="0.25">
      <c r="B82"/>
      <c r="C82" s="6"/>
      <c r="D82" s="7" t="s">
        <v>107</v>
      </c>
      <c r="E82" s="8" t="s">
        <v>108</v>
      </c>
      <c r="F82" s="45">
        <v>6</v>
      </c>
      <c r="G82" s="5">
        <v>4.88</v>
      </c>
      <c r="H82" s="5">
        <v>1.1200000000000001</v>
      </c>
      <c r="J82" s="44"/>
    </row>
    <row r="83" spans="2:13" s="5" customFormat="1" x14ac:dyDescent="0.25">
      <c r="B83"/>
      <c r="C83" s="6"/>
      <c r="D83" s="7" t="s">
        <v>109</v>
      </c>
      <c r="E83" s="8" t="s">
        <v>108</v>
      </c>
      <c r="F83" s="45">
        <v>80.010000000000005</v>
      </c>
      <c r="G83" s="5">
        <f>F83-H83</f>
        <v>72.53</v>
      </c>
      <c r="H83" s="5">
        <f>14.96/2</f>
        <v>7.48</v>
      </c>
      <c r="J83" s="44"/>
    </row>
    <row r="84" spans="2:13" s="5" customFormat="1" x14ac:dyDescent="0.25">
      <c r="B84"/>
      <c r="C84" s="6"/>
      <c r="D84" s="7" t="s">
        <v>124</v>
      </c>
      <c r="E84" s="8"/>
      <c r="F84" s="45">
        <v>37.799999999999997</v>
      </c>
      <c r="G84" s="5">
        <f>F84/1.23</f>
        <v>30.73170731707317</v>
      </c>
      <c r="H84" s="5">
        <f>F84-G84</f>
        <v>7.0682926829268276</v>
      </c>
      <c r="J84" s="44"/>
    </row>
    <row r="85" spans="2:13" s="5" customFormat="1" x14ac:dyDescent="0.25">
      <c r="B85"/>
      <c r="C85" s="6"/>
      <c r="D85" s="7"/>
      <c r="E85" s="8"/>
      <c r="F85" s="17"/>
      <c r="J85" s="44"/>
    </row>
    <row r="86" spans="2:13" s="5" customFormat="1" x14ac:dyDescent="0.25">
      <c r="B86"/>
      <c r="C86" s="6"/>
      <c r="D86" s="7"/>
      <c r="E86" s="8"/>
      <c r="F86" s="17"/>
      <c r="J86" s="44"/>
    </row>
    <row r="87" spans="2:13" s="5" customFormat="1" x14ac:dyDescent="0.25">
      <c r="B87"/>
      <c r="C87" s="6"/>
      <c r="D87" s="7"/>
      <c r="E87" s="8"/>
      <c r="F87" s="17"/>
      <c r="J87" s="44"/>
    </row>
    <row r="88" spans="2:13" s="5" customFormat="1" x14ac:dyDescent="0.25">
      <c r="B88"/>
      <c r="C88" s="6"/>
      <c r="D88" s="7"/>
      <c r="E88" s="8"/>
      <c r="F88" s="17"/>
      <c r="J88" s="44"/>
    </row>
    <row r="89" spans="2:13" s="5" customFormat="1" x14ac:dyDescent="0.25">
      <c r="B89"/>
      <c r="C89" s="6"/>
      <c r="D89" s="7"/>
      <c r="E89" s="8"/>
      <c r="F89" s="17"/>
      <c r="J89" s="44"/>
    </row>
    <row r="90" spans="2:13" s="5" customFormat="1" x14ac:dyDescent="0.25">
      <c r="B90"/>
      <c r="C90" s="6"/>
      <c r="D90" s="7"/>
      <c r="E90" s="8"/>
      <c r="F90" s="17"/>
      <c r="J90" s="44"/>
    </row>
    <row r="91" spans="2:13" s="5" customFormat="1" x14ac:dyDescent="0.25">
      <c r="B91"/>
      <c r="C91" s="6"/>
      <c r="D91" s="7"/>
      <c r="E91" s="8"/>
      <c r="F91" s="17"/>
      <c r="J91" s="44"/>
    </row>
    <row r="92" spans="2:13" s="5" customFormat="1" x14ac:dyDescent="0.25">
      <c r="C92" s="6"/>
      <c r="D92" s="7"/>
      <c r="E92" s="36"/>
      <c r="F92" s="12"/>
    </row>
    <row r="93" spans="2:13" s="5" customFormat="1" x14ac:dyDescent="0.25">
      <c r="C93" s="1"/>
      <c r="D93" s="3"/>
      <c r="E93" s="1"/>
      <c r="F93" s="40">
        <f>SUM(F70:F92)</f>
        <v>2881.17</v>
      </c>
      <c r="G93" s="5">
        <f>SUM(G70:G92)</f>
        <v>1956.9585365853659</v>
      </c>
      <c r="H93" s="5">
        <f>SUM(H70:H92)</f>
        <v>115.21146341463414</v>
      </c>
    </row>
    <row r="94" spans="2:13" x14ac:dyDescent="0.25">
      <c r="L94" s="5"/>
      <c r="M94" s="5"/>
    </row>
    <row r="95" spans="2:13" s="5" customFormat="1" x14ac:dyDescent="0.25">
      <c r="C95" s="1"/>
      <c r="D95" s="34" t="s">
        <v>48</v>
      </c>
      <c r="E95" s="1"/>
      <c r="F95" s="4"/>
      <c r="G95" s="5" t="s">
        <v>2</v>
      </c>
      <c r="H95" s="5" t="s">
        <v>3</v>
      </c>
    </row>
    <row r="96" spans="2:13" s="5" customFormat="1" x14ac:dyDescent="0.25">
      <c r="B96"/>
      <c r="C96" s="6">
        <v>44227</v>
      </c>
      <c r="D96" s="33" t="s">
        <v>49</v>
      </c>
      <c r="E96" s="36" t="s">
        <v>50</v>
      </c>
      <c r="F96" s="12">
        <v>1129.75</v>
      </c>
      <c r="G96" s="5">
        <f t="shared" ref="G96:G100" si="0">F96</f>
        <v>1129.75</v>
      </c>
      <c r="H96" s="5">
        <v>0</v>
      </c>
    </row>
    <row r="97" spans="2:13" s="5" customFormat="1" x14ac:dyDescent="0.25">
      <c r="B97"/>
      <c r="C97" s="6">
        <v>44227</v>
      </c>
      <c r="D97" t="s">
        <v>51</v>
      </c>
      <c r="E97" s="36" t="s">
        <v>50</v>
      </c>
      <c r="F97" s="12">
        <v>1039</v>
      </c>
      <c r="G97" s="5">
        <f t="shared" si="0"/>
        <v>1039</v>
      </c>
      <c r="H97" s="5">
        <v>0</v>
      </c>
    </row>
    <row r="98" spans="2:13" s="5" customFormat="1" x14ac:dyDescent="0.25">
      <c r="B98"/>
      <c r="C98" s="6">
        <v>44227</v>
      </c>
      <c r="D98" t="s">
        <v>52</v>
      </c>
      <c r="E98" s="36" t="s">
        <v>50</v>
      </c>
      <c r="F98" s="12">
        <v>878.8</v>
      </c>
      <c r="G98" s="5">
        <f t="shared" si="0"/>
        <v>878.8</v>
      </c>
    </row>
    <row r="99" spans="2:13" s="5" customFormat="1" x14ac:dyDescent="0.25">
      <c r="B99"/>
      <c r="C99" s="6">
        <v>44247</v>
      </c>
      <c r="D99" t="s">
        <v>53</v>
      </c>
      <c r="E99" s="36" t="s">
        <v>54</v>
      </c>
      <c r="F99" s="12">
        <v>1092.8900000000001</v>
      </c>
      <c r="G99" s="5">
        <f t="shared" si="0"/>
        <v>1092.8900000000001</v>
      </c>
      <c r="H99" s="5">
        <v>0</v>
      </c>
    </row>
    <row r="100" spans="2:13" s="5" customFormat="1" x14ac:dyDescent="0.25">
      <c r="B100"/>
      <c r="C100" s="6">
        <v>44247</v>
      </c>
      <c r="D100" t="s">
        <v>55</v>
      </c>
      <c r="E100" s="36" t="s">
        <v>56</v>
      </c>
      <c r="F100" s="12">
        <v>65</v>
      </c>
      <c r="G100" s="5">
        <f t="shared" si="0"/>
        <v>65</v>
      </c>
      <c r="H100" s="5">
        <v>0</v>
      </c>
    </row>
    <row r="101" spans="2:13" s="5" customFormat="1" x14ac:dyDescent="0.25">
      <c r="B101"/>
      <c r="C101" s="6"/>
      <c r="D101"/>
      <c r="E101" s="36"/>
      <c r="F101" s="12"/>
    </row>
    <row r="102" spans="2:13" s="5" customFormat="1" x14ac:dyDescent="0.25">
      <c r="C102" s="46"/>
      <c r="D102" s="47"/>
      <c r="E102" s="47"/>
      <c r="F102" s="48"/>
    </row>
    <row r="103" spans="2:13" s="5" customFormat="1" x14ac:dyDescent="0.25">
      <c r="C103" s="47"/>
      <c r="D103" s="49"/>
      <c r="E103" s="47"/>
      <c r="F103" s="40">
        <f>SUM(F96:F102)</f>
        <v>4205.4400000000005</v>
      </c>
      <c r="G103" s="5">
        <f>SUM(G96:G102)</f>
        <v>4205.4400000000005</v>
      </c>
      <c r="H103" s="5">
        <f>SUM(H96:H102)</f>
        <v>0</v>
      </c>
      <c r="I103" s="50">
        <f>F103</f>
        <v>4205.4400000000005</v>
      </c>
    </row>
    <row r="104" spans="2:13" x14ac:dyDescent="0.25">
      <c r="L104" s="5"/>
      <c r="M104" s="5"/>
    </row>
    <row r="105" spans="2:13" x14ac:dyDescent="0.25">
      <c r="L105" s="5"/>
      <c r="M105" s="5"/>
    </row>
    <row r="106" spans="2:13" s="5" customFormat="1" x14ac:dyDescent="0.25">
      <c r="C106"/>
      <c r="D106" s="51" t="s">
        <v>19</v>
      </c>
      <c r="E106" s="52">
        <f>E65</f>
        <v>55486.15</v>
      </c>
      <c r="G106" s="5">
        <f>F65</f>
        <v>10875</v>
      </c>
    </row>
    <row r="107" spans="2:13" s="5" customFormat="1" x14ac:dyDescent="0.25">
      <c r="C107"/>
      <c r="D107" s="36" t="s">
        <v>57</v>
      </c>
      <c r="E107" s="12">
        <f>-F53</f>
        <v>-30738.69</v>
      </c>
      <c r="F107" s="38">
        <f>E107/E106</f>
        <v>-0.55398851785535663</v>
      </c>
      <c r="G107" s="5">
        <f>-G53</f>
        <v>-25257.194878048784</v>
      </c>
    </row>
    <row r="108" spans="2:13" s="5" customFormat="1" x14ac:dyDescent="0.25">
      <c r="C108"/>
      <c r="D108" s="36" t="s">
        <v>58</v>
      </c>
      <c r="E108" s="12">
        <f>-F93</f>
        <v>-2881.17</v>
      </c>
      <c r="F108" s="38">
        <f>(-2951.87/26138.85)</f>
        <v>-0.11293036992828683</v>
      </c>
      <c r="G108" s="5">
        <f>-G93</f>
        <v>-1956.9585365853659</v>
      </c>
    </row>
    <row r="109" spans="2:13" s="5" customFormat="1" x14ac:dyDescent="0.25">
      <c r="C109"/>
      <c r="D109" s="47" t="s">
        <v>59</v>
      </c>
      <c r="E109" s="48">
        <f>-F103</f>
        <v>-4205.4400000000005</v>
      </c>
      <c r="F109" s="38">
        <f>E109/E106</f>
        <v>-7.5792607704805615E-2</v>
      </c>
      <c r="G109" s="5">
        <f>-G103</f>
        <v>-4205.4400000000005</v>
      </c>
    </row>
    <row r="110" spans="2:13" s="5" customFormat="1" x14ac:dyDescent="0.25">
      <c r="C110"/>
      <c r="D110" s="53" t="s">
        <v>60</v>
      </c>
      <c r="E110" s="54">
        <f>E106+E107+E108+E109</f>
        <v>17660.849999999999</v>
      </c>
      <c r="F110" s="38">
        <f>E110/E65</f>
        <v>0.31829294337415731</v>
      </c>
      <c r="G110" s="55">
        <f>G106+G107+G108+G109</f>
        <v>-20544.59341463415</v>
      </c>
    </row>
    <row r="111" spans="2:13" x14ac:dyDescent="0.25">
      <c r="L111" s="5"/>
      <c r="M111" s="5"/>
    </row>
    <row r="112" spans="2:13" x14ac:dyDescent="0.25">
      <c r="F112" s="24"/>
      <c r="L112" s="5"/>
      <c r="M112" s="5"/>
    </row>
    <row r="113" spans="4:13" ht="18.75" x14ac:dyDescent="0.3">
      <c r="D113" s="56" t="s">
        <v>61</v>
      </c>
      <c r="E113" s="57">
        <f>E65</f>
        <v>55486.15</v>
      </c>
      <c r="L113" s="5"/>
      <c r="M113" s="5"/>
    </row>
    <row r="114" spans="4:13" x14ac:dyDescent="0.25">
      <c r="L114" s="5"/>
      <c r="M114" s="5"/>
    </row>
    <row r="115" spans="4:13" x14ac:dyDescent="0.25">
      <c r="M115" s="5"/>
    </row>
    <row r="116" spans="4:13" x14ac:dyDescent="0.25">
      <c r="M116" s="5"/>
    </row>
    <row r="117" spans="4:13" x14ac:dyDescent="0.25">
      <c r="M117" s="5"/>
    </row>
    <row r="118" spans="4:13" x14ac:dyDescent="0.25">
      <c r="M118" s="5"/>
    </row>
    <row r="119" spans="4:13" x14ac:dyDescent="0.25">
      <c r="F119"/>
      <c r="G119"/>
      <c r="H119"/>
      <c r="I119"/>
      <c r="M119" s="5"/>
    </row>
    <row r="120" spans="4:13" x14ac:dyDescent="0.25">
      <c r="F120"/>
      <c r="G120"/>
      <c r="H120"/>
      <c r="I120"/>
      <c r="M120" s="5"/>
    </row>
  </sheetData>
  <pageMargins left="0.9055118110236221" right="0.70866141732283472" top="1.6535433070866143" bottom="1.2204724409448819" header="0.31496062992125984" footer="0.31496062992125984"/>
  <pageSetup paperSize="9" scale="65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105"/>
  <sheetViews>
    <sheetView topLeftCell="A37" zoomScale="84" zoomScaleNormal="84" workbookViewId="0">
      <selection activeCell="H47" sqref="H47"/>
    </sheetView>
  </sheetViews>
  <sheetFormatPr defaultRowHeight="15" x14ac:dyDescent="0.25"/>
  <cols>
    <col min="1" max="1" width="12" customWidth="1"/>
    <col min="2" max="2" width="10.5703125" customWidth="1"/>
    <col min="3" max="3" width="8.7109375" customWidth="1"/>
    <col min="4" max="4" width="29.28515625" bestFit="1" customWidth="1"/>
    <col min="5" max="5" width="32.7109375" bestFit="1" customWidth="1"/>
    <col min="6" max="6" width="13" style="5" bestFit="1" customWidth="1"/>
    <col min="7" max="7" width="21.28515625" style="5" bestFit="1" customWidth="1"/>
    <col min="8" max="8" width="13.42578125" style="5" customWidth="1"/>
    <col min="9" max="9" width="13.28515625" style="5" customWidth="1"/>
    <col min="10" max="10" width="19.7109375" bestFit="1" customWidth="1"/>
    <col min="11" max="11" width="16.42578125" bestFit="1" customWidth="1"/>
    <col min="12" max="12" width="12.7109375" bestFit="1" customWidth="1"/>
    <col min="13" max="14" width="11.7109375" bestFit="1" customWidth="1"/>
    <col min="15" max="15" width="12.7109375" bestFit="1" customWidth="1"/>
    <col min="16" max="16" width="10.7109375" bestFit="1" customWidth="1"/>
    <col min="17" max="17" width="11.7109375" bestFit="1" customWidth="1"/>
  </cols>
  <sheetData>
    <row r="2" spans="2:11" x14ac:dyDescent="0.25">
      <c r="B2" s="1" t="s">
        <v>0</v>
      </c>
      <c r="C2" s="1" t="s">
        <v>1</v>
      </c>
      <c r="D2" s="2"/>
      <c r="E2" s="3"/>
      <c r="F2" s="4"/>
      <c r="G2" s="5" t="s">
        <v>2</v>
      </c>
      <c r="H2" s="5" t="s">
        <v>3</v>
      </c>
    </row>
    <row r="3" spans="2:11" x14ac:dyDescent="0.25">
      <c r="B3" s="6">
        <v>45692</v>
      </c>
      <c r="C3" s="6" t="s">
        <v>138</v>
      </c>
      <c r="D3" s="7" t="s">
        <v>116</v>
      </c>
      <c r="E3" s="8" t="s">
        <v>139</v>
      </c>
      <c r="F3" s="9">
        <v>5043.41</v>
      </c>
      <c r="G3" s="5">
        <v>4100.33</v>
      </c>
      <c r="H3" s="5">
        <v>943.08</v>
      </c>
    </row>
    <row r="4" spans="2:11" x14ac:dyDescent="0.25">
      <c r="B4" s="6">
        <v>45691</v>
      </c>
      <c r="C4" s="6" t="s">
        <v>143</v>
      </c>
      <c r="D4" s="7" t="s">
        <v>141</v>
      </c>
      <c r="E4" s="8" t="s">
        <v>142</v>
      </c>
      <c r="F4" s="9">
        <v>626.29</v>
      </c>
      <c r="G4" s="5">
        <v>509.18</v>
      </c>
      <c r="H4" s="5">
        <v>117.11</v>
      </c>
    </row>
    <row r="5" spans="2:11" x14ac:dyDescent="0.25">
      <c r="B5" s="6">
        <v>45692</v>
      </c>
      <c r="C5" s="6" t="s">
        <v>144</v>
      </c>
      <c r="D5" s="7" t="s">
        <v>141</v>
      </c>
      <c r="E5" s="8" t="s">
        <v>142</v>
      </c>
      <c r="F5" s="9">
        <v>26.04</v>
      </c>
      <c r="G5" s="5">
        <v>21.17</v>
      </c>
      <c r="H5" s="5">
        <v>4.87</v>
      </c>
    </row>
    <row r="6" spans="2:11" x14ac:dyDescent="0.25">
      <c r="B6" s="6">
        <v>45693</v>
      </c>
      <c r="C6" s="6" t="s">
        <v>148</v>
      </c>
      <c r="D6" s="7" t="s">
        <v>74</v>
      </c>
      <c r="E6" s="8" t="s">
        <v>75</v>
      </c>
      <c r="F6" s="9">
        <v>296.77</v>
      </c>
      <c r="G6" s="5">
        <v>241.27</v>
      </c>
      <c r="H6" s="5">
        <v>55.5</v>
      </c>
      <c r="J6" t="s">
        <v>4</v>
      </c>
    </row>
    <row r="7" spans="2:11" s="5" customFormat="1" x14ac:dyDescent="0.25">
      <c r="B7" s="6">
        <v>45694</v>
      </c>
      <c r="C7" s="6" t="s">
        <v>165</v>
      </c>
      <c r="D7" s="7" t="s">
        <v>166</v>
      </c>
      <c r="E7" s="10" t="s">
        <v>94</v>
      </c>
      <c r="F7" s="9">
        <v>3340.68</v>
      </c>
      <c r="G7" s="11">
        <v>2716</v>
      </c>
      <c r="H7" s="11">
        <v>624.88</v>
      </c>
    </row>
    <row r="8" spans="2:11" s="5" customFormat="1" x14ac:dyDescent="0.25">
      <c r="B8" s="6">
        <v>45694</v>
      </c>
      <c r="C8" s="6" t="s">
        <v>167</v>
      </c>
      <c r="D8" s="7" t="s">
        <v>141</v>
      </c>
      <c r="E8" s="8" t="s">
        <v>142</v>
      </c>
      <c r="F8" s="12">
        <v>165.12</v>
      </c>
      <c r="G8" s="5">
        <v>134.24</v>
      </c>
      <c r="H8" s="5">
        <v>30.88</v>
      </c>
      <c r="J8" s="5" t="s">
        <v>5</v>
      </c>
      <c r="K8" s="5">
        <f>G49</f>
        <v>0</v>
      </c>
    </row>
    <row r="9" spans="2:11" s="5" customFormat="1" x14ac:dyDescent="0.25">
      <c r="B9" s="6">
        <v>45695</v>
      </c>
      <c r="C9" s="6" t="s">
        <v>168</v>
      </c>
      <c r="D9" s="7" t="s">
        <v>141</v>
      </c>
      <c r="E9" s="8" t="s">
        <v>142</v>
      </c>
      <c r="F9" s="9">
        <v>289.89999999999998</v>
      </c>
      <c r="G9" s="5">
        <v>235.69</v>
      </c>
      <c r="H9" s="5">
        <v>54.21</v>
      </c>
      <c r="J9" s="5" t="s">
        <v>6</v>
      </c>
      <c r="K9" s="5">
        <f>H38+H78+H88</f>
        <v>10662.734471544714</v>
      </c>
    </row>
    <row r="10" spans="2:11" s="5" customFormat="1" x14ac:dyDescent="0.25">
      <c r="B10" s="6">
        <v>45698</v>
      </c>
      <c r="C10" s="6" t="s">
        <v>172</v>
      </c>
      <c r="D10" s="7" t="s">
        <v>151</v>
      </c>
      <c r="E10" s="8" t="s">
        <v>173</v>
      </c>
      <c r="F10" s="9">
        <v>1915.11</v>
      </c>
      <c r="G10" s="5">
        <f>F10/1.23</f>
        <v>1557</v>
      </c>
      <c r="H10" s="5">
        <f>F10-G10</f>
        <v>358.1099999999999</v>
      </c>
      <c r="J10" s="13" t="s">
        <v>7</v>
      </c>
      <c r="K10" s="14">
        <f>K8-K9</f>
        <v>-10662.734471544714</v>
      </c>
    </row>
    <row r="11" spans="2:11" s="5" customFormat="1" x14ac:dyDescent="0.25">
      <c r="B11" s="6">
        <v>45698</v>
      </c>
      <c r="C11" s="6" t="s">
        <v>174</v>
      </c>
      <c r="D11" s="7" t="s">
        <v>175</v>
      </c>
      <c r="E11" s="8">
        <v>5496</v>
      </c>
      <c r="F11" s="9">
        <v>600</v>
      </c>
      <c r="G11" s="5">
        <v>600</v>
      </c>
      <c r="H11" s="5">
        <v>0</v>
      </c>
    </row>
    <row r="12" spans="2:11" s="5" customFormat="1" x14ac:dyDescent="0.25">
      <c r="B12" s="6">
        <v>45698</v>
      </c>
      <c r="C12" s="6" t="s">
        <v>176</v>
      </c>
      <c r="D12" s="7" t="s">
        <v>177</v>
      </c>
      <c r="E12" s="8"/>
      <c r="F12" s="9">
        <v>350</v>
      </c>
      <c r="G12" s="5">
        <v>284.55</v>
      </c>
      <c r="H12" s="5">
        <v>65.45</v>
      </c>
    </row>
    <row r="13" spans="2:11" s="5" customFormat="1" x14ac:dyDescent="0.25">
      <c r="B13" s="6">
        <v>45699</v>
      </c>
      <c r="C13" s="6"/>
      <c r="D13" s="7" t="s">
        <v>180</v>
      </c>
      <c r="E13" s="8"/>
      <c r="F13" s="9">
        <v>69.27</v>
      </c>
      <c r="G13" s="5">
        <v>56.32</v>
      </c>
      <c r="H13" s="5">
        <v>12.95</v>
      </c>
      <c r="J13" s="5" t="s">
        <v>8</v>
      </c>
      <c r="K13" s="5">
        <f>F49</f>
        <v>47673.289999999994</v>
      </c>
    </row>
    <row r="14" spans="2:11" s="5" customFormat="1" x14ac:dyDescent="0.25">
      <c r="B14" s="6">
        <v>45700</v>
      </c>
      <c r="C14" s="6" t="s">
        <v>181</v>
      </c>
      <c r="D14" s="7" t="s">
        <v>182</v>
      </c>
      <c r="E14" s="8" t="s">
        <v>258</v>
      </c>
      <c r="F14" s="9">
        <v>2807.5</v>
      </c>
      <c r="G14" s="5">
        <f>F14</f>
        <v>2807.5</v>
      </c>
      <c r="H14" s="5">
        <v>0</v>
      </c>
      <c r="J14" s="5" t="s">
        <v>9</v>
      </c>
      <c r="K14" s="5">
        <f>G38+G78+G88</f>
        <v>56886.755528455287</v>
      </c>
    </row>
    <row r="15" spans="2:11" s="5" customFormat="1" x14ac:dyDescent="0.25">
      <c r="B15" s="6">
        <v>45702</v>
      </c>
      <c r="C15" s="6" t="s">
        <v>183</v>
      </c>
      <c r="D15" s="7" t="s">
        <v>96</v>
      </c>
      <c r="E15" s="8" t="s">
        <v>97</v>
      </c>
      <c r="F15" s="9">
        <v>289.64</v>
      </c>
      <c r="G15" s="5">
        <v>235.47</v>
      </c>
      <c r="H15" s="5">
        <v>54.17</v>
      </c>
      <c r="K15" s="5">
        <f>K13-K14</f>
        <v>-9213.4655284552937</v>
      </c>
    </row>
    <row r="16" spans="2:11" s="5" customFormat="1" x14ac:dyDescent="0.25">
      <c r="B16" s="6">
        <v>45701</v>
      </c>
      <c r="C16" s="6" t="s">
        <v>184</v>
      </c>
      <c r="D16" s="7" t="s">
        <v>141</v>
      </c>
      <c r="E16" s="10" t="s">
        <v>142</v>
      </c>
      <c r="F16" s="9">
        <v>70.959999999999994</v>
      </c>
      <c r="G16" s="11">
        <v>57.69</v>
      </c>
      <c r="H16" s="11">
        <v>13.27</v>
      </c>
      <c r="J16" s="13" t="s">
        <v>10</v>
      </c>
      <c r="K16" s="14">
        <f>K15*0.17</f>
        <v>-1566.2891398373999</v>
      </c>
    </row>
    <row r="17" spans="1:14" s="5" customFormat="1" x14ac:dyDescent="0.25">
      <c r="B17" s="6">
        <v>45701</v>
      </c>
      <c r="C17" s="6" t="s">
        <v>185</v>
      </c>
      <c r="D17" s="7" t="s">
        <v>141</v>
      </c>
      <c r="E17" s="8" t="s">
        <v>142</v>
      </c>
      <c r="F17" s="9">
        <v>494.31</v>
      </c>
      <c r="G17" s="5">
        <v>401.88</v>
      </c>
      <c r="H17" s="5">
        <v>92.43</v>
      </c>
    </row>
    <row r="18" spans="1:14" s="5" customFormat="1" x14ac:dyDescent="0.25">
      <c r="B18" s="6">
        <v>45702</v>
      </c>
      <c r="C18" s="6" t="s">
        <v>186</v>
      </c>
      <c r="D18" s="7" t="s">
        <v>116</v>
      </c>
      <c r="E18" s="10" t="s">
        <v>117</v>
      </c>
      <c r="F18" s="9">
        <v>5252.1</v>
      </c>
      <c r="G18" s="11">
        <v>4270</v>
      </c>
      <c r="H18" s="11">
        <v>982.1</v>
      </c>
    </row>
    <row r="19" spans="1:14" s="5" customFormat="1" x14ac:dyDescent="0.25">
      <c r="A19" s="16"/>
      <c r="B19" s="6">
        <v>45705</v>
      </c>
      <c r="C19" s="6" t="s">
        <v>190</v>
      </c>
      <c r="D19" s="7" t="s">
        <v>74</v>
      </c>
      <c r="E19" s="8" t="s">
        <v>75</v>
      </c>
      <c r="F19" s="17">
        <v>273.22000000000003</v>
      </c>
      <c r="G19" s="5">
        <f>F19/1.23</f>
        <v>222.13008130081303</v>
      </c>
      <c r="H19" s="5">
        <f>F19-G19</f>
        <v>51.089918699186995</v>
      </c>
    </row>
    <row r="20" spans="1:14" s="5" customFormat="1" x14ac:dyDescent="0.25">
      <c r="B20" s="6">
        <v>45706</v>
      </c>
      <c r="C20" s="6" t="s">
        <v>194</v>
      </c>
      <c r="D20" s="7" t="s">
        <v>177</v>
      </c>
      <c r="E20" s="8" t="s">
        <v>195</v>
      </c>
      <c r="F20" s="17">
        <v>370</v>
      </c>
      <c r="G20" s="5">
        <v>300.81</v>
      </c>
      <c r="H20" s="5">
        <f>F20-G20</f>
        <v>69.19</v>
      </c>
    </row>
    <row r="21" spans="1:14" s="5" customFormat="1" x14ac:dyDescent="0.25">
      <c r="B21" s="6">
        <v>45707</v>
      </c>
      <c r="C21" s="6" t="s">
        <v>196</v>
      </c>
      <c r="D21" s="7" t="s">
        <v>197</v>
      </c>
      <c r="E21" s="8" t="s">
        <v>117</v>
      </c>
      <c r="F21" s="9">
        <v>5891.7</v>
      </c>
      <c r="G21" s="5">
        <v>4790</v>
      </c>
      <c r="H21" s="5">
        <f>F21-G21</f>
        <v>1101.6999999999998</v>
      </c>
      <c r="J21" s="14" t="s">
        <v>11</v>
      </c>
    </row>
    <row r="22" spans="1:14" s="5" customFormat="1" x14ac:dyDescent="0.25">
      <c r="B22" s="6">
        <v>45708</v>
      </c>
      <c r="C22" s="6" t="s">
        <v>201</v>
      </c>
      <c r="D22" s="7" t="s">
        <v>116</v>
      </c>
      <c r="E22" s="8" t="s">
        <v>202</v>
      </c>
      <c r="F22" s="17">
        <v>6564.82</v>
      </c>
      <c r="G22" s="5">
        <v>5337.25</v>
      </c>
      <c r="H22" s="5">
        <v>1227.57</v>
      </c>
      <c r="I22" s="18" t="s">
        <v>10</v>
      </c>
      <c r="J22" s="5" t="s">
        <v>12</v>
      </c>
      <c r="K22" s="14">
        <f>K13+Janeiro!K22</f>
        <v>58548.289999999994</v>
      </c>
      <c r="M22" s="19"/>
    </row>
    <row r="23" spans="1:14" s="5" customFormat="1" x14ac:dyDescent="0.25">
      <c r="B23" s="6">
        <v>45712</v>
      </c>
      <c r="C23" s="6" t="s">
        <v>203</v>
      </c>
      <c r="D23" s="7" t="s">
        <v>74</v>
      </c>
      <c r="E23" s="8" t="s">
        <v>75</v>
      </c>
      <c r="F23" s="9">
        <v>83.03</v>
      </c>
      <c r="G23" s="5">
        <f>F23/1.23</f>
        <v>67.504065040650403</v>
      </c>
      <c r="H23" s="5">
        <f>F23-G23</f>
        <v>15.525934959349598</v>
      </c>
      <c r="I23" s="13"/>
      <c r="J23" s="5" t="s">
        <v>13</v>
      </c>
      <c r="K23" s="5">
        <f>K14+Janeiro!K23</f>
        <v>88306.348943089441</v>
      </c>
    </row>
    <row r="24" spans="1:14" s="5" customFormat="1" x14ac:dyDescent="0.25">
      <c r="B24" s="6">
        <v>45712</v>
      </c>
      <c r="C24" s="6" t="s">
        <v>204</v>
      </c>
      <c r="D24" s="7" t="s">
        <v>175</v>
      </c>
      <c r="E24" s="8" t="s">
        <v>236</v>
      </c>
      <c r="F24" s="20">
        <v>380</v>
      </c>
      <c r="G24" s="5">
        <f>F24</f>
        <v>380</v>
      </c>
      <c r="H24" s="5">
        <f>F24-G24</f>
        <v>0</v>
      </c>
      <c r="I24" s="13"/>
      <c r="J24" s="13" t="s">
        <v>14</v>
      </c>
      <c r="K24" s="5">
        <f>1714.45*2</f>
        <v>3428.9</v>
      </c>
    </row>
    <row r="25" spans="1:14" s="5" customFormat="1" x14ac:dyDescent="0.25">
      <c r="B25" s="6">
        <v>45713</v>
      </c>
      <c r="C25" s="6" t="s">
        <v>205</v>
      </c>
      <c r="D25" s="7" t="s">
        <v>151</v>
      </c>
      <c r="E25" s="8" t="s">
        <v>206</v>
      </c>
      <c r="F25" s="9">
        <v>16303.65</v>
      </c>
      <c r="G25" s="5">
        <f>F25/1.23</f>
        <v>13255</v>
      </c>
      <c r="H25" s="5">
        <f>F25-G25</f>
        <v>3048.6499999999996</v>
      </c>
      <c r="I25" s="13"/>
      <c r="K25" s="21">
        <f>K22-K23-K24</f>
        <v>-33186.958943089448</v>
      </c>
      <c r="L25" s="11"/>
    </row>
    <row r="26" spans="1:14" s="5" customFormat="1" x14ac:dyDescent="0.25">
      <c r="B26" s="6">
        <v>45713</v>
      </c>
      <c r="C26" s="6" t="s">
        <v>207</v>
      </c>
      <c r="D26" s="7" t="s">
        <v>151</v>
      </c>
      <c r="E26" s="8" t="s">
        <v>208</v>
      </c>
      <c r="F26" s="12">
        <v>2384.9699999999998</v>
      </c>
      <c r="G26" s="5">
        <v>1939</v>
      </c>
      <c r="H26" s="5">
        <f>F26-G26</f>
        <v>445.9699999999998</v>
      </c>
      <c r="I26" s="13"/>
      <c r="J26" s="22">
        <v>0.17</v>
      </c>
      <c r="K26" s="23">
        <f>K25*0.17</f>
        <v>-5641.783020325207</v>
      </c>
    </row>
    <row r="27" spans="1:14" s="5" customFormat="1" x14ac:dyDescent="0.25">
      <c r="B27" s="6">
        <v>45714</v>
      </c>
      <c r="C27" s="6" t="s">
        <v>209</v>
      </c>
      <c r="D27" s="7" t="s">
        <v>210</v>
      </c>
      <c r="E27" s="8" t="s">
        <v>94</v>
      </c>
      <c r="F27" s="9">
        <v>2093.8200000000002</v>
      </c>
      <c r="G27" s="5">
        <f>F27-H27</f>
        <v>1702.2900000000002</v>
      </c>
      <c r="H27" s="5">
        <v>391.53</v>
      </c>
      <c r="I27" s="18" t="s">
        <v>15</v>
      </c>
      <c r="J27" s="5" t="s">
        <v>12</v>
      </c>
      <c r="K27" s="5">
        <f>K8+Janeiro!K27</f>
        <v>0</v>
      </c>
    </row>
    <row r="28" spans="1:14" s="5" customFormat="1" x14ac:dyDescent="0.25">
      <c r="B28" s="6">
        <v>45694</v>
      </c>
      <c r="C28" s="6"/>
      <c r="D28" s="7" t="s">
        <v>213</v>
      </c>
      <c r="E28" s="8"/>
      <c r="F28" s="9">
        <v>187.75</v>
      </c>
      <c r="G28" s="5">
        <f>F28/1.23</f>
        <v>152.64227642276424</v>
      </c>
      <c r="H28" s="5">
        <f>F28-G28</f>
        <v>35.10772357723576</v>
      </c>
      <c r="I28" s="13"/>
      <c r="J28" s="5" t="s">
        <v>16</v>
      </c>
      <c r="K28" s="5">
        <f>K9+Janeiro!K28</f>
        <v>16277.231056910568</v>
      </c>
    </row>
    <row r="29" spans="1:14" s="5" customFormat="1" x14ac:dyDescent="0.25">
      <c r="B29" s="6">
        <v>45714</v>
      </c>
      <c r="C29" s="6"/>
      <c r="D29" s="7" t="s">
        <v>105</v>
      </c>
      <c r="E29" s="10" t="s">
        <v>106</v>
      </c>
      <c r="F29" s="9">
        <v>177.45</v>
      </c>
      <c r="G29" s="11">
        <f>F29/1.23</f>
        <v>144.26829268292681</v>
      </c>
      <c r="H29" s="11">
        <f>F29-G29</f>
        <v>33.181707317073176</v>
      </c>
      <c r="J29" s="18" t="s">
        <v>3</v>
      </c>
      <c r="K29" s="23">
        <f>K27-K28</f>
        <v>-16277.231056910568</v>
      </c>
    </row>
    <row r="30" spans="1:14" s="5" customFormat="1" x14ac:dyDescent="0.25">
      <c r="B30" s="6">
        <v>45695</v>
      </c>
      <c r="C30" s="6"/>
      <c r="D30" s="7" t="s">
        <v>159</v>
      </c>
      <c r="E30" s="8" t="s">
        <v>142</v>
      </c>
      <c r="F30" s="9">
        <v>34.119999999999997</v>
      </c>
      <c r="G30" s="5">
        <f>F30/1.23</f>
        <v>27.739837398373982</v>
      </c>
      <c r="H30" s="5">
        <f>F30-G30</f>
        <v>6.3801626016260151</v>
      </c>
      <c r="J30" s="16"/>
      <c r="K30" s="24"/>
      <c r="L30" s="25">
        <f>K30+K29</f>
        <v>-16277.231056910568</v>
      </c>
    </row>
    <row r="31" spans="1:14" s="5" customFormat="1" x14ac:dyDescent="0.25">
      <c r="B31" s="6">
        <v>45716</v>
      </c>
      <c r="C31" s="6" t="s">
        <v>225</v>
      </c>
      <c r="D31" s="7" t="s">
        <v>90</v>
      </c>
      <c r="E31" s="10" t="s">
        <v>224</v>
      </c>
      <c r="F31" s="9">
        <v>2392.34</v>
      </c>
      <c r="G31" s="11">
        <v>1944.99</v>
      </c>
      <c r="H31" s="11">
        <v>447.35</v>
      </c>
      <c r="J31" s="18"/>
      <c r="K31" s="24" t="s">
        <v>62</v>
      </c>
      <c r="L31" s="5">
        <v>0</v>
      </c>
    </row>
    <row r="32" spans="1:14" s="5" customFormat="1" x14ac:dyDescent="0.25">
      <c r="B32" s="6">
        <v>45716</v>
      </c>
      <c r="C32" s="6" t="s">
        <v>223</v>
      </c>
      <c r="D32" s="7" t="s">
        <v>90</v>
      </c>
      <c r="E32" s="8" t="s">
        <v>226</v>
      </c>
      <c r="F32" s="9">
        <v>448.95</v>
      </c>
      <c r="G32" s="5">
        <v>365</v>
      </c>
      <c r="H32" s="5">
        <v>83.95</v>
      </c>
      <c r="J32" s="18"/>
      <c r="K32" s="23"/>
      <c r="L32" s="26">
        <f>SUM(L30:L31)</f>
        <v>-16277.231056910568</v>
      </c>
      <c r="N32" s="14"/>
    </row>
    <row r="33" spans="1:17" s="5" customFormat="1" x14ac:dyDescent="0.25">
      <c r="B33" s="6">
        <v>45715</v>
      </c>
      <c r="C33" s="6" t="s">
        <v>129</v>
      </c>
      <c r="D33" s="7" t="s">
        <v>151</v>
      </c>
      <c r="E33" s="8" t="s">
        <v>85</v>
      </c>
      <c r="F33" s="9">
        <v>934.8</v>
      </c>
      <c r="G33" s="5">
        <v>760</v>
      </c>
      <c r="H33" s="5">
        <v>174.8</v>
      </c>
      <c r="J33" s="18"/>
      <c r="K33" s="14" t="s">
        <v>17</v>
      </c>
      <c r="L33" s="27">
        <f>Janeiro!L33+312+2799.2+1146.33</f>
        <v>4029.2</v>
      </c>
    </row>
    <row r="34" spans="1:17" s="5" customFormat="1" x14ac:dyDescent="0.25">
      <c r="B34" s="6">
        <v>45700</v>
      </c>
      <c r="C34" s="6" t="s">
        <v>237</v>
      </c>
      <c r="D34" s="7" t="s">
        <v>175</v>
      </c>
      <c r="E34" s="8" t="s">
        <v>238</v>
      </c>
      <c r="F34" s="9">
        <v>480</v>
      </c>
      <c r="G34" s="5">
        <v>480</v>
      </c>
      <c r="H34" s="5">
        <v>0</v>
      </c>
      <c r="J34" s="18"/>
      <c r="K34" s="14"/>
      <c r="L34" s="14"/>
    </row>
    <row r="35" spans="1:17" s="5" customFormat="1" x14ac:dyDescent="0.25">
      <c r="B35" s="6"/>
      <c r="C35" s="6"/>
      <c r="D35" s="7"/>
      <c r="E35" s="8"/>
      <c r="F35" s="9"/>
      <c r="J35" s="18"/>
      <c r="K35" s="14"/>
      <c r="L35" s="14"/>
    </row>
    <row r="36" spans="1:17" s="5" customFormat="1" x14ac:dyDescent="0.25">
      <c r="B36" s="6"/>
      <c r="C36" s="6"/>
      <c r="D36" s="7"/>
      <c r="E36" s="28"/>
      <c r="F36" s="17"/>
      <c r="G36" s="23"/>
      <c r="L36" s="14"/>
    </row>
    <row r="37" spans="1:17" s="5" customFormat="1" x14ac:dyDescent="0.25">
      <c r="B37" s="6"/>
      <c r="C37" s="6"/>
      <c r="D37" s="7"/>
      <c r="E37" s="8"/>
      <c r="F37" s="17"/>
    </row>
    <row r="38" spans="1:17" x14ac:dyDescent="0.25">
      <c r="B38" s="29"/>
      <c r="C38" s="29"/>
      <c r="D38" s="30"/>
      <c r="E38" s="31"/>
      <c r="F38" s="32">
        <f>SUM(F3:F37)</f>
        <v>60637.72</v>
      </c>
      <c r="G38" s="5">
        <f>SUM(G3:G37)</f>
        <v>50096.914552845526</v>
      </c>
      <c r="H38" s="14">
        <f>SUM(H3:H37)</f>
        <v>10541.00544715447</v>
      </c>
      <c r="J38" s="5"/>
      <c r="M38" s="5"/>
      <c r="Q38" s="5"/>
    </row>
    <row r="39" spans="1:17" x14ac:dyDescent="0.25">
      <c r="C39" s="33"/>
      <c r="M39" s="5"/>
      <c r="Q39" s="5"/>
    </row>
    <row r="40" spans="1:17" x14ac:dyDescent="0.25">
      <c r="C40" s="33"/>
      <c r="M40" s="5"/>
      <c r="N40" s="5"/>
      <c r="O40" s="5"/>
      <c r="Q40" s="5"/>
    </row>
    <row r="41" spans="1:17" x14ac:dyDescent="0.25">
      <c r="C41" s="33"/>
      <c r="M41" s="5"/>
      <c r="N41" s="5"/>
      <c r="O41" s="5"/>
      <c r="Q41" s="5"/>
    </row>
    <row r="42" spans="1:17" x14ac:dyDescent="0.25">
      <c r="B42" t="s">
        <v>18</v>
      </c>
      <c r="C42" s="29"/>
      <c r="D42" s="34" t="s">
        <v>19</v>
      </c>
      <c r="E42" s="31"/>
      <c r="F42" s="5" t="s">
        <v>20</v>
      </c>
      <c r="G42" s="5" t="s">
        <v>3</v>
      </c>
      <c r="H42" s="5" t="s">
        <v>21</v>
      </c>
      <c r="I42" s="5" t="s">
        <v>171</v>
      </c>
      <c r="M42" s="5"/>
      <c r="O42" s="5"/>
      <c r="Q42" s="5"/>
    </row>
    <row r="43" spans="1:17" s="5" customFormat="1" x14ac:dyDescent="0.25">
      <c r="B43"/>
      <c r="C43" s="35" t="s">
        <v>179</v>
      </c>
      <c r="D43" s="36" t="s">
        <v>119</v>
      </c>
      <c r="E43" s="12">
        <f>13996.02*1.2</f>
        <v>16795.223999999998</v>
      </c>
      <c r="F43" s="37">
        <f>E43/1.2</f>
        <v>13996.019999999999</v>
      </c>
      <c r="G43" s="37" t="s">
        <v>178</v>
      </c>
      <c r="H43" s="71">
        <f>E43-4000-4000-4000-3113-1682.22</f>
        <v>3.9999999983137968E-3</v>
      </c>
      <c r="I43" s="5" t="s">
        <v>266</v>
      </c>
    </row>
    <row r="44" spans="1:17" s="5" customFormat="1" x14ac:dyDescent="0.25">
      <c r="A44" s="5" t="s">
        <v>24</v>
      </c>
      <c r="B44" t="s">
        <v>187</v>
      </c>
      <c r="C44" s="35" t="s">
        <v>217</v>
      </c>
      <c r="D44" s="36" t="s">
        <v>78</v>
      </c>
      <c r="E44" s="12">
        <v>20755.599999999999</v>
      </c>
      <c r="F44" s="37">
        <f>E44</f>
        <v>20755.599999999999</v>
      </c>
      <c r="G44" s="37">
        <v>0</v>
      </c>
      <c r="H44" s="71">
        <f>E44-12000-8755.6</f>
        <v>0</v>
      </c>
    </row>
    <row r="45" spans="1:17" s="5" customFormat="1" x14ac:dyDescent="0.25">
      <c r="B45" t="s">
        <v>164</v>
      </c>
      <c r="C45" s="35" t="s">
        <v>216</v>
      </c>
      <c r="D45" s="36" t="s">
        <v>232</v>
      </c>
      <c r="E45" s="12">
        <v>11260</v>
      </c>
      <c r="F45" s="37">
        <v>5630</v>
      </c>
      <c r="G45" s="37">
        <v>0</v>
      </c>
      <c r="H45" s="11">
        <f>E45-5630-5630</f>
        <v>0</v>
      </c>
      <c r="I45" s="5">
        <v>1300</v>
      </c>
      <c r="K45" s="5">
        <v>11260</v>
      </c>
      <c r="L45" s="5">
        <v>-5630</v>
      </c>
    </row>
    <row r="46" spans="1:17" s="5" customFormat="1" x14ac:dyDescent="0.25">
      <c r="B46"/>
      <c r="C46" s="35"/>
      <c r="D46" s="36" t="s">
        <v>227</v>
      </c>
      <c r="E46" s="12">
        <v>8745.89</v>
      </c>
      <c r="F46" s="37">
        <v>0</v>
      </c>
      <c r="G46" s="37">
        <v>0</v>
      </c>
      <c r="H46" s="11">
        <f>E46-2500-1000-1000-1000</f>
        <v>3245.8899999999994</v>
      </c>
      <c r="I46" s="5">
        <v>700</v>
      </c>
      <c r="L46" s="5">
        <f>K45+L45</f>
        <v>5630</v>
      </c>
    </row>
    <row r="47" spans="1:17" s="5" customFormat="1" x14ac:dyDescent="0.25">
      <c r="B47" s="37"/>
      <c r="C47" s="35" t="s">
        <v>199</v>
      </c>
      <c r="D47" s="36" t="s">
        <v>256</v>
      </c>
      <c r="E47" s="12"/>
      <c r="F47" s="37">
        <v>5731.67</v>
      </c>
      <c r="G47" s="37" t="s">
        <v>198</v>
      </c>
      <c r="H47" s="11"/>
      <c r="L47" s="5">
        <f>L46-1300</f>
        <v>4330</v>
      </c>
    </row>
    <row r="48" spans="1:17" s="5" customFormat="1" x14ac:dyDescent="0.25">
      <c r="B48"/>
      <c r="C48" s="35" t="s">
        <v>145</v>
      </c>
      <c r="D48" s="36" t="s">
        <v>146</v>
      </c>
      <c r="E48" s="12">
        <f>4444+970</f>
        <v>5414</v>
      </c>
      <c r="F48" s="37">
        <v>1560</v>
      </c>
      <c r="G48" s="37" t="s">
        <v>147</v>
      </c>
      <c r="H48" s="11">
        <f>E48-1872-1872-700-970</f>
        <v>0</v>
      </c>
      <c r="I48" s="5">
        <v>700</v>
      </c>
    </row>
    <row r="49" spans="2:10" s="5" customFormat="1" x14ac:dyDescent="0.25">
      <c r="C49" s="39"/>
      <c r="D49" s="1"/>
      <c r="E49" s="40">
        <f>SUM(E43:E48)</f>
        <v>62970.713999999993</v>
      </c>
      <c r="F49" s="14">
        <f>SUM(F43:F48)</f>
        <v>47673.289999999994</v>
      </c>
      <c r="G49" s="14">
        <f>SUM(G43:G48)</f>
        <v>0</v>
      </c>
      <c r="H49" s="14">
        <f>SUM(H43:H48)</f>
        <v>3245.8939999999975</v>
      </c>
    </row>
    <row r="50" spans="2:10" s="5" customFormat="1" x14ac:dyDescent="0.25">
      <c r="C50" s="33"/>
      <c r="D50" s="36"/>
      <c r="G50" s="37"/>
    </row>
    <row r="51" spans="2:10" s="5" customFormat="1" x14ac:dyDescent="0.25">
      <c r="C51" s="33"/>
      <c r="D51" s="36"/>
      <c r="G51" s="14"/>
    </row>
    <row r="52" spans="2:10" s="5" customFormat="1" x14ac:dyDescent="0.25">
      <c r="C52" s="33"/>
      <c r="D52" s="36"/>
    </row>
    <row r="53" spans="2:10" s="5" customFormat="1" x14ac:dyDescent="0.25">
      <c r="B53" s="1" t="s">
        <v>1</v>
      </c>
      <c r="C53" s="1"/>
      <c r="D53" s="34" t="s">
        <v>26</v>
      </c>
      <c r="E53" s="1"/>
      <c r="F53" s="4"/>
      <c r="G53" s="5" t="s">
        <v>2</v>
      </c>
      <c r="H53" s="5" t="s">
        <v>3</v>
      </c>
    </row>
    <row r="54" spans="2:10" s="5" customFormat="1" x14ac:dyDescent="0.25">
      <c r="B54"/>
      <c r="C54" s="6"/>
      <c r="D54" t="s">
        <v>27</v>
      </c>
      <c r="E54" s="36" t="s">
        <v>28</v>
      </c>
      <c r="F54" s="12">
        <v>260.72000000000003</v>
      </c>
      <c r="G54" s="5">
        <v>211.97</v>
      </c>
      <c r="H54" s="5">
        <f>F54-G55</f>
        <v>38.720000000000027</v>
      </c>
    </row>
    <row r="55" spans="2:10" s="5" customFormat="1" x14ac:dyDescent="0.25">
      <c r="B55"/>
      <c r="C55" s="6"/>
      <c r="D55" t="s">
        <v>29</v>
      </c>
      <c r="E55" s="36" t="s">
        <v>30</v>
      </c>
      <c r="F55" s="12">
        <v>222</v>
      </c>
      <c r="G55" s="5">
        <f>F55</f>
        <v>222</v>
      </c>
      <c r="H55" s="5">
        <v>0</v>
      </c>
    </row>
    <row r="56" spans="2:10" s="5" customFormat="1" x14ac:dyDescent="0.25">
      <c r="B56"/>
      <c r="C56" s="6"/>
      <c r="D56" t="s">
        <v>31</v>
      </c>
      <c r="E56" s="36" t="s">
        <v>32</v>
      </c>
      <c r="F56" s="12">
        <v>956.04</v>
      </c>
      <c r="G56" s="41">
        <f>138.79+2.6+5.65</f>
        <v>147.04</v>
      </c>
      <c r="H56" s="5">
        <v>0</v>
      </c>
      <c r="I56" s="37"/>
    </row>
    <row r="57" spans="2:10" s="5" customFormat="1" x14ac:dyDescent="0.25">
      <c r="B57" s="42"/>
      <c r="C57" s="6"/>
      <c r="D57" t="s">
        <v>33</v>
      </c>
      <c r="E57" s="36" t="s">
        <v>34</v>
      </c>
      <c r="F57" s="12">
        <f>G57+H57</f>
        <v>900</v>
      </c>
      <c r="G57" s="5">
        <v>900</v>
      </c>
      <c r="H57" s="5">
        <v>0</v>
      </c>
    </row>
    <row r="58" spans="2:10" s="5" customFormat="1" x14ac:dyDescent="0.25">
      <c r="B58"/>
      <c r="C58" s="6"/>
      <c r="D58" s="33" t="s">
        <v>35</v>
      </c>
      <c r="E58" s="36" t="s">
        <v>36</v>
      </c>
      <c r="F58" s="12">
        <f>15.8+0.63</f>
        <v>16.43</v>
      </c>
      <c r="G58" s="5">
        <f>F58</f>
        <v>16.43</v>
      </c>
      <c r="H58" s="5">
        <v>0</v>
      </c>
    </row>
    <row r="59" spans="2:10" s="5" customFormat="1" x14ac:dyDescent="0.25">
      <c r="B59"/>
      <c r="C59" s="6"/>
      <c r="D59" s="33" t="s">
        <v>35</v>
      </c>
      <c r="E59" s="36" t="s">
        <v>37</v>
      </c>
      <c r="F59" s="12">
        <v>30.56</v>
      </c>
      <c r="G59" s="5">
        <f>F59</f>
        <v>30.56</v>
      </c>
      <c r="H59" s="5">
        <v>0</v>
      </c>
    </row>
    <row r="60" spans="2:10" s="5" customFormat="1" x14ac:dyDescent="0.25">
      <c r="B60"/>
      <c r="C60" s="43"/>
      <c r="D60" t="s">
        <v>38</v>
      </c>
      <c r="E60" s="36" t="s">
        <v>39</v>
      </c>
      <c r="F60" s="12">
        <v>126.31</v>
      </c>
      <c r="G60" s="5">
        <f>F60/1.23</f>
        <v>102.6910569105691</v>
      </c>
      <c r="H60" s="5">
        <f>F60-G60</f>
        <v>23.6189430894309</v>
      </c>
      <c r="J60" s="44"/>
    </row>
    <row r="61" spans="2:10" s="5" customFormat="1" x14ac:dyDescent="0.25">
      <c r="B61"/>
      <c r="C61" s="6"/>
      <c r="D61" t="s">
        <v>40</v>
      </c>
      <c r="E61" s="36" t="s">
        <v>41</v>
      </c>
      <c r="F61" s="12">
        <v>8.61</v>
      </c>
      <c r="G61" s="5">
        <f>F61/1.23</f>
        <v>7</v>
      </c>
      <c r="H61" s="5">
        <f>F61-G61</f>
        <v>1.6099999999999994</v>
      </c>
    </row>
    <row r="62" spans="2:10" s="5" customFormat="1" x14ac:dyDescent="0.25">
      <c r="B62"/>
      <c r="C62" s="6"/>
      <c r="D62" t="s">
        <v>42</v>
      </c>
      <c r="E62" s="36" t="s">
        <v>43</v>
      </c>
      <c r="F62" s="12">
        <v>9.99</v>
      </c>
      <c r="G62" s="5">
        <v>8.1199999999999992</v>
      </c>
      <c r="H62" s="5">
        <v>1.87</v>
      </c>
      <c r="J62" s="44"/>
    </row>
    <row r="63" spans="2:10" s="5" customFormat="1" x14ac:dyDescent="0.25">
      <c r="B63"/>
      <c r="C63" s="6"/>
      <c r="D63" s="7" t="s">
        <v>44</v>
      </c>
      <c r="E63" s="36" t="s">
        <v>45</v>
      </c>
      <c r="F63" s="12">
        <v>113</v>
      </c>
      <c r="G63" s="5">
        <f>F63/1.23</f>
        <v>91.869918699186996</v>
      </c>
      <c r="H63" s="5">
        <f>F63-G63</f>
        <v>21.130081300813004</v>
      </c>
      <c r="J63" s="44"/>
    </row>
    <row r="64" spans="2:10" s="5" customFormat="1" x14ac:dyDescent="0.25">
      <c r="B64"/>
      <c r="C64" s="6"/>
      <c r="D64" s="7" t="s">
        <v>46</v>
      </c>
      <c r="E64" s="36" t="s">
        <v>47</v>
      </c>
      <c r="F64" s="12">
        <v>34.950000000000003</v>
      </c>
      <c r="G64" s="5">
        <f>F64-H64</f>
        <v>28.410000000000004</v>
      </c>
      <c r="H64" s="5">
        <v>6.54</v>
      </c>
      <c r="J64" s="44"/>
    </row>
    <row r="65" spans="2:13" s="5" customFormat="1" x14ac:dyDescent="0.25">
      <c r="B65"/>
      <c r="C65" s="6"/>
      <c r="D65" s="7" t="s">
        <v>189</v>
      </c>
      <c r="E65" s="8" t="s">
        <v>108</v>
      </c>
      <c r="F65" s="45">
        <v>96.13</v>
      </c>
      <c r="G65" s="5">
        <f>F65-H65</f>
        <v>87.14</v>
      </c>
      <c r="H65" s="5">
        <f>17.98/2</f>
        <v>8.99</v>
      </c>
      <c r="J65" s="44"/>
    </row>
    <row r="66" spans="2:13" s="5" customFormat="1" x14ac:dyDescent="0.25">
      <c r="B66"/>
      <c r="C66" s="6">
        <v>45714</v>
      </c>
      <c r="D66" s="7" t="s">
        <v>214</v>
      </c>
      <c r="E66" s="8" t="s">
        <v>215</v>
      </c>
      <c r="F66" s="45">
        <v>715</v>
      </c>
      <c r="G66" s="5">
        <v>715</v>
      </c>
      <c r="H66" s="5">
        <v>0</v>
      </c>
      <c r="J66" s="44"/>
    </row>
    <row r="67" spans="2:13" s="5" customFormat="1" x14ac:dyDescent="0.25">
      <c r="B67"/>
      <c r="C67" s="6">
        <v>45704</v>
      </c>
      <c r="D67" s="7" t="s">
        <v>218</v>
      </c>
      <c r="E67" s="8" t="s">
        <v>219</v>
      </c>
      <c r="F67" s="45">
        <v>49.99</v>
      </c>
      <c r="G67" s="5">
        <f>F67</f>
        <v>49.99</v>
      </c>
      <c r="H67" s="5">
        <v>0</v>
      </c>
      <c r="J67" s="44"/>
    </row>
    <row r="68" spans="2:13" s="5" customFormat="1" x14ac:dyDescent="0.25">
      <c r="B68"/>
      <c r="C68" s="6"/>
      <c r="D68" s="7" t="s">
        <v>229</v>
      </c>
      <c r="E68" s="8" t="s">
        <v>228</v>
      </c>
      <c r="F68" s="45">
        <v>52.94</v>
      </c>
      <c r="G68" s="5">
        <v>43.04</v>
      </c>
      <c r="H68" s="5">
        <v>9.9</v>
      </c>
      <c r="J68" s="44"/>
    </row>
    <row r="69" spans="2:13" s="5" customFormat="1" x14ac:dyDescent="0.25">
      <c r="B69"/>
      <c r="C69" s="6">
        <v>45705</v>
      </c>
      <c r="D69" s="7" t="s">
        <v>235</v>
      </c>
      <c r="E69" s="8" t="s">
        <v>219</v>
      </c>
      <c r="F69" s="45">
        <v>49.99</v>
      </c>
      <c r="G69" s="5">
        <v>40.64</v>
      </c>
      <c r="H69" s="5">
        <v>9.35</v>
      </c>
      <c r="J69" s="44"/>
    </row>
    <row r="70" spans="2:13" s="5" customFormat="1" x14ac:dyDescent="0.25">
      <c r="B70"/>
      <c r="C70" s="6"/>
      <c r="D70" s="7"/>
      <c r="E70" s="8"/>
      <c r="F70" s="17"/>
      <c r="J70" s="44"/>
    </row>
    <row r="71" spans="2:13" s="5" customFormat="1" x14ac:dyDescent="0.25">
      <c r="B71"/>
      <c r="C71" s="6"/>
      <c r="D71" s="7"/>
      <c r="E71" s="8"/>
      <c r="F71" s="17"/>
      <c r="J71" s="44"/>
    </row>
    <row r="72" spans="2:13" s="5" customFormat="1" x14ac:dyDescent="0.25">
      <c r="B72"/>
      <c r="C72" s="6"/>
      <c r="D72" s="7"/>
      <c r="E72" s="8"/>
      <c r="F72" s="17"/>
      <c r="J72" s="44"/>
    </row>
    <row r="73" spans="2:13" s="5" customFormat="1" x14ac:dyDescent="0.25">
      <c r="B73"/>
      <c r="C73" s="6"/>
      <c r="D73" s="7"/>
      <c r="E73" s="8"/>
      <c r="F73" s="17"/>
      <c r="J73" s="44"/>
    </row>
    <row r="74" spans="2:13" s="5" customFormat="1" x14ac:dyDescent="0.25">
      <c r="B74"/>
      <c r="C74" s="6"/>
      <c r="D74" s="7"/>
      <c r="E74" s="8"/>
      <c r="F74" s="17"/>
      <c r="J74" s="44"/>
    </row>
    <row r="75" spans="2:13" s="5" customFormat="1" x14ac:dyDescent="0.25">
      <c r="B75"/>
      <c r="C75" s="6"/>
      <c r="D75" s="7"/>
      <c r="E75" s="8"/>
      <c r="F75" s="17"/>
      <c r="J75" s="44"/>
    </row>
    <row r="76" spans="2:13" s="5" customFormat="1" x14ac:dyDescent="0.25">
      <c r="B76"/>
      <c r="C76" s="6"/>
      <c r="D76" s="7"/>
      <c r="E76" s="8"/>
      <c r="F76" s="17"/>
      <c r="J76" s="44"/>
    </row>
    <row r="77" spans="2:13" s="5" customFormat="1" x14ac:dyDescent="0.25">
      <c r="C77" s="6"/>
      <c r="D77" s="7"/>
      <c r="E77" s="36"/>
      <c r="F77" s="12"/>
    </row>
    <row r="78" spans="2:13" s="5" customFormat="1" x14ac:dyDescent="0.25">
      <c r="C78" s="1"/>
      <c r="D78" s="3"/>
      <c r="E78" s="1"/>
      <c r="F78" s="40">
        <f>SUM(F54:F77)</f>
        <v>3642.6599999999994</v>
      </c>
      <c r="G78" s="5">
        <f>SUM(G54:G77)</f>
        <v>2701.9009756097557</v>
      </c>
      <c r="H78" s="5">
        <f>SUM(H54:H77)</f>
        <v>121.72902439024394</v>
      </c>
    </row>
    <row r="79" spans="2:13" x14ac:dyDescent="0.25">
      <c r="L79" s="5"/>
      <c r="M79" s="5"/>
    </row>
    <row r="80" spans="2:13" s="5" customFormat="1" x14ac:dyDescent="0.25">
      <c r="C80" s="1"/>
      <c r="D80" s="34" t="s">
        <v>48</v>
      </c>
      <c r="E80" s="1"/>
      <c r="F80" s="4"/>
      <c r="G80" s="5" t="s">
        <v>2</v>
      </c>
      <c r="H80" s="5" t="s">
        <v>3</v>
      </c>
    </row>
    <row r="81" spans="2:13" s="5" customFormat="1" x14ac:dyDescent="0.25">
      <c r="B81"/>
      <c r="C81" s="6">
        <v>44227</v>
      </c>
      <c r="D81" s="33" t="s">
        <v>49</v>
      </c>
      <c r="E81" s="36" t="s">
        <v>80</v>
      </c>
      <c r="F81" s="12">
        <v>1120.25</v>
      </c>
      <c r="G81" s="5">
        <f t="shared" ref="G81:G85" si="0">F81</f>
        <v>1120.25</v>
      </c>
      <c r="H81" s="5">
        <v>0</v>
      </c>
    </row>
    <row r="82" spans="2:13" s="5" customFormat="1" x14ac:dyDescent="0.25">
      <c r="B82"/>
      <c r="C82" s="6">
        <v>44227</v>
      </c>
      <c r="D82" t="s">
        <v>51</v>
      </c>
      <c r="E82" s="36" t="s">
        <v>80</v>
      </c>
      <c r="F82" s="12">
        <v>940.5</v>
      </c>
      <c r="G82" s="5">
        <f t="shared" si="0"/>
        <v>940.5</v>
      </c>
      <c r="H82" s="5">
        <v>0</v>
      </c>
    </row>
    <row r="83" spans="2:13" s="5" customFormat="1" x14ac:dyDescent="0.25">
      <c r="B83"/>
      <c r="C83" s="6">
        <v>44227</v>
      </c>
      <c r="D83" t="s">
        <v>52</v>
      </c>
      <c r="E83" s="36" t="s">
        <v>80</v>
      </c>
      <c r="F83" s="12">
        <v>869.3</v>
      </c>
      <c r="G83" s="5">
        <f t="shared" si="0"/>
        <v>869.3</v>
      </c>
    </row>
    <row r="84" spans="2:13" s="5" customFormat="1" x14ac:dyDescent="0.25">
      <c r="B84"/>
      <c r="C84" s="6">
        <v>45688</v>
      </c>
      <c r="D84" t="s">
        <v>53</v>
      </c>
      <c r="E84" s="36" t="s">
        <v>81</v>
      </c>
      <c r="F84" s="12">
        <v>1092.8900000000001</v>
      </c>
      <c r="G84" s="5">
        <f t="shared" si="0"/>
        <v>1092.8900000000001</v>
      </c>
      <c r="H84" s="5">
        <v>0</v>
      </c>
    </row>
    <row r="85" spans="2:13" s="5" customFormat="1" x14ac:dyDescent="0.25">
      <c r="B85"/>
      <c r="C85" s="6">
        <v>45688</v>
      </c>
      <c r="D85" t="s">
        <v>55</v>
      </c>
      <c r="E85" s="36" t="s">
        <v>56</v>
      </c>
      <c r="F85" s="12">
        <v>65</v>
      </c>
      <c r="G85" s="5">
        <f t="shared" si="0"/>
        <v>65</v>
      </c>
      <c r="H85" s="5">
        <v>0</v>
      </c>
    </row>
    <row r="86" spans="2:13" s="5" customFormat="1" x14ac:dyDescent="0.25">
      <c r="B86"/>
      <c r="C86" s="6"/>
      <c r="D86"/>
      <c r="E86" s="36"/>
      <c r="F86" s="12"/>
    </row>
    <row r="87" spans="2:13" s="5" customFormat="1" x14ac:dyDescent="0.25">
      <c r="C87" s="46"/>
      <c r="D87" s="47"/>
      <c r="E87" s="47"/>
      <c r="F87" s="48"/>
    </row>
    <row r="88" spans="2:13" s="5" customFormat="1" x14ac:dyDescent="0.25">
      <c r="C88" s="47"/>
      <c r="D88" s="49"/>
      <c r="E88" s="47"/>
      <c r="F88" s="40">
        <f>SUM(F81:F87)</f>
        <v>4087.9400000000005</v>
      </c>
      <c r="G88" s="5">
        <f>SUM(G81:G87)</f>
        <v>4087.9400000000005</v>
      </c>
      <c r="H88" s="5">
        <f>SUM(H81:H87)</f>
        <v>0</v>
      </c>
      <c r="I88" s="50">
        <f>G88+Janeiro!I103</f>
        <v>8293.380000000001</v>
      </c>
    </row>
    <row r="89" spans="2:13" x14ac:dyDescent="0.25">
      <c r="L89" s="5"/>
      <c r="M89" s="5"/>
    </row>
    <row r="90" spans="2:13" x14ac:dyDescent="0.25">
      <c r="L90" s="5"/>
      <c r="M90" s="5"/>
    </row>
    <row r="91" spans="2:13" s="5" customFormat="1" x14ac:dyDescent="0.25">
      <c r="C91"/>
      <c r="D91" s="51" t="s">
        <v>19</v>
      </c>
      <c r="E91" s="52">
        <f>E49</f>
        <v>62970.713999999993</v>
      </c>
      <c r="G91" s="5">
        <f>F49</f>
        <v>47673.289999999994</v>
      </c>
    </row>
    <row r="92" spans="2:13" s="5" customFormat="1" x14ac:dyDescent="0.25">
      <c r="C92"/>
      <c r="D92" s="36" t="s">
        <v>57</v>
      </c>
      <c r="E92" s="12">
        <f>-F38</f>
        <v>-60637.72</v>
      </c>
      <c r="F92" s="38">
        <f>E92/E91</f>
        <v>-0.96295112677299499</v>
      </c>
      <c r="G92" s="5">
        <f>-G38</f>
        <v>-50096.914552845526</v>
      </c>
    </row>
    <row r="93" spans="2:13" s="5" customFormat="1" x14ac:dyDescent="0.25">
      <c r="C93"/>
      <c r="D93" s="36" t="s">
        <v>58</v>
      </c>
      <c r="E93" s="12">
        <f>-F78</f>
        <v>-3642.6599999999994</v>
      </c>
      <c r="F93" s="38">
        <f>(-2951.87/26138.85)</f>
        <v>-0.11293036992828683</v>
      </c>
      <c r="G93" s="5">
        <f>-G78</f>
        <v>-2701.9009756097557</v>
      </c>
    </row>
    <row r="94" spans="2:13" s="5" customFormat="1" x14ac:dyDescent="0.25">
      <c r="C94"/>
      <c r="D94" s="47" t="s">
        <v>59</v>
      </c>
      <c r="E94" s="48">
        <f>-F88</f>
        <v>-4087.9400000000005</v>
      </c>
      <c r="F94" s="38">
        <f>E94/E91</f>
        <v>-6.4918114157003229E-2</v>
      </c>
      <c r="G94" s="5">
        <f>-G88</f>
        <v>-4087.9400000000005</v>
      </c>
    </row>
    <row r="95" spans="2:13" s="5" customFormat="1" x14ac:dyDescent="0.25">
      <c r="C95"/>
      <c r="D95" s="53" t="s">
        <v>60</v>
      </c>
      <c r="E95" s="54">
        <f>E91+E92+E93+E94</f>
        <v>-5397.6060000000089</v>
      </c>
      <c r="F95" s="38">
        <f>E95/E49</f>
        <v>-8.5716131470257903E-2</v>
      </c>
      <c r="G95" s="55">
        <f>G91+G92+G93+G94</f>
        <v>-9213.46552845529</v>
      </c>
    </row>
    <row r="96" spans="2:13" x14ac:dyDescent="0.25">
      <c r="L96" s="5"/>
      <c r="M96" s="5"/>
    </row>
    <row r="97" spans="4:13" x14ac:dyDescent="0.25">
      <c r="F97" s="24"/>
      <c r="L97" s="5"/>
      <c r="M97" s="5"/>
    </row>
    <row r="98" spans="4:13" ht="18.75" x14ac:dyDescent="0.3">
      <c r="D98" s="56" t="s">
        <v>61</v>
      </c>
      <c r="E98" s="57">
        <f>E49+Janeiro!E113</f>
        <v>118456.864</v>
      </c>
      <c r="L98" s="5"/>
      <c r="M98" s="5"/>
    </row>
    <row r="99" spans="4:13" x14ac:dyDescent="0.25">
      <c r="L99" s="5"/>
      <c r="M99" s="5"/>
    </row>
    <row r="100" spans="4:13" x14ac:dyDescent="0.25">
      <c r="M100" s="5"/>
    </row>
    <row r="101" spans="4:13" x14ac:dyDescent="0.25">
      <c r="M101" s="5"/>
    </row>
    <row r="102" spans="4:13" x14ac:dyDescent="0.25">
      <c r="M102" s="5"/>
    </row>
    <row r="103" spans="4:13" x14ac:dyDescent="0.25">
      <c r="M103" s="5"/>
    </row>
    <row r="104" spans="4:13" x14ac:dyDescent="0.25">
      <c r="F104"/>
      <c r="G104"/>
      <c r="H104"/>
      <c r="I104"/>
      <c r="M104" s="5"/>
    </row>
    <row r="105" spans="4:13" x14ac:dyDescent="0.25">
      <c r="F105"/>
      <c r="G105"/>
      <c r="H105"/>
      <c r="I105"/>
      <c r="M105" s="5"/>
    </row>
  </sheetData>
  <pageMargins left="0.9055118110236221" right="0.70866141732283472" top="1.6535433070866143" bottom="1.2204724409448819" header="0.31496062992125984" footer="0.31496062992125984"/>
  <pageSetup paperSize="9" scale="65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105"/>
  <sheetViews>
    <sheetView topLeftCell="B22" zoomScale="84" zoomScaleNormal="84" workbookViewId="0">
      <selection activeCell="H50" sqref="H50"/>
    </sheetView>
  </sheetViews>
  <sheetFormatPr defaultRowHeight="15" x14ac:dyDescent="0.25"/>
  <cols>
    <col min="1" max="1" width="12" customWidth="1"/>
    <col min="2" max="2" width="10.5703125" customWidth="1"/>
    <col min="3" max="3" width="9.5703125" customWidth="1"/>
    <col min="4" max="4" width="29.28515625" bestFit="1" customWidth="1"/>
    <col min="5" max="5" width="32.7109375" bestFit="1" customWidth="1"/>
    <col min="6" max="6" width="13" style="5" bestFit="1" customWidth="1"/>
    <col min="7" max="7" width="21.28515625" style="5" bestFit="1" customWidth="1"/>
    <col min="8" max="8" width="13.42578125" style="5" customWidth="1"/>
    <col min="9" max="9" width="13.28515625" style="5" customWidth="1"/>
    <col min="10" max="10" width="19.7109375" bestFit="1" customWidth="1"/>
    <col min="11" max="11" width="16.42578125" bestFit="1" customWidth="1"/>
    <col min="12" max="12" width="12.7109375" bestFit="1" customWidth="1"/>
    <col min="13" max="13" width="16.85546875" bestFit="1" customWidth="1"/>
    <col min="14" max="14" width="11.7109375" bestFit="1" customWidth="1"/>
    <col min="15" max="15" width="12.7109375" bestFit="1" customWidth="1"/>
    <col min="16" max="16" width="11.140625" bestFit="1" customWidth="1"/>
    <col min="17" max="17" width="11.7109375" bestFit="1" customWidth="1"/>
  </cols>
  <sheetData>
    <row r="2" spans="2:11" x14ac:dyDescent="0.25">
      <c r="B2" s="1" t="s">
        <v>0</v>
      </c>
      <c r="C2" s="1" t="s">
        <v>1</v>
      </c>
      <c r="D2" s="2"/>
      <c r="E2" s="3"/>
      <c r="F2" s="4"/>
      <c r="G2" s="5" t="s">
        <v>2</v>
      </c>
      <c r="H2" s="5" t="s">
        <v>3</v>
      </c>
    </row>
    <row r="3" spans="2:11" x14ac:dyDescent="0.25">
      <c r="B3" s="6">
        <v>45721</v>
      </c>
      <c r="C3" s="6" t="s">
        <v>233</v>
      </c>
      <c r="D3" s="7" t="s">
        <v>175</v>
      </c>
      <c r="E3" s="8" t="s">
        <v>234</v>
      </c>
      <c r="F3" s="9">
        <v>650</v>
      </c>
      <c r="G3" s="5">
        <v>650</v>
      </c>
      <c r="H3" s="5">
        <v>0</v>
      </c>
    </row>
    <row r="4" spans="2:11" x14ac:dyDescent="0.25">
      <c r="B4" s="6">
        <v>45726</v>
      </c>
      <c r="C4" s="6" t="s">
        <v>239</v>
      </c>
      <c r="D4" s="7" t="s">
        <v>240</v>
      </c>
      <c r="E4" s="8" t="s">
        <v>241</v>
      </c>
      <c r="F4" s="9">
        <v>1599</v>
      </c>
      <c r="G4" s="5">
        <v>1300</v>
      </c>
      <c r="H4" s="5">
        <v>299</v>
      </c>
    </row>
    <row r="5" spans="2:11" x14ac:dyDescent="0.25">
      <c r="B5" s="6">
        <v>45728</v>
      </c>
      <c r="C5" s="6" t="s">
        <v>251</v>
      </c>
      <c r="D5" s="7" t="s">
        <v>182</v>
      </c>
      <c r="E5" s="8" t="s">
        <v>257</v>
      </c>
      <c r="F5" s="9">
        <v>1050</v>
      </c>
      <c r="G5" s="5">
        <v>1050</v>
      </c>
      <c r="H5" s="5">
        <v>0</v>
      </c>
    </row>
    <row r="6" spans="2:11" x14ac:dyDescent="0.25">
      <c r="B6" s="6"/>
      <c r="C6" s="6"/>
      <c r="D6" s="7" t="s">
        <v>103</v>
      </c>
      <c r="E6" s="8" t="s">
        <v>252</v>
      </c>
      <c r="F6" s="9">
        <v>86.3</v>
      </c>
      <c r="G6" s="5">
        <v>86.3</v>
      </c>
      <c r="H6" s="5">
        <v>0</v>
      </c>
      <c r="J6" t="s">
        <v>4</v>
      </c>
    </row>
    <row r="7" spans="2:11" s="5" customFormat="1" x14ac:dyDescent="0.25">
      <c r="B7" s="6"/>
      <c r="C7" s="6"/>
      <c r="D7" s="7" t="s">
        <v>253</v>
      </c>
      <c r="E7" s="10"/>
      <c r="F7" s="9">
        <v>36.1</v>
      </c>
      <c r="G7" s="11">
        <f>F7/1.23</f>
        <v>29.349593495934961</v>
      </c>
      <c r="H7" s="11">
        <f>F7-G7</f>
        <v>6.7504065040650403</v>
      </c>
    </row>
    <row r="8" spans="2:11" s="5" customFormat="1" x14ac:dyDescent="0.25">
      <c r="B8" s="6"/>
      <c r="C8" s="6"/>
      <c r="D8" s="7" t="s">
        <v>103</v>
      </c>
      <c r="E8" s="8" t="s">
        <v>254</v>
      </c>
      <c r="F8" s="12">
        <v>78.680000000000007</v>
      </c>
      <c r="G8" s="5">
        <f>F8</f>
        <v>78.680000000000007</v>
      </c>
      <c r="H8" s="5">
        <v>0</v>
      </c>
      <c r="J8" s="5" t="s">
        <v>5</v>
      </c>
      <c r="K8" s="5">
        <f>G53</f>
        <v>0</v>
      </c>
    </row>
    <row r="9" spans="2:11" s="5" customFormat="1" x14ac:dyDescent="0.25">
      <c r="B9" s="6">
        <v>45730</v>
      </c>
      <c r="C9" s="6" t="s">
        <v>255</v>
      </c>
      <c r="D9" s="7" t="s">
        <v>175</v>
      </c>
      <c r="E9" s="8"/>
      <c r="F9" s="9">
        <v>1100</v>
      </c>
      <c r="G9" s="5">
        <v>1100</v>
      </c>
      <c r="H9" s="5">
        <v>0</v>
      </c>
      <c r="J9" s="5" t="s">
        <v>6</v>
      </c>
      <c r="K9" s="5">
        <f>H39+H78+H88</f>
        <v>734.89414634146351</v>
      </c>
    </row>
    <row r="10" spans="2:11" s="5" customFormat="1" x14ac:dyDescent="0.25">
      <c r="B10" s="6">
        <v>45733</v>
      </c>
      <c r="C10" s="6"/>
      <c r="D10" s="7" t="s">
        <v>253</v>
      </c>
      <c r="E10" s="8"/>
      <c r="F10" s="9">
        <v>37.700000000000003</v>
      </c>
      <c r="G10" s="5">
        <f>F10/1.23</f>
        <v>30.650406504065042</v>
      </c>
      <c r="H10" s="5">
        <f>F10-G10</f>
        <v>7.0495934959349604</v>
      </c>
      <c r="J10" s="13" t="s">
        <v>7</v>
      </c>
      <c r="K10" s="14">
        <f>K8-K9</f>
        <v>-734.89414634146351</v>
      </c>
    </row>
    <row r="11" spans="2:11" s="5" customFormat="1" x14ac:dyDescent="0.25">
      <c r="B11" s="6">
        <v>45734</v>
      </c>
      <c r="C11" s="75" t="s">
        <v>259</v>
      </c>
      <c r="D11" s="7" t="s">
        <v>260</v>
      </c>
      <c r="E11" s="8" t="s">
        <v>261</v>
      </c>
      <c r="F11" s="9">
        <v>253.26</v>
      </c>
      <c r="G11" s="5">
        <v>205.9</v>
      </c>
      <c r="H11" s="5">
        <v>47.36</v>
      </c>
    </row>
    <row r="12" spans="2:11" s="5" customFormat="1" x14ac:dyDescent="0.25">
      <c r="B12" s="6">
        <v>45734</v>
      </c>
      <c r="C12" s="6" t="s">
        <v>262</v>
      </c>
      <c r="D12" s="7" t="s">
        <v>175</v>
      </c>
      <c r="E12" s="8" t="s">
        <v>263</v>
      </c>
      <c r="F12" s="9">
        <v>123</v>
      </c>
      <c r="G12" s="5">
        <v>123</v>
      </c>
      <c r="H12" s="5">
        <v>0</v>
      </c>
    </row>
    <row r="13" spans="2:11" s="5" customFormat="1" x14ac:dyDescent="0.25">
      <c r="B13" s="6"/>
      <c r="C13" s="6"/>
      <c r="D13" s="7" t="s">
        <v>267</v>
      </c>
      <c r="E13" s="8" t="s">
        <v>268</v>
      </c>
      <c r="F13" s="9">
        <v>118.43</v>
      </c>
      <c r="G13" s="5">
        <f>F13</f>
        <v>118.43</v>
      </c>
      <c r="J13" s="5" t="s">
        <v>8</v>
      </c>
      <c r="K13" s="5">
        <f>F53</f>
        <v>41899.873333333337</v>
      </c>
    </row>
    <row r="14" spans="2:11" s="5" customFormat="1" x14ac:dyDescent="0.25">
      <c r="B14" s="6"/>
      <c r="C14" s="6"/>
      <c r="D14" s="7" t="s">
        <v>269</v>
      </c>
      <c r="E14" s="8"/>
      <c r="F14" s="9">
        <v>43.7</v>
      </c>
      <c r="G14" s="5">
        <f>F14/1.23</f>
        <v>35.528455284552848</v>
      </c>
      <c r="H14" s="5">
        <f>F14/G14</f>
        <v>1.23</v>
      </c>
      <c r="J14" s="5" t="s">
        <v>9</v>
      </c>
      <c r="K14" s="5">
        <f>G39+G78+G88</f>
        <v>14726.164308943091</v>
      </c>
    </row>
    <row r="15" spans="2:11" s="5" customFormat="1" x14ac:dyDescent="0.25">
      <c r="B15" s="6">
        <v>45742</v>
      </c>
      <c r="C15" s="6" t="s">
        <v>270</v>
      </c>
      <c r="D15" s="7" t="s">
        <v>271</v>
      </c>
      <c r="E15" s="8" t="s">
        <v>112</v>
      </c>
      <c r="F15" s="9">
        <v>184.5</v>
      </c>
      <c r="G15" s="5">
        <v>150</v>
      </c>
      <c r="H15" s="5">
        <f>F15-G15</f>
        <v>34.5</v>
      </c>
      <c r="K15" s="5">
        <f>K13-K14</f>
        <v>27173.709024390246</v>
      </c>
    </row>
    <row r="16" spans="2:11" s="5" customFormat="1" x14ac:dyDescent="0.25">
      <c r="B16" s="6"/>
      <c r="C16" s="6"/>
      <c r="D16" s="7" t="s">
        <v>274</v>
      </c>
      <c r="E16" s="8" t="s">
        <v>126</v>
      </c>
      <c r="F16" s="9">
        <f>30+17.5+45.4+63.5+12.65</f>
        <v>169.05</v>
      </c>
      <c r="G16" s="5">
        <f>F16</f>
        <v>169.05</v>
      </c>
      <c r="H16" s="5">
        <v>0</v>
      </c>
      <c r="J16" s="13" t="s">
        <v>10</v>
      </c>
      <c r="K16" s="14">
        <f>K15*0.17</f>
        <v>4619.5305341463418</v>
      </c>
    </row>
    <row r="17" spans="1:14" s="5" customFormat="1" x14ac:dyDescent="0.25">
      <c r="B17" s="6">
        <v>45733</v>
      </c>
      <c r="C17" s="6" t="s">
        <v>280</v>
      </c>
      <c r="D17" s="7" t="s">
        <v>141</v>
      </c>
      <c r="E17" s="8" t="s">
        <v>142</v>
      </c>
      <c r="F17" s="9">
        <v>231.12</v>
      </c>
      <c r="G17" s="5">
        <f>F17/1.23</f>
        <v>187.90243902439025</v>
      </c>
      <c r="H17" s="5">
        <f>F17-G17</f>
        <v>43.217560975609757</v>
      </c>
    </row>
    <row r="18" spans="1:14" s="5" customFormat="1" x14ac:dyDescent="0.25">
      <c r="B18" s="6"/>
      <c r="C18" s="15"/>
      <c r="D18" s="7" t="s">
        <v>288</v>
      </c>
      <c r="E18" s="8" t="s">
        <v>289</v>
      </c>
      <c r="F18" s="9">
        <v>105.78</v>
      </c>
      <c r="G18" s="5">
        <f>F18</f>
        <v>105.78</v>
      </c>
      <c r="H18" s="5">
        <v>0</v>
      </c>
    </row>
    <row r="19" spans="1:14" s="5" customFormat="1" x14ac:dyDescent="0.25">
      <c r="A19" s="16"/>
      <c r="B19" s="6">
        <v>45747</v>
      </c>
      <c r="C19" s="6"/>
      <c r="D19" s="7" t="s">
        <v>159</v>
      </c>
      <c r="E19" s="8" t="s">
        <v>142</v>
      </c>
      <c r="F19" s="17">
        <v>42.07</v>
      </c>
      <c r="G19" s="5">
        <f>F19/1.23</f>
        <v>34.203252032520325</v>
      </c>
      <c r="H19" s="5">
        <f>F19-G19</f>
        <v>7.8667479674796752</v>
      </c>
    </row>
    <row r="20" spans="1:14" s="5" customFormat="1" x14ac:dyDescent="0.25">
      <c r="B20" s="6">
        <v>45747</v>
      </c>
      <c r="C20" s="6"/>
      <c r="D20" s="7" t="s">
        <v>293</v>
      </c>
      <c r="E20" s="8"/>
      <c r="F20" s="17">
        <v>1200</v>
      </c>
      <c r="G20" s="5">
        <v>1200</v>
      </c>
      <c r="H20" s="5">
        <v>0</v>
      </c>
    </row>
    <row r="21" spans="1:14" s="5" customFormat="1" x14ac:dyDescent="0.25">
      <c r="B21" s="6">
        <v>45740</v>
      </c>
      <c r="C21" s="6"/>
      <c r="D21" s="7" t="s">
        <v>159</v>
      </c>
      <c r="E21" s="8" t="s">
        <v>142</v>
      </c>
      <c r="F21" s="9">
        <v>11.96</v>
      </c>
      <c r="G21" s="5">
        <f>F21/1.23</f>
        <v>9.7235772357723587</v>
      </c>
      <c r="H21" s="5">
        <f>F21-G21</f>
        <v>2.2364227642276422</v>
      </c>
      <c r="J21" s="14" t="s">
        <v>11</v>
      </c>
    </row>
    <row r="22" spans="1:14" s="5" customFormat="1" x14ac:dyDescent="0.25">
      <c r="B22" s="6"/>
      <c r="C22" s="6"/>
      <c r="D22" s="7"/>
      <c r="E22" s="8"/>
      <c r="F22" s="17"/>
      <c r="I22" s="18" t="s">
        <v>10</v>
      </c>
      <c r="J22" s="5" t="s">
        <v>12</v>
      </c>
      <c r="K22" s="14">
        <f>K13+Fevereiro!K22</f>
        <v>100448.16333333333</v>
      </c>
      <c r="M22" s="19"/>
    </row>
    <row r="23" spans="1:14" s="5" customFormat="1" x14ac:dyDescent="0.25">
      <c r="B23" s="6"/>
      <c r="C23" s="6"/>
      <c r="D23" s="7"/>
      <c r="E23" s="8"/>
      <c r="F23" s="9"/>
      <c r="I23" s="13"/>
      <c r="J23" s="5" t="s">
        <v>13</v>
      </c>
      <c r="K23" s="5">
        <f>K14+Fevereiro!K23</f>
        <v>103032.51325203253</v>
      </c>
    </row>
    <row r="24" spans="1:14" s="5" customFormat="1" x14ac:dyDescent="0.25">
      <c r="B24" s="6"/>
      <c r="C24" s="6"/>
      <c r="D24" s="7"/>
      <c r="E24" s="8"/>
      <c r="F24" s="20"/>
      <c r="I24" s="13"/>
      <c r="J24" s="13" t="s">
        <v>14</v>
      </c>
      <c r="K24" s="5">
        <f>1714.45*3</f>
        <v>5143.3500000000004</v>
      </c>
    </row>
    <row r="25" spans="1:14" s="5" customFormat="1" x14ac:dyDescent="0.25">
      <c r="B25" s="6"/>
      <c r="C25" s="6"/>
      <c r="D25" s="7"/>
      <c r="E25" s="8"/>
      <c r="F25" s="9"/>
      <c r="I25" s="13"/>
      <c r="K25" s="21">
        <f>K22-K23-K24</f>
        <v>-7727.699918699198</v>
      </c>
      <c r="L25" s="11"/>
    </row>
    <row r="26" spans="1:14" s="5" customFormat="1" x14ac:dyDescent="0.25">
      <c r="B26" s="6"/>
      <c r="C26" s="6"/>
      <c r="D26" s="7"/>
      <c r="E26" s="8"/>
      <c r="F26" s="12"/>
      <c r="I26" s="13"/>
      <c r="J26" s="22">
        <v>0.17</v>
      </c>
      <c r="K26" s="23">
        <f>K25*0.17</f>
        <v>-1313.7089861788638</v>
      </c>
    </row>
    <row r="27" spans="1:14" s="5" customFormat="1" x14ac:dyDescent="0.25">
      <c r="B27" s="6"/>
      <c r="C27" s="6"/>
      <c r="D27" s="7"/>
      <c r="E27" s="8"/>
      <c r="F27" s="9"/>
      <c r="I27" s="18" t="s">
        <v>15</v>
      </c>
      <c r="J27" s="5" t="s">
        <v>12</v>
      </c>
      <c r="K27" s="5">
        <f>K8+Fevereiro!K27</f>
        <v>0</v>
      </c>
    </row>
    <row r="28" spans="1:14" s="5" customFormat="1" x14ac:dyDescent="0.25">
      <c r="B28" s="6"/>
      <c r="C28" s="6"/>
      <c r="D28" s="7"/>
      <c r="E28" s="8"/>
      <c r="F28" s="9"/>
      <c r="I28" s="13"/>
      <c r="J28" s="5" t="s">
        <v>16</v>
      </c>
      <c r="K28" s="5">
        <f>K9+Fevereiro!K28</f>
        <v>17012.125203252031</v>
      </c>
    </row>
    <row r="29" spans="1:14" s="5" customFormat="1" x14ac:dyDescent="0.25">
      <c r="B29" s="6"/>
      <c r="C29" s="6"/>
      <c r="D29" s="7"/>
      <c r="E29" s="10"/>
      <c r="F29" s="9"/>
      <c r="G29" s="11"/>
      <c r="H29" s="11"/>
      <c r="J29" s="18" t="s">
        <v>3</v>
      </c>
      <c r="K29" s="23">
        <f>K27-K28</f>
        <v>-17012.125203252031</v>
      </c>
      <c r="M29" s="5" t="s">
        <v>447</v>
      </c>
    </row>
    <row r="30" spans="1:14" s="5" customFormat="1" x14ac:dyDescent="0.25">
      <c r="B30" s="6"/>
      <c r="C30" s="6"/>
      <c r="D30" s="7"/>
      <c r="E30" s="8"/>
      <c r="F30" s="9"/>
      <c r="J30" s="16"/>
      <c r="K30" s="24"/>
      <c r="L30" s="25">
        <f>K30+K29</f>
        <v>-17012.125203252031</v>
      </c>
      <c r="M30" s="5">
        <v>14954.52</v>
      </c>
    </row>
    <row r="31" spans="1:14" s="5" customFormat="1" x14ac:dyDescent="0.25">
      <c r="B31" s="6"/>
      <c r="C31" s="6"/>
      <c r="D31" s="7"/>
      <c r="E31" s="10"/>
      <c r="F31" s="9"/>
      <c r="G31" s="11"/>
      <c r="H31" s="11"/>
      <c r="J31" s="18"/>
      <c r="K31" s="24" t="s">
        <v>62</v>
      </c>
      <c r="L31" s="5">
        <v>14954.22</v>
      </c>
    </row>
    <row r="32" spans="1:14" s="5" customFormat="1" x14ac:dyDescent="0.25">
      <c r="B32" s="6"/>
      <c r="C32" s="6"/>
      <c r="D32" s="7"/>
      <c r="E32" s="8"/>
      <c r="F32" s="9"/>
      <c r="J32" s="18"/>
      <c r="K32" s="23"/>
      <c r="L32" s="26">
        <f>SUM(L30:L31)</f>
        <v>-2057.9052032520322</v>
      </c>
      <c r="N32" s="14"/>
    </row>
    <row r="33" spans="1:17" s="5" customFormat="1" x14ac:dyDescent="0.25">
      <c r="B33" s="6"/>
      <c r="C33" s="6"/>
      <c r="D33" s="7"/>
      <c r="E33" s="8"/>
      <c r="F33" s="9"/>
      <c r="J33" s="18"/>
      <c r="K33" s="14" t="s">
        <v>17</v>
      </c>
      <c r="L33" s="27">
        <f>Fevereiro!L33+1000.97+2060+91.67+433.33+(454.58+1583.33)</f>
        <v>9653.08</v>
      </c>
    </row>
    <row r="34" spans="1:17" s="5" customFormat="1" x14ac:dyDescent="0.25">
      <c r="B34" s="6"/>
      <c r="C34" s="6"/>
      <c r="D34" s="7"/>
      <c r="E34" s="8"/>
      <c r="F34" s="9"/>
      <c r="J34" s="18"/>
      <c r="K34" s="14"/>
      <c r="L34" s="14"/>
    </row>
    <row r="35" spans="1:17" s="5" customFormat="1" x14ac:dyDescent="0.25">
      <c r="B35" s="6"/>
      <c r="C35" s="6"/>
      <c r="D35" s="7"/>
      <c r="E35" s="8"/>
      <c r="F35" s="9"/>
      <c r="J35" s="18"/>
      <c r="K35" s="14"/>
      <c r="L35" s="14"/>
    </row>
    <row r="36" spans="1:17" s="5" customFormat="1" x14ac:dyDescent="0.25">
      <c r="B36" s="6"/>
      <c r="C36" s="6"/>
      <c r="D36" s="7"/>
      <c r="E36" s="8"/>
      <c r="F36" s="9"/>
      <c r="J36" s="18"/>
      <c r="K36" s="14"/>
      <c r="L36" s="14"/>
    </row>
    <row r="37" spans="1:17" s="5" customFormat="1" x14ac:dyDescent="0.25">
      <c r="B37" s="6"/>
      <c r="C37" s="6"/>
      <c r="D37" s="7"/>
      <c r="E37" s="28"/>
      <c r="F37" s="17"/>
      <c r="G37" s="23"/>
      <c r="L37" s="14"/>
    </row>
    <row r="38" spans="1:17" s="5" customFormat="1" x14ac:dyDescent="0.25">
      <c r="B38" s="6"/>
      <c r="C38" s="6"/>
      <c r="D38" s="7"/>
      <c r="E38" s="8"/>
      <c r="F38" s="17"/>
    </row>
    <row r="39" spans="1:17" x14ac:dyDescent="0.25">
      <c r="B39" s="29"/>
      <c r="C39" s="29"/>
      <c r="D39" s="30"/>
      <c r="E39" s="31"/>
      <c r="F39" s="32">
        <f>SUM(F3:F38)</f>
        <v>7120.65</v>
      </c>
      <c r="G39" s="5">
        <f>SUM(G3:G38)</f>
        <v>6664.4977235772367</v>
      </c>
      <c r="H39" s="14">
        <f>SUM(H3:H38)</f>
        <v>449.21073170731711</v>
      </c>
      <c r="J39" s="5"/>
      <c r="M39" s="5"/>
      <c r="Q39" s="5"/>
    </row>
    <row r="40" spans="1:17" x14ac:dyDescent="0.25">
      <c r="C40" s="33"/>
      <c r="M40" s="5"/>
      <c r="Q40" s="5"/>
    </row>
    <row r="41" spans="1:17" x14ac:dyDescent="0.25">
      <c r="C41" s="33"/>
      <c r="M41" s="5"/>
      <c r="N41" s="5"/>
      <c r="O41" s="5"/>
      <c r="Q41" s="5"/>
    </row>
    <row r="42" spans="1:17" x14ac:dyDescent="0.25">
      <c r="C42" s="33"/>
      <c r="M42" s="5"/>
      <c r="N42" s="5"/>
      <c r="O42" s="5"/>
      <c r="Q42" s="5"/>
    </row>
    <row r="43" spans="1:17" x14ac:dyDescent="0.25">
      <c r="B43" t="s">
        <v>18</v>
      </c>
      <c r="C43" s="29"/>
      <c r="D43" s="34" t="s">
        <v>19</v>
      </c>
      <c r="E43" s="31"/>
      <c r="F43" s="5" t="s">
        <v>20</v>
      </c>
      <c r="G43" s="5" t="s">
        <v>3</v>
      </c>
      <c r="H43" s="5" t="s">
        <v>21</v>
      </c>
      <c r="M43" s="5"/>
      <c r="O43" s="5"/>
      <c r="Q43" s="5"/>
    </row>
    <row r="44" spans="1:17" s="5" customFormat="1" x14ac:dyDescent="0.25">
      <c r="B44"/>
      <c r="C44" s="35" t="s">
        <v>247</v>
      </c>
      <c r="D44" s="36" t="s">
        <v>227</v>
      </c>
      <c r="E44" s="12"/>
      <c r="F44" s="37">
        <v>5004.87</v>
      </c>
      <c r="G44" s="37" t="s">
        <v>248</v>
      </c>
      <c r="H44" s="11"/>
      <c r="L44" s="5">
        <f>K43+L43</f>
        <v>0</v>
      </c>
    </row>
    <row r="45" spans="1:17" s="5" customFormat="1" x14ac:dyDescent="0.25">
      <c r="A45" t="s">
        <v>22</v>
      </c>
      <c r="B45" s="5" t="s">
        <v>163</v>
      </c>
      <c r="C45" s="35" t="s">
        <v>275</v>
      </c>
      <c r="D45" s="36" t="s">
        <v>76</v>
      </c>
      <c r="E45" s="12">
        <f>18690+(10300*1.2)</f>
        <v>31050</v>
      </c>
      <c r="F45" s="37">
        <f>18690+10300</f>
        <v>28990</v>
      </c>
      <c r="G45" s="37" t="s">
        <v>296</v>
      </c>
      <c r="H45" s="71">
        <f>E45-15000-10000-3690-2360</f>
        <v>0</v>
      </c>
      <c r="I45" s="38"/>
    </row>
    <row r="46" spans="1:17" s="5" customFormat="1" x14ac:dyDescent="0.25">
      <c r="B46"/>
      <c r="C46" s="35" t="s">
        <v>297</v>
      </c>
      <c r="D46" s="36" t="s">
        <v>70</v>
      </c>
      <c r="E46" s="12">
        <f>18650-13370</f>
        <v>5280</v>
      </c>
      <c r="F46" s="37">
        <f>E46</f>
        <v>5280</v>
      </c>
      <c r="G46" s="37">
        <v>0</v>
      </c>
      <c r="H46" s="71">
        <f>E46-5280</f>
        <v>0</v>
      </c>
      <c r="I46" s="5">
        <v>18650</v>
      </c>
    </row>
    <row r="47" spans="1:17" s="5" customFormat="1" x14ac:dyDescent="0.25">
      <c r="B47"/>
      <c r="C47" s="35"/>
      <c r="D47" s="36" t="s">
        <v>188</v>
      </c>
      <c r="E47" s="12"/>
      <c r="F47" s="37"/>
      <c r="G47" s="69" t="s">
        <v>192</v>
      </c>
      <c r="H47" s="11"/>
    </row>
    <row r="48" spans="1:17" s="62" customFormat="1" x14ac:dyDescent="0.25">
      <c r="B48" s="63" t="s">
        <v>279</v>
      </c>
      <c r="C48" s="64"/>
      <c r="D48" s="65" t="s">
        <v>191</v>
      </c>
      <c r="E48" s="66"/>
      <c r="F48" s="67"/>
      <c r="G48" s="70" t="s">
        <v>193</v>
      </c>
      <c r="H48" s="68"/>
    </row>
    <row r="49" spans="2:11" s="5" customFormat="1" x14ac:dyDescent="0.25">
      <c r="B49"/>
      <c r="C49" s="35" t="s">
        <v>246</v>
      </c>
      <c r="D49" s="36" t="s">
        <v>79</v>
      </c>
      <c r="E49" s="12">
        <v>2300</v>
      </c>
      <c r="F49" s="37">
        <f>550/1.2</f>
        <v>458.33333333333337</v>
      </c>
      <c r="G49" s="37" t="s">
        <v>244</v>
      </c>
      <c r="H49" s="71">
        <f>E49-750-700-300-550</f>
        <v>0</v>
      </c>
      <c r="J49" s="5" t="s">
        <v>243</v>
      </c>
    </row>
    <row r="50" spans="2:11" s="62" customFormat="1" x14ac:dyDescent="0.25">
      <c r="B50" s="63"/>
      <c r="C50" s="64" t="s">
        <v>245</v>
      </c>
      <c r="D50" s="65" t="s">
        <v>100</v>
      </c>
      <c r="E50" s="66">
        <v>2500</v>
      </c>
      <c r="F50" s="67">
        <v>2166.67</v>
      </c>
      <c r="G50" s="67" t="s">
        <v>242</v>
      </c>
      <c r="H50" s="72">
        <f>E50-1800-700</f>
        <v>0</v>
      </c>
    </row>
    <row r="51" spans="2:11" s="62" customFormat="1" x14ac:dyDescent="0.25">
      <c r="B51" s="63" t="s">
        <v>281</v>
      </c>
      <c r="C51" s="64"/>
      <c r="D51" s="65" t="s">
        <v>282</v>
      </c>
      <c r="E51" s="66"/>
      <c r="F51" s="67"/>
      <c r="G51" s="37"/>
      <c r="H51" s="72"/>
      <c r="I51" s="80" t="s">
        <v>343</v>
      </c>
      <c r="J51" s="80"/>
      <c r="K51" s="80"/>
    </row>
    <row r="52" spans="2:11" s="62" customFormat="1" x14ac:dyDescent="0.25">
      <c r="B52" s="63"/>
      <c r="C52" s="64"/>
      <c r="D52" s="65" t="s">
        <v>265</v>
      </c>
      <c r="E52" s="66">
        <v>300</v>
      </c>
      <c r="F52" s="67">
        <v>0</v>
      </c>
      <c r="G52" s="67">
        <v>0</v>
      </c>
      <c r="H52" s="72">
        <f>E52-300</f>
        <v>0</v>
      </c>
    </row>
    <row r="53" spans="2:11" s="5" customFormat="1" x14ac:dyDescent="0.25">
      <c r="C53" s="39"/>
      <c r="D53" s="1"/>
      <c r="E53" s="40">
        <f>SUM(E44:E52)</f>
        <v>41430</v>
      </c>
      <c r="F53" s="14">
        <f>SUM(F44:F52)</f>
        <v>41899.873333333337</v>
      </c>
      <c r="G53" s="14">
        <f>SUM(G44:G52)</f>
        <v>0</v>
      </c>
      <c r="H53" s="14">
        <f>SUM(H42:H52)</f>
        <v>0</v>
      </c>
    </row>
    <row r="54" spans="2:11" s="5" customFormat="1" x14ac:dyDescent="0.25">
      <c r="C54" s="33"/>
      <c r="D54" s="36"/>
      <c r="G54" s="37"/>
    </row>
    <row r="55" spans="2:11" s="5" customFormat="1" x14ac:dyDescent="0.25">
      <c r="C55" s="33"/>
      <c r="D55" s="36"/>
      <c r="G55" s="14"/>
    </row>
    <row r="56" spans="2:11" s="5" customFormat="1" x14ac:dyDescent="0.25">
      <c r="C56" s="33"/>
      <c r="D56" s="36"/>
    </row>
    <row r="57" spans="2:11" s="5" customFormat="1" x14ac:dyDescent="0.25">
      <c r="B57" s="1" t="s">
        <v>1</v>
      </c>
      <c r="C57" s="1"/>
      <c r="D57" s="34" t="s">
        <v>26</v>
      </c>
      <c r="E57" s="1"/>
      <c r="F57" s="4"/>
      <c r="G57" s="5" t="s">
        <v>2</v>
      </c>
      <c r="H57" s="5" t="s">
        <v>3</v>
      </c>
    </row>
    <row r="58" spans="2:11" s="5" customFormat="1" x14ac:dyDescent="0.25">
      <c r="B58"/>
      <c r="C58" s="6"/>
      <c r="D58" t="s">
        <v>27</v>
      </c>
      <c r="E58" s="36" t="s">
        <v>28</v>
      </c>
      <c r="F58" s="12">
        <v>264.41000000000003</v>
      </c>
      <c r="G58" s="5">
        <v>214.97</v>
      </c>
      <c r="H58" s="5">
        <f>F58-G58</f>
        <v>49.440000000000026</v>
      </c>
    </row>
    <row r="59" spans="2:11" s="5" customFormat="1" x14ac:dyDescent="0.25">
      <c r="B59"/>
      <c r="C59" s="6"/>
      <c r="D59" t="s">
        <v>29</v>
      </c>
      <c r="E59" s="36" t="s">
        <v>30</v>
      </c>
      <c r="F59" s="12">
        <v>222</v>
      </c>
      <c r="G59" s="5">
        <f>F59</f>
        <v>222</v>
      </c>
      <c r="H59" s="5">
        <v>0</v>
      </c>
    </row>
    <row r="60" spans="2:11" s="5" customFormat="1" x14ac:dyDescent="0.25">
      <c r="B60"/>
      <c r="C60" s="6"/>
      <c r="D60" t="s">
        <v>31</v>
      </c>
      <c r="E60" s="36" t="s">
        <v>32</v>
      </c>
      <c r="F60" s="12">
        <v>956.04</v>
      </c>
      <c r="G60" s="41">
        <f>138.79+2.6+5.65</f>
        <v>147.04</v>
      </c>
      <c r="H60" s="5">
        <v>0</v>
      </c>
      <c r="I60" s="37"/>
    </row>
    <row r="61" spans="2:11" s="5" customFormat="1" x14ac:dyDescent="0.25">
      <c r="B61" s="42"/>
      <c r="C61" s="6"/>
      <c r="D61" t="s">
        <v>33</v>
      </c>
      <c r="E61" s="36" t="s">
        <v>34</v>
      </c>
      <c r="F61" s="12">
        <f>G61+H61</f>
        <v>900</v>
      </c>
      <c r="G61" s="5">
        <v>900</v>
      </c>
      <c r="H61" s="5">
        <v>0</v>
      </c>
    </row>
    <row r="62" spans="2:11" s="5" customFormat="1" x14ac:dyDescent="0.25">
      <c r="B62"/>
      <c r="C62" s="6"/>
      <c r="D62" s="33" t="s">
        <v>35</v>
      </c>
      <c r="E62" s="36" t="s">
        <v>36</v>
      </c>
      <c r="F62" s="12">
        <f>15.8+0.63</f>
        <v>16.43</v>
      </c>
      <c r="G62" s="5">
        <f>F62</f>
        <v>16.43</v>
      </c>
      <c r="H62" s="5">
        <v>0</v>
      </c>
    </row>
    <row r="63" spans="2:11" s="5" customFormat="1" x14ac:dyDescent="0.25">
      <c r="B63"/>
      <c r="C63" s="6"/>
      <c r="D63" s="33" t="s">
        <v>35</v>
      </c>
      <c r="E63" s="36" t="s">
        <v>37</v>
      </c>
      <c r="F63" s="12">
        <v>30.56</v>
      </c>
      <c r="G63" s="5">
        <f>F63</f>
        <v>30.56</v>
      </c>
      <c r="H63" s="5">
        <v>0</v>
      </c>
    </row>
    <row r="64" spans="2:11" s="5" customFormat="1" x14ac:dyDescent="0.25">
      <c r="B64"/>
      <c r="C64" s="43"/>
      <c r="D64" t="s">
        <v>38</v>
      </c>
      <c r="E64" s="36" t="s">
        <v>39</v>
      </c>
      <c r="F64" s="12">
        <v>126.15</v>
      </c>
      <c r="G64" s="5">
        <f>F64/1.23</f>
        <v>102.5609756097561</v>
      </c>
      <c r="H64" s="5">
        <f>F64-G64</f>
        <v>23.589024390243907</v>
      </c>
      <c r="J64" s="44"/>
    </row>
    <row r="65" spans="2:13" s="5" customFormat="1" x14ac:dyDescent="0.25">
      <c r="B65"/>
      <c r="C65" s="6"/>
      <c r="D65" t="s">
        <v>40</v>
      </c>
      <c r="E65" s="36" t="s">
        <v>41</v>
      </c>
      <c r="F65" s="12">
        <v>8.61</v>
      </c>
      <c r="G65" s="5">
        <f>F65/1.23</f>
        <v>7</v>
      </c>
      <c r="H65" s="5">
        <f>F65-G65</f>
        <v>1.6099999999999994</v>
      </c>
    </row>
    <row r="66" spans="2:13" s="5" customFormat="1" x14ac:dyDescent="0.25">
      <c r="B66"/>
      <c r="C66" s="6"/>
      <c r="D66" t="s">
        <v>42</v>
      </c>
      <c r="E66" s="36" t="s">
        <v>43</v>
      </c>
      <c r="F66" s="12">
        <v>9.99</v>
      </c>
      <c r="G66" s="5">
        <v>8.1199999999999992</v>
      </c>
      <c r="H66" s="5">
        <v>1.87</v>
      </c>
      <c r="J66" s="44"/>
    </row>
    <row r="67" spans="2:13" s="5" customFormat="1" x14ac:dyDescent="0.25">
      <c r="B67"/>
      <c r="C67" s="6"/>
      <c r="D67" s="7" t="s">
        <v>44</v>
      </c>
      <c r="E67" s="36" t="s">
        <v>45</v>
      </c>
      <c r="F67" s="12">
        <v>113</v>
      </c>
      <c r="G67" s="5">
        <f>F67/1.23</f>
        <v>91.869918699186996</v>
      </c>
      <c r="H67" s="5">
        <f>F67-G67</f>
        <v>21.130081300813004</v>
      </c>
      <c r="J67" s="44"/>
    </row>
    <row r="68" spans="2:13" s="5" customFormat="1" x14ac:dyDescent="0.25">
      <c r="B68"/>
      <c r="C68" s="6"/>
      <c r="D68" s="7" t="s">
        <v>46</v>
      </c>
      <c r="E68" s="36" t="s">
        <v>47</v>
      </c>
      <c r="F68" s="12">
        <v>24.05</v>
      </c>
      <c r="G68" s="5">
        <f>F68/1.23</f>
        <v>19.552845528455286</v>
      </c>
      <c r="H68" s="5">
        <f>F68-G68</f>
        <v>4.4971544715447145</v>
      </c>
      <c r="J68" s="44"/>
    </row>
    <row r="69" spans="2:13" s="5" customFormat="1" x14ac:dyDescent="0.25">
      <c r="B69"/>
      <c r="C69" s="6"/>
      <c r="D69" s="76" t="s">
        <v>220</v>
      </c>
      <c r="E69" s="8" t="s">
        <v>221</v>
      </c>
      <c r="F69" s="45">
        <f>981.69-122.45</f>
        <v>859.24</v>
      </c>
      <c r="G69" s="5">
        <f>F69</f>
        <v>859.24</v>
      </c>
      <c r="H69" s="5">
        <v>0</v>
      </c>
      <c r="J69" s="44"/>
    </row>
    <row r="70" spans="2:13" s="5" customFormat="1" x14ac:dyDescent="0.25">
      <c r="B70"/>
      <c r="C70" s="6"/>
      <c r="D70" s="76" t="s">
        <v>220</v>
      </c>
      <c r="E70" s="8" t="s">
        <v>222</v>
      </c>
      <c r="F70" s="45">
        <f>311.09-30.97</f>
        <v>280.12</v>
      </c>
      <c r="G70" s="5">
        <f>F70</f>
        <v>280.12</v>
      </c>
      <c r="H70" s="5">
        <v>0</v>
      </c>
      <c r="J70" s="44"/>
    </row>
    <row r="71" spans="2:13" s="5" customFormat="1" x14ac:dyDescent="0.25">
      <c r="B71"/>
      <c r="C71" s="6"/>
      <c r="D71" s="7" t="s">
        <v>249</v>
      </c>
      <c r="E71" s="8" t="s">
        <v>250</v>
      </c>
      <c r="F71" s="17">
        <v>31.99</v>
      </c>
      <c r="G71" s="5">
        <f>F71-H71</f>
        <v>24.479999999999997</v>
      </c>
      <c r="H71" s="5">
        <v>7.51</v>
      </c>
      <c r="J71" s="44"/>
    </row>
    <row r="72" spans="2:13" s="5" customFormat="1" x14ac:dyDescent="0.25">
      <c r="B72"/>
      <c r="C72" s="6"/>
      <c r="D72" s="7" t="s">
        <v>109</v>
      </c>
      <c r="E72" s="8" t="s">
        <v>108</v>
      </c>
      <c r="F72" s="17">
        <v>90</v>
      </c>
      <c r="G72" s="5">
        <f>F72-H72</f>
        <v>81.585000000000008</v>
      </c>
      <c r="H72" s="5">
        <f>16.83/2</f>
        <v>8.4149999999999991</v>
      </c>
      <c r="J72" s="44"/>
    </row>
    <row r="73" spans="2:13" s="5" customFormat="1" x14ac:dyDescent="0.25">
      <c r="B73"/>
      <c r="C73" s="6"/>
      <c r="D73" s="7" t="s">
        <v>285</v>
      </c>
      <c r="E73" s="8" t="s">
        <v>286</v>
      </c>
      <c r="F73" s="17">
        <v>42.8</v>
      </c>
      <c r="G73" s="5">
        <f>F73/1.23</f>
        <v>34.796747967479675</v>
      </c>
      <c r="H73" s="5">
        <f>F73-G73</f>
        <v>8.0032520325203222</v>
      </c>
      <c r="J73" s="44"/>
    </row>
    <row r="74" spans="2:13" s="5" customFormat="1" x14ac:dyDescent="0.25">
      <c r="B74"/>
      <c r="C74" s="6"/>
      <c r="D74" s="7" t="s">
        <v>285</v>
      </c>
      <c r="E74" s="8" t="s">
        <v>287</v>
      </c>
      <c r="F74" s="17">
        <v>750</v>
      </c>
      <c r="G74" s="5">
        <f>F74/1.23</f>
        <v>609.7560975609756</v>
      </c>
      <c r="H74" s="5">
        <f>F74-G74</f>
        <v>140.2439024390244</v>
      </c>
      <c r="J74" s="44"/>
    </row>
    <row r="75" spans="2:13" s="5" customFormat="1" x14ac:dyDescent="0.25">
      <c r="B75"/>
      <c r="C75" s="6"/>
      <c r="D75" s="7" t="s">
        <v>290</v>
      </c>
      <c r="E75" s="8"/>
      <c r="F75" s="17">
        <v>50.02</v>
      </c>
      <c r="G75" s="5">
        <f>F75-H75</f>
        <v>45.345000000000006</v>
      </c>
      <c r="H75" s="5">
        <f>9.35/2</f>
        <v>4.6749999999999998</v>
      </c>
      <c r="J75" s="44"/>
    </row>
    <row r="76" spans="2:13" s="5" customFormat="1" x14ac:dyDescent="0.25">
      <c r="B76"/>
      <c r="C76" s="6"/>
      <c r="D76" s="7" t="s">
        <v>294</v>
      </c>
      <c r="E76" s="8" t="s">
        <v>295</v>
      </c>
      <c r="F76" s="17">
        <v>78.599999999999994</v>
      </c>
      <c r="G76" s="5">
        <v>63.9</v>
      </c>
      <c r="H76" s="5">
        <v>14.7</v>
      </c>
      <c r="J76" s="44"/>
    </row>
    <row r="77" spans="2:13" s="5" customFormat="1" x14ac:dyDescent="0.25">
      <c r="C77" s="6"/>
      <c r="D77" s="7"/>
      <c r="E77" s="36"/>
      <c r="F77" s="12"/>
    </row>
    <row r="78" spans="2:13" s="5" customFormat="1" x14ac:dyDescent="0.25">
      <c r="C78" s="1"/>
      <c r="D78" s="3"/>
      <c r="E78" s="1"/>
      <c r="F78" s="40">
        <f>SUM(F58:F77)</f>
        <v>4854.01</v>
      </c>
      <c r="G78" s="5">
        <f>SUM(G58:G77)</f>
        <v>3759.3265853658531</v>
      </c>
      <c r="H78" s="5">
        <f>SUM(H58:H77)</f>
        <v>285.6834146341464</v>
      </c>
    </row>
    <row r="79" spans="2:13" x14ac:dyDescent="0.25">
      <c r="L79" s="5"/>
      <c r="M79" s="5"/>
    </row>
    <row r="80" spans="2:13" s="5" customFormat="1" x14ac:dyDescent="0.25">
      <c r="C80" s="1"/>
      <c r="D80" s="34" t="s">
        <v>48</v>
      </c>
      <c r="E80" s="1"/>
      <c r="F80" s="4"/>
      <c r="G80" s="5" t="s">
        <v>2</v>
      </c>
      <c r="H80" s="5" t="s">
        <v>3</v>
      </c>
    </row>
    <row r="81" spans="2:13" s="5" customFormat="1" x14ac:dyDescent="0.25">
      <c r="B81"/>
      <c r="C81" s="6">
        <v>44227</v>
      </c>
      <c r="D81" s="33" t="s">
        <v>49</v>
      </c>
      <c r="E81" s="36" t="s">
        <v>80</v>
      </c>
      <c r="F81" s="12">
        <v>1120.25</v>
      </c>
      <c r="G81" s="5">
        <f t="shared" ref="G81:G85" si="0">F81</f>
        <v>1120.25</v>
      </c>
      <c r="H81" s="5">
        <v>0</v>
      </c>
    </row>
    <row r="82" spans="2:13" s="5" customFormat="1" x14ac:dyDescent="0.25">
      <c r="B82"/>
      <c r="C82" s="6">
        <v>44227</v>
      </c>
      <c r="D82" t="s">
        <v>51</v>
      </c>
      <c r="E82" s="36" t="s">
        <v>80</v>
      </c>
      <c r="F82" s="12">
        <v>1029.5</v>
      </c>
      <c r="G82" s="5">
        <f t="shared" si="0"/>
        <v>1029.5</v>
      </c>
      <c r="H82" s="5">
        <v>0</v>
      </c>
    </row>
    <row r="83" spans="2:13" s="5" customFormat="1" x14ac:dyDescent="0.25">
      <c r="B83"/>
      <c r="C83" s="6">
        <v>44227</v>
      </c>
      <c r="D83" t="s">
        <v>52</v>
      </c>
      <c r="E83" s="36" t="s">
        <v>80</v>
      </c>
      <c r="F83" s="12">
        <v>869.3</v>
      </c>
      <c r="G83" s="5">
        <f t="shared" si="0"/>
        <v>869.3</v>
      </c>
    </row>
    <row r="84" spans="2:13" s="5" customFormat="1" x14ac:dyDescent="0.25">
      <c r="B84"/>
      <c r="C84" s="6">
        <v>45688</v>
      </c>
      <c r="D84" t="s">
        <v>53</v>
      </c>
      <c r="E84" s="36" t="s">
        <v>81</v>
      </c>
      <c r="F84" s="12">
        <v>1092.8900000000001</v>
      </c>
      <c r="G84" s="5">
        <f t="shared" si="0"/>
        <v>1092.8900000000001</v>
      </c>
      <c r="H84" s="5">
        <v>0</v>
      </c>
    </row>
    <row r="85" spans="2:13" s="5" customFormat="1" x14ac:dyDescent="0.25">
      <c r="B85"/>
      <c r="C85" s="6">
        <v>45688</v>
      </c>
      <c r="D85" t="s">
        <v>55</v>
      </c>
      <c r="E85" s="36" t="s">
        <v>56</v>
      </c>
      <c r="F85" s="12">
        <v>65</v>
      </c>
      <c r="G85" s="5">
        <f t="shared" si="0"/>
        <v>65</v>
      </c>
      <c r="H85" s="5">
        <v>0</v>
      </c>
    </row>
    <row r="86" spans="2:13" s="5" customFormat="1" x14ac:dyDescent="0.25">
      <c r="B86"/>
      <c r="C86" s="6"/>
      <c r="D86" s="76" t="s">
        <v>220</v>
      </c>
      <c r="E86" s="8" t="s">
        <v>230</v>
      </c>
      <c r="F86" s="45">
        <v>125.4</v>
      </c>
      <c r="G86" s="5">
        <f>F86</f>
        <v>125.4</v>
      </c>
      <c r="H86" s="5">
        <v>0</v>
      </c>
    </row>
    <row r="87" spans="2:13" s="5" customFormat="1" x14ac:dyDescent="0.25">
      <c r="C87" s="46"/>
      <c r="D87" s="47"/>
      <c r="E87" s="47"/>
      <c r="F87" s="48"/>
    </row>
    <row r="88" spans="2:13" s="5" customFormat="1" x14ac:dyDescent="0.25">
      <c r="C88" s="47"/>
      <c r="D88" s="49"/>
      <c r="E88" s="47"/>
      <c r="F88" s="40">
        <f>SUM(F81:F87)</f>
        <v>4302.34</v>
      </c>
      <c r="G88" s="5">
        <f>SUM(G81:G87)</f>
        <v>4302.34</v>
      </c>
      <c r="H88" s="5">
        <f>SUM(H81:H87)</f>
        <v>0</v>
      </c>
      <c r="I88" s="50">
        <f>F88+Fevereiro!I88</f>
        <v>12595.720000000001</v>
      </c>
    </row>
    <row r="89" spans="2:13" x14ac:dyDescent="0.25">
      <c r="L89" s="5"/>
      <c r="M89" s="5"/>
    </row>
    <row r="90" spans="2:13" x14ac:dyDescent="0.25">
      <c r="L90" s="5"/>
      <c r="M90" s="5"/>
    </row>
    <row r="91" spans="2:13" s="5" customFormat="1" x14ac:dyDescent="0.25">
      <c r="C91"/>
      <c r="D91" s="51" t="s">
        <v>19</v>
      </c>
      <c r="E91" s="52">
        <f>E53</f>
        <v>41430</v>
      </c>
      <c r="G91" s="5">
        <f>F53</f>
        <v>41899.873333333337</v>
      </c>
    </row>
    <row r="92" spans="2:13" s="5" customFormat="1" x14ac:dyDescent="0.25">
      <c r="C92"/>
      <c r="D92" s="36" t="s">
        <v>57</v>
      </c>
      <c r="E92" s="12">
        <f>-F39</f>
        <v>-7120.65</v>
      </c>
      <c r="F92" s="38">
        <f>E92/E91</f>
        <v>-0.1718718320057929</v>
      </c>
      <c r="G92" s="5">
        <f>-G39</f>
        <v>-6664.4977235772367</v>
      </c>
    </row>
    <row r="93" spans="2:13" s="5" customFormat="1" x14ac:dyDescent="0.25">
      <c r="C93"/>
      <c r="D93" s="36" t="s">
        <v>58</v>
      </c>
      <c r="E93" s="12">
        <f>-F78</f>
        <v>-4854.01</v>
      </c>
      <c r="F93" s="38">
        <f>(-2951.87/26138.85)</f>
        <v>-0.11293036992828683</v>
      </c>
      <c r="G93" s="5">
        <f>-G78</f>
        <v>-3759.3265853658531</v>
      </c>
    </row>
    <row r="94" spans="2:13" s="5" customFormat="1" x14ac:dyDescent="0.25">
      <c r="C94"/>
      <c r="D94" s="47" t="s">
        <v>59</v>
      </c>
      <c r="E94" s="48">
        <f>-F88</f>
        <v>-4302.34</v>
      </c>
      <c r="F94" s="38">
        <f>E94/E91</f>
        <v>-0.10384600531016172</v>
      </c>
      <c r="G94" s="5">
        <f>-G88</f>
        <v>-4302.34</v>
      </c>
    </row>
    <row r="95" spans="2:13" s="5" customFormat="1" x14ac:dyDescent="0.25">
      <c r="C95"/>
      <c r="D95" s="53" t="s">
        <v>60</v>
      </c>
      <c r="E95" s="54">
        <f>E91+E92+E93+E94</f>
        <v>25152.999999999996</v>
      </c>
      <c r="F95" s="38">
        <f>E95/E53</f>
        <v>0.60712044412261634</v>
      </c>
      <c r="G95" s="55">
        <f>G91+G92+G93+G94</f>
        <v>27173.709024390246</v>
      </c>
    </row>
    <row r="96" spans="2:13" x14ac:dyDescent="0.25">
      <c r="L96" s="5"/>
      <c r="M96" s="5"/>
    </row>
    <row r="97" spans="4:13" x14ac:dyDescent="0.25">
      <c r="F97" s="24"/>
      <c r="L97" s="5"/>
      <c r="M97" s="5"/>
    </row>
    <row r="98" spans="4:13" ht="18.75" x14ac:dyDescent="0.3">
      <c r="D98" s="56" t="s">
        <v>61</v>
      </c>
      <c r="E98" s="57">
        <f>Fevereiro!E98+Março!E53</f>
        <v>159886.864</v>
      </c>
      <c r="L98" s="5"/>
      <c r="M98" s="5"/>
    </row>
    <row r="99" spans="4:13" x14ac:dyDescent="0.25">
      <c r="L99" s="5"/>
      <c r="M99" s="5"/>
    </row>
    <row r="100" spans="4:13" x14ac:dyDescent="0.25">
      <c r="M100" s="5"/>
    </row>
    <row r="101" spans="4:13" x14ac:dyDescent="0.25">
      <c r="M101" s="5"/>
    </row>
    <row r="102" spans="4:13" x14ac:dyDescent="0.25">
      <c r="M102" s="5"/>
    </row>
    <row r="103" spans="4:13" x14ac:dyDescent="0.25">
      <c r="M103" s="5"/>
    </row>
    <row r="104" spans="4:13" x14ac:dyDescent="0.25">
      <c r="F104"/>
      <c r="G104"/>
      <c r="H104"/>
      <c r="I104"/>
      <c r="M104" s="5"/>
    </row>
    <row r="105" spans="4:13" x14ac:dyDescent="0.25">
      <c r="F105"/>
      <c r="G105"/>
      <c r="H105"/>
      <c r="I105"/>
      <c r="M105" s="5"/>
    </row>
  </sheetData>
  <mergeCells count="1">
    <mergeCell ref="I51:K51"/>
  </mergeCells>
  <pageMargins left="0.9055118110236221" right="0.70866141732283472" top="1.6535433070866143" bottom="1.2204724409448819" header="0.31496062992125984" footer="0.31496062992125984"/>
  <pageSetup paperSize="9" scale="65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109"/>
  <sheetViews>
    <sheetView topLeftCell="A34" zoomScale="84" zoomScaleNormal="84" workbookViewId="0">
      <selection activeCell="D78" sqref="D78:H78"/>
    </sheetView>
  </sheetViews>
  <sheetFormatPr defaultRowHeight="15" x14ac:dyDescent="0.25"/>
  <cols>
    <col min="1" max="1" width="12" customWidth="1"/>
    <col min="2" max="2" width="10.5703125" customWidth="1"/>
    <col min="3" max="3" width="8.7109375" customWidth="1"/>
    <col min="4" max="4" width="29.28515625" bestFit="1" customWidth="1"/>
    <col min="5" max="5" width="32.7109375" bestFit="1" customWidth="1"/>
    <col min="6" max="6" width="13" style="5" bestFit="1" customWidth="1"/>
    <col min="7" max="7" width="21.28515625" style="5" bestFit="1" customWidth="1"/>
    <col min="8" max="8" width="13.42578125" style="5" customWidth="1"/>
    <col min="9" max="9" width="13.28515625" style="5" customWidth="1"/>
    <col min="10" max="10" width="19.7109375" bestFit="1" customWidth="1"/>
    <col min="11" max="11" width="16.42578125" bestFit="1" customWidth="1"/>
    <col min="12" max="12" width="12.7109375" bestFit="1" customWidth="1"/>
    <col min="13" max="14" width="11.7109375" bestFit="1" customWidth="1"/>
    <col min="15" max="15" width="12.7109375" bestFit="1" customWidth="1"/>
    <col min="16" max="16" width="10.7109375" bestFit="1" customWidth="1"/>
    <col min="17" max="17" width="11.7109375" bestFit="1" customWidth="1"/>
  </cols>
  <sheetData>
    <row r="2" spans="2:11" x14ac:dyDescent="0.25">
      <c r="B2" s="1" t="s">
        <v>0</v>
      </c>
      <c r="C2" s="1" t="s">
        <v>1</v>
      </c>
      <c r="D2" s="2"/>
      <c r="E2" s="3"/>
      <c r="F2" s="4"/>
      <c r="G2" s="5" t="s">
        <v>2</v>
      </c>
      <c r="H2" s="5" t="s">
        <v>3</v>
      </c>
    </row>
    <row r="3" spans="2:11" x14ac:dyDescent="0.25">
      <c r="B3" s="6">
        <v>45749</v>
      </c>
      <c r="C3" s="6" t="s">
        <v>291</v>
      </c>
      <c r="D3" s="7" t="s">
        <v>116</v>
      </c>
      <c r="E3" s="8" t="s">
        <v>292</v>
      </c>
      <c r="F3" s="9">
        <v>1820.4</v>
      </c>
      <c r="G3" s="5">
        <v>1480</v>
      </c>
      <c r="H3" s="5">
        <f>F3-G3</f>
        <v>340.40000000000009</v>
      </c>
    </row>
    <row r="4" spans="2:11" x14ac:dyDescent="0.25">
      <c r="B4" s="6">
        <v>45748</v>
      </c>
      <c r="C4" s="6"/>
      <c r="D4" s="7" t="s">
        <v>159</v>
      </c>
      <c r="E4" s="8" t="s">
        <v>142</v>
      </c>
      <c r="F4" s="9">
        <v>16.489999999999998</v>
      </c>
      <c r="G4" s="5">
        <f>F4/1.23</f>
        <v>13.40650406504065</v>
      </c>
      <c r="H4" s="5">
        <f>F4-G4</f>
        <v>3.0834959349593483</v>
      </c>
    </row>
    <row r="5" spans="2:11" x14ac:dyDescent="0.25">
      <c r="B5" s="6">
        <v>45749</v>
      </c>
      <c r="C5" s="6"/>
      <c r="D5" s="7" t="s">
        <v>159</v>
      </c>
      <c r="E5" s="8" t="s">
        <v>142</v>
      </c>
      <c r="F5" s="9">
        <v>114.85</v>
      </c>
      <c r="G5" s="5">
        <f>F5/1.23</f>
        <v>93.373983739837399</v>
      </c>
      <c r="H5" s="5">
        <f>F5-G5</f>
        <v>21.476016260162595</v>
      </c>
    </row>
    <row r="6" spans="2:11" x14ac:dyDescent="0.25">
      <c r="B6" s="6">
        <v>45750</v>
      </c>
      <c r="C6" s="6" t="s">
        <v>299</v>
      </c>
      <c r="D6" s="7" t="s">
        <v>141</v>
      </c>
      <c r="E6" s="8" t="s">
        <v>142</v>
      </c>
      <c r="F6" s="9">
        <v>72.95</v>
      </c>
      <c r="G6" s="5">
        <v>59.31</v>
      </c>
      <c r="H6" s="5">
        <v>13.64</v>
      </c>
      <c r="J6" t="s">
        <v>4</v>
      </c>
    </row>
    <row r="7" spans="2:11" s="5" customFormat="1" x14ac:dyDescent="0.25">
      <c r="B7" s="6">
        <v>45751</v>
      </c>
      <c r="C7" s="6" t="s">
        <v>300</v>
      </c>
      <c r="D7" s="7" t="s">
        <v>141</v>
      </c>
      <c r="E7" s="10" t="s">
        <v>142</v>
      </c>
      <c r="F7" s="9">
        <v>17.5</v>
      </c>
      <c r="G7" s="11">
        <v>14.23</v>
      </c>
      <c r="H7" s="11">
        <v>3.27</v>
      </c>
    </row>
    <row r="8" spans="2:11" s="5" customFormat="1" x14ac:dyDescent="0.25">
      <c r="B8" s="6"/>
      <c r="C8" s="6"/>
      <c r="D8" s="7" t="s">
        <v>274</v>
      </c>
      <c r="E8" s="8" t="s">
        <v>126</v>
      </c>
      <c r="F8" s="12">
        <f>65.5+98.3+114.8+53.1+24</f>
        <v>355.70000000000005</v>
      </c>
      <c r="G8" s="5">
        <f>F8</f>
        <v>355.70000000000005</v>
      </c>
      <c r="H8" s="5">
        <v>0</v>
      </c>
      <c r="J8" s="5" t="s">
        <v>5</v>
      </c>
      <c r="K8" s="5">
        <f>G53</f>
        <v>0</v>
      </c>
    </row>
    <row r="9" spans="2:11" s="5" customFormat="1" x14ac:dyDescent="0.25">
      <c r="B9" s="6">
        <v>45756</v>
      </c>
      <c r="C9" s="6" t="s">
        <v>302</v>
      </c>
      <c r="D9" s="7" t="s">
        <v>116</v>
      </c>
      <c r="E9" s="8" t="s">
        <v>303</v>
      </c>
      <c r="F9" s="9">
        <v>4774.87</v>
      </c>
      <c r="G9" s="5">
        <v>3882.01</v>
      </c>
      <c r="H9" s="5">
        <f>F9-G9</f>
        <v>892.85999999999967</v>
      </c>
      <c r="J9" s="5" t="s">
        <v>6</v>
      </c>
      <c r="K9" s="5">
        <f>H39+H82+H92</f>
        <v>3568.5848373983736</v>
      </c>
    </row>
    <row r="10" spans="2:11" s="5" customFormat="1" x14ac:dyDescent="0.25">
      <c r="B10" s="6">
        <v>45756</v>
      </c>
      <c r="C10" s="6" t="s">
        <v>305</v>
      </c>
      <c r="D10" s="7" t="s">
        <v>306</v>
      </c>
      <c r="E10" s="8" t="s">
        <v>307</v>
      </c>
      <c r="F10" s="9">
        <v>450</v>
      </c>
      <c r="G10" s="5">
        <v>450</v>
      </c>
      <c r="H10" s="5">
        <v>0</v>
      </c>
      <c r="J10" s="13" t="s">
        <v>7</v>
      </c>
      <c r="K10" s="14">
        <f>K8-K9</f>
        <v>-3568.5848373983736</v>
      </c>
    </row>
    <row r="11" spans="2:11" s="5" customFormat="1" x14ac:dyDescent="0.25">
      <c r="B11" s="6">
        <v>45757</v>
      </c>
      <c r="C11" s="6" t="s">
        <v>312</v>
      </c>
      <c r="D11" s="7" t="s">
        <v>151</v>
      </c>
      <c r="E11" s="8" t="s">
        <v>85</v>
      </c>
      <c r="F11" s="9">
        <v>1167.27</v>
      </c>
      <c r="G11" s="5">
        <v>949</v>
      </c>
      <c r="H11" s="5">
        <f>F11-G11</f>
        <v>218.26999999999998</v>
      </c>
    </row>
    <row r="12" spans="2:11" s="5" customFormat="1" x14ac:dyDescent="0.25">
      <c r="B12" s="6">
        <v>45761</v>
      </c>
      <c r="C12" s="6" t="s">
        <v>319</v>
      </c>
      <c r="D12" s="7" t="s">
        <v>320</v>
      </c>
      <c r="E12" s="8" t="s">
        <v>321</v>
      </c>
      <c r="F12" s="9">
        <v>35.31</v>
      </c>
      <c r="G12" s="5">
        <v>28.71</v>
      </c>
      <c r="H12" s="5">
        <v>6.6</v>
      </c>
    </row>
    <row r="13" spans="2:11" s="5" customFormat="1" x14ac:dyDescent="0.25">
      <c r="B13" s="6">
        <v>45757</v>
      </c>
      <c r="C13" s="6" t="s">
        <v>322</v>
      </c>
      <c r="D13" s="7" t="s">
        <v>323</v>
      </c>
      <c r="E13" s="8" t="s">
        <v>324</v>
      </c>
      <c r="F13" s="9">
        <v>336.42</v>
      </c>
      <c r="G13" s="5">
        <v>273.51</v>
      </c>
      <c r="H13" s="5">
        <v>62.91</v>
      </c>
      <c r="J13" s="5" t="s">
        <v>8</v>
      </c>
      <c r="K13" s="5">
        <f>F53</f>
        <v>18475.833333333336</v>
      </c>
    </row>
    <row r="14" spans="2:11" s="5" customFormat="1" x14ac:dyDescent="0.25">
      <c r="B14" s="6">
        <v>45761</v>
      </c>
      <c r="C14" s="6" t="s">
        <v>325</v>
      </c>
      <c r="D14" s="7" t="s">
        <v>116</v>
      </c>
      <c r="E14" s="8" t="s">
        <v>326</v>
      </c>
      <c r="F14" s="9">
        <v>934.8</v>
      </c>
      <c r="G14" s="5">
        <v>760</v>
      </c>
      <c r="H14" s="5">
        <v>174.8</v>
      </c>
      <c r="J14" s="5" t="s">
        <v>9</v>
      </c>
      <c r="K14" s="5">
        <f>G39+G82+G92</f>
        <v>21453.155162601626</v>
      </c>
    </row>
    <row r="15" spans="2:11" s="5" customFormat="1" x14ac:dyDescent="0.25">
      <c r="B15" s="6">
        <v>45762</v>
      </c>
      <c r="C15" s="6"/>
      <c r="D15" s="7" t="s">
        <v>331</v>
      </c>
      <c r="E15" s="8" t="s">
        <v>332</v>
      </c>
      <c r="F15" s="9">
        <v>692.49</v>
      </c>
      <c r="G15" s="5">
        <f>F15/1.23</f>
        <v>563</v>
      </c>
      <c r="H15" s="5">
        <f>F15-G15</f>
        <v>129.49</v>
      </c>
      <c r="K15" s="5">
        <f>K13-K14</f>
        <v>-2977.3218292682905</v>
      </c>
    </row>
    <row r="16" spans="2:11" s="5" customFormat="1" x14ac:dyDescent="0.25">
      <c r="B16" s="6">
        <v>45764</v>
      </c>
      <c r="C16" s="6" t="s">
        <v>346</v>
      </c>
      <c r="D16" s="7" t="s">
        <v>151</v>
      </c>
      <c r="E16" s="8" t="s">
        <v>85</v>
      </c>
      <c r="F16" s="9">
        <v>1163.58</v>
      </c>
      <c r="G16" s="5">
        <v>946</v>
      </c>
      <c r="H16" s="5">
        <v>217.58</v>
      </c>
      <c r="J16" s="13" t="s">
        <v>10</v>
      </c>
      <c r="K16" s="14">
        <f>K15*0.17</f>
        <v>-506.14471097560943</v>
      </c>
    </row>
    <row r="17" spans="1:14" s="5" customFormat="1" x14ac:dyDescent="0.25">
      <c r="B17" s="6">
        <v>45762</v>
      </c>
      <c r="C17" s="6" t="s">
        <v>347</v>
      </c>
      <c r="D17" s="7" t="s">
        <v>141</v>
      </c>
      <c r="E17" s="8" t="s">
        <v>142</v>
      </c>
      <c r="F17" s="9">
        <v>212.45</v>
      </c>
      <c r="G17" s="5">
        <v>172.72</v>
      </c>
      <c r="H17" s="5">
        <v>39.729999999999997</v>
      </c>
    </row>
    <row r="18" spans="1:14" s="5" customFormat="1" x14ac:dyDescent="0.25">
      <c r="B18" s="6">
        <v>45764</v>
      </c>
      <c r="C18" s="15" t="s">
        <v>348</v>
      </c>
      <c r="D18" s="7" t="s">
        <v>141</v>
      </c>
      <c r="E18" s="8" t="s">
        <v>142</v>
      </c>
      <c r="F18" s="9">
        <v>70.77</v>
      </c>
      <c r="G18" s="5">
        <v>57.54</v>
      </c>
      <c r="H18" s="5">
        <v>13.23</v>
      </c>
    </row>
    <row r="19" spans="1:14" s="5" customFormat="1" x14ac:dyDescent="0.25">
      <c r="A19" s="16"/>
      <c r="B19" s="6">
        <v>45771</v>
      </c>
      <c r="C19" s="6" t="s">
        <v>350</v>
      </c>
      <c r="D19" s="7" t="s">
        <v>306</v>
      </c>
      <c r="E19" s="8" t="s">
        <v>351</v>
      </c>
      <c r="F19" s="17">
        <v>200</v>
      </c>
      <c r="G19" s="5">
        <v>200</v>
      </c>
      <c r="H19" s="5">
        <v>0</v>
      </c>
    </row>
    <row r="20" spans="1:14" s="5" customFormat="1" x14ac:dyDescent="0.25">
      <c r="B20" s="6">
        <v>45771</v>
      </c>
      <c r="C20" s="6" t="s">
        <v>352</v>
      </c>
      <c r="D20" s="7" t="s">
        <v>141</v>
      </c>
      <c r="E20" s="8" t="s">
        <v>142</v>
      </c>
      <c r="F20" s="17">
        <v>881.25</v>
      </c>
      <c r="G20" s="5">
        <v>716.46</v>
      </c>
      <c r="H20" s="5">
        <v>164.79</v>
      </c>
    </row>
    <row r="21" spans="1:14" s="5" customFormat="1" x14ac:dyDescent="0.25">
      <c r="B21" s="6">
        <v>45771</v>
      </c>
      <c r="C21" s="6" t="s">
        <v>353</v>
      </c>
      <c r="D21" s="7" t="s">
        <v>141</v>
      </c>
      <c r="E21" s="8" t="s">
        <v>354</v>
      </c>
      <c r="F21" s="9">
        <v>523.75</v>
      </c>
      <c r="G21" s="5">
        <v>425.81</v>
      </c>
      <c r="H21" s="5">
        <v>97.94</v>
      </c>
      <c r="J21" s="14" t="s">
        <v>11</v>
      </c>
    </row>
    <row r="22" spans="1:14" s="5" customFormat="1" x14ac:dyDescent="0.25">
      <c r="B22" s="6">
        <v>45777</v>
      </c>
      <c r="C22" s="6" t="s">
        <v>358</v>
      </c>
      <c r="D22" s="7" t="s">
        <v>116</v>
      </c>
      <c r="E22" s="8" t="s">
        <v>117</v>
      </c>
      <c r="F22" s="17">
        <v>5169.6899999999996</v>
      </c>
      <c r="G22" s="5">
        <v>4203</v>
      </c>
      <c r="H22" s="5">
        <f>F22-G22</f>
        <v>966.6899999999996</v>
      </c>
      <c r="I22" s="18" t="s">
        <v>10</v>
      </c>
      <c r="J22" s="5" t="s">
        <v>12</v>
      </c>
      <c r="K22" s="14">
        <f>K13+Março!K22</f>
        <v>118923.99666666667</v>
      </c>
      <c r="M22" s="19"/>
    </row>
    <row r="23" spans="1:14" s="5" customFormat="1" x14ac:dyDescent="0.25">
      <c r="B23" s="6">
        <v>45761</v>
      </c>
      <c r="C23" s="6" t="s">
        <v>372</v>
      </c>
      <c r="D23" s="7" t="s">
        <v>373</v>
      </c>
      <c r="E23" s="8" t="s">
        <v>106</v>
      </c>
      <c r="F23" s="9">
        <v>47.44</v>
      </c>
      <c r="G23" s="5">
        <v>38.57</v>
      </c>
      <c r="H23" s="5">
        <v>8.8699999999999992</v>
      </c>
      <c r="I23" s="13"/>
      <c r="J23" s="5" t="s">
        <v>13</v>
      </c>
      <c r="K23" s="5">
        <f>K14+Março!K23</f>
        <v>124485.66841463416</v>
      </c>
    </row>
    <row r="24" spans="1:14" s="5" customFormat="1" x14ac:dyDescent="0.25">
      <c r="B24" s="6">
        <v>45771</v>
      </c>
      <c r="C24" s="6" t="s">
        <v>374</v>
      </c>
      <c r="D24" s="7" t="s">
        <v>159</v>
      </c>
      <c r="E24" s="8" t="s">
        <v>142</v>
      </c>
      <c r="F24" s="20">
        <v>78.55</v>
      </c>
      <c r="G24" s="5">
        <f>F24/1.23</f>
        <v>63.861788617886177</v>
      </c>
      <c r="H24" s="5">
        <f>F24-G24</f>
        <v>14.68821138211382</v>
      </c>
      <c r="I24" s="13"/>
      <c r="J24" s="13" t="s">
        <v>14</v>
      </c>
      <c r="K24" s="5">
        <f>1714.45*4</f>
        <v>6857.8</v>
      </c>
    </row>
    <row r="25" spans="1:14" s="5" customFormat="1" x14ac:dyDescent="0.25">
      <c r="B25" s="6">
        <v>45777</v>
      </c>
      <c r="C25" s="6" t="s">
        <v>375</v>
      </c>
      <c r="D25" s="7" t="s">
        <v>373</v>
      </c>
      <c r="E25" s="8" t="s">
        <v>106</v>
      </c>
      <c r="F25" s="9">
        <v>113.82</v>
      </c>
      <c r="G25" s="5">
        <v>92.54</v>
      </c>
      <c r="H25" s="5">
        <v>21.28</v>
      </c>
      <c r="I25" s="13"/>
      <c r="K25" s="21">
        <f>K22-K23-K24</f>
        <v>-12419.471747967484</v>
      </c>
      <c r="L25" s="11"/>
    </row>
    <row r="26" spans="1:14" s="5" customFormat="1" x14ac:dyDescent="0.25">
      <c r="B26" s="6"/>
      <c r="C26" s="6"/>
      <c r="D26" s="7"/>
      <c r="E26" s="8"/>
      <c r="F26" s="12"/>
      <c r="I26" s="13"/>
      <c r="J26" s="22">
        <v>0.17</v>
      </c>
      <c r="K26" s="23">
        <f>K25*0.17</f>
        <v>-2111.3101971544725</v>
      </c>
    </row>
    <row r="27" spans="1:14" s="5" customFormat="1" x14ac:dyDescent="0.25">
      <c r="B27" s="6"/>
      <c r="C27" s="6"/>
      <c r="D27" s="7"/>
      <c r="E27" s="8"/>
      <c r="F27" s="9"/>
      <c r="I27" s="18" t="s">
        <v>15</v>
      </c>
      <c r="J27" s="5" t="s">
        <v>12</v>
      </c>
      <c r="K27" s="5">
        <f>K8+Março!K27</f>
        <v>0</v>
      </c>
    </row>
    <row r="28" spans="1:14" s="5" customFormat="1" x14ac:dyDescent="0.25">
      <c r="B28" s="6"/>
      <c r="C28" s="6"/>
      <c r="D28" s="7"/>
      <c r="E28" s="8"/>
      <c r="F28" s="9"/>
      <c r="I28" s="13"/>
      <c r="J28" s="5" t="s">
        <v>16</v>
      </c>
      <c r="K28" s="5">
        <f>K9+Março!K28</f>
        <v>20580.710040650403</v>
      </c>
    </row>
    <row r="29" spans="1:14" s="5" customFormat="1" x14ac:dyDescent="0.25">
      <c r="B29" s="6"/>
      <c r="C29" s="6"/>
      <c r="D29" s="7"/>
      <c r="E29" s="10"/>
      <c r="F29" s="9"/>
      <c r="G29" s="11"/>
      <c r="H29" s="11"/>
      <c r="J29" s="18" t="s">
        <v>3</v>
      </c>
      <c r="K29" s="23">
        <f>K27-K28</f>
        <v>-20580.710040650403</v>
      </c>
    </row>
    <row r="30" spans="1:14" s="5" customFormat="1" x14ac:dyDescent="0.25">
      <c r="B30" s="6"/>
      <c r="C30" s="6"/>
      <c r="D30" s="7"/>
      <c r="E30" s="8"/>
      <c r="F30" s="9"/>
      <c r="J30" s="16"/>
      <c r="K30" s="24"/>
      <c r="L30" s="25">
        <f>K30+K29</f>
        <v>-20580.710040650403</v>
      </c>
    </row>
    <row r="31" spans="1:14" s="5" customFormat="1" x14ac:dyDescent="0.25">
      <c r="B31" s="6"/>
      <c r="C31" s="6"/>
      <c r="D31" s="7"/>
      <c r="E31" s="10"/>
      <c r="F31" s="9"/>
      <c r="G31" s="11"/>
      <c r="H31" s="11"/>
      <c r="J31" s="18"/>
      <c r="K31" s="24" t="s">
        <v>62</v>
      </c>
      <c r="L31" s="5">
        <v>14954.52</v>
      </c>
    </row>
    <row r="32" spans="1:14" s="5" customFormat="1" x14ac:dyDescent="0.25">
      <c r="B32" s="6"/>
      <c r="C32" s="6"/>
      <c r="D32" s="7"/>
      <c r="E32" s="8"/>
      <c r="F32" s="9"/>
      <c r="J32" s="18"/>
      <c r="K32" s="23"/>
      <c r="L32" s="26">
        <f>SUM(L30:L31)</f>
        <v>-5626.1900406504028</v>
      </c>
      <c r="N32" s="14"/>
    </row>
    <row r="33" spans="1:17" s="5" customFormat="1" x14ac:dyDescent="0.25">
      <c r="B33" s="6"/>
      <c r="C33" s="6"/>
      <c r="D33" s="7"/>
      <c r="E33" s="8"/>
      <c r="F33" s="9"/>
      <c r="J33" s="18"/>
      <c r="K33" s="14" t="s">
        <v>17</v>
      </c>
      <c r="L33" s="27">
        <f>454.59+541.67+2500</f>
        <v>3496.26</v>
      </c>
    </row>
    <row r="34" spans="1:17" s="5" customFormat="1" x14ac:dyDescent="0.25">
      <c r="B34" s="6"/>
      <c r="C34" s="6"/>
      <c r="D34" s="7"/>
      <c r="E34" s="8"/>
      <c r="F34" s="9"/>
      <c r="J34" s="18"/>
      <c r="K34" s="14"/>
      <c r="L34" s="14"/>
    </row>
    <row r="35" spans="1:17" s="5" customFormat="1" x14ac:dyDescent="0.25">
      <c r="B35" s="6"/>
      <c r="C35" s="6"/>
      <c r="D35" s="7"/>
      <c r="E35" s="8"/>
      <c r="F35" s="9"/>
      <c r="J35" s="18"/>
      <c r="K35" s="14"/>
      <c r="L35" s="14"/>
    </row>
    <row r="36" spans="1:17" s="5" customFormat="1" x14ac:dyDescent="0.25">
      <c r="B36" s="6"/>
      <c r="C36" s="6"/>
      <c r="D36" s="7"/>
      <c r="E36" s="8"/>
      <c r="F36" s="9"/>
      <c r="J36" s="18"/>
      <c r="K36" s="14"/>
      <c r="L36" s="14"/>
    </row>
    <row r="37" spans="1:17" s="5" customFormat="1" x14ac:dyDescent="0.25">
      <c r="B37" s="6"/>
      <c r="C37" s="6"/>
      <c r="D37" s="7"/>
      <c r="E37" s="28"/>
      <c r="F37" s="17"/>
      <c r="G37" s="23"/>
      <c r="L37" s="14"/>
    </row>
    <row r="38" spans="1:17" s="5" customFormat="1" x14ac:dyDescent="0.25">
      <c r="B38" s="6"/>
      <c r="C38" s="6"/>
      <c r="D38" s="7"/>
      <c r="E38" s="8"/>
      <c r="F38" s="17"/>
    </row>
    <row r="39" spans="1:17" x14ac:dyDescent="0.25">
      <c r="B39" s="29"/>
      <c r="C39" s="29"/>
      <c r="D39" s="30"/>
      <c r="E39" s="31"/>
      <c r="F39" s="32">
        <f>SUM(F3:F38)</f>
        <v>19250.349999999999</v>
      </c>
      <c r="G39" s="5">
        <f>SUM(G3:G38)</f>
        <v>15838.752276422765</v>
      </c>
      <c r="H39" s="14">
        <f>SUM(H3:H38)</f>
        <v>3411.5977235772352</v>
      </c>
      <c r="J39" s="5"/>
      <c r="M39" s="5"/>
      <c r="Q39" s="5"/>
    </row>
    <row r="40" spans="1:17" x14ac:dyDescent="0.25">
      <c r="C40" s="33"/>
      <c r="M40" s="5"/>
      <c r="Q40" s="5"/>
    </row>
    <row r="41" spans="1:17" x14ac:dyDescent="0.25">
      <c r="C41" s="33"/>
      <c r="M41" s="5"/>
      <c r="N41" s="5"/>
      <c r="O41" s="5"/>
      <c r="Q41" s="5"/>
    </row>
    <row r="42" spans="1:17" x14ac:dyDescent="0.25">
      <c r="C42" s="33"/>
      <c r="M42" s="5"/>
      <c r="N42" s="5"/>
      <c r="O42" s="5"/>
      <c r="Q42" s="5"/>
    </row>
    <row r="43" spans="1:17" x14ac:dyDescent="0.25">
      <c r="B43" t="s">
        <v>18</v>
      </c>
      <c r="C43" s="29"/>
      <c r="D43" s="34" t="s">
        <v>19</v>
      </c>
      <c r="E43" s="31"/>
      <c r="F43" s="5" t="s">
        <v>20</v>
      </c>
      <c r="G43" s="5" t="s">
        <v>3</v>
      </c>
      <c r="H43" s="5" t="s">
        <v>21</v>
      </c>
      <c r="M43" s="5"/>
      <c r="O43" s="5"/>
      <c r="Q43" s="5"/>
    </row>
    <row r="44" spans="1:17" s="5" customFormat="1" x14ac:dyDescent="0.25">
      <c r="A44"/>
      <c r="B44" s="5" t="s">
        <v>276</v>
      </c>
      <c r="C44" s="35" t="s">
        <v>335</v>
      </c>
      <c r="D44" s="36" t="s">
        <v>264</v>
      </c>
      <c r="E44" s="12">
        <v>8390</v>
      </c>
      <c r="F44" s="37">
        <v>8390</v>
      </c>
      <c r="G44" s="37">
        <v>0</v>
      </c>
      <c r="H44" s="71">
        <f>F44-4195-4195</f>
        <v>0</v>
      </c>
      <c r="I44" s="38"/>
    </row>
    <row r="45" spans="1:17" s="5" customFormat="1" x14ac:dyDescent="0.25">
      <c r="B45" t="s">
        <v>211</v>
      </c>
      <c r="C45" s="35" t="s">
        <v>304</v>
      </c>
      <c r="D45" s="36" t="s">
        <v>212</v>
      </c>
      <c r="E45" s="12">
        <v>5540</v>
      </c>
      <c r="F45" s="37">
        <f>E45</f>
        <v>5540</v>
      </c>
      <c r="G45" s="37">
        <v>0</v>
      </c>
      <c r="H45" s="71">
        <f>E45-2770-2770</f>
        <v>0</v>
      </c>
    </row>
    <row r="46" spans="1:17" s="5" customFormat="1" x14ac:dyDescent="0.25">
      <c r="B46"/>
      <c r="C46" s="35" t="s">
        <v>316</v>
      </c>
      <c r="D46" s="36" t="s">
        <v>344</v>
      </c>
      <c r="E46" s="12">
        <v>-5280</v>
      </c>
      <c r="F46" s="37">
        <f>E46</f>
        <v>-5280</v>
      </c>
      <c r="G46" s="37"/>
      <c r="H46" s="71"/>
    </row>
    <row r="47" spans="1:17" s="5" customFormat="1" x14ac:dyDescent="0.25">
      <c r="B47"/>
      <c r="C47" s="35" t="s">
        <v>317</v>
      </c>
      <c r="D47" s="36" t="s">
        <v>318</v>
      </c>
      <c r="E47" s="12">
        <v>5280</v>
      </c>
      <c r="F47" s="37">
        <f>E47</f>
        <v>5280</v>
      </c>
      <c r="G47" s="37"/>
      <c r="H47" s="71"/>
    </row>
    <row r="48" spans="1:17" s="5" customFormat="1" x14ac:dyDescent="0.25">
      <c r="B48" t="s">
        <v>278</v>
      </c>
      <c r="C48" s="35" t="s">
        <v>333</v>
      </c>
      <c r="D48" s="36" t="s">
        <v>188</v>
      </c>
      <c r="E48" s="12">
        <v>5455</v>
      </c>
      <c r="F48" s="37">
        <f>E48/1.2</f>
        <v>4545.8333333333339</v>
      </c>
      <c r="G48" s="37" t="s">
        <v>334</v>
      </c>
      <c r="H48" s="11">
        <f>E48-2727.5-2727.5</f>
        <v>0</v>
      </c>
      <c r="I48" s="5" t="s">
        <v>298</v>
      </c>
    </row>
    <row r="49" spans="2:10" s="5" customFormat="1" x14ac:dyDescent="0.25">
      <c r="B49" t="s">
        <v>277</v>
      </c>
      <c r="C49" s="35"/>
      <c r="D49" s="36" t="s">
        <v>82</v>
      </c>
      <c r="E49" s="12"/>
      <c r="F49" s="37">
        <f>E49</f>
        <v>0</v>
      </c>
      <c r="G49" s="37">
        <v>0</v>
      </c>
      <c r="H49" s="71">
        <f>E49-4000</f>
        <v>-4000</v>
      </c>
    </row>
    <row r="50" spans="2:10" s="62" customFormat="1" x14ac:dyDescent="0.25">
      <c r="B50" s="63" t="s">
        <v>327</v>
      </c>
      <c r="C50" s="64"/>
      <c r="D50" s="65" t="s">
        <v>376</v>
      </c>
      <c r="E50" s="66"/>
      <c r="F50" s="67"/>
      <c r="G50" s="67" t="s">
        <v>328</v>
      </c>
      <c r="H50" s="68"/>
      <c r="I50" s="5"/>
    </row>
    <row r="51" spans="2:10" s="62" customFormat="1" x14ac:dyDescent="0.25">
      <c r="B51" s="63" t="s">
        <v>329</v>
      </c>
      <c r="C51" s="64"/>
      <c r="D51" s="36" t="s">
        <v>313</v>
      </c>
      <c r="E51" s="66"/>
      <c r="F51" s="67"/>
      <c r="G51" s="67" t="s">
        <v>330</v>
      </c>
      <c r="H51" s="68"/>
      <c r="I51" s="5"/>
    </row>
    <row r="52" spans="2:10" s="5" customFormat="1" x14ac:dyDescent="0.25">
      <c r="B52"/>
      <c r="C52" s="35"/>
      <c r="D52" s="36"/>
      <c r="E52" s="12"/>
      <c r="F52" s="37"/>
      <c r="G52" s="37"/>
      <c r="H52" s="11"/>
    </row>
    <row r="53" spans="2:10" s="5" customFormat="1" x14ac:dyDescent="0.25">
      <c r="C53" s="39"/>
      <c r="D53" s="1"/>
      <c r="E53" s="40">
        <f>SUM(E44:E52)</f>
        <v>19385</v>
      </c>
      <c r="F53" s="14">
        <f>SUM(F44:F52)</f>
        <v>18475.833333333336</v>
      </c>
      <c r="G53" s="14">
        <f>SUM(G44:G52)</f>
        <v>0</v>
      </c>
      <c r="H53" s="14">
        <f>SUM(H44:H52)</f>
        <v>-4000</v>
      </c>
    </row>
    <row r="54" spans="2:10" s="5" customFormat="1" x14ac:dyDescent="0.25">
      <c r="C54" s="33"/>
      <c r="D54" s="36"/>
      <c r="G54" s="37"/>
    </row>
    <row r="55" spans="2:10" s="5" customFormat="1" x14ac:dyDescent="0.25">
      <c r="C55" s="33"/>
      <c r="D55" s="36"/>
      <c r="G55" s="14"/>
    </row>
    <row r="56" spans="2:10" s="5" customFormat="1" x14ac:dyDescent="0.25">
      <c r="C56" s="33"/>
      <c r="D56" s="36"/>
    </row>
    <row r="57" spans="2:10" s="5" customFormat="1" x14ac:dyDescent="0.25">
      <c r="B57" s="1" t="s">
        <v>1</v>
      </c>
      <c r="C57" s="1"/>
      <c r="D57" s="34" t="s">
        <v>26</v>
      </c>
      <c r="E57" s="1"/>
      <c r="F57" s="4"/>
      <c r="G57" s="5" t="s">
        <v>2</v>
      </c>
      <c r="H57" s="5" t="s">
        <v>3</v>
      </c>
    </row>
    <row r="58" spans="2:10" s="5" customFormat="1" x14ac:dyDescent="0.25">
      <c r="B58"/>
      <c r="C58" s="6"/>
      <c r="D58" t="s">
        <v>27</v>
      </c>
      <c r="E58" s="36" t="s">
        <v>28</v>
      </c>
      <c r="F58" s="12">
        <v>291.47000000000003</v>
      </c>
      <c r="G58" s="5">
        <v>236.97</v>
      </c>
      <c r="H58" s="5">
        <f>F58-G58</f>
        <v>54.500000000000028</v>
      </c>
    </row>
    <row r="59" spans="2:10" s="5" customFormat="1" x14ac:dyDescent="0.25">
      <c r="B59"/>
      <c r="C59" s="6"/>
      <c r="D59" t="s">
        <v>29</v>
      </c>
      <c r="E59" s="36" t="s">
        <v>30</v>
      </c>
      <c r="F59" s="12">
        <v>222</v>
      </c>
      <c r="G59" s="5">
        <f>F59</f>
        <v>222</v>
      </c>
      <c r="H59" s="5">
        <v>0</v>
      </c>
    </row>
    <row r="60" spans="2:10" s="5" customFormat="1" x14ac:dyDescent="0.25">
      <c r="B60"/>
      <c r="C60" s="6"/>
      <c r="D60" t="s">
        <v>31</v>
      </c>
      <c r="E60" s="36" t="s">
        <v>32</v>
      </c>
      <c r="F60" s="12">
        <v>956.04</v>
      </c>
      <c r="G60" s="41">
        <f>138.79+2.6+5.65</f>
        <v>147.04</v>
      </c>
      <c r="H60" s="5">
        <v>0</v>
      </c>
      <c r="I60" s="37"/>
    </row>
    <row r="61" spans="2:10" s="5" customFormat="1" x14ac:dyDescent="0.25">
      <c r="B61" s="42"/>
      <c r="C61" s="6"/>
      <c r="D61" t="s">
        <v>33</v>
      </c>
      <c r="E61" s="36" t="s">
        <v>34</v>
      </c>
      <c r="F61" s="12">
        <f>G61+H61</f>
        <v>900</v>
      </c>
      <c r="G61" s="5">
        <v>900</v>
      </c>
      <c r="H61" s="5">
        <v>0</v>
      </c>
    </row>
    <row r="62" spans="2:10" s="5" customFormat="1" x14ac:dyDescent="0.25">
      <c r="B62"/>
      <c r="C62" s="6"/>
      <c r="D62" s="33" t="s">
        <v>35</v>
      </c>
      <c r="E62" s="36" t="s">
        <v>36</v>
      </c>
      <c r="F62" s="12">
        <f>15.8+0.63</f>
        <v>16.43</v>
      </c>
      <c r="G62" s="5">
        <f>F62</f>
        <v>16.43</v>
      </c>
      <c r="H62" s="5">
        <v>0</v>
      </c>
    </row>
    <row r="63" spans="2:10" s="5" customFormat="1" x14ac:dyDescent="0.25">
      <c r="B63"/>
      <c r="C63" s="6"/>
      <c r="D63" s="33" t="s">
        <v>35</v>
      </c>
      <c r="E63" s="36" t="s">
        <v>37</v>
      </c>
      <c r="F63" s="12">
        <v>30.56</v>
      </c>
      <c r="G63" s="5">
        <f>F63</f>
        <v>30.56</v>
      </c>
      <c r="H63" s="5">
        <v>0</v>
      </c>
    </row>
    <row r="64" spans="2:10" s="5" customFormat="1" x14ac:dyDescent="0.25">
      <c r="B64"/>
      <c r="C64" s="43"/>
      <c r="D64" t="s">
        <v>38</v>
      </c>
      <c r="E64" s="36" t="s">
        <v>39</v>
      </c>
      <c r="F64" s="12">
        <v>137.08000000000001</v>
      </c>
      <c r="G64" s="5">
        <f>F64/1.23</f>
        <v>111.44715447154472</v>
      </c>
      <c r="H64" s="5">
        <f>F64-G64</f>
        <v>25.632845528455292</v>
      </c>
      <c r="J64" s="44"/>
    </row>
    <row r="65" spans="2:10" s="5" customFormat="1" x14ac:dyDescent="0.25">
      <c r="B65"/>
      <c r="C65" s="6"/>
      <c r="D65" t="s">
        <v>40</v>
      </c>
      <c r="E65" s="36" t="s">
        <v>41</v>
      </c>
      <c r="F65" s="12">
        <v>8.61</v>
      </c>
      <c r="G65" s="5">
        <f>F65/1.23</f>
        <v>7</v>
      </c>
      <c r="H65" s="5">
        <f>F65-G65</f>
        <v>1.6099999999999994</v>
      </c>
    </row>
    <row r="66" spans="2:10" s="5" customFormat="1" x14ac:dyDescent="0.25">
      <c r="B66"/>
      <c r="C66" s="6"/>
      <c r="D66" t="s">
        <v>42</v>
      </c>
      <c r="E66" s="36" t="s">
        <v>43</v>
      </c>
      <c r="F66" s="12">
        <v>9.99</v>
      </c>
      <c r="G66" s="5">
        <v>8.1199999999999992</v>
      </c>
      <c r="H66" s="5">
        <v>1.87</v>
      </c>
      <c r="J66" s="44"/>
    </row>
    <row r="67" spans="2:10" s="5" customFormat="1" x14ac:dyDescent="0.25">
      <c r="B67"/>
      <c r="C67" s="6"/>
      <c r="D67" s="7" t="s">
        <v>44</v>
      </c>
      <c r="E67" s="36" t="s">
        <v>45</v>
      </c>
      <c r="F67" s="12">
        <v>113</v>
      </c>
      <c r="G67" s="5">
        <f>F67/1.23</f>
        <v>91.869918699186996</v>
      </c>
      <c r="H67" s="5">
        <f>F67-G67</f>
        <v>21.130081300813004</v>
      </c>
      <c r="J67" s="44"/>
    </row>
    <row r="68" spans="2:10" s="5" customFormat="1" x14ac:dyDescent="0.25">
      <c r="B68"/>
      <c r="C68" s="6"/>
      <c r="D68" s="7" t="s">
        <v>46</v>
      </c>
      <c r="E68" s="36" t="s">
        <v>47</v>
      </c>
      <c r="F68" s="12">
        <v>100</v>
      </c>
      <c r="G68" s="5">
        <f>F68/1.23</f>
        <v>81.300813008130078</v>
      </c>
      <c r="H68" s="5">
        <f>F68-G68</f>
        <v>18.699186991869922</v>
      </c>
      <c r="J68" s="44"/>
    </row>
    <row r="69" spans="2:10" s="5" customFormat="1" x14ac:dyDescent="0.25">
      <c r="B69"/>
      <c r="C69" s="6"/>
      <c r="D69" s="7" t="s">
        <v>272</v>
      </c>
      <c r="E69" s="8" t="s">
        <v>273</v>
      </c>
      <c r="F69" s="45">
        <v>58.21</v>
      </c>
      <c r="G69" s="5">
        <f>F69</f>
        <v>58.21</v>
      </c>
      <c r="H69" s="5">
        <v>0</v>
      </c>
      <c r="J69" s="44"/>
    </row>
    <row r="70" spans="2:10" s="5" customFormat="1" x14ac:dyDescent="0.25">
      <c r="B70"/>
      <c r="C70" s="6"/>
      <c r="D70" s="7" t="s">
        <v>272</v>
      </c>
      <c r="E70" s="8" t="s">
        <v>301</v>
      </c>
      <c r="F70" s="45">
        <v>5.75</v>
      </c>
      <c r="G70" s="5">
        <v>5.75</v>
      </c>
      <c r="H70" s="5">
        <v>0</v>
      </c>
      <c r="J70" s="44"/>
    </row>
    <row r="71" spans="2:10" s="5" customFormat="1" x14ac:dyDescent="0.25">
      <c r="B71"/>
      <c r="C71" s="6"/>
      <c r="D71" s="7" t="s">
        <v>308</v>
      </c>
      <c r="E71" s="8" t="s">
        <v>309</v>
      </c>
      <c r="F71" s="45">
        <v>36.64</v>
      </c>
      <c r="G71" s="5">
        <v>29.79</v>
      </c>
      <c r="H71" s="5">
        <f>F71-G71</f>
        <v>6.8500000000000014</v>
      </c>
      <c r="J71" s="44"/>
    </row>
    <row r="72" spans="2:10" s="5" customFormat="1" x14ac:dyDescent="0.25">
      <c r="B72"/>
      <c r="C72" s="6"/>
      <c r="D72" s="7" t="s">
        <v>310</v>
      </c>
      <c r="E72" s="8" t="s">
        <v>311</v>
      </c>
      <c r="F72" s="45">
        <v>18</v>
      </c>
      <c r="G72" s="5">
        <f>F72-H72</f>
        <v>14.629999999999999</v>
      </c>
      <c r="H72" s="5">
        <v>3.37</v>
      </c>
      <c r="J72" s="44"/>
    </row>
    <row r="73" spans="2:10" s="5" customFormat="1" x14ac:dyDescent="0.25">
      <c r="B73"/>
      <c r="C73" s="6"/>
      <c r="D73" s="7" t="s">
        <v>336</v>
      </c>
      <c r="E73" s="8" t="s">
        <v>337</v>
      </c>
      <c r="F73" s="17">
        <v>35.979999999999997</v>
      </c>
      <c r="G73" s="5">
        <v>29.25</v>
      </c>
      <c r="H73" s="5">
        <f>F73-G73</f>
        <v>6.7299999999999969</v>
      </c>
      <c r="J73" s="44"/>
    </row>
    <row r="74" spans="2:10" s="5" customFormat="1" x14ac:dyDescent="0.25">
      <c r="B74"/>
      <c r="C74" s="6"/>
      <c r="D74" s="7" t="s">
        <v>338</v>
      </c>
      <c r="E74" s="8" t="s">
        <v>339</v>
      </c>
      <c r="F74" s="17">
        <v>8.16</v>
      </c>
      <c r="G74" s="5">
        <v>8.16</v>
      </c>
      <c r="J74" s="44"/>
    </row>
    <row r="75" spans="2:10" s="5" customFormat="1" x14ac:dyDescent="0.25">
      <c r="B75"/>
      <c r="C75" s="6"/>
      <c r="D75" s="7" t="s">
        <v>340</v>
      </c>
      <c r="E75" s="8" t="s">
        <v>341</v>
      </c>
      <c r="F75" s="17">
        <v>90</v>
      </c>
      <c r="G75" s="5">
        <f>F75-H75</f>
        <v>81.585000000000008</v>
      </c>
      <c r="H75" s="5">
        <f>16.83/2</f>
        <v>8.4149999999999991</v>
      </c>
      <c r="J75" s="44"/>
    </row>
    <row r="76" spans="2:10" s="5" customFormat="1" x14ac:dyDescent="0.25">
      <c r="B76"/>
      <c r="C76" s="6"/>
      <c r="D76" s="7" t="s">
        <v>349</v>
      </c>
      <c r="E76" s="8"/>
      <c r="F76" s="17">
        <v>80</v>
      </c>
      <c r="G76" s="5">
        <v>80</v>
      </c>
      <c r="H76" s="5">
        <v>0</v>
      </c>
      <c r="J76" s="44"/>
    </row>
    <row r="77" spans="2:10" s="5" customFormat="1" x14ac:dyDescent="0.25">
      <c r="B77"/>
      <c r="C77" s="6"/>
      <c r="D77" s="7" t="s">
        <v>345</v>
      </c>
      <c r="E77" s="8"/>
      <c r="F77" s="17">
        <v>71.099999999999994</v>
      </c>
      <c r="G77" s="5">
        <v>62.92</v>
      </c>
      <c r="H77" s="5">
        <v>8.18</v>
      </c>
      <c r="J77" s="44"/>
    </row>
    <row r="78" spans="2:10" s="5" customFormat="1" x14ac:dyDescent="0.25">
      <c r="B78"/>
      <c r="C78" s="6"/>
      <c r="D78" s="7"/>
      <c r="E78" s="8"/>
      <c r="F78" s="17"/>
      <c r="J78" s="44"/>
    </row>
    <row r="79" spans="2:10" s="5" customFormat="1" x14ac:dyDescent="0.25">
      <c r="B79"/>
      <c r="C79" s="6"/>
      <c r="D79" s="7"/>
      <c r="E79" s="8"/>
      <c r="F79" s="17"/>
      <c r="J79" s="44"/>
    </row>
    <row r="80" spans="2:10" s="5" customFormat="1" x14ac:dyDescent="0.25">
      <c r="B80"/>
      <c r="C80" s="6"/>
      <c r="D80" s="7"/>
      <c r="E80" s="8"/>
      <c r="F80" s="17"/>
      <c r="J80" s="44"/>
    </row>
    <row r="81" spans="2:13" s="5" customFormat="1" x14ac:dyDescent="0.25">
      <c r="C81" s="6"/>
      <c r="D81" s="7"/>
      <c r="E81" s="36"/>
      <c r="F81" s="12"/>
    </row>
    <row r="82" spans="2:13" s="5" customFormat="1" x14ac:dyDescent="0.25">
      <c r="C82" s="1"/>
      <c r="D82" s="3"/>
      <c r="E82" s="1"/>
      <c r="F82" s="40">
        <f>SUM(F58:F81)</f>
        <v>3189.0199999999995</v>
      </c>
      <c r="G82" s="5">
        <f>SUM(G58:G81)</f>
        <v>2223.0328861788621</v>
      </c>
      <c r="H82" s="5">
        <f>SUM(H58:H81)</f>
        <v>156.98711382113825</v>
      </c>
    </row>
    <row r="83" spans="2:13" x14ac:dyDescent="0.25">
      <c r="L83" s="5"/>
      <c r="M83" s="5"/>
    </row>
    <row r="84" spans="2:13" s="5" customFormat="1" x14ac:dyDescent="0.25">
      <c r="C84" s="1"/>
      <c r="D84" s="34" t="s">
        <v>48</v>
      </c>
      <c r="E84" s="1"/>
      <c r="F84" s="4"/>
      <c r="G84" s="5" t="s">
        <v>2</v>
      </c>
      <c r="H84" s="5" t="s">
        <v>3</v>
      </c>
    </row>
    <row r="85" spans="2:13" s="5" customFormat="1" x14ac:dyDescent="0.25">
      <c r="B85"/>
      <c r="C85" s="6">
        <v>44227</v>
      </c>
      <c r="D85" s="33" t="s">
        <v>49</v>
      </c>
      <c r="E85" s="36" t="s">
        <v>80</v>
      </c>
      <c r="F85" s="12">
        <v>1043.8399999999999</v>
      </c>
      <c r="G85" s="5">
        <f t="shared" ref="G85:G89" si="0">F85</f>
        <v>1043.8399999999999</v>
      </c>
      <c r="H85" s="5">
        <v>0</v>
      </c>
    </row>
    <row r="86" spans="2:13" s="5" customFormat="1" x14ac:dyDescent="0.25">
      <c r="B86"/>
      <c r="C86" s="6">
        <v>44227</v>
      </c>
      <c r="D86" t="s">
        <v>51</v>
      </c>
      <c r="E86" s="36" t="s">
        <v>80</v>
      </c>
      <c r="F86" s="12">
        <v>938.09</v>
      </c>
      <c r="G86" s="5">
        <f t="shared" si="0"/>
        <v>938.09</v>
      </c>
      <c r="H86" s="5">
        <v>0</v>
      </c>
    </row>
    <row r="87" spans="2:13" s="5" customFormat="1" x14ac:dyDescent="0.25">
      <c r="B87"/>
      <c r="C87" s="6">
        <v>44227</v>
      </c>
      <c r="D87" t="s">
        <v>52</v>
      </c>
      <c r="E87" s="36" t="s">
        <v>80</v>
      </c>
      <c r="F87" s="12">
        <v>251.55</v>
      </c>
      <c r="G87" s="5">
        <f t="shared" si="0"/>
        <v>251.55</v>
      </c>
    </row>
    <row r="88" spans="2:13" s="5" customFormat="1" x14ac:dyDescent="0.25">
      <c r="B88"/>
      <c r="C88" s="6">
        <v>45688</v>
      </c>
      <c r="D88" t="s">
        <v>53</v>
      </c>
      <c r="E88" s="36" t="s">
        <v>81</v>
      </c>
      <c r="F88" s="12">
        <v>1092.8900000000001</v>
      </c>
      <c r="G88" s="5">
        <f t="shared" si="0"/>
        <v>1092.8900000000001</v>
      </c>
      <c r="H88" s="5">
        <v>0</v>
      </c>
    </row>
    <row r="89" spans="2:13" s="5" customFormat="1" x14ac:dyDescent="0.25">
      <c r="B89"/>
      <c r="C89" s="6">
        <v>45688</v>
      </c>
      <c r="D89" t="s">
        <v>55</v>
      </c>
      <c r="E89" s="36" t="s">
        <v>56</v>
      </c>
      <c r="F89" s="12">
        <v>65</v>
      </c>
      <c r="G89" s="5">
        <f t="shared" si="0"/>
        <v>65</v>
      </c>
      <c r="H89" s="5">
        <v>0</v>
      </c>
    </row>
    <row r="90" spans="2:13" s="5" customFormat="1" x14ac:dyDescent="0.25">
      <c r="B90"/>
      <c r="C90" s="6"/>
      <c r="D90"/>
      <c r="E90" s="36"/>
      <c r="F90" s="12"/>
    </row>
    <row r="91" spans="2:13" s="5" customFormat="1" x14ac:dyDescent="0.25">
      <c r="C91" s="46"/>
      <c r="D91" s="47"/>
      <c r="E91" s="47"/>
      <c r="F91" s="48"/>
    </row>
    <row r="92" spans="2:13" s="5" customFormat="1" x14ac:dyDescent="0.25">
      <c r="C92" s="47"/>
      <c r="D92" s="49"/>
      <c r="E92" s="47"/>
      <c r="F92" s="40">
        <f>SUM(F85:F91)</f>
        <v>3391.37</v>
      </c>
      <c r="G92" s="5">
        <f>SUM(G85:G91)</f>
        <v>3391.37</v>
      </c>
      <c r="H92" s="5">
        <f>SUM(H85:H91)</f>
        <v>0</v>
      </c>
      <c r="I92" s="50">
        <f>F92+Março!I88</f>
        <v>15987.09</v>
      </c>
    </row>
    <row r="93" spans="2:13" x14ac:dyDescent="0.25">
      <c r="L93" s="5"/>
      <c r="M93" s="5"/>
    </row>
    <row r="94" spans="2:13" x14ac:dyDescent="0.25">
      <c r="L94" s="5"/>
      <c r="M94" s="5"/>
    </row>
    <row r="95" spans="2:13" s="5" customFormat="1" x14ac:dyDescent="0.25">
      <c r="C95"/>
      <c r="D95" s="51" t="s">
        <v>19</v>
      </c>
      <c r="E95" s="52">
        <f>E53</f>
        <v>19385</v>
      </c>
      <c r="G95" s="5">
        <f>F53</f>
        <v>18475.833333333336</v>
      </c>
    </row>
    <row r="96" spans="2:13" s="5" customFormat="1" x14ac:dyDescent="0.25">
      <c r="C96"/>
      <c r="D96" s="36" t="s">
        <v>57</v>
      </c>
      <c r="E96" s="12">
        <f>-F39</f>
        <v>-19250.349999999999</v>
      </c>
      <c r="F96" s="38">
        <f>E96/E95</f>
        <v>-0.99305390766056223</v>
      </c>
      <c r="G96" s="5">
        <f>-G39</f>
        <v>-15838.752276422765</v>
      </c>
    </row>
    <row r="97" spans="3:13" s="5" customFormat="1" x14ac:dyDescent="0.25">
      <c r="C97"/>
      <c r="D97" s="36" t="s">
        <v>58</v>
      </c>
      <c r="E97" s="12">
        <f>-F82</f>
        <v>-3189.0199999999995</v>
      </c>
      <c r="F97" s="38">
        <f>(-2951.87/26138.85)</f>
        <v>-0.11293036992828683</v>
      </c>
      <c r="G97" s="5">
        <f>-G82</f>
        <v>-2223.0328861788621</v>
      </c>
    </row>
    <row r="98" spans="3:13" s="5" customFormat="1" x14ac:dyDescent="0.25">
      <c r="C98"/>
      <c r="D98" s="47" t="s">
        <v>59</v>
      </c>
      <c r="E98" s="48">
        <f>-F92</f>
        <v>-3391.37</v>
      </c>
      <c r="F98" s="38">
        <f>E98/E95</f>
        <v>-0.1749481557905597</v>
      </c>
      <c r="G98" s="5">
        <f>-G92</f>
        <v>-3391.37</v>
      </c>
    </row>
    <row r="99" spans="3:13" s="5" customFormat="1" x14ac:dyDescent="0.25">
      <c r="C99"/>
      <c r="D99" s="53" t="s">
        <v>60</v>
      </c>
      <c r="E99" s="54">
        <f>E95+E96+E97+E98</f>
        <v>-6445.739999999998</v>
      </c>
      <c r="F99" s="38">
        <f>E99/E53</f>
        <v>-0.33251173587825628</v>
      </c>
      <c r="G99" s="55">
        <f>G95+G96+G97+G98</f>
        <v>-2977.3218292682914</v>
      </c>
    </row>
    <row r="100" spans="3:13" x14ac:dyDescent="0.25">
      <c r="L100" s="5"/>
      <c r="M100" s="5"/>
    </row>
    <row r="101" spans="3:13" x14ac:dyDescent="0.25">
      <c r="F101" s="24"/>
      <c r="L101" s="5"/>
      <c r="M101" s="5"/>
    </row>
    <row r="102" spans="3:13" ht="18.75" x14ac:dyDescent="0.3">
      <c r="D102" s="56" t="s">
        <v>61</v>
      </c>
      <c r="E102" s="57">
        <f>Março!E98+Abril!E53</f>
        <v>179271.864</v>
      </c>
      <c r="L102" s="5"/>
      <c r="M102" s="5"/>
    </row>
    <row r="103" spans="3:13" x14ac:dyDescent="0.25">
      <c r="L103" s="5"/>
      <c r="M103" s="5"/>
    </row>
    <row r="104" spans="3:13" x14ac:dyDescent="0.25">
      <c r="M104" s="5"/>
    </row>
    <row r="105" spans="3:13" x14ac:dyDescent="0.25">
      <c r="M105" s="5"/>
    </row>
    <row r="106" spans="3:13" x14ac:dyDescent="0.25">
      <c r="M106" s="5"/>
    </row>
    <row r="107" spans="3:13" x14ac:dyDescent="0.25">
      <c r="M107" s="5"/>
    </row>
    <row r="108" spans="3:13" x14ac:dyDescent="0.25">
      <c r="F108"/>
      <c r="G108"/>
      <c r="H108"/>
      <c r="I108"/>
      <c r="M108" s="5"/>
    </row>
    <row r="109" spans="3:13" x14ac:dyDescent="0.25">
      <c r="F109"/>
      <c r="G109"/>
      <c r="H109"/>
      <c r="I109"/>
      <c r="M109" s="5"/>
    </row>
  </sheetData>
  <pageMargins left="0.9055118110236221" right="0.70866141732283472" top="1.6535433070866143" bottom="1.2204724409448819" header="0.31496062992125984" footer="0.31496062992125984"/>
  <pageSetup paperSize="9" scale="65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3A2BA-C472-420D-9A3A-1A18A4B75E88}">
  <dimension ref="A2:Q110"/>
  <sheetViews>
    <sheetView topLeftCell="A13" zoomScale="84" zoomScaleNormal="84" workbookViewId="0">
      <selection activeCell="E44" sqref="E44:E52"/>
    </sheetView>
  </sheetViews>
  <sheetFormatPr defaultRowHeight="15" x14ac:dyDescent="0.25"/>
  <cols>
    <col min="1" max="1" width="12" customWidth="1"/>
    <col min="2" max="2" width="10.5703125" customWidth="1"/>
    <col min="3" max="3" width="8.7109375" customWidth="1"/>
    <col min="4" max="4" width="29.28515625" bestFit="1" customWidth="1"/>
    <col min="5" max="5" width="32.7109375" bestFit="1" customWidth="1"/>
    <col min="6" max="6" width="13" style="5" bestFit="1" customWidth="1"/>
    <col min="7" max="7" width="21.28515625" style="5" bestFit="1" customWidth="1"/>
    <col min="8" max="8" width="13.42578125" style="5" customWidth="1"/>
    <col min="9" max="9" width="13.28515625" style="5" customWidth="1"/>
    <col min="10" max="10" width="19.7109375" bestFit="1" customWidth="1"/>
    <col min="11" max="11" width="16.42578125" bestFit="1" customWidth="1"/>
    <col min="12" max="12" width="12.7109375" bestFit="1" customWidth="1"/>
    <col min="13" max="14" width="11.7109375" bestFit="1" customWidth="1"/>
    <col min="15" max="15" width="12.7109375" bestFit="1" customWidth="1"/>
    <col min="16" max="16" width="10.7109375" bestFit="1" customWidth="1"/>
    <col min="17" max="17" width="11.7109375" bestFit="1" customWidth="1"/>
  </cols>
  <sheetData>
    <row r="2" spans="2:11" x14ac:dyDescent="0.25">
      <c r="B2" s="1" t="s">
        <v>0</v>
      </c>
      <c r="C2" s="1" t="s">
        <v>1</v>
      </c>
      <c r="D2" s="2"/>
      <c r="E2" s="3"/>
      <c r="F2" s="4"/>
      <c r="G2" s="5" t="s">
        <v>2</v>
      </c>
      <c r="H2" s="5" t="s">
        <v>3</v>
      </c>
    </row>
    <row r="3" spans="2:11" x14ac:dyDescent="0.25">
      <c r="B3" s="6">
        <v>45779</v>
      </c>
      <c r="C3" s="6" t="s">
        <v>359</v>
      </c>
      <c r="D3" s="7" t="s">
        <v>116</v>
      </c>
      <c r="E3" s="8" t="s">
        <v>117</v>
      </c>
      <c r="F3" s="9">
        <v>2307.48</v>
      </c>
      <c r="G3" s="5">
        <v>1876</v>
      </c>
      <c r="H3" s="5">
        <v>431.48</v>
      </c>
    </row>
    <row r="4" spans="2:11" x14ac:dyDescent="0.25">
      <c r="B4" s="6">
        <v>45782</v>
      </c>
      <c r="C4" s="6" t="s">
        <v>362</v>
      </c>
      <c r="D4" s="7" t="s">
        <v>363</v>
      </c>
      <c r="E4" s="8" t="s">
        <v>364</v>
      </c>
      <c r="F4" s="9">
        <v>1107</v>
      </c>
      <c r="G4" s="5">
        <v>900</v>
      </c>
      <c r="H4" s="5">
        <v>207</v>
      </c>
    </row>
    <row r="5" spans="2:11" x14ac:dyDescent="0.25">
      <c r="B5" s="6">
        <v>45783</v>
      </c>
      <c r="C5" s="6" t="s">
        <v>371</v>
      </c>
      <c r="D5" s="7" t="s">
        <v>74</v>
      </c>
      <c r="E5" s="8" t="s">
        <v>75</v>
      </c>
      <c r="F5" s="9">
        <v>214.88</v>
      </c>
      <c r="G5" s="5">
        <v>174.4</v>
      </c>
      <c r="H5" s="5">
        <v>40.18</v>
      </c>
    </row>
    <row r="6" spans="2:11" x14ac:dyDescent="0.25">
      <c r="B6" s="6">
        <v>45784</v>
      </c>
      <c r="C6" s="6" t="s">
        <v>377</v>
      </c>
      <c r="D6" s="7" t="s">
        <v>116</v>
      </c>
      <c r="E6" s="8" t="s">
        <v>378</v>
      </c>
      <c r="F6" s="9">
        <v>7968.69</v>
      </c>
      <c r="G6" s="5">
        <v>6478.61</v>
      </c>
      <c r="H6" s="5">
        <v>1490.08</v>
      </c>
      <c r="J6" t="s">
        <v>4</v>
      </c>
    </row>
    <row r="7" spans="2:11" s="5" customFormat="1" x14ac:dyDescent="0.25">
      <c r="B7" s="6">
        <v>45784</v>
      </c>
      <c r="C7" s="6" t="s">
        <v>379</v>
      </c>
      <c r="D7" s="7" t="s">
        <v>177</v>
      </c>
      <c r="E7" s="10" t="s">
        <v>162</v>
      </c>
      <c r="F7" s="9">
        <v>315</v>
      </c>
      <c r="G7" s="11">
        <v>256.10000000000002</v>
      </c>
      <c r="H7" s="11">
        <v>58.9</v>
      </c>
    </row>
    <row r="8" spans="2:11" s="5" customFormat="1" x14ac:dyDescent="0.25">
      <c r="B8" s="6">
        <v>45782</v>
      </c>
      <c r="C8" s="6" t="s">
        <v>382</v>
      </c>
      <c r="D8" s="7" t="s">
        <v>182</v>
      </c>
      <c r="E8" s="8" t="s">
        <v>383</v>
      </c>
      <c r="F8" s="12">
        <v>1400</v>
      </c>
      <c r="G8" s="5">
        <v>1400</v>
      </c>
      <c r="H8" s="5">
        <v>0</v>
      </c>
      <c r="J8" s="5" t="s">
        <v>5</v>
      </c>
      <c r="K8" s="5">
        <f>G55</f>
        <v>0</v>
      </c>
    </row>
    <row r="9" spans="2:11" s="5" customFormat="1" x14ac:dyDescent="0.25">
      <c r="B9" s="6">
        <v>45786</v>
      </c>
      <c r="C9" s="78" t="s">
        <v>384</v>
      </c>
      <c r="D9" s="7" t="s">
        <v>385</v>
      </c>
      <c r="E9" s="8" t="s">
        <v>386</v>
      </c>
      <c r="F9" s="9">
        <v>450</v>
      </c>
      <c r="G9" s="5">
        <v>450</v>
      </c>
      <c r="H9" s="5">
        <v>0</v>
      </c>
      <c r="J9" s="5" t="s">
        <v>6</v>
      </c>
      <c r="K9" s="5">
        <f>H39+H83+H93</f>
        <v>6653.0124390243909</v>
      </c>
    </row>
    <row r="10" spans="2:11" s="5" customFormat="1" x14ac:dyDescent="0.25">
      <c r="B10" s="6">
        <v>45789</v>
      </c>
      <c r="C10" s="6" t="s">
        <v>387</v>
      </c>
      <c r="D10" s="7" t="s">
        <v>210</v>
      </c>
      <c r="E10" s="8" t="s">
        <v>388</v>
      </c>
      <c r="F10" s="9">
        <v>763.87</v>
      </c>
      <c r="G10" s="5">
        <f>F10-H10</f>
        <v>621.03</v>
      </c>
      <c r="H10" s="5">
        <v>142.84</v>
      </c>
      <c r="J10" s="13" t="s">
        <v>7</v>
      </c>
      <c r="K10" s="14">
        <f>K8-K9</f>
        <v>-6653.0124390243909</v>
      </c>
    </row>
    <row r="11" spans="2:11" s="5" customFormat="1" x14ac:dyDescent="0.25">
      <c r="B11" s="6">
        <v>45789</v>
      </c>
      <c r="C11" s="6" t="s">
        <v>389</v>
      </c>
      <c r="D11" s="7" t="s">
        <v>390</v>
      </c>
      <c r="E11" s="8" t="s">
        <v>142</v>
      </c>
      <c r="F11" s="9">
        <v>263.81</v>
      </c>
      <c r="G11" s="5">
        <v>214.48</v>
      </c>
      <c r="H11" s="5">
        <v>49.33</v>
      </c>
    </row>
    <row r="12" spans="2:11" s="5" customFormat="1" x14ac:dyDescent="0.25">
      <c r="B12" s="6">
        <v>45791</v>
      </c>
      <c r="C12" s="6"/>
      <c r="D12" s="7" t="s">
        <v>394</v>
      </c>
      <c r="E12" s="8" t="s">
        <v>395</v>
      </c>
      <c r="F12" s="9">
        <v>41.5</v>
      </c>
      <c r="G12" s="5">
        <f>F12/1.23</f>
        <v>33.739837398373986</v>
      </c>
      <c r="H12" s="5">
        <f>F12-G12</f>
        <v>7.7601626016260141</v>
      </c>
    </row>
    <row r="13" spans="2:11" s="5" customFormat="1" x14ac:dyDescent="0.25">
      <c r="B13" s="6">
        <v>45789</v>
      </c>
      <c r="C13" s="6"/>
      <c r="D13" s="7" t="s">
        <v>213</v>
      </c>
      <c r="E13" s="8"/>
      <c r="F13" s="9">
        <v>53.46</v>
      </c>
      <c r="G13" s="5">
        <f>F13/1.23</f>
        <v>43.463414634146346</v>
      </c>
      <c r="H13" s="5">
        <f>F13-G13</f>
        <v>9.9965853658536545</v>
      </c>
      <c r="J13" s="5" t="s">
        <v>8</v>
      </c>
      <c r="K13" s="5">
        <f>F55</f>
        <v>65033.066666666666</v>
      </c>
    </row>
    <row r="14" spans="2:11" s="5" customFormat="1" x14ac:dyDescent="0.25">
      <c r="B14" s="6">
        <v>45786</v>
      </c>
      <c r="C14" s="6"/>
      <c r="D14" s="7" t="s">
        <v>159</v>
      </c>
      <c r="E14" s="8" t="s">
        <v>395</v>
      </c>
      <c r="F14" s="9">
        <v>64.680000000000007</v>
      </c>
      <c r="G14" s="5">
        <f>F14/1.23</f>
        <v>52.585365853658544</v>
      </c>
      <c r="H14" s="5">
        <f>F14-G14</f>
        <v>12.094634146341463</v>
      </c>
      <c r="J14" s="5" t="s">
        <v>9</v>
      </c>
      <c r="K14" s="5">
        <f>G39+G83+G93</f>
        <v>37669.427560975615</v>
      </c>
    </row>
    <row r="15" spans="2:11" s="5" customFormat="1" x14ac:dyDescent="0.25">
      <c r="B15" s="6">
        <v>45792</v>
      </c>
      <c r="C15" s="6" t="s">
        <v>399</v>
      </c>
      <c r="D15" s="7" t="s">
        <v>151</v>
      </c>
      <c r="E15" s="8"/>
      <c r="F15" s="9">
        <v>5227.5</v>
      </c>
      <c r="G15" s="5">
        <f>F15/1.23</f>
        <v>4250</v>
      </c>
      <c r="H15" s="5">
        <f>F15-G15</f>
        <v>977.5</v>
      </c>
      <c r="K15" s="5">
        <f>K13-K14</f>
        <v>27363.639105691051</v>
      </c>
    </row>
    <row r="16" spans="2:11" s="5" customFormat="1" x14ac:dyDescent="0.25">
      <c r="B16" s="6">
        <v>45792</v>
      </c>
      <c r="C16" s="6" t="s">
        <v>400</v>
      </c>
      <c r="D16" s="7" t="s">
        <v>151</v>
      </c>
      <c r="E16" s="8" t="s">
        <v>401</v>
      </c>
      <c r="F16" s="9">
        <v>375.15</v>
      </c>
      <c r="G16" s="5">
        <f>F16/1.23</f>
        <v>305</v>
      </c>
      <c r="H16" s="5">
        <f>F16-G16</f>
        <v>70.149999999999977</v>
      </c>
      <c r="J16" s="13" t="s">
        <v>10</v>
      </c>
      <c r="K16" s="14">
        <f>K15*0.17</f>
        <v>4651.8186479674787</v>
      </c>
    </row>
    <row r="17" spans="1:14" s="5" customFormat="1" x14ac:dyDescent="0.25">
      <c r="B17" s="6">
        <v>45792</v>
      </c>
      <c r="C17" s="6"/>
      <c r="D17" s="7" t="s">
        <v>402</v>
      </c>
      <c r="E17" s="8" t="s">
        <v>403</v>
      </c>
      <c r="F17" s="9">
        <v>254.99</v>
      </c>
      <c r="G17" s="5">
        <f>F17-H17</f>
        <v>207.31</v>
      </c>
      <c r="H17" s="5">
        <v>47.68</v>
      </c>
    </row>
    <row r="18" spans="1:14" s="5" customFormat="1" x14ac:dyDescent="0.25">
      <c r="B18" s="6">
        <v>45793</v>
      </c>
      <c r="C18" s="15" t="s">
        <v>404</v>
      </c>
      <c r="D18" s="7" t="s">
        <v>306</v>
      </c>
      <c r="E18" s="8" t="s">
        <v>405</v>
      </c>
      <c r="F18" s="9">
        <v>600</v>
      </c>
      <c r="G18" s="5">
        <v>600</v>
      </c>
      <c r="H18" s="5">
        <v>0</v>
      </c>
    </row>
    <row r="19" spans="1:14" s="5" customFormat="1" x14ac:dyDescent="0.25">
      <c r="A19" s="16"/>
      <c r="B19" s="6">
        <v>45793</v>
      </c>
      <c r="C19" s="6" t="s">
        <v>406</v>
      </c>
      <c r="D19" s="7" t="s">
        <v>177</v>
      </c>
      <c r="E19" s="8" t="s">
        <v>407</v>
      </c>
      <c r="F19" s="17">
        <v>680</v>
      </c>
      <c r="G19" s="5">
        <v>552.85</v>
      </c>
      <c r="H19" s="5">
        <v>127.15</v>
      </c>
    </row>
    <row r="20" spans="1:14" s="5" customFormat="1" x14ac:dyDescent="0.25">
      <c r="B20" s="6">
        <v>45797</v>
      </c>
      <c r="C20" s="6" t="s">
        <v>413</v>
      </c>
      <c r="D20" s="7" t="s">
        <v>116</v>
      </c>
      <c r="E20" s="8" t="s">
        <v>414</v>
      </c>
      <c r="F20" s="17">
        <v>4898.2</v>
      </c>
      <c r="G20" s="5">
        <v>3982.28</v>
      </c>
      <c r="H20" s="5">
        <f>F20-G20</f>
        <v>915.91999999999962</v>
      </c>
    </row>
    <row r="21" spans="1:14" s="5" customFormat="1" x14ac:dyDescent="0.25">
      <c r="B21" s="6">
        <v>45799</v>
      </c>
      <c r="C21" s="6" t="s">
        <v>415</v>
      </c>
      <c r="D21" s="7" t="s">
        <v>197</v>
      </c>
      <c r="E21" s="8" t="s">
        <v>416</v>
      </c>
      <c r="F21" s="9">
        <v>1589.16</v>
      </c>
      <c r="G21" s="5">
        <v>1292</v>
      </c>
      <c r="H21" s="5">
        <v>297.16000000000003</v>
      </c>
      <c r="J21" s="14" t="s">
        <v>11</v>
      </c>
    </row>
    <row r="22" spans="1:14" s="5" customFormat="1" x14ac:dyDescent="0.25">
      <c r="B22" s="6">
        <v>45799</v>
      </c>
      <c r="C22" s="6" t="s">
        <v>417</v>
      </c>
      <c r="D22" s="7" t="s">
        <v>418</v>
      </c>
      <c r="E22" s="8" t="s">
        <v>97</v>
      </c>
      <c r="F22" s="17">
        <v>67.819999999999993</v>
      </c>
      <c r="G22" s="5">
        <v>55.14</v>
      </c>
      <c r="H22" s="5">
        <v>12.68</v>
      </c>
      <c r="I22" s="18" t="s">
        <v>10</v>
      </c>
      <c r="J22" s="5" t="s">
        <v>12</v>
      </c>
      <c r="K22" s="14">
        <f>K13+Abril!K22</f>
        <v>183957.06333333335</v>
      </c>
      <c r="M22" s="19"/>
    </row>
    <row r="23" spans="1:14" s="5" customFormat="1" x14ac:dyDescent="0.25">
      <c r="B23" s="6">
        <v>45800</v>
      </c>
      <c r="C23" s="6" t="s">
        <v>424</v>
      </c>
      <c r="D23" s="7" t="s">
        <v>390</v>
      </c>
      <c r="E23" s="8" t="s">
        <v>142</v>
      </c>
      <c r="F23" s="9">
        <v>50.95</v>
      </c>
      <c r="G23" s="5">
        <v>41.42</v>
      </c>
      <c r="H23" s="5">
        <f>F23-G23</f>
        <v>9.5300000000000011</v>
      </c>
      <c r="I23" s="13"/>
      <c r="J23" s="5" t="s">
        <v>13</v>
      </c>
      <c r="K23" s="5">
        <f>K14+Abril!K23</f>
        <v>162155.09597560979</v>
      </c>
    </row>
    <row r="24" spans="1:14" s="5" customFormat="1" x14ac:dyDescent="0.25">
      <c r="B24" s="6">
        <v>45803</v>
      </c>
      <c r="C24" s="6" t="s">
        <v>426</v>
      </c>
      <c r="D24" s="7" t="s">
        <v>306</v>
      </c>
      <c r="E24" s="8" t="s">
        <v>427</v>
      </c>
      <c r="F24" s="20">
        <v>350</v>
      </c>
      <c r="G24" s="5">
        <v>350</v>
      </c>
      <c r="H24" s="5">
        <v>0</v>
      </c>
      <c r="I24" s="13"/>
      <c r="J24" s="13" t="s">
        <v>14</v>
      </c>
      <c r="K24" s="5">
        <f>1714.45*5</f>
        <v>8572.25</v>
      </c>
    </row>
    <row r="25" spans="1:14" s="5" customFormat="1" x14ac:dyDescent="0.25">
      <c r="B25" s="6">
        <v>45804</v>
      </c>
      <c r="C25" s="6"/>
      <c r="D25" s="7" t="s">
        <v>428</v>
      </c>
      <c r="E25" s="8" t="s">
        <v>429</v>
      </c>
      <c r="F25" s="9">
        <f>166.99*2</f>
        <v>333.98</v>
      </c>
      <c r="G25" s="5">
        <f>F25</f>
        <v>333.98</v>
      </c>
      <c r="H25" s="5">
        <v>0</v>
      </c>
      <c r="I25" s="13"/>
      <c r="K25" s="21">
        <f>K22-K23-K24</f>
        <v>13229.717357723566</v>
      </c>
      <c r="L25" s="11"/>
    </row>
    <row r="26" spans="1:14" s="5" customFormat="1" x14ac:dyDescent="0.25">
      <c r="B26" s="6">
        <v>45805</v>
      </c>
      <c r="C26" s="6" t="s">
        <v>431</v>
      </c>
      <c r="D26" s="7" t="s">
        <v>74</v>
      </c>
      <c r="E26" s="8" t="s">
        <v>432</v>
      </c>
      <c r="F26" s="12">
        <v>220.41</v>
      </c>
      <c r="G26" s="5">
        <v>179.19</v>
      </c>
      <c r="H26" s="5">
        <v>41.22</v>
      </c>
      <c r="I26" s="13"/>
      <c r="J26" s="22">
        <v>0.17</v>
      </c>
      <c r="K26" s="23">
        <f>K25*0.17</f>
        <v>2249.0519508130064</v>
      </c>
    </row>
    <row r="27" spans="1:14" s="5" customFormat="1" x14ac:dyDescent="0.25">
      <c r="B27" s="6">
        <v>45805</v>
      </c>
      <c r="C27" s="6" t="s">
        <v>433</v>
      </c>
      <c r="D27" s="7" t="s">
        <v>177</v>
      </c>
      <c r="E27" s="8" t="s">
        <v>162</v>
      </c>
      <c r="F27" s="9">
        <v>160</v>
      </c>
      <c r="G27" s="5">
        <v>130.08000000000001</v>
      </c>
      <c r="H27" s="5">
        <v>29.92</v>
      </c>
      <c r="I27" s="18" t="s">
        <v>15</v>
      </c>
      <c r="J27" s="5" t="s">
        <v>12</v>
      </c>
      <c r="K27" s="5">
        <f>K8+Abril!K27</f>
        <v>0</v>
      </c>
    </row>
    <row r="28" spans="1:14" s="5" customFormat="1" x14ac:dyDescent="0.25">
      <c r="B28" s="6">
        <v>45805</v>
      </c>
      <c r="C28" s="6" t="s">
        <v>434</v>
      </c>
      <c r="D28" s="7" t="s">
        <v>116</v>
      </c>
      <c r="E28" s="8" t="s">
        <v>435</v>
      </c>
      <c r="F28" s="9">
        <v>2138.85</v>
      </c>
      <c r="G28" s="5">
        <v>1738.9</v>
      </c>
      <c r="H28" s="5">
        <v>399.95</v>
      </c>
      <c r="I28" s="13"/>
      <c r="J28" s="5" t="s">
        <v>16</v>
      </c>
      <c r="K28" s="5">
        <f>K9+Abril!K28</f>
        <v>27233.722479674794</v>
      </c>
    </row>
    <row r="29" spans="1:14" s="5" customFormat="1" x14ac:dyDescent="0.25">
      <c r="B29" s="6">
        <v>45805</v>
      </c>
      <c r="C29" s="6" t="s">
        <v>436</v>
      </c>
      <c r="D29" s="7" t="s">
        <v>437</v>
      </c>
      <c r="E29" s="10" t="s">
        <v>94</v>
      </c>
      <c r="F29" s="9">
        <v>5087.32</v>
      </c>
      <c r="G29" s="11">
        <v>4136.03</v>
      </c>
      <c r="H29" s="11">
        <v>951.29</v>
      </c>
      <c r="J29" s="18" t="s">
        <v>3</v>
      </c>
      <c r="K29" s="23">
        <f>K27-K28</f>
        <v>-27233.722479674794</v>
      </c>
    </row>
    <row r="30" spans="1:14" s="5" customFormat="1" x14ac:dyDescent="0.25">
      <c r="B30" s="6">
        <v>45805</v>
      </c>
      <c r="C30" s="6" t="s">
        <v>440</v>
      </c>
      <c r="D30" s="7" t="s">
        <v>441</v>
      </c>
      <c r="E30" s="8" t="s">
        <v>94</v>
      </c>
      <c r="F30" s="9">
        <v>694.1</v>
      </c>
      <c r="G30" s="5">
        <f>F30-H30</f>
        <v>564.31000000000006</v>
      </c>
      <c r="H30" s="5">
        <v>129.79</v>
      </c>
      <c r="J30" s="16"/>
      <c r="K30" s="24"/>
      <c r="L30" s="25">
        <f>K30+K29</f>
        <v>-27233.722479674794</v>
      </c>
    </row>
    <row r="31" spans="1:14" s="5" customFormat="1" x14ac:dyDescent="0.25">
      <c r="B31" s="6">
        <v>45806</v>
      </c>
      <c r="C31" s="6" t="s">
        <v>134</v>
      </c>
      <c r="D31" s="7" t="s">
        <v>111</v>
      </c>
      <c r="E31" s="10" t="s">
        <v>401</v>
      </c>
      <c r="F31" s="9">
        <v>24.6</v>
      </c>
      <c r="G31" s="11">
        <v>20</v>
      </c>
      <c r="H31" s="11">
        <v>4.5999999999999996</v>
      </c>
      <c r="J31" s="18"/>
      <c r="K31" s="24" t="s">
        <v>62</v>
      </c>
      <c r="L31" s="5">
        <v>14954.52</v>
      </c>
    </row>
    <row r="32" spans="1:14" s="5" customFormat="1" x14ac:dyDescent="0.25">
      <c r="B32" s="6"/>
      <c r="C32" s="6"/>
      <c r="D32" s="7"/>
      <c r="E32" s="8"/>
      <c r="F32" s="9"/>
      <c r="J32" s="18"/>
      <c r="K32" s="23"/>
      <c r="L32" s="26">
        <f>SUM(L30:L31)</f>
        <v>-12279.202479674794</v>
      </c>
      <c r="N32" s="14"/>
    </row>
    <row r="33" spans="1:17" s="5" customFormat="1" x14ac:dyDescent="0.25">
      <c r="B33" s="6"/>
      <c r="C33" s="6"/>
      <c r="D33" s="7"/>
      <c r="E33" s="8"/>
      <c r="F33" s="9"/>
      <c r="J33" s="18"/>
      <c r="K33" s="14" t="s">
        <v>17</v>
      </c>
      <c r="L33" s="27">
        <f>Abril!L33+3556+2144.67+2715.07+275.33+382.45</f>
        <v>12569.78</v>
      </c>
    </row>
    <row r="34" spans="1:17" s="5" customFormat="1" x14ac:dyDescent="0.25">
      <c r="B34" s="6"/>
      <c r="C34" s="6"/>
      <c r="D34" s="7"/>
      <c r="E34" s="8"/>
      <c r="F34" s="9"/>
      <c r="J34" s="18"/>
      <c r="K34" s="14"/>
      <c r="L34" s="14"/>
    </row>
    <row r="35" spans="1:17" s="5" customFormat="1" x14ac:dyDescent="0.25">
      <c r="B35" s="6"/>
      <c r="C35" s="6"/>
      <c r="D35" s="7"/>
      <c r="E35" s="8"/>
      <c r="F35" s="9"/>
      <c r="J35" s="18"/>
      <c r="K35" s="14"/>
      <c r="L35" s="14"/>
    </row>
    <row r="36" spans="1:17" s="5" customFormat="1" x14ac:dyDescent="0.25">
      <c r="B36" s="6"/>
      <c r="C36" s="6"/>
      <c r="D36" s="7"/>
      <c r="E36" s="8"/>
      <c r="F36" s="9"/>
      <c r="J36" s="18"/>
      <c r="K36" s="14"/>
      <c r="L36" s="14"/>
    </row>
    <row r="37" spans="1:17" s="5" customFormat="1" x14ac:dyDescent="0.25">
      <c r="B37" s="6"/>
      <c r="C37" s="6"/>
      <c r="D37" s="7"/>
      <c r="E37" s="28"/>
      <c r="F37" s="17"/>
      <c r="G37" s="23"/>
      <c r="L37" s="14"/>
    </row>
    <row r="38" spans="1:17" s="5" customFormat="1" x14ac:dyDescent="0.25">
      <c r="B38" s="6"/>
      <c r="C38" s="6"/>
      <c r="D38" s="7"/>
      <c r="E38" s="8"/>
      <c r="F38" s="17"/>
    </row>
    <row r="39" spans="1:17" x14ac:dyDescent="0.25">
      <c r="B39" s="29"/>
      <c r="C39" s="29"/>
      <c r="D39" s="30"/>
      <c r="E39" s="31"/>
      <c r="F39" s="32">
        <f>SUM(F3:F38)</f>
        <v>37703.399999999994</v>
      </c>
      <c r="G39" s="5">
        <f>SUM(G3:G38)</f>
        <v>31238.898617886178</v>
      </c>
      <c r="H39" s="14">
        <f>SUM(H3:H38)</f>
        <v>6464.2013821138216</v>
      </c>
      <c r="J39" s="5"/>
      <c r="M39" s="5"/>
      <c r="Q39" s="5"/>
    </row>
    <row r="40" spans="1:17" x14ac:dyDescent="0.25">
      <c r="C40" s="33"/>
      <c r="M40" s="5"/>
      <c r="Q40" s="5"/>
    </row>
    <row r="41" spans="1:17" x14ac:dyDescent="0.25">
      <c r="C41" s="33"/>
      <c r="M41" s="5"/>
      <c r="N41" s="5"/>
      <c r="O41" s="5"/>
      <c r="Q41" s="5"/>
    </row>
    <row r="42" spans="1:17" x14ac:dyDescent="0.25">
      <c r="C42" s="33"/>
      <c r="M42" s="5"/>
      <c r="N42" s="5"/>
      <c r="O42" s="5"/>
      <c r="Q42" s="5"/>
    </row>
    <row r="43" spans="1:17" x14ac:dyDescent="0.25">
      <c r="B43" t="s">
        <v>18</v>
      </c>
      <c r="C43" s="29"/>
      <c r="D43" s="34" t="s">
        <v>19</v>
      </c>
      <c r="E43" s="31"/>
      <c r="F43" s="5" t="s">
        <v>20</v>
      </c>
      <c r="G43" s="5" t="s">
        <v>3</v>
      </c>
      <c r="H43" s="5" t="s">
        <v>21</v>
      </c>
      <c r="M43" s="5"/>
      <c r="O43" s="5"/>
      <c r="Q43" s="5"/>
    </row>
    <row r="44" spans="1:17" s="5" customFormat="1" x14ac:dyDescent="0.25">
      <c r="A44" t="s">
        <v>283</v>
      </c>
      <c r="C44" s="35" t="s">
        <v>410</v>
      </c>
      <c r="D44" s="36" t="s">
        <v>282</v>
      </c>
      <c r="E44" s="12">
        <f>10668*2</f>
        <v>21336</v>
      </c>
      <c r="F44" s="69">
        <f>14653+3127</f>
        <v>17780</v>
      </c>
      <c r="G44" s="69" t="s">
        <v>412</v>
      </c>
      <c r="H44" s="71">
        <f>E44-10668</f>
        <v>10668</v>
      </c>
      <c r="I44" s="38" t="s">
        <v>284</v>
      </c>
    </row>
    <row r="45" spans="1:17" s="5" customFormat="1" x14ac:dyDescent="0.25">
      <c r="B45"/>
      <c r="C45" s="35" t="s">
        <v>408</v>
      </c>
      <c r="D45" s="36" t="s">
        <v>313</v>
      </c>
      <c r="E45" s="12">
        <v>46042.6</v>
      </c>
      <c r="F45" s="69">
        <f>10723.33</f>
        <v>10723.33</v>
      </c>
      <c r="G45" s="69" t="s">
        <v>445</v>
      </c>
      <c r="H45" s="71">
        <f>E45-15000-6000</f>
        <v>25042.6</v>
      </c>
      <c r="I45" s="38"/>
      <c r="K45" s="5">
        <f>17780+1561.17</f>
        <v>19341.169999999998</v>
      </c>
    </row>
    <row r="46" spans="1:17" s="5" customFormat="1" x14ac:dyDescent="0.25">
      <c r="B46"/>
      <c r="C46" s="35" t="s">
        <v>442</v>
      </c>
      <c r="D46" s="36" t="s">
        <v>313</v>
      </c>
      <c r="E46" s="12"/>
      <c r="F46" s="69">
        <v>26075.33</v>
      </c>
      <c r="G46" s="69" t="s">
        <v>446</v>
      </c>
      <c r="H46" s="71"/>
      <c r="I46" s="38" t="s">
        <v>356</v>
      </c>
    </row>
    <row r="47" spans="1:17" s="5" customFormat="1" x14ac:dyDescent="0.25">
      <c r="B47"/>
      <c r="C47" s="35" t="s">
        <v>361</v>
      </c>
      <c r="D47" s="36" t="s">
        <v>82</v>
      </c>
      <c r="E47" s="12">
        <v>3295</v>
      </c>
      <c r="F47" s="37">
        <f>E47</f>
        <v>3295</v>
      </c>
      <c r="G47" s="37"/>
      <c r="H47" s="11">
        <v>0</v>
      </c>
    </row>
    <row r="48" spans="1:17" s="5" customFormat="1" x14ac:dyDescent="0.25">
      <c r="B48"/>
      <c r="C48" s="35" t="s">
        <v>360</v>
      </c>
      <c r="D48" s="36" t="s">
        <v>82</v>
      </c>
      <c r="E48" s="12">
        <v>415.49</v>
      </c>
      <c r="F48" s="37">
        <f>E48</f>
        <v>415.49</v>
      </c>
      <c r="G48" s="37"/>
      <c r="H48" s="11">
        <v>0</v>
      </c>
    </row>
    <row r="49" spans="1:9" s="5" customFormat="1" x14ac:dyDescent="0.25">
      <c r="B49"/>
      <c r="C49" s="35" t="s">
        <v>425</v>
      </c>
      <c r="D49" s="36" t="s">
        <v>82</v>
      </c>
      <c r="E49" s="12">
        <v>746.65</v>
      </c>
      <c r="F49" s="37">
        <f>E49</f>
        <v>746.65</v>
      </c>
      <c r="G49" s="37"/>
      <c r="H49" s="77">
        <f>E49-289.51</f>
        <v>457.14</v>
      </c>
    </row>
    <row r="50" spans="1:9" s="5" customFormat="1" x14ac:dyDescent="0.25">
      <c r="B50"/>
      <c r="C50" s="35" t="s">
        <v>409</v>
      </c>
      <c r="D50" s="36" t="s">
        <v>391</v>
      </c>
      <c r="E50" s="12">
        <v>1652</v>
      </c>
      <c r="F50" s="37">
        <f>E50/1.2</f>
        <v>1376.6666666666667</v>
      </c>
      <c r="G50" s="37" t="s">
        <v>392</v>
      </c>
      <c r="H50" s="77">
        <f>E50-826-660.8</f>
        <v>165.20000000000005</v>
      </c>
    </row>
    <row r="51" spans="1:9" s="5" customFormat="1" x14ac:dyDescent="0.25">
      <c r="A51" s="63" t="s">
        <v>327</v>
      </c>
      <c r="B51"/>
      <c r="C51" s="35" t="s">
        <v>443</v>
      </c>
      <c r="D51" s="36" t="s">
        <v>314</v>
      </c>
      <c r="E51" s="12">
        <v>7135.73</v>
      </c>
      <c r="F51" s="37">
        <v>4620.6000000000004</v>
      </c>
      <c r="G51" s="37" t="s">
        <v>444</v>
      </c>
      <c r="H51" s="71">
        <f>E51-3250</f>
        <v>3885.7299999999996</v>
      </c>
      <c r="I51" s="38" t="s">
        <v>357</v>
      </c>
    </row>
    <row r="52" spans="1:9" s="5" customFormat="1" x14ac:dyDescent="0.25">
      <c r="B52"/>
      <c r="C52" s="35"/>
      <c r="D52" s="36" t="s">
        <v>315</v>
      </c>
      <c r="E52" s="12">
        <f>(2580+400)+(2580*1.2)</f>
        <v>6076</v>
      </c>
      <c r="F52" s="37"/>
      <c r="G52" s="37"/>
      <c r="H52" s="11">
        <f>E52</f>
        <v>6076</v>
      </c>
    </row>
    <row r="53" spans="1:9" s="5" customFormat="1" x14ac:dyDescent="0.25">
      <c r="A53" s="5" t="s">
        <v>422</v>
      </c>
      <c r="B53"/>
      <c r="C53" s="35"/>
      <c r="D53" s="36" t="s">
        <v>421</v>
      </c>
      <c r="E53" s="12"/>
      <c r="F53" s="37"/>
      <c r="G53" s="37">
        <v>934.96</v>
      </c>
      <c r="H53" s="11"/>
    </row>
    <row r="54" spans="1:9" s="62" customFormat="1" x14ac:dyDescent="0.25">
      <c r="B54" s="63"/>
      <c r="C54" s="64"/>
      <c r="D54" s="65"/>
      <c r="E54" s="66"/>
      <c r="F54" s="67"/>
      <c r="G54" s="67"/>
      <c r="H54" s="68"/>
    </row>
    <row r="55" spans="1:9" s="5" customFormat="1" x14ac:dyDescent="0.25">
      <c r="C55" s="39"/>
      <c r="D55" s="1"/>
      <c r="E55" s="40">
        <f>SUM(E44:E54)</f>
        <v>86699.47</v>
      </c>
      <c r="F55" s="14">
        <f>SUM(F44:F54)</f>
        <v>65033.066666666666</v>
      </c>
      <c r="G55" s="14">
        <f>SUM(G44:G52)</f>
        <v>0</v>
      </c>
      <c r="H55" s="14">
        <f>SUM(H44:H54)</f>
        <v>46294.67</v>
      </c>
    </row>
    <row r="56" spans="1:9" s="5" customFormat="1" x14ac:dyDescent="0.25">
      <c r="C56" s="33"/>
      <c r="D56" s="36"/>
      <c r="G56" s="37"/>
    </row>
    <row r="57" spans="1:9" s="5" customFormat="1" x14ac:dyDescent="0.25">
      <c r="C57" s="33"/>
      <c r="D57" s="36"/>
      <c r="G57" s="14"/>
    </row>
    <row r="58" spans="1:9" s="5" customFormat="1" x14ac:dyDescent="0.25">
      <c r="C58" s="33"/>
      <c r="D58" s="36"/>
    </row>
    <row r="59" spans="1:9" s="5" customFormat="1" x14ac:dyDescent="0.25">
      <c r="B59" s="1" t="s">
        <v>1</v>
      </c>
      <c r="C59" s="1"/>
      <c r="D59" s="34" t="s">
        <v>26</v>
      </c>
      <c r="E59" s="1"/>
      <c r="F59" s="4"/>
      <c r="G59" s="5" t="s">
        <v>2</v>
      </c>
      <c r="H59" s="5" t="s">
        <v>3</v>
      </c>
    </row>
    <row r="60" spans="1:9" s="5" customFormat="1" x14ac:dyDescent="0.25">
      <c r="B60"/>
      <c r="C60" s="6"/>
      <c r="D60" t="s">
        <v>27</v>
      </c>
      <c r="E60" s="36" t="s">
        <v>28</v>
      </c>
      <c r="F60" s="12">
        <v>246</v>
      </c>
      <c r="G60" s="5">
        <v>200</v>
      </c>
      <c r="H60" s="5">
        <v>46</v>
      </c>
    </row>
    <row r="61" spans="1:9" s="5" customFormat="1" x14ac:dyDescent="0.25">
      <c r="B61"/>
      <c r="C61" s="6"/>
      <c r="D61" t="s">
        <v>29</v>
      </c>
      <c r="E61" s="36" t="s">
        <v>30</v>
      </c>
      <c r="F61" s="12">
        <v>230</v>
      </c>
      <c r="G61" s="5">
        <f>F61</f>
        <v>230</v>
      </c>
      <c r="H61" s="5">
        <v>0</v>
      </c>
    </row>
    <row r="62" spans="1:9" s="5" customFormat="1" x14ac:dyDescent="0.25">
      <c r="B62"/>
      <c r="C62" s="6"/>
      <c r="D62" t="s">
        <v>31</v>
      </c>
      <c r="E62" s="36" t="s">
        <v>32</v>
      </c>
      <c r="F62" s="12">
        <v>956.04</v>
      </c>
      <c r="G62" s="41">
        <f>138.79+2.6+5.65</f>
        <v>147.04</v>
      </c>
      <c r="H62" s="5">
        <v>0</v>
      </c>
      <c r="I62" s="37"/>
    </row>
    <row r="63" spans="1:9" s="5" customFormat="1" x14ac:dyDescent="0.25">
      <c r="B63" s="42"/>
      <c r="C63" s="6"/>
      <c r="D63" t="s">
        <v>33</v>
      </c>
      <c r="E63" s="36" t="s">
        <v>34</v>
      </c>
      <c r="F63" s="12">
        <f>G63+H63</f>
        <v>900</v>
      </c>
      <c r="G63" s="5">
        <v>900</v>
      </c>
      <c r="H63" s="5">
        <v>0</v>
      </c>
    </row>
    <row r="64" spans="1:9" s="5" customFormat="1" x14ac:dyDescent="0.25">
      <c r="B64"/>
      <c r="C64" s="6"/>
      <c r="D64" s="33" t="s">
        <v>35</v>
      </c>
      <c r="E64" s="36" t="s">
        <v>36</v>
      </c>
      <c r="F64" s="12">
        <f>15.8+0.63</f>
        <v>16.43</v>
      </c>
      <c r="G64" s="5">
        <f>F64</f>
        <v>16.43</v>
      </c>
      <c r="H64" s="5">
        <v>0</v>
      </c>
    </row>
    <row r="65" spans="2:10" s="5" customFormat="1" x14ac:dyDescent="0.25">
      <c r="B65"/>
      <c r="C65" s="6"/>
      <c r="D65" s="33" t="s">
        <v>35</v>
      </c>
      <c r="E65" s="36" t="s">
        <v>37</v>
      </c>
      <c r="F65" s="12">
        <v>30.56</v>
      </c>
      <c r="G65" s="5">
        <f>F65</f>
        <v>30.56</v>
      </c>
      <c r="H65" s="5">
        <v>0</v>
      </c>
    </row>
    <row r="66" spans="2:10" s="5" customFormat="1" x14ac:dyDescent="0.25">
      <c r="B66"/>
      <c r="C66" s="43"/>
      <c r="D66" t="s">
        <v>38</v>
      </c>
      <c r="E66" s="36" t="s">
        <v>39</v>
      </c>
      <c r="F66" s="12">
        <v>121.13</v>
      </c>
      <c r="G66" s="5">
        <f>F66/1.23</f>
        <v>98.479674796747972</v>
      </c>
      <c r="H66" s="5">
        <f>F66-G66</f>
        <v>22.650325203252024</v>
      </c>
      <c r="J66" s="44"/>
    </row>
    <row r="67" spans="2:10" s="5" customFormat="1" x14ac:dyDescent="0.25">
      <c r="B67"/>
      <c r="C67" s="6"/>
      <c r="D67" t="s">
        <v>40</v>
      </c>
      <c r="E67" s="36" t="s">
        <v>41</v>
      </c>
      <c r="F67" s="12">
        <v>8.61</v>
      </c>
      <c r="G67" s="5">
        <f>F67/1.23</f>
        <v>7</v>
      </c>
      <c r="H67" s="5">
        <f>F67-G67</f>
        <v>1.6099999999999994</v>
      </c>
    </row>
    <row r="68" spans="2:10" s="5" customFormat="1" x14ac:dyDescent="0.25">
      <c r="B68"/>
      <c r="C68" s="6"/>
      <c r="D68" t="s">
        <v>42</v>
      </c>
      <c r="E68" s="36" t="s">
        <v>43</v>
      </c>
      <c r="F68" s="12">
        <v>9.99</v>
      </c>
      <c r="G68" s="5">
        <v>8.1199999999999992</v>
      </c>
      <c r="H68" s="5">
        <v>1.87</v>
      </c>
      <c r="J68" s="44"/>
    </row>
    <row r="69" spans="2:10" s="5" customFormat="1" x14ac:dyDescent="0.25">
      <c r="B69"/>
      <c r="C69" s="6"/>
      <c r="D69" s="7" t="s">
        <v>44</v>
      </c>
      <c r="E69" s="36" t="s">
        <v>45</v>
      </c>
      <c r="F69" s="12">
        <v>113</v>
      </c>
      <c r="G69" s="5">
        <f>F69/1.23</f>
        <v>91.869918699186996</v>
      </c>
      <c r="H69" s="5">
        <f>F69-G69</f>
        <v>21.130081300813004</v>
      </c>
      <c r="J69" s="44"/>
    </row>
    <row r="70" spans="2:10" s="5" customFormat="1" x14ac:dyDescent="0.25">
      <c r="B70"/>
      <c r="C70" s="6"/>
      <c r="D70" s="7" t="s">
        <v>46</v>
      </c>
      <c r="E70" s="36" t="s">
        <v>47</v>
      </c>
      <c r="F70" s="12">
        <v>32.950000000000003</v>
      </c>
      <c r="G70" s="5">
        <f>F70-H70</f>
        <v>26.790000000000003</v>
      </c>
      <c r="H70" s="5">
        <v>6.16</v>
      </c>
      <c r="J70" s="44"/>
    </row>
    <row r="71" spans="2:10" s="5" customFormat="1" x14ac:dyDescent="0.25">
      <c r="B71"/>
      <c r="C71" s="6"/>
      <c r="D71" s="7" t="s">
        <v>365</v>
      </c>
      <c r="E71" s="8" t="s">
        <v>366</v>
      </c>
      <c r="F71" s="45">
        <v>215.54</v>
      </c>
      <c r="G71" s="5">
        <f>F71</f>
        <v>215.54</v>
      </c>
      <c r="H71" s="5">
        <v>0</v>
      </c>
      <c r="J71" s="44"/>
    </row>
    <row r="72" spans="2:10" s="5" customFormat="1" x14ac:dyDescent="0.25">
      <c r="B72"/>
      <c r="C72" s="6"/>
      <c r="D72" s="7" t="s">
        <v>369</v>
      </c>
      <c r="E72" s="8" t="s">
        <v>370</v>
      </c>
      <c r="F72" s="45">
        <v>14</v>
      </c>
      <c r="G72" s="5">
        <v>11.38</v>
      </c>
      <c r="H72" s="5">
        <f>F72-G72</f>
        <v>2.6199999999999992</v>
      </c>
      <c r="J72" s="44"/>
    </row>
    <row r="73" spans="2:10" s="5" customFormat="1" x14ac:dyDescent="0.25">
      <c r="B73"/>
      <c r="C73" s="6"/>
      <c r="D73" s="7" t="s">
        <v>380</v>
      </c>
      <c r="E73" s="8" t="s">
        <v>381</v>
      </c>
      <c r="F73" s="45">
        <v>49.2</v>
      </c>
      <c r="G73" s="5">
        <v>40</v>
      </c>
      <c r="H73" s="5">
        <v>9.1999999999999993</v>
      </c>
      <c r="J73" s="44"/>
    </row>
    <row r="74" spans="2:10" s="5" customFormat="1" x14ac:dyDescent="0.25">
      <c r="B74"/>
      <c r="C74" s="6"/>
      <c r="D74" s="7" t="s">
        <v>189</v>
      </c>
      <c r="E74" s="8" t="s">
        <v>108</v>
      </c>
      <c r="F74" s="45">
        <v>87</v>
      </c>
      <c r="G74" s="5">
        <f>F74-H74</f>
        <v>79.52</v>
      </c>
      <c r="H74" s="5">
        <f>14.96/2</f>
        <v>7.48</v>
      </c>
      <c r="J74" s="44"/>
    </row>
    <row r="75" spans="2:10" s="5" customFormat="1" x14ac:dyDescent="0.25">
      <c r="B75"/>
      <c r="C75" s="6"/>
      <c r="D75" s="7" t="s">
        <v>419</v>
      </c>
      <c r="E75" s="8" t="s">
        <v>420</v>
      </c>
      <c r="F75" s="17">
        <v>500</v>
      </c>
      <c r="G75" s="5">
        <v>500</v>
      </c>
      <c r="H75" s="5">
        <v>0</v>
      </c>
      <c r="J75" s="44"/>
    </row>
    <row r="76" spans="2:10" s="5" customFormat="1" x14ac:dyDescent="0.25">
      <c r="B76"/>
      <c r="C76" s="6"/>
      <c r="D76" s="7" t="s">
        <v>430</v>
      </c>
      <c r="E76" s="8"/>
      <c r="F76" s="17">
        <v>221.35</v>
      </c>
      <c r="G76" s="5">
        <f>F76/1.23</f>
        <v>179.95934959349594</v>
      </c>
      <c r="H76" s="5">
        <f>F76-G76</f>
        <v>41.390650406504051</v>
      </c>
      <c r="J76" s="44"/>
    </row>
    <row r="77" spans="2:10" s="5" customFormat="1" x14ac:dyDescent="0.25">
      <c r="B77"/>
      <c r="C77" s="6"/>
      <c r="D77" s="7" t="s">
        <v>438</v>
      </c>
      <c r="E77" s="8" t="s">
        <v>439</v>
      </c>
      <c r="F77" s="17">
        <v>57.6</v>
      </c>
      <c r="G77" s="5">
        <v>57.6</v>
      </c>
      <c r="H77" s="5">
        <v>0</v>
      </c>
      <c r="J77" s="44"/>
    </row>
    <row r="78" spans="2:10" s="5" customFormat="1" x14ac:dyDescent="0.25">
      <c r="B78"/>
      <c r="C78" s="6"/>
      <c r="D78" s="7" t="s">
        <v>448</v>
      </c>
      <c r="E78" s="8" t="s">
        <v>449</v>
      </c>
      <c r="F78" s="17">
        <v>222.6</v>
      </c>
      <c r="G78" s="5">
        <v>195</v>
      </c>
      <c r="H78" s="5">
        <v>27.6</v>
      </c>
      <c r="J78" s="44"/>
    </row>
    <row r="79" spans="2:10" s="5" customFormat="1" x14ac:dyDescent="0.25">
      <c r="B79"/>
      <c r="C79" s="6"/>
      <c r="D79" s="7" t="s">
        <v>189</v>
      </c>
      <c r="E79" s="8" t="s">
        <v>450</v>
      </c>
      <c r="F79" s="17">
        <v>5.86</v>
      </c>
      <c r="G79" s="5">
        <f>F79-H79</f>
        <v>4.76</v>
      </c>
      <c r="H79" s="5">
        <v>1.1000000000000001</v>
      </c>
      <c r="J79" s="44"/>
    </row>
    <row r="80" spans="2:10" s="5" customFormat="1" x14ac:dyDescent="0.25">
      <c r="B80"/>
      <c r="C80" s="6"/>
      <c r="D80" s="7"/>
      <c r="E80" s="8"/>
      <c r="F80" s="17"/>
      <c r="J80" s="44"/>
    </row>
    <row r="81" spans="2:13" s="5" customFormat="1" x14ac:dyDescent="0.25">
      <c r="B81"/>
      <c r="C81" s="6"/>
      <c r="D81" s="7"/>
      <c r="E81" s="8"/>
      <c r="F81" s="17"/>
      <c r="J81" s="44"/>
    </row>
    <row r="82" spans="2:13" s="5" customFormat="1" x14ac:dyDescent="0.25">
      <c r="C82" s="6"/>
      <c r="D82" s="7"/>
      <c r="E82" s="36"/>
      <c r="F82" s="12"/>
    </row>
    <row r="83" spans="2:13" s="5" customFormat="1" x14ac:dyDescent="0.25">
      <c r="C83" s="1"/>
      <c r="D83" s="3"/>
      <c r="E83" s="1"/>
      <c r="F83" s="40">
        <f>SUM(F60:F82)</f>
        <v>4037.8599999999992</v>
      </c>
      <c r="G83" s="5">
        <f>SUM(G60:G82)</f>
        <v>3040.0489430894308</v>
      </c>
      <c r="H83" s="5">
        <f>SUM(H60:H82)</f>
        <v>188.81105691056908</v>
      </c>
    </row>
    <row r="84" spans="2:13" x14ac:dyDescent="0.25">
      <c r="L84" s="5"/>
      <c r="M84" s="5"/>
    </row>
    <row r="85" spans="2:13" s="5" customFormat="1" x14ac:dyDescent="0.25">
      <c r="C85" s="1"/>
      <c r="D85" s="34" t="s">
        <v>48</v>
      </c>
      <c r="E85" s="1"/>
      <c r="F85" s="4"/>
      <c r="G85" s="5" t="s">
        <v>2</v>
      </c>
      <c r="H85" s="5" t="s">
        <v>3</v>
      </c>
    </row>
    <row r="86" spans="2:13" s="5" customFormat="1" x14ac:dyDescent="0.25">
      <c r="B86"/>
      <c r="C86" s="6">
        <v>44227</v>
      </c>
      <c r="D86" s="33" t="s">
        <v>49</v>
      </c>
      <c r="E86" s="36" t="s">
        <v>80</v>
      </c>
      <c r="F86" s="12">
        <v>1043.8399999999999</v>
      </c>
      <c r="G86" s="5">
        <f t="shared" ref="G86:G90" si="0">F86</f>
        <v>1043.8399999999999</v>
      </c>
      <c r="H86" s="5">
        <v>0</v>
      </c>
    </row>
    <row r="87" spans="2:13" s="5" customFormat="1" x14ac:dyDescent="0.25">
      <c r="B87"/>
      <c r="C87" s="6">
        <v>44227</v>
      </c>
      <c r="D87" t="s">
        <v>51</v>
      </c>
      <c r="E87" s="36" t="s">
        <v>80</v>
      </c>
      <c r="F87" s="12">
        <v>938.09</v>
      </c>
      <c r="G87" s="5">
        <f t="shared" si="0"/>
        <v>938.09</v>
      </c>
      <c r="H87" s="5">
        <v>0</v>
      </c>
    </row>
    <row r="88" spans="2:13" s="5" customFormat="1" x14ac:dyDescent="0.25">
      <c r="B88"/>
      <c r="C88" s="6">
        <v>44227</v>
      </c>
      <c r="D88" t="s">
        <v>52</v>
      </c>
      <c r="E88" s="36" t="s">
        <v>80</v>
      </c>
      <c r="F88" s="12">
        <v>251.55</v>
      </c>
      <c r="G88" s="5">
        <f t="shared" si="0"/>
        <v>251.55</v>
      </c>
    </row>
    <row r="89" spans="2:13" s="5" customFormat="1" x14ac:dyDescent="0.25">
      <c r="B89"/>
      <c r="C89" s="6">
        <v>45688</v>
      </c>
      <c r="D89" t="s">
        <v>53</v>
      </c>
      <c r="E89" s="36" t="s">
        <v>81</v>
      </c>
      <c r="F89" s="12">
        <v>1092</v>
      </c>
      <c r="G89" s="5">
        <f t="shared" si="0"/>
        <v>1092</v>
      </c>
      <c r="H89" s="5">
        <v>0</v>
      </c>
    </row>
    <row r="90" spans="2:13" s="5" customFormat="1" x14ac:dyDescent="0.25">
      <c r="B90"/>
      <c r="C90" s="6">
        <v>45688</v>
      </c>
      <c r="D90" t="s">
        <v>55</v>
      </c>
      <c r="E90" s="36" t="s">
        <v>56</v>
      </c>
      <c r="F90" s="12">
        <v>65</v>
      </c>
      <c r="G90" s="5">
        <f t="shared" si="0"/>
        <v>65</v>
      </c>
      <c r="H90" s="5">
        <v>0</v>
      </c>
    </row>
    <row r="91" spans="2:13" s="5" customFormat="1" x14ac:dyDescent="0.25">
      <c r="B91"/>
      <c r="C91" s="6"/>
      <c r="D91"/>
      <c r="E91" s="36"/>
      <c r="F91" s="12"/>
    </row>
    <row r="92" spans="2:13" s="5" customFormat="1" x14ac:dyDescent="0.25">
      <c r="C92" s="46"/>
      <c r="D92" s="47"/>
      <c r="E92" s="47"/>
      <c r="F92" s="48"/>
    </row>
    <row r="93" spans="2:13" s="5" customFormat="1" x14ac:dyDescent="0.25">
      <c r="C93" s="47"/>
      <c r="D93" s="49"/>
      <c r="E93" s="47"/>
      <c r="F93" s="40">
        <f>SUM(F86:F92)</f>
        <v>3390.48</v>
      </c>
      <c r="G93" s="5">
        <f>SUM(G86:G92)</f>
        <v>3390.48</v>
      </c>
      <c r="H93" s="5">
        <f>SUM(H86:H92)</f>
        <v>0</v>
      </c>
      <c r="I93" s="50">
        <f>F93+Abril!I92</f>
        <v>19377.57</v>
      </c>
    </row>
    <row r="94" spans="2:13" x14ac:dyDescent="0.25">
      <c r="L94" s="5"/>
      <c r="M94" s="5"/>
    </row>
    <row r="95" spans="2:13" x14ac:dyDescent="0.25">
      <c r="L95" s="5"/>
      <c r="M95" s="5"/>
    </row>
    <row r="96" spans="2:13" s="5" customFormat="1" x14ac:dyDescent="0.25">
      <c r="C96"/>
      <c r="D96" s="51" t="s">
        <v>19</v>
      </c>
      <c r="E96" s="52">
        <f>E55</f>
        <v>86699.47</v>
      </c>
      <c r="G96" s="5">
        <f>F55</f>
        <v>65033.066666666666</v>
      </c>
    </row>
    <row r="97" spans="3:13" s="5" customFormat="1" x14ac:dyDescent="0.25">
      <c r="C97"/>
      <c r="D97" s="36" t="s">
        <v>57</v>
      </c>
      <c r="E97" s="12">
        <f>-F39</f>
        <v>-37703.399999999994</v>
      </c>
      <c r="F97" s="38">
        <f>E97/E96</f>
        <v>-0.43487463072150262</v>
      </c>
      <c r="G97" s="5">
        <f>-G39</f>
        <v>-31238.898617886178</v>
      </c>
    </row>
    <row r="98" spans="3:13" s="5" customFormat="1" x14ac:dyDescent="0.25">
      <c r="C98"/>
      <c r="D98" s="36" t="s">
        <v>58</v>
      </c>
      <c r="E98" s="12">
        <f>-F83</f>
        <v>-4037.8599999999992</v>
      </c>
      <c r="F98" s="38">
        <f>(-2951.87/26138.85)</f>
        <v>-0.11293036992828683</v>
      </c>
      <c r="G98" s="5">
        <f>-G83</f>
        <v>-3040.0489430894308</v>
      </c>
    </row>
    <row r="99" spans="3:13" s="5" customFormat="1" x14ac:dyDescent="0.25">
      <c r="C99"/>
      <c r="D99" s="47" t="s">
        <v>59</v>
      </c>
      <c r="E99" s="48">
        <f>-F93</f>
        <v>-3390.48</v>
      </c>
      <c r="F99" s="38">
        <f>E99/E96</f>
        <v>-3.9106121409969406E-2</v>
      </c>
      <c r="G99" s="5">
        <f>-G93</f>
        <v>-3390.48</v>
      </c>
    </row>
    <row r="100" spans="3:13" s="5" customFormat="1" x14ac:dyDescent="0.25">
      <c r="C100"/>
      <c r="D100" s="53" t="s">
        <v>60</v>
      </c>
      <c r="E100" s="54">
        <f>E96+E97+E98+E99</f>
        <v>41567.730000000003</v>
      </c>
      <c r="F100" s="38">
        <f>E100/E55</f>
        <v>0.47944618346571211</v>
      </c>
      <c r="G100" s="55">
        <f>G96+G97+G98+G99</f>
        <v>27363.639105691054</v>
      </c>
    </row>
    <row r="101" spans="3:13" x14ac:dyDescent="0.25">
      <c r="L101" s="5"/>
      <c r="M101" s="5"/>
    </row>
    <row r="102" spans="3:13" x14ac:dyDescent="0.25">
      <c r="F102" s="24"/>
      <c r="L102" s="5"/>
      <c r="M102" s="5"/>
    </row>
    <row r="103" spans="3:13" ht="18.75" x14ac:dyDescent="0.3">
      <c r="D103" s="56" t="s">
        <v>61</v>
      </c>
      <c r="E103" s="57">
        <f>Abril!E102+Maio!E55</f>
        <v>265971.33400000003</v>
      </c>
      <c r="L103" s="5"/>
      <c r="M103" s="5"/>
    </row>
    <row r="104" spans="3:13" x14ac:dyDescent="0.25">
      <c r="L104" s="5"/>
      <c r="M104" s="5"/>
    </row>
    <row r="105" spans="3:13" x14ac:dyDescent="0.25">
      <c r="M105" s="5"/>
    </row>
    <row r="106" spans="3:13" x14ac:dyDescent="0.25">
      <c r="M106" s="5"/>
    </row>
    <row r="107" spans="3:13" x14ac:dyDescent="0.25">
      <c r="M107" s="5"/>
    </row>
    <row r="108" spans="3:13" x14ac:dyDescent="0.25">
      <c r="M108" s="5"/>
    </row>
    <row r="109" spans="3:13" x14ac:dyDescent="0.25">
      <c r="F109"/>
      <c r="G109"/>
      <c r="H109"/>
      <c r="I109"/>
      <c r="M109" s="5"/>
    </row>
    <row r="110" spans="3:13" x14ac:dyDescent="0.25">
      <c r="F110"/>
      <c r="G110"/>
      <c r="H110"/>
      <c r="I110"/>
      <c r="M110" s="5"/>
    </row>
  </sheetData>
  <pageMargins left="0.9055118110236221" right="0.70866141732283472" top="1.6535433070866143" bottom="1.2204724409448819" header="0.31496062992125984" footer="0.31496062992125984"/>
  <pageSetup paperSize="9" scale="65" orientation="landscape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CC3EF-DF0F-4D58-9498-5C87EBA1EC72}">
  <dimension ref="A2:Q104"/>
  <sheetViews>
    <sheetView tabSelected="1" topLeftCell="A28" zoomScale="84" zoomScaleNormal="84" workbookViewId="0">
      <selection activeCell="G47" sqref="G47"/>
    </sheetView>
  </sheetViews>
  <sheetFormatPr defaultRowHeight="15" x14ac:dyDescent="0.25"/>
  <cols>
    <col min="1" max="1" width="12" customWidth="1"/>
    <col min="2" max="2" width="10.5703125" customWidth="1"/>
    <col min="3" max="3" width="8.7109375" customWidth="1"/>
    <col min="4" max="4" width="29.28515625" bestFit="1" customWidth="1"/>
    <col min="5" max="5" width="32.7109375" bestFit="1" customWidth="1"/>
    <col min="6" max="6" width="13" style="5" bestFit="1" customWidth="1"/>
    <col min="7" max="7" width="21.28515625" style="5" bestFit="1" customWidth="1"/>
    <col min="8" max="8" width="13.42578125" style="5" customWidth="1"/>
    <col min="9" max="9" width="13.28515625" style="5" customWidth="1"/>
    <col min="10" max="10" width="19.7109375" bestFit="1" customWidth="1"/>
    <col min="11" max="11" width="16.42578125" bestFit="1" customWidth="1"/>
    <col min="12" max="12" width="12.7109375" bestFit="1" customWidth="1"/>
    <col min="13" max="14" width="11.7109375" bestFit="1" customWidth="1"/>
    <col min="15" max="15" width="12.7109375" bestFit="1" customWidth="1"/>
    <col min="16" max="16" width="10.7109375" bestFit="1" customWidth="1"/>
    <col min="17" max="17" width="11.7109375" bestFit="1" customWidth="1"/>
  </cols>
  <sheetData>
    <row r="2" spans="2:11" x14ac:dyDescent="0.25">
      <c r="B2" s="1" t="s">
        <v>0</v>
      </c>
      <c r="C2" s="1" t="s">
        <v>1</v>
      </c>
      <c r="D2" s="2"/>
      <c r="E2" s="3"/>
      <c r="F2" s="4"/>
      <c r="G2" s="5" t="s">
        <v>2</v>
      </c>
      <c r="H2" s="5" t="s">
        <v>3</v>
      </c>
    </row>
    <row r="3" spans="2:11" x14ac:dyDescent="0.25">
      <c r="B3" s="6"/>
      <c r="C3" s="6"/>
      <c r="D3" s="7"/>
      <c r="E3" s="8"/>
      <c r="F3" s="9"/>
    </row>
    <row r="4" spans="2:11" x14ac:dyDescent="0.25">
      <c r="B4" s="6"/>
      <c r="C4" s="6"/>
      <c r="D4" s="7"/>
      <c r="E4" s="8"/>
      <c r="F4" s="9"/>
    </row>
    <row r="5" spans="2:11" x14ac:dyDescent="0.25">
      <c r="B5" s="6"/>
      <c r="C5" s="6"/>
      <c r="D5" s="7"/>
      <c r="E5" s="8"/>
      <c r="F5" s="9"/>
    </row>
    <row r="6" spans="2:11" x14ac:dyDescent="0.25">
      <c r="B6" s="6"/>
      <c r="C6" s="6"/>
      <c r="D6" s="7"/>
      <c r="E6" s="8"/>
      <c r="F6" s="9"/>
      <c r="J6" t="s">
        <v>4</v>
      </c>
    </row>
    <row r="7" spans="2:11" s="5" customFormat="1" x14ac:dyDescent="0.25">
      <c r="B7" s="6"/>
      <c r="C7" s="6"/>
      <c r="D7" s="7"/>
      <c r="E7" s="10"/>
      <c r="F7" s="9"/>
      <c r="G7" s="11"/>
      <c r="H7" s="11"/>
    </row>
    <row r="8" spans="2:11" s="5" customFormat="1" x14ac:dyDescent="0.25">
      <c r="B8" s="6"/>
      <c r="C8" s="6"/>
      <c r="D8" s="7"/>
      <c r="E8" s="8"/>
      <c r="F8" s="12"/>
      <c r="J8" s="5" t="s">
        <v>5</v>
      </c>
      <c r="K8" s="5">
        <f>G49</f>
        <v>0</v>
      </c>
    </row>
    <row r="9" spans="2:11" s="5" customFormat="1" x14ac:dyDescent="0.25">
      <c r="B9" s="6"/>
      <c r="C9" s="6"/>
      <c r="D9" s="7"/>
      <c r="E9" s="8"/>
      <c r="F9" s="9"/>
      <c r="J9" s="5" t="s">
        <v>6</v>
      </c>
      <c r="K9" s="5">
        <f>H39+H77+H87</f>
        <v>99.420406504065028</v>
      </c>
    </row>
    <row r="10" spans="2:11" s="5" customFormat="1" x14ac:dyDescent="0.25">
      <c r="B10" s="6"/>
      <c r="C10" s="6"/>
      <c r="D10" s="7"/>
      <c r="E10" s="8"/>
      <c r="F10" s="9"/>
      <c r="J10" s="13" t="s">
        <v>7</v>
      </c>
      <c r="K10" s="14">
        <f>K8-K9</f>
        <v>-99.420406504065028</v>
      </c>
    </row>
    <row r="11" spans="2:11" s="5" customFormat="1" x14ac:dyDescent="0.25">
      <c r="B11" s="6"/>
      <c r="C11" s="6"/>
      <c r="D11" s="7"/>
      <c r="E11" s="8"/>
      <c r="F11" s="9"/>
    </row>
    <row r="12" spans="2:11" s="5" customFormat="1" x14ac:dyDescent="0.25">
      <c r="B12" s="6"/>
      <c r="C12" s="6"/>
      <c r="D12" s="7"/>
      <c r="E12" s="8"/>
      <c r="F12" s="9"/>
    </row>
    <row r="13" spans="2:11" s="5" customFormat="1" x14ac:dyDescent="0.25">
      <c r="B13" s="6"/>
      <c r="C13" s="6"/>
      <c r="D13" s="7"/>
      <c r="E13" s="8"/>
      <c r="F13" s="9"/>
      <c r="J13" s="5" t="s">
        <v>8</v>
      </c>
      <c r="K13" s="5">
        <f>F49</f>
        <v>24915.65</v>
      </c>
    </row>
    <row r="14" spans="2:11" s="5" customFormat="1" x14ac:dyDescent="0.25">
      <c r="B14" s="6"/>
      <c r="C14" s="6"/>
      <c r="D14" s="7"/>
      <c r="E14" s="8"/>
      <c r="F14" s="9"/>
      <c r="J14" s="5" t="s">
        <v>9</v>
      </c>
      <c r="K14" s="5">
        <f>G39+G77+G87</f>
        <v>5138.7695934959347</v>
      </c>
    </row>
    <row r="15" spans="2:11" s="5" customFormat="1" x14ac:dyDescent="0.25">
      <c r="B15" s="6"/>
      <c r="C15" s="6"/>
      <c r="D15" s="7"/>
      <c r="E15" s="8"/>
      <c r="F15" s="9"/>
      <c r="K15" s="5">
        <f>K13-K14</f>
        <v>19776.880406504068</v>
      </c>
    </row>
    <row r="16" spans="2:11" s="5" customFormat="1" x14ac:dyDescent="0.25">
      <c r="B16" s="6"/>
      <c r="C16" s="6"/>
      <c r="D16" s="7"/>
      <c r="E16" s="8"/>
      <c r="F16" s="9"/>
      <c r="J16" s="13" t="s">
        <v>10</v>
      </c>
      <c r="K16" s="14">
        <f>K15*0.17</f>
        <v>3362.0696691056919</v>
      </c>
    </row>
    <row r="17" spans="1:14" s="5" customFormat="1" x14ac:dyDescent="0.25">
      <c r="B17" s="6"/>
      <c r="C17" s="6"/>
      <c r="D17" s="7"/>
      <c r="E17" s="8"/>
      <c r="F17" s="9"/>
    </row>
    <row r="18" spans="1:14" s="5" customFormat="1" x14ac:dyDescent="0.25">
      <c r="B18" s="6"/>
      <c r="C18" s="15"/>
      <c r="D18" s="7"/>
      <c r="E18" s="8"/>
      <c r="F18" s="9"/>
    </row>
    <row r="19" spans="1:14" s="5" customFormat="1" x14ac:dyDescent="0.25">
      <c r="A19" s="16"/>
      <c r="B19" s="6"/>
      <c r="C19" s="6"/>
      <c r="D19" s="7"/>
      <c r="E19" s="8"/>
      <c r="F19" s="17"/>
    </row>
    <row r="20" spans="1:14" s="5" customFormat="1" x14ac:dyDescent="0.25">
      <c r="B20" s="6"/>
      <c r="C20" s="6"/>
      <c r="D20" s="7"/>
      <c r="E20" s="8"/>
      <c r="F20" s="17"/>
    </row>
    <row r="21" spans="1:14" s="5" customFormat="1" x14ac:dyDescent="0.25">
      <c r="B21" s="6"/>
      <c r="C21" s="6"/>
      <c r="D21" s="7"/>
      <c r="E21" s="8"/>
      <c r="F21" s="9"/>
      <c r="J21" s="14" t="s">
        <v>11</v>
      </c>
    </row>
    <row r="22" spans="1:14" s="5" customFormat="1" x14ac:dyDescent="0.25">
      <c r="B22" s="6"/>
      <c r="C22" s="6"/>
      <c r="D22" s="7"/>
      <c r="E22" s="8"/>
      <c r="F22" s="17"/>
      <c r="I22" s="18" t="s">
        <v>10</v>
      </c>
      <c r="J22" s="5" t="s">
        <v>12</v>
      </c>
      <c r="K22" s="14">
        <f>K13+Maio!K22</f>
        <v>208872.71333333335</v>
      </c>
      <c r="M22" s="19"/>
    </row>
    <row r="23" spans="1:14" s="5" customFormat="1" x14ac:dyDescent="0.25">
      <c r="B23" s="6"/>
      <c r="C23" s="6"/>
      <c r="D23" s="7"/>
      <c r="E23" s="8"/>
      <c r="F23" s="9"/>
      <c r="I23" s="13"/>
      <c r="J23" s="5" t="s">
        <v>13</v>
      </c>
      <c r="K23" s="5">
        <f>K14+Maio!K23</f>
        <v>167293.86556910572</v>
      </c>
    </row>
    <row r="24" spans="1:14" s="5" customFormat="1" x14ac:dyDescent="0.25">
      <c r="B24" s="6"/>
      <c r="C24" s="6"/>
      <c r="D24" s="7"/>
      <c r="E24" s="8"/>
      <c r="F24" s="20"/>
      <c r="I24" s="13"/>
      <c r="J24" s="13" t="s">
        <v>14</v>
      </c>
      <c r="K24" s="5">
        <f>1714.45*6</f>
        <v>10286.700000000001</v>
      </c>
    </row>
    <row r="25" spans="1:14" s="5" customFormat="1" x14ac:dyDescent="0.25">
      <c r="B25" s="6"/>
      <c r="C25" s="6"/>
      <c r="D25" s="7"/>
      <c r="E25" s="8"/>
      <c r="F25" s="9"/>
      <c r="I25" s="13"/>
      <c r="K25" s="21">
        <f>K22-K23-K24</f>
        <v>31292.147764227626</v>
      </c>
      <c r="L25" s="11"/>
    </row>
    <row r="26" spans="1:14" s="5" customFormat="1" x14ac:dyDescent="0.25">
      <c r="B26" s="6"/>
      <c r="C26" s="6"/>
      <c r="D26" s="7"/>
      <c r="E26" s="8"/>
      <c r="F26" s="12"/>
      <c r="I26" s="13"/>
      <c r="J26" s="22">
        <v>0.17</v>
      </c>
      <c r="K26" s="23">
        <f>K25*0.17</f>
        <v>5319.6651199186972</v>
      </c>
    </row>
    <row r="27" spans="1:14" s="5" customFormat="1" x14ac:dyDescent="0.25">
      <c r="B27" s="6"/>
      <c r="C27" s="6"/>
      <c r="D27" s="7"/>
      <c r="E27" s="8"/>
      <c r="F27" s="9"/>
      <c r="I27" s="18" t="s">
        <v>15</v>
      </c>
      <c r="J27" s="5" t="s">
        <v>12</v>
      </c>
      <c r="K27" s="5">
        <f>K8+Maio!K27</f>
        <v>0</v>
      </c>
    </row>
    <row r="28" spans="1:14" s="5" customFormat="1" x14ac:dyDescent="0.25">
      <c r="B28" s="6"/>
      <c r="C28" s="6"/>
      <c r="D28" s="7"/>
      <c r="E28" s="8"/>
      <c r="F28" s="9"/>
      <c r="I28" s="13"/>
      <c r="J28" s="5" t="s">
        <v>16</v>
      </c>
      <c r="K28" s="5">
        <f>K9+Maio!K28</f>
        <v>27333.142886178859</v>
      </c>
    </row>
    <row r="29" spans="1:14" s="5" customFormat="1" x14ac:dyDescent="0.25">
      <c r="B29" s="6"/>
      <c r="C29" s="6"/>
      <c r="D29" s="7"/>
      <c r="E29" s="10"/>
      <c r="F29" s="9"/>
      <c r="G29" s="11"/>
      <c r="H29" s="11"/>
      <c r="J29" s="18" t="s">
        <v>3</v>
      </c>
      <c r="K29" s="23">
        <f>K27-K28</f>
        <v>-27333.142886178859</v>
      </c>
    </row>
    <row r="30" spans="1:14" s="5" customFormat="1" x14ac:dyDescent="0.25">
      <c r="B30" s="6"/>
      <c r="C30" s="6"/>
      <c r="D30" s="7"/>
      <c r="E30" s="8"/>
      <c r="F30" s="9"/>
      <c r="J30" s="16"/>
      <c r="K30" s="24"/>
      <c r="L30" s="25">
        <f>K30+K29</f>
        <v>-27333.142886178859</v>
      </c>
    </row>
    <row r="31" spans="1:14" s="5" customFormat="1" x14ac:dyDescent="0.25">
      <c r="B31" s="6"/>
      <c r="C31" s="6"/>
      <c r="D31" s="7"/>
      <c r="E31" s="10"/>
      <c r="F31" s="9"/>
      <c r="G31" s="11"/>
      <c r="H31" s="11"/>
      <c r="J31" s="18"/>
      <c r="K31" s="24" t="s">
        <v>62</v>
      </c>
      <c r="L31" s="5">
        <v>14954.52</v>
      </c>
    </row>
    <row r="32" spans="1:14" s="5" customFormat="1" x14ac:dyDescent="0.25">
      <c r="B32" s="6"/>
      <c r="C32" s="6"/>
      <c r="D32" s="7"/>
      <c r="E32" s="8"/>
      <c r="F32" s="9"/>
      <c r="J32" s="18"/>
      <c r="K32" s="23"/>
      <c r="L32" s="26">
        <f>SUM(L30:L31)</f>
        <v>-12378.622886178859</v>
      </c>
      <c r="N32" s="14"/>
    </row>
    <row r="33" spans="2:17" s="5" customFormat="1" x14ac:dyDescent="0.25">
      <c r="B33" s="6"/>
      <c r="C33" s="6"/>
      <c r="D33" s="7"/>
      <c r="E33" s="8"/>
      <c r="F33" s="9"/>
      <c r="J33" s="18"/>
      <c r="K33" s="14" t="s">
        <v>17</v>
      </c>
      <c r="L33" s="27">
        <f>Maio!L33</f>
        <v>12569.78</v>
      </c>
    </row>
    <row r="34" spans="2:17" s="5" customFormat="1" x14ac:dyDescent="0.25">
      <c r="B34" s="6"/>
      <c r="C34" s="6"/>
      <c r="D34" s="7"/>
      <c r="E34" s="8"/>
      <c r="F34" s="9"/>
      <c r="J34" s="18"/>
      <c r="K34" s="14"/>
      <c r="L34" s="14"/>
    </row>
    <row r="35" spans="2:17" s="5" customFormat="1" x14ac:dyDescent="0.25">
      <c r="B35" s="6"/>
      <c r="C35" s="6"/>
      <c r="D35" s="7"/>
      <c r="E35" s="8"/>
      <c r="F35" s="9"/>
      <c r="J35" s="18"/>
      <c r="K35" s="14"/>
      <c r="L35" s="14"/>
    </row>
    <row r="36" spans="2:17" s="5" customFormat="1" x14ac:dyDescent="0.25">
      <c r="B36" s="6"/>
      <c r="C36" s="6"/>
      <c r="D36" s="7"/>
      <c r="E36" s="8"/>
      <c r="F36" s="9"/>
      <c r="J36" s="18"/>
      <c r="K36" s="14"/>
      <c r="L36" s="14"/>
    </row>
    <row r="37" spans="2:17" s="5" customFormat="1" x14ac:dyDescent="0.25">
      <c r="B37" s="6"/>
      <c r="C37" s="6"/>
      <c r="D37" s="7"/>
      <c r="E37" s="28"/>
      <c r="F37" s="17"/>
      <c r="G37" s="23"/>
      <c r="L37" s="14"/>
    </row>
    <row r="38" spans="2:17" s="5" customFormat="1" x14ac:dyDescent="0.25">
      <c r="B38" s="6"/>
      <c r="C38" s="6"/>
      <c r="D38" s="7"/>
      <c r="E38" s="8"/>
      <c r="F38" s="17"/>
    </row>
    <row r="39" spans="2:17" x14ac:dyDescent="0.25">
      <c r="B39" s="29"/>
      <c r="C39" s="29"/>
      <c r="D39" s="30"/>
      <c r="E39" s="31"/>
      <c r="F39" s="32">
        <f>SUM(F3:F38)</f>
        <v>0</v>
      </c>
      <c r="G39" s="5">
        <f>SUM(G3:G38)</f>
        <v>0</v>
      </c>
      <c r="H39" s="14">
        <f>SUM(H3:H38)</f>
        <v>0</v>
      </c>
      <c r="J39" s="5"/>
      <c r="M39" s="5"/>
      <c r="Q39" s="5"/>
    </row>
    <row r="40" spans="2:17" x14ac:dyDescent="0.25">
      <c r="C40" s="33"/>
      <c r="M40" s="5"/>
      <c r="Q40" s="5"/>
    </row>
    <row r="41" spans="2:17" x14ac:dyDescent="0.25">
      <c r="C41" s="33"/>
      <c r="M41" s="5"/>
      <c r="N41" s="5"/>
      <c r="O41" s="5"/>
      <c r="Q41" s="5"/>
    </row>
    <row r="42" spans="2:17" x14ac:dyDescent="0.25">
      <c r="C42" s="33"/>
      <c r="M42" s="5"/>
      <c r="N42" s="5"/>
      <c r="O42" s="5"/>
      <c r="Q42" s="5"/>
    </row>
    <row r="43" spans="2:17" x14ac:dyDescent="0.25">
      <c r="B43" t="s">
        <v>18</v>
      </c>
      <c r="C43" s="29"/>
      <c r="D43" s="34" t="s">
        <v>19</v>
      </c>
      <c r="E43" s="31"/>
      <c r="F43" s="5" t="s">
        <v>20</v>
      </c>
      <c r="G43" s="5" t="s">
        <v>3</v>
      </c>
      <c r="H43" s="5" t="s">
        <v>21</v>
      </c>
      <c r="M43" s="5"/>
      <c r="O43" s="5"/>
      <c r="Q43" s="5"/>
    </row>
    <row r="44" spans="2:17" s="62" customFormat="1" x14ac:dyDescent="0.25">
      <c r="B44" s="63" t="s">
        <v>279</v>
      </c>
      <c r="C44" s="64"/>
      <c r="D44" s="65" t="s">
        <v>191</v>
      </c>
      <c r="E44" s="66">
        <v>15009.78</v>
      </c>
      <c r="F44" s="67">
        <f>E44/1.2</f>
        <v>12508.150000000001</v>
      </c>
      <c r="G44" s="67" t="s">
        <v>231</v>
      </c>
      <c r="H44" s="79">
        <f>E44-9500</f>
        <v>5509.7800000000007</v>
      </c>
      <c r="I44" s="5" t="s">
        <v>298</v>
      </c>
    </row>
    <row r="45" spans="2:17" s="5" customFormat="1" x14ac:dyDescent="0.25">
      <c r="B45"/>
      <c r="C45" s="35"/>
      <c r="D45" s="36" t="s">
        <v>367</v>
      </c>
      <c r="E45" s="12">
        <v>13320</v>
      </c>
      <c r="F45" s="37">
        <v>11120</v>
      </c>
      <c r="G45" s="37" t="s">
        <v>368</v>
      </c>
      <c r="H45" s="11">
        <f>E45-6660</f>
        <v>6660</v>
      </c>
    </row>
    <row r="46" spans="2:17" s="5" customFormat="1" x14ac:dyDescent="0.25">
      <c r="B46"/>
      <c r="C46" s="35"/>
      <c r="D46" s="36" t="s">
        <v>367</v>
      </c>
      <c r="E46" s="12">
        <v>3090</v>
      </c>
      <c r="F46" s="37">
        <f>1545/1.2</f>
        <v>1287.5</v>
      </c>
      <c r="G46" s="37" t="s">
        <v>452</v>
      </c>
      <c r="H46" s="77">
        <f>E46-1545</f>
        <v>1545</v>
      </c>
      <c r="I46" s="5" t="s">
        <v>451</v>
      </c>
    </row>
    <row r="47" spans="2:17" s="5" customFormat="1" x14ac:dyDescent="0.25">
      <c r="B47"/>
      <c r="C47" s="35"/>
      <c r="D47" s="36"/>
      <c r="E47" s="12"/>
      <c r="F47" s="37"/>
      <c r="G47" s="37"/>
      <c r="H47" s="11"/>
    </row>
    <row r="48" spans="2:17" s="62" customFormat="1" x14ac:dyDescent="0.25">
      <c r="B48" s="63"/>
      <c r="C48" s="64"/>
      <c r="D48" s="65"/>
      <c r="E48" s="66"/>
      <c r="F48" s="67"/>
      <c r="G48" s="67"/>
      <c r="H48" s="68"/>
    </row>
    <row r="49" spans="2:10" s="5" customFormat="1" x14ac:dyDescent="0.25">
      <c r="C49" s="39"/>
      <c r="D49" s="1"/>
      <c r="E49" s="40">
        <f>SUM(E44:E48)</f>
        <v>31419.78</v>
      </c>
      <c r="F49" s="14">
        <f>SUM(F44:F48)</f>
        <v>24915.65</v>
      </c>
      <c r="G49" s="14">
        <f>SUM(G44:G47)</f>
        <v>0</v>
      </c>
      <c r="H49" s="14">
        <f>SUM(H44:H48)</f>
        <v>13714.78</v>
      </c>
    </row>
    <row r="50" spans="2:10" s="5" customFormat="1" x14ac:dyDescent="0.25">
      <c r="C50" s="33"/>
      <c r="D50" s="36"/>
      <c r="G50" s="37"/>
    </row>
    <row r="51" spans="2:10" s="5" customFormat="1" x14ac:dyDescent="0.25">
      <c r="C51" s="33"/>
      <c r="D51" s="36"/>
      <c r="G51" s="14"/>
    </row>
    <row r="52" spans="2:10" s="5" customFormat="1" x14ac:dyDescent="0.25">
      <c r="C52" s="33"/>
      <c r="D52" s="36"/>
    </row>
    <row r="53" spans="2:10" s="5" customFormat="1" x14ac:dyDescent="0.25">
      <c r="B53" s="1" t="s">
        <v>1</v>
      </c>
      <c r="C53" s="1"/>
      <c r="D53" s="34" t="s">
        <v>26</v>
      </c>
      <c r="E53" s="1"/>
      <c r="F53" s="4"/>
      <c r="G53" s="5" t="s">
        <v>2</v>
      </c>
      <c r="H53" s="5" t="s">
        <v>3</v>
      </c>
    </row>
    <row r="54" spans="2:10" s="5" customFormat="1" x14ac:dyDescent="0.25">
      <c r="B54"/>
      <c r="C54" s="6"/>
      <c r="D54" t="s">
        <v>27</v>
      </c>
      <c r="E54" s="36" t="s">
        <v>28</v>
      </c>
      <c r="F54" s="12">
        <v>246</v>
      </c>
      <c r="G54" s="5">
        <v>200</v>
      </c>
      <c r="H54" s="5">
        <v>46</v>
      </c>
    </row>
    <row r="55" spans="2:10" s="5" customFormat="1" x14ac:dyDescent="0.25">
      <c r="B55"/>
      <c r="C55" s="6"/>
      <c r="D55" t="s">
        <v>29</v>
      </c>
      <c r="E55" s="36" t="s">
        <v>30</v>
      </c>
      <c r="F55" s="12">
        <v>222</v>
      </c>
      <c r="G55" s="5">
        <f>F55</f>
        <v>222</v>
      </c>
      <c r="H55" s="5">
        <v>0</v>
      </c>
    </row>
    <row r="56" spans="2:10" s="5" customFormat="1" x14ac:dyDescent="0.25">
      <c r="B56"/>
      <c r="C56" s="6"/>
      <c r="D56" t="s">
        <v>31</v>
      </c>
      <c r="E56" s="36" t="s">
        <v>32</v>
      </c>
      <c r="F56" s="12">
        <v>956.04</v>
      </c>
      <c r="G56" s="41">
        <f>138.79+2.6+5.65</f>
        <v>147.04</v>
      </c>
      <c r="H56" s="5">
        <v>0</v>
      </c>
      <c r="I56" s="37"/>
    </row>
    <row r="57" spans="2:10" s="5" customFormat="1" x14ac:dyDescent="0.25">
      <c r="B57" s="42"/>
      <c r="C57" s="6"/>
      <c r="D57" t="s">
        <v>33</v>
      </c>
      <c r="E57" s="36" t="s">
        <v>34</v>
      </c>
      <c r="F57" s="12">
        <f>G57+H57</f>
        <v>900</v>
      </c>
      <c r="G57" s="5">
        <v>900</v>
      </c>
      <c r="H57" s="5">
        <v>0</v>
      </c>
    </row>
    <row r="58" spans="2:10" s="5" customFormat="1" x14ac:dyDescent="0.25">
      <c r="B58"/>
      <c r="C58" s="6"/>
      <c r="D58" s="33" t="s">
        <v>35</v>
      </c>
      <c r="E58" s="36" t="s">
        <v>36</v>
      </c>
      <c r="F58" s="12">
        <f>15.8+0.63</f>
        <v>16.43</v>
      </c>
      <c r="G58" s="5">
        <f>F58</f>
        <v>16.43</v>
      </c>
      <c r="H58" s="5">
        <v>0</v>
      </c>
    </row>
    <row r="59" spans="2:10" s="5" customFormat="1" x14ac:dyDescent="0.25">
      <c r="B59"/>
      <c r="C59" s="6"/>
      <c r="D59" s="33" t="s">
        <v>35</v>
      </c>
      <c r="E59" s="36" t="s">
        <v>37</v>
      </c>
      <c r="F59" s="12">
        <v>30.56</v>
      </c>
      <c r="G59" s="5">
        <f>F59</f>
        <v>30.56</v>
      </c>
      <c r="H59" s="5">
        <v>0</v>
      </c>
    </row>
    <row r="60" spans="2:10" s="5" customFormat="1" x14ac:dyDescent="0.25">
      <c r="B60"/>
      <c r="C60" s="43"/>
      <c r="D60" t="s">
        <v>38</v>
      </c>
      <c r="E60" s="36" t="s">
        <v>39</v>
      </c>
      <c r="F60" s="12">
        <v>121.13</v>
      </c>
      <c r="G60" s="5">
        <f>F60/1.23</f>
        <v>98.479674796747972</v>
      </c>
      <c r="H60" s="5">
        <f>F60-G60</f>
        <v>22.650325203252024</v>
      </c>
      <c r="J60" s="44"/>
    </row>
    <row r="61" spans="2:10" s="5" customFormat="1" x14ac:dyDescent="0.25">
      <c r="B61"/>
      <c r="C61" s="6"/>
      <c r="D61" t="s">
        <v>40</v>
      </c>
      <c r="E61" s="36" t="s">
        <v>41</v>
      </c>
      <c r="F61" s="12">
        <v>8.61</v>
      </c>
      <c r="G61" s="5">
        <f>F61/1.23</f>
        <v>7</v>
      </c>
      <c r="H61" s="5">
        <f>F61-G61</f>
        <v>1.6099999999999994</v>
      </c>
    </row>
    <row r="62" spans="2:10" s="5" customFormat="1" x14ac:dyDescent="0.25">
      <c r="B62"/>
      <c r="C62" s="6"/>
      <c r="D62" t="s">
        <v>42</v>
      </c>
      <c r="E62" s="36" t="s">
        <v>43</v>
      </c>
      <c r="F62" s="12">
        <v>9.99</v>
      </c>
      <c r="G62" s="5">
        <v>8.1199999999999992</v>
      </c>
      <c r="H62" s="5">
        <v>1.87</v>
      </c>
      <c r="J62" s="44"/>
    </row>
    <row r="63" spans="2:10" s="5" customFormat="1" x14ac:dyDescent="0.25">
      <c r="B63"/>
      <c r="C63" s="6"/>
      <c r="D63" s="7" t="s">
        <v>44</v>
      </c>
      <c r="E63" s="36" t="s">
        <v>45</v>
      </c>
      <c r="F63" s="12">
        <v>113</v>
      </c>
      <c r="G63" s="5">
        <f>F63/1.23</f>
        <v>91.869918699186996</v>
      </c>
      <c r="H63" s="5">
        <f>F63-G63</f>
        <v>21.130081300813004</v>
      </c>
      <c r="J63" s="44"/>
    </row>
    <row r="64" spans="2:10" s="5" customFormat="1" x14ac:dyDescent="0.25">
      <c r="B64"/>
      <c r="C64" s="6"/>
      <c r="D64" s="7" t="s">
        <v>46</v>
      </c>
      <c r="E64" s="36" t="s">
        <v>47</v>
      </c>
      <c r="F64" s="12">
        <v>32.950000000000003</v>
      </c>
      <c r="G64" s="5">
        <f>F64-H64</f>
        <v>26.790000000000003</v>
      </c>
      <c r="H64" s="5">
        <v>6.16</v>
      </c>
      <c r="J64" s="44"/>
    </row>
    <row r="65" spans="2:13" s="5" customFormat="1" x14ac:dyDescent="0.25">
      <c r="B65"/>
      <c r="C65" s="6"/>
      <c r="D65" s="7"/>
      <c r="E65" s="8"/>
      <c r="F65" s="45"/>
      <c r="J65" s="44"/>
    </row>
    <row r="66" spans="2:13" s="5" customFormat="1" x14ac:dyDescent="0.25">
      <c r="B66"/>
      <c r="C66" s="6"/>
      <c r="D66" s="7"/>
      <c r="E66" s="8"/>
      <c r="F66" s="45"/>
      <c r="J66" s="44"/>
    </row>
    <row r="67" spans="2:13" s="5" customFormat="1" x14ac:dyDescent="0.25">
      <c r="B67"/>
      <c r="C67" s="6"/>
      <c r="D67" s="7"/>
      <c r="E67" s="8"/>
      <c r="F67" s="45"/>
      <c r="J67" s="44"/>
    </row>
    <row r="68" spans="2:13" s="5" customFormat="1" x14ac:dyDescent="0.25">
      <c r="B68"/>
      <c r="C68" s="6"/>
      <c r="D68" s="7"/>
      <c r="E68" s="8"/>
      <c r="F68" s="45"/>
      <c r="J68" s="44"/>
    </row>
    <row r="69" spans="2:13" s="5" customFormat="1" x14ac:dyDescent="0.25">
      <c r="B69"/>
      <c r="C69" s="6"/>
      <c r="D69" s="7"/>
      <c r="E69" s="8"/>
      <c r="F69" s="17"/>
      <c r="J69" s="44"/>
    </row>
    <row r="70" spans="2:13" s="5" customFormat="1" x14ac:dyDescent="0.25">
      <c r="B70"/>
      <c r="C70" s="6"/>
      <c r="D70" s="7"/>
      <c r="E70" s="8"/>
      <c r="F70" s="17"/>
      <c r="J70" s="44"/>
    </row>
    <row r="71" spans="2:13" s="5" customFormat="1" x14ac:dyDescent="0.25">
      <c r="B71"/>
      <c r="C71" s="6"/>
      <c r="D71" s="7"/>
      <c r="E71" s="8"/>
      <c r="F71" s="17"/>
      <c r="J71" s="44"/>
    </row>
    <row r="72" spans="2:13" s="5" customFormat="1" x14ac:dyDescent="0.25">
      <c r="B72"/>
      <c r="C72" s="6"/>
      <c r="D72" s="7"/>
      <c r="E72" s="8"/>
      <c r="F72" s="17"/>
      <c r="J72" s="44"/>
    </row>
    <row r="73" spans="2:13" s="5" customFormat="1" x14ac:dyDescent="0.25">
      <c r="B73"/>
      <c r="C73" s="6"/>
      <c r="D73" s="7"/>
      <c r="E73" s="8"/>
      <c r="F73" s="17"/>
      <c r="J73" s="44"/>
    </row>
    <row r="74" spans="2:13" s="5" customFormat="1" x14ac:dyDescent="0.25">
      <c r="B74"/>
      <c r="C74" s="6"/>
      <c r="D74" s="7"/>
      <c r="E74" s="8"/>
      <c r="F74" s="17"/>
      <c r="J74" s="44"/>
    </row>
    <row r="75" spans="2:13" s="5" customFormat="1" x14ac:dyDescent="0.25">
      <c r="B75"/>
      <c r="C75" s="6"/>
      <c r="D75" s="7"/>
      <c r="E75" s="8"/>
      <c r="F75" s="17"/>
      <c r="J75" s="44"/>
    </row>
    <row r="76" spans="2:13" s="5" customFormat="1" x14ac:dyDescent="0.25">
      <c r="C76" s="6"/>
      <c r="D76" s="7"/>
      <c r="E76" s="36"/>
      <c r="F76" s="12"/>
    </row>
    <row r="77" spans="2:13" s="5" customFormat="1" x14ac:dyDescent="0.25">
      <c r="C77" s="1"/>
      <c r="D77" s="3"/>
      <c r="E77" s="1"/>
      <c r="F77" s="40">
        <f>SUM(F54:F76)</f>
        <v>2656.7099999999996</v>
      </c>
      <c r="G77" s="5">
        <f>SUM(G54:G76)</f>
        <v>1748.2895934959347</v>
      </c>
      <c r="H77" s="5">
        <f>SUM(H54:H76)</f>
        <v>99.420406504065028</v>
      </c>
    </row>
    <row r="78" spans="2:13" x14ac:dyDescent="0.25">
      <c r="L78" s="5"/>
      <c r="M78" s="5"/>
    </row>
    <row r="79" spans="2:13" s="5" customFormat="1" x14ac:dyDescent="0.25">
      <c r="C79" s="1"/>
      <c r="D79" s="34" t="s">
        <v>48</v>
      </c>
      <c r="E79" s="1"/>
      <c r="F79" s="4"/>
      <c r="G79" s="5" t="s">
        <v>2</v>
      </c>
      <c r="H79" s="5" t="s">
        <v>3</v>
      </c>
    </row>
    <row r="80" spans="2:13" s="5" customFormat="1" x14ac:dyDescent="0.25">
      <c r="B80"/>
      <c r="C80" s="6">
        <v>44227</v>
      </c>
      <c r="D80" s="33" t="s">
        <v>49</v>
      </c>
      <c r="E80" s="36" t="s">
        <v>80</v>
      </c>
      <c r="F80" s="12">
        <v>1043.8399999999999</v>
      </c>
      <c r="G80" s="5">
        <f t="shared" ref="G80:G84" si="0">F80</f>
        <v>1043.8399999999999</v>
      </c>
      <c r="H80" s="5">
        <v>0</v>
      </c>
    </row>
    <row r="81" spans="2:13" s="5" customFormat="1" x14ac:dyDescent="0.25">
      <c r="B81"/>
      <c r="C81" s="6">
        <v>44227</v>
      </c>
      <c r="D81" t="s">
        <v>51</v>
      </c>
      <c r="E81" s="36" t="s">
        <v>80</v>
      </c>
      <c r="F81" s="12">
        <v>938.09</v>
      </c>
      <c r="G81" s="5">
        <f t="shared" si="0"/>
        <v>938.09</v>
      </c>
      <c r="H81" s="5">
        <v>0</v>
      </c>
    </row>
    <row r="82" spans="2:13" s="5" customFormat="1" x14ac:dyDescent="0.25">
      <c r="B82"/>
      <c r="C82" s="6">
        <v>44227</v>
      </c>
      <c r="D82" t="s">
        <v>52</v>
      </c>
      <c r="E82" s="36" t="s">
        <v>80</v>
      </c>
      <c r="F82" s="12">
        <v>251.55</v>
      </c>
      <c r="G82" s="5">
        <f t="shared" si="0"/>
        <v>251.55</v>
      </c>
    </row>
    <row r="83" spans="2:13" s="5" customFormat="1" x14ac:dyDescent="0.25">
      <c r="B83"/>
      <c r="C83" s="6">
        <v>45688</v>
      </c>
      <c r="D83" t="s">
        <v>53</v>
      </c>
      <c r="E83" s="36" t="s">
        <v>81</v>
      </c>
      <c r="F83" s="12">
        <v>1092</v>
      </c>
      <c r="G83" s="5">
        <f t="shared" si="0"/>
        <v>1092</v>
      </c>
      <c r="H83" s="5">
        <v>0</v>
      </c>
    </row>
    <row r="84" spans="2:13" s="5" customFormat="1" x14ac:dyDescent="0.25">
      <c r="B84"/>
      <c r="C84" s="6">
        <v>45688</v>
      </c>
      <c r="D84" t="s">
        <v>55</v>
      </c>
      <c r="E84" s="36" t="s">
        <v>56</v>
      </c>
      <c r="F84" s="12">
        <v>65</v>
      </c>
      <c r="G84" s="5">
        <f t="shared" si="0"/>
        <v>65</v>
      </c>
      <c r="H84" s="5">
        <v>0</v>
      </c>
    </row>
    <row r="85" spans="2:13" s="5" customFormat="1" x14ac:dyDescent="0.25">
      <c r="B85"/>
      <c r="C85" s="6"/>
      <c r="D85"/>
      <c r="E85" s="36"/>
      <c r="F85" s="12"/>
    </row>
    <row r="86" spans="2:13" s="5" customFormat="1" x14ac:dyDescent="0.25">
      <c r="C86" s="46"/>
      <c r="D86" s="47"/>
      <c r="E86" s="47"/>
      <c r="F86" s="48"/>
    </row>
    <row r="87" spans="2:13" s="5" customFormat="1" x14ac:dyDescent="0.25">
      <c r="C87" s="47"/>
      <c r="D87" s="49"/>
      <c r="E87" s="47"/>
      <c r="F87" s="40">
        <f>SUM(F80:F86)</f>
        <v>3390.48</v>
      </c>
      <c r="G87" s="5">
        <f>SUM(G80:G86)</f>
        <v>3390.48</v>
      </c>
      <c r="H87" s="5">
        <f>SUM(H80:H86)</f>
        <v>0</v>
      </c>
      <c r="I87" s="50">
        <f>F87+Maio!I93</f>
        <v>22768.05</v>
      </c>
    </row>
    <row r="88" spans="2:13" x14ac:dyDescent="0.25">
      <c r="L88" s="5"/>
      <c r="M88" s="5"/>
    </row>
    <row r="89" spans="2:13" x14ac:dyDescent="0.25">
      <c r="L89" s="5"/>
      <c r="M89" s="5"/>
    </row>
    <row r="90" spans="2:13" s="5" customFormat="1" x14ac:dyDescent="0.25">
      <c r="C90"/>
      <c r="D90" s="51" t="s">
        <v>19</v>
      </c>
      <c r="E90" s="52">
        <f>E49</f>
        <v>31419.78</v>
      </c>
      <c r="G90" s="5">
        <f>F49</f>
        <v>24915.65</v>
      </c>
    </row>
    <row r="91" spans="2:13" s="5" customFormat="1" x14ac:dyDescent="0.25">
      <c r="C91"/>
      <c r="D91" s="36" t="s">
        <v>57</v>
      </c>
      <c r="E91" s="12">
        <f>-F39</f>
        <v>0</v>
      </c>
      <c r="F91" s="38">
        <f>E91/E90</f>
        <v>0</v>
      </c>
      <c r="G91" s="5">
        <f>-G39</f>
        <v>0</v>
      </c>
    </row>
    <row r="92" spans="2:13" s="5" customFormat="1" x14ac:dyDescent="0.25">
      <c r="C92"/>
      <c r="D92" s="36" t="s">
        <v>58</v>
      </c>
      <c r="E92" s="12">
        <f>-F77</f>
        <v>-2656.7099999999996</v>
      </c>
      <c r="F92" s="38">
        <f>(-2951.87/26138.85)</f>
        <v>-0.11293036992828683</v>
      </c>
      <c r="G92" s="5">
        <f>-G77</f>
        <v>-1748.2895934959347</v>
      </c>
    </row>
    <row r="93" spans="2:13" s="5" customFormat="1" x14ac:dyDescent="0.25">
      <c r="C93"/>
      <c r="D93" s="47" t="s">
        <v>59</v>
      </c>
      <c r="E93" s="48">
        <f>-F87</f>
        <v>-3390.48</v>
      </c>
      <c r="F93" s="38">
        <f>E93/E90</f>
        <v>-0.10790909420753424</v>
      </c>
      <c r="G93" s="5">
        <f>-G87</f>
        <v>-3390.48</v>
      </c>
    </row>
    <row r="94" spans="2:13" s="5" customFormat="1" x14ac:dyDescent="0.25">
      <c r="C94"/>
      <c r="D94" s="53" t="s">
        <v>60</v>
      </c>
      <c r="E94" s="54">
        <f>E90+E91+E92+E93</f>
        <v>25372.59</v>
      </c>
      <c r="F94" s="38">
        <f>E94/E49</f>
        <v>0.80753557154123934</v>
      </c>
      <c r="G94" s="55">
        <f>G90+G91+G92+G93</f>
        <v>19776.880406504068</v>
      </c>
    </row>
    <row r="95" spans="2:13" x14ac:dyDescent="0.25">
      <c r="L95" s="5"/>
      <c r="M95" s="5"/>
    </row>
    <row r="96" spans="2:13" x14ac:dyDescent="0.25">
      <c r="F96" s="24"/>
      <c r="L96" s="5"/>
      <c r="M96" s="5"/>
    </row>
    <row r="97" spans="4:13" ht="18.75" x14ac:dyDescent="0.3">
      <c r="D97" s="56" t="s">
        <v>61</v>
      </c>
      <c r="E97" s="57">
        <f>Maio!E103+Junho!E49</f>
        <v>297391.11400000006</v>
      </c>
      <c r="L97" s="5"/>
      <c r="M97" s="5"/>
    </row>
    <row r="98" spans="4:13" x14ac:dyDescent="0.25">
      <c r="L98" s="5"/>
      <c r="M98" s="5"/>
    </row>
    <row r="99" spans="4:13" x14ac:dyDescent="0.25">
      <c r="M99" s="5"/>
    </row>
    <row r="100" spans="4:13" x14ac:dyDescent="0.25">
      <c r="M100" s="5"/>
    </row>
    <row r="101" spans="4:13" x14ac:dyDescent="0.25">
      <c r="M101" s="5"/>
    </row>
    <row r="102" spans="4:13" x14ac:dyDescent="0.25">
      <c r="M102" s="5"/>
    </row>
    <row r="103" spans="4:13" x14ac:dyDescent="0.25">
      <c r="F103"/>
      <c r="G103"/>
      <c r="H103"/>
      <c r="I103"/>
      <c r="M103" s="5"/>
    </row>
    <row r="104" spans="4:13" x14ac:dyDescent="0.25">
      <c r="F104"/>
      <c r="G104"/>
      <c r="H104"/>
      <c r="I104"/>
      <c r="M104" s="5"/>
    </row>
  </sheetData>
  <pageMargins left="0.9055118110236221" right="0.70866141732283472" top="1.6535433070866143" bottom="1.2204724409448819" header="0.31496062992125984" footer="0.31496062992125984"/>
  <pageSetup paperSize="9" scale="65" orientation="landscape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DDA34-7B9E-4E53-AF92-1DD75642A008}">
  <dimension ref="A2:Q106"/>
  <sheetViews>
    <sheetView topLeftCell="A19" zoomScale="84" zoomScaleNormal="84" workbookViewId="0">
      <selection activeCell="H44" sqref="H44"/>
    </sheetView>
  </sheetViews>
  <sheetFormatPr defaultRowHeight="15" x14ac:dyDescent="0.25"/>
  <cols>
    <col min="1" max="1" width="12" customWidth="1"/>
    <col min="2" max="2" width="10.5703125" customWidth="1"/>
    <col min="3" max="3" width="8.7109375" customWidth="1"/>
    <col min="4" max="4" width="29.28515625" bestFit="1" customWidth="1"/>
    <col min="5" max="5" width="32.7109375" bestFit="1" customWidth="1"/>
    <col min="6" max="6" width="13" style="5" bestFit="1" customWidth="1"/>
    <col min="7" max="7" width="21.28515625" style="5" bestFit="1" customWidth="1"/>
    <col min="8" max="8" width="13.42578125" style="5" customWidth="1"/>
    <col min="9" max="9" width="13.28515625" style="5" customWidth="1"/>
    <col min="10" max="10" width="19.7109375" bestFit="1" customWidth="1"/>
    <col min="11" max="11" width="16.42578125" bestFit="1" customWidth="1"/>
    <col min="12" max="12" width="12.7109375" bestFit="1" customWidth="1"/>
    <col min="13" max="14" width="11.7109375" bestFit="1" customWidth="1"/>
    <col min="15" max="15" width="12.7109375" bestFit="1" customWidth="1"/>
    <col min="16" max="16" width="10.7109375" bestFit="1" customWidth="1"/>
    <col min="17" max="17" width="11.7109375" bestFit="1" customWidth="1"/>
  </cols>
  <sheetData>
    <row r="2" spans="2:11" x14ac:dyDescent="0.25">
      <c r="B2" s="1" t="s">
        <v>0</v>
      </c>
      <c r="C2" s="1" t="s">
        <v>1</v>
      </c>
      <c r="D2" s="2"/>
      <c r="E2" s="3"/>
      <c r="F2" s="4"/>
      <c r="G2" s="5" t="s">
        <v>2</v>
      </c>
      <c r="H2" s="5" t="s">
        <v>3</v>
      </c>
    </row>
    <row r="3" spans="2:11" x14ac:dyDescent="0.25">
      <c r="B3" s="6"/>
      <c r="C3" s="6"/>
      <c r="D3" s="7"/>
      <c r="E3" s="8"/>
      <c r="F3" s="9"/>
    </row>
    <row r="4" spans="2:11" x14ac:dyDescent="0.25">
      <c r="B4" s="6"/>
      <c r="C4" s="6"/>
      <c r="D4" s="7"/>
      <c r="E4" s="8"/>
      <c r="F4" s="9"/>
    </row>
    <row r="5" spans="2:11" x14ac:dyDescent="0.25">
      <c r="B5" s="6"/>
      <c r="C5" s="6"/>
      <c r="D5" s="7"/>
      <c r="E5" s="8"/>
      <c r="F5" s="9"/>
    </row>
    <row r="6" spans="2:11" x14ac:dyDescent="0.25">
      <c r="B6" s="6"/>
      <c r="C6" s="6"/>
      <c r="D6" s="7"/>
      <c r="E6" s="8"/>
      <c r="F6" s="9"/>
      <c r="J6" t="s">
        <v>4</v>
      </c>
    </row>
    <row r="7" spans="2:11" s="5" customFormat="1" x14ac:dyDescent="0.25">
      <c r="B7" s="6"/>
      <c r="C7" s="6"/>
      <c r="D7" s="7"/>
      <c r="E7" s="10"/>
      <c r="F7" s="9"/>
      <c r="G7" s="11"/>
      <c r="H7" s="11"/>
    </row>
    <row r="8" spans="2:11" s="5" customFormat="1" x14ac:dyDescent="0.25">
      <c r="B8" s="6"/>
      <c r="C8" s="6"/>
      <c r="D8" s="7"/>
      <c r="E8" s="8"/>
      <c r="F8" s="12"/>
      <c r="J8" s="5" t="s">
        <v>5</v>
      </c>
      <c r="K8" s="5">
        <f>G51</f>
        <v>0</v>
      </c>
    </row>
    <row r="9" spans="2:11" s="5" customFormat="1" x14ac:dyDescent="0.25">
      <c r="B9" s="6"/>
      <c r="C9" s="6"/>
      <c r="D9" s="7"/>
      <c r="E9" s="8"/>
      <c r="F9" s="9"/>
      <c r="J9" s="5" t="s">
        <v>6</v>
      </c>
      <c r="K9" s="5">
        <f>H39+H79+H89</f>
        <v>99.420406504065028</v>
      </c>
    </row>
    <row r="10" spans="2:11" s="5" customFormat="1" x14ac:dyDescent="0.25">
      <c r="B10" s="6"/>
      <c r="C10" s="6"/>
      <c r="D10" s="7"/>
      <c r="E10" s="8"/>
      <c r="F10" s="9"/>
      <c r="J10" s="13" t="s">
        <v>7</v>
      </c>
      <c r="K10" s="14">
        <f>K8-K9</f>
        <v>-99.420406504065028</v>
      </c>
    </row>
    <row r="11" spans="2:11" s="5" customFormat="1" x14ac:dyDescent="0.25">
      <c r="B11" s="6"/>
      <c r="C11" s="6"/>
      <c r="D11" s="7"/>
      <c r="E11" s="8"/>
      <c r="F11" s="9"/>
    </row>
    <row r="12" spans="2:11" s="5" customFormat="1" x14ac:dyDescent="0.25">
      <c r="B12" s="6"/>
      <c r="C12" s="6"/>
      <c r="D12" s="7"/>
      <c r="E12" s="8"/>
      <c r="F12" s="9"/>
    </row>
    <row r="13" spans="2:11" s="5" customFormat="1" x14ac:dyDescent="0.25">
      <c r="B13" s="6"/>
      <c r="C13" s="6"/>
      <c r="D13" s="7"/>
      <c r="E13" s="8"/>
      <c r="F13" s="9"/>
      <c r="J13" s="5" t="s">
        <v>8</v>
      </c>
      <c r="K13" s="5">
        <f>F51</f>
        <v>33814.6</v>
      </c>
    </row>
    <row r="14" spans="2:11" s="5" customFormat="1" x14ac:dyDescent="0.25">
      <c r="B14" s="6"/>
      <c r="C14" s="6"/>
      <c r="D14" s="7"/>
      <c r="E14" s="8"/>
      <c r="F14" s="9"/>
      <c r="J14" s="5" t="s">
        <v>9</v>
      </c>
      <c r="K14" s="5">
        <f>G39+G79+G89</f>
        <v>5138.7695934959347</v>
      </c>
    </row>
    <row r="15" spans="2:11" s="5" customFormat="1" x14ac:dyDescent="0.25">
      <c r="B15" s="6"/>
      <c r="C15" s="6"/>
      <c r="D15" s="7"/>
      <c r="E15" s="8"/>
      <c r="F15" s="9"/>
      <c r="K15" s="5">
        <f>K13-K14</f>
        <v>28675.830406504065</v>
      </c>
    </row>
    <row r="16" spans="2:11" s="5" customFormat="1" x14ac:dyDescent="0.25">
      <c r="B16" s="6"/>
      <c r="C16" s="6"/>
      <c r="D16" s="7"/>
      <c r="E16" s="8"/>
      <c r="F16" s="9"/>
      <c r="J16" s="13" t="s">
        <v>10</v>
      </c>
      <c r="K16" s="14">
        <f>K15*0.17</f>
        <v>4874.891169105691</v>
      </c>
    </row>
    <row r="17" spans="1:14" s="5" customFormat="1" x14ac:dyDescent="0.25">
      <c r="B17" s="6"/>
      <c r="C17" s="6"/>
      <c r="D17" s="7"/>
      <c r="E17" s="8"/>
      <c r="F17" s="9"/>
    </row>
    <row r="18" spans="1:14" s="5" customFormat="1" x14ac:dyDescent="0.25">
      <c r="B18" s="6"/>
      <c r="C18" s="15"/>
      <c r="D18" s="7"/>
      <c r="E18" s="8"/>
      <c r="F18" s="9"/>
    </row>
    <row r="19" spans="1:14" s="5" customFormat="1" x14ac:dyDescent="0.25">
      <c r="A19" s="16"/>
      <c r="B19" s="6"/>
      <c r="C19" s="6"/>
      <c r="D19" s="7"/>
      <c r="E19" s="8"/>
      <c r="F19" s="17"/>
    </row>
    <row r="20" spans="1:14" s="5" customFormat="1" x14ac:dyDescent="0.25">
      <c r="B20" s="6"/>
      <c r="C20" s="6"/>
      <c r="D20" s="7"/>
      <c r="E20" s="8"/>
      <c r="F20" s="17"/>
    </row>
    <row r="21" spans="1:14" s="5" customFormat="1" x14ac:dyDescent="0.25">
      <c r="B21" s="6"/>
      <c r="C21" s="6"/>
      <c r="D21" s="7"/>
      <c r="E21" s="8"/>
      <c r="F21" s="9"/>
      <c r="J21" s="14" t="s">
        <v>11</v>
      </c>
    </row>
    <row r="22" spans="1:14" s="5" customFormat="1" x14ac:dyDescent="0.25">
      <c r="B22" s="6"/>
      <c r="C22" s="6"/>
      <c r="D22" s="7"/>
      <c r="E22" s="8"/>
      <c r="F22" s="17"/>
      <c r="I22" s="18" t="s">
        <v>10</v>
      </c>
      <c r="J22" s="5" t="s">
        <v>12</v>
      </c>
      <c r="K22" s="14">
        <f>K13+Junho!K22</f>
        <v>242687.31333333335</v>
      </c>
      <c r="M22" s="19"/>
    </row>
    <row r="23" spans="1:14" s="5" customFormat="1" x14ac:dyDescent="0.25">
      <c r="B23" s="6"/>
      <c r="C23" s="6"/>
      <c r="D23" s="7"/>
      <c r="E23" s="8"/>
      <c r="F23" s="9"/>
      <c r="I23" s="13"/>
      <c r="J23" s="5" t="s">
        <v>13</v>
      </c>
      <c r="K23" s="5">
        <f>K14+Junho!K23</f>
        <v>172432.63516260165</v>
      </c>
    </row>
    <row r="24" spans="1:14" s="5" customFormat="1" x14ac:dyDescent="0.25">
      <c r="B24" s="6"/>
      <c r="C24" s="6"/>
      <c r="D24" s="7"/>
      <c r="E24" s="8"/>
      <c r="F24" s="20"/>
      <c r="I24" s="13"/>
      <c r="J24" s="13" t="s">
        <v>14</v>
      </c>
      <c r="K24" s="5">
        <f>1714.45*7</f>
        <v>12001.15</v>
      </c>
    </row>
    <row r="25" spans="1:14" s="5" customFormat="1" x14ac:dyDescent="0.25">
      <c r="B25" s="6"/>
      <c r="C25" s="6"/>
      <c r="D25" s="7"/>
      <c r="E25" s="8"/>
      <c r="F25" s="9"/>
      <c r="I25" s="13"/>
      <c r="K25" s="21">
        <f>K22-K23-K24</f>
        <v>58253.528170731697</v>
      </c>
      <c r="L25" s="11"/>
    </row>
    <row r="26" spans="1:14" s="5" customFormat="1" x14ac:dyDescent="0.25">
      <c r="B26" s="6"/>
      <c r="C26" s="6"/>
      <c r="D26" s="7"/>
      <c r="E26" s="8"/>
      <c r="F26" s="12"/>
      <c r="I26" s="13"/>
      <c r="J26" s="22">
        <v>0.17</v>
      </c>
      <c r="K26" s="23">
        <f>K25*0.17</f>
        <v>9903.0997890243889</v>
      </c>
    </row>
    <row r="27" spans="1:14" s="5" customFormat="1" x14ac:dyDescent="0.25">
      <c r="B27" s="6"/>
      <c r="C27" s="6"/>
      <c r="D27" s="7"/>
      <c r="E27" s="8"/>
      <c r="F27" s="9"/>
      <c r="I27" s="18" t="s">
        <v>15</v>
      </c>
      <c r="J27" s="5" t="s">
        <v>12</v>
      </c>
      <c r="K27" s="5">
        <f>K8+Junho!K27</f>
        <v>0</v>
      </c>
    </row>
    <row r="28" spans="1:14" s="5" customFormat="1" x14ac:dyDescent="0.25">
      <c r="B28" s="6"/>
      <c r="C28" s="6"/>
      <c r="D28" s="7"/>
      <c r="E28" s="8"/>
      <c r="F28" s="9"/>
      <c r="I28" s="13"/>
      <c r="J28" s="5" t="s">
        <v>16</v>
      </c>
      <c r="K28" s="5">
        <f>K9+Junho!K28</f>
        <v>27432.563292682924</v>
      </c>
    </row>
    <row r="29" spans="1:14" s="5" customFormat="1" x14ac:dyDescent="0.25">
      <c r="B29" s="6"/>
      <c r="C29" s="6"/>
      <c r="D29" s="7"/>
      <c r="E29" s="10"/>
      <c r="F29" s="9"/>
      <c r="G29" s="11"/>
      <c r="H29" s="11"/>
      <c r="J29" s="18" t="s">
        <v>3</v>
      </c>
      <c r="K29" s="23">
        <f>K27-K28</f>
        <v>-27432.563292682924</v>
      </c>
    </row>
    <row r="30" spans="1:14" s="5" customFormat="1" x14ac:dyDescent="0.25">
      <c r="B30" s="6"/>
      <c r="C30" s="6"/>
      <c r="D30" s="7"/>
      <c r="E30" s="8"/>
      <c r="F30" s="9"/>
      <c r="J30" s="16"/>
      <c r="K30" s="24"/>
      <c r="L30" s="25">
        <f>K30+K29</f>
        <v>-27432.563292682924</v>
      </c>
    </row>
    <row r="31" spans="1:14" s="5" customFormat="1" x14ac:dyDescent="0.25">
      <c r="B31" s="6"/>
      <c r="C31" s="6"/>
      <c r="D31" s="7"/>
      <c r="E31" s="10"/>
      <c r="F31" s="9"/>
      <c r="G31" s="11"/>
      <c r="H31" s="11"/>
      <c r="J31" s="18"/>
      <c r="K31" s="24" t="s">
        <v>62</v>
      </c>
      <c r="L31" s="5">
        <v>14954.52</v>
      </c>
    </row>
    <row r="32" spans="1:14" s="5" customFormat="1" x14ac:dyDescent="0.25">
      <c r="B32" s="6"/>
      <c r="C32" s="6"/>
      <c r="D32" s="7"/>
      <c r="E32" s="8"/>
      <c r="F32" s="9"/>
      <c r="J32" s="18"/>
      <c r="K32" s="23"/>
      <c r="L32" s="26">
        <f>SUM(L30:L31)</f>
        <v>-12478.043292682923</v>
      </c>
      <c r="N32" s="14"/>
    </row>
    <row r="33" spans="1:17" s="5" customFormat="1" x14ac:dyDescent="0.25">
      <c r="B33" s="6"/>
      <c r="C33" s="6"/>
      <c r="D33" s="7"/>
      <c r="E33" s="8"/>
      <c r="F33" s="9"/>
      <c r="J33" s="18"/>
      <c r="K33" s="14" t="s">
        <v>17</v>
      </c>
      <c r="L33" s="27">
        <f>Abril!L33+1994.83</f>
        <v>5491.09</v>
      </c>
    </row>
    <row r="34" spans="1:17" s="5" customFormat="1" x14ac:dyDescent="0.25">
      <c r="B34" s="6"/>
      <c r="C34" s="6"/>
      <c r="D34" s="7"/>
      <c r="E34" s="8"/>
      <c r="F34" s="9"/>
      <c r="J34" s="18"/>
      <c r="K34" s="14"/>
      <c r="L34" s="14"/>
    </row>
    <row r="35" spans="1:17" s="5" customFormat="1" x14ac:dyDescent="0.25">
      <c r="B35" s="6"/>
      <c r="C35" s="6"/>
      <c r="D35" s="7"/>
      <c r="E35" s="8"/>
      <c r="F35" s="9"/>
      <c r="J35" s="18"/>
      <c r="K35" s="14"/>
      <c r="L35" s="14"/>
    </row>
    <row r="36" spans="1:17" s="5" customFormat="1" x14ac:dyDescent="0.25">
      <c r="B36" s="6"/>
      <c r="C36" s="6"/>
      <c r="D36" s="7"/>
      <c r="E36" s="8"/>
      <c r="F36" s="9"/>
      <c r="J36" s="18"/>
      <c r="K36" s="14"/>
      <c r="L36" s="14"/>
    </row>
    <row r="37" spans="1:17" s="5" customFormat="1" x14ac:dyDescent="0.25">
      <c r="B37" s="6"/>
      <c r="C37" s="6"/>
      <c r="D37" s="7"/>
      <c r="E37" s="28"/>
      <c r="F37" s="17"/>
      <c r="G37" s="23"/>
      <c r="L37" s="14"/>
    </row>
    <row r="38" spans="1:17" s="5" customFormat="1" x14ac:dyDescent="0.25">
      <c r="B38" s="6"/>
      <c r="C38" s="6"/>
      <c r="D38" s="7"/>
      <c r="E38" s="8"/>
      <c r="F38" s="17"/>
    </row>
    <row r="39" spans="1:17" x14ac:dyDescent="0.25">
      <c r="B39" s="29"/>
      <c r="C39" s="29"/>
      <c r="D39" s="30"/>
      <c r="E39" s="31"/>
      <c r="F39" s="32">
        <f>SUM(F3:F38)</f>
        <v>0</v>
      </c>
      <c r="G39" s="5">
        <f>SUM(G3:G38)</f>
        <v>0</v>
      </c>
      <c r="H39" s="14">
        <f>SUM(H3:H38)</f>
        <v>0</v>
      </c>
      <c r="J39" s="5"/>
      <c r="M39" s="5"/>
      <c r="Q39" s="5"/>
    </row>
    <row r="40" spans="1:17" x14ac:dyDescent="0.25">
      <c r="C40" s="33"/>
      <c r="M40" s="5"/>
      <c r="Q40" s="5"/>
    </row>
    <row r="41" spans="1:17" x14ac:dyDescent="0.25">
      <c r="C41" s="33"/>
      <c r="M41" s="5"/>
      <c r="N41" s="5"/>
      <c r="O41" s="5"/>
      <c r="Q41" s="5"/>
    </row>
    <row r="42" spans="1:17" x14ac:dyDescent="0.25">
      <c r="C42" s="33"/>
      <c r="M42" s="5"/>
      <c r="N42" s="5"/>
      <c r="O42" s="5"/>
      <c r="Q42" s="5"/>
    </row>
    <row r="43" spans="1:17" x14ac:dyDescent="0.25">
      <c r="B43" t="s">
        <v>18</v>
      </c>
      <c r="C43" s="29"/>
      <c r="D43" s="34" t="s">
        <v>19</v>
      </c>
      <c r="E43" s="31"/>
      <c r="F43" s="5" t="s">
        <v>20</v>
      </c>
      <c r="G43" s="5" t="s">
        <v>3</v>
      </c>
      <c r="H43" s="5" t="s">
        <v>21</v>
      </c>
      <c r="M43" s="5"/>
      <c r="O43" s="5"/>
      <c r="Q43" s="5"/>
    </row>
    <row r="44" spans="1:17" s="62" customFormat="1" x14ac:dyDescent="0.25">
      <c r="B44" s="63"/>
      <c r="C44" s="64"/>
      <c r="D44" s="65" t="s">
        <v>82</v>
      </c>
      <c r="E44" s="66">
        <v>19575.75</v>
      </c>
      <c r="F44" s="67">
        <f>E44</f>
        <v>19575.75</v>
      </c>
      <c r="G44" s="67">
        <v>0</v>
      </c>
      <c r="H44" s="79">
        <f>E44-5000-5000-5000</f>
        <v>4575.75</v>
      </c>
      <c r="I44" s="5"/>
    </row>
    <row r="45" spans="1:17" s="5" customFormat="1" x14ac:dyDescent="0.25">
      <c r="B45"/>
      <c r="C45" s="35"/>
      <c r="D45" s="36" t="s">
        <v>82</v>
      </c>
      <c r="E45" s="12">
        <v>4188.8500000000004</v>
      </c>
      <c r="F45" s="37">
        <f>E45</f>
        <v>4188.8500000000004</v>
      </c>
      <c r="G45" s="37">
        <v>0</v>
      </c>
      <c r="H45" s="77">
        <f>E45</f>
        <v>4188.8500000000004</v>
      </c>
    </row>
    <row r="46" spans="1:17" s="5" customFormat="1" x14ac:dyDescent="0.25">
      <c r="B46"/>
      <c r="C46" s="35"/>
      <c r="D46" s="36" t="s">
        <v>355</v>
      </c>
      <c r="E46" s="12">
        <v>75149</v>
      </c>
      <c r="F46" s="37"/>
      <c r="G46" s="37"/>
      <c r="H46" s="11">
        <f>E46</f>
        <v>75149</v>
      </c>
    </row>
    <row r="47" spans="1:17" s="5" customFormat="1" x14ac:dyDescent="0.25">
      <c r="A47" s="5" t="s">
        <v>411</v>
      </c>
      <c r="B47"/>
      <c r="C47" s="35"/>
      <c r="D47" s="36" t="s">
        <v>393</v>
      </c>
      <c r="E47" s="12">
        <v>10050</v>
      </c>
      <c r="F47" s="37">
        <f>E47</f>
        <v>10050</v>
      </c>
      <c r="G47" s="37">
        <v>0</v>
      </c>
      <c r="H47" s="77">
        <f>E47-5000</f>
        <v>5050</v>
      </c>
    </row>
    <row r="48" spans="1:17" s="5" customFormat="1" x14ac:dyDescent="0.25">
      <c r="B48"/>
      <c r="C48" s="35"/>
      <c r="D48" s="36"/>
      <c r="E48" s="12"/>
      <c r="F48" s="37"/>
      <c r="G48" s="37"/>
      <c r="H48" s="77"/>
      <c r="I48" s="5">
        <f>E44+E45+457.14</f>
        <v>24221.739999999998</v>
      </c>
    </row>
    <row r="49" spans="2:10" s="5" customFormat="1" x14ac:dyDescent="0.25">
      <c r="B49"/>
      <c r="C49" s="35"/>
      <c r="D49" s="36"/>
      <c r="E49" s="12"/>
      <c r="F49" s="37"/>
      <c r="G49" s="37"/>
      <c r="H49" s="11"/>
    </row>
    <row r="50" spans="2:10" s="62" customFormat="1" x14ac:dyDescent="0.25">
      <c r="B50" s="63"/>
      <c r="C50" s="64"/>
      <c r="D50" s="65"/>
      <c r="E50" s="66"/>
      <c r="F50" s="67"/>
      <c r="G50" s="67"/>
      <c r="H50" s="68"/>
    </row>
    <row r="51" spans="2:10" s="5" customFormat="1" x14ac:dyDescent="0.25">
      <c r="C51" s="39"/>
      <c r="D51" s="1"/>
      <c r="E51" s="40">
        <f>SUM(E44:E50)</f>
        <v>108963.6</v>
      </c>
      <c r="F51" s="14">
        <f>SUM(F44:F50)</f>
        <v>33814.6</v>
      </c>
      <c r="G51" s="14">
        <f>SUM(G44:G49)</f>
        <v>0</v>
      </c>
      <c r="H51" s="14">
        <f>SUM(H44:H50)</f>
        <v>88963.6</v>
      </c>
    </row>
    <row r="52" spans="2:10" s="5" customFormat="1" x14ac:dyDescent="0.25">
      <c r="C52" s="33"/>
      <c r="D52" s="36"/>
      <c r="G52" s="37"/>
    </row>
    <row r="53" spans="2:10" s="5" customFormat="1" x14ac:dyDescent="0.25">
      <c r="C53" s="33"/>
      <c r="D53" s="36"/>
      <c r="G53" s="14"/>
    </row>
    <row r="54" spans="2:10" s="5" customFormat="1" x14ac:dyDescent="0.25">
      <c r="C54" s="33"/>
      <c r="D54" s="36"/>
    </row>
    <row r="55" spans="2:10" s="5" customFormat="1" x14ac:dyDescent="0.25">
      <c r="B55" s="1" t="s">
        <v>1</v>
      </c>
      <c r="C55" s="1"/>
      <c r="D55" s="34" t="s">
        <v>26</v>
      </c>
      <c r="E55" s="1"/>
      <c r="F55" s="4"/>
      <c r="G55" s="5" t="s">
        <v>2</v>
      </c>
      <c r="H55" s="5" t="s">
        <v>3</v>
      </c>
    </row>
    <row r="56" spans="2:10" s="5" customFormat="1" x14ac:dyDescent="0.25">
      <c r="B56"/>
      <c r="C56" s="6"/>
      <c r="D56" t="s">
        <v>27</v>
      </c>
      <c r="E56" s="36" t="s">
        <v>28</v>
      </c>
      <c r="F56" s="12">
        <v>246</v>
      </c>
      <c r="G56" s="5">
        <v>200</v>
      </c>
      <c r="H56" s="5">
        <v>46</v>
      </c>
    </row>
    <row r="57" spans="2:10" s="5" customFormat="1" x14ac:dyDescent="0.25">
      <c r="B57"/>
      <c r="C57" s="6"/>
      <c r="D57" t="s">
        <v>29</v>
      </c>
      <c r="E57" s="36" t="s">
        <v>30</v>
      </c>
      <c r="F57" s="12">
        <v>222</v>
      </c>
      <c r="G57" s="5">
        <f>F57</f>
        <v>222</v>
      </c>
      <c r="H57" s="5">
        <v>0</v>
      </c>
    </row>
    <row r="58" spans="2:10" s="5" customFormat="1" x14ac:dyDescent="0.25">
      <c r="B58"/>
      <c r="C58" s="6"/>
      <c r="D58" t="s">
        <v>31</v>
      </c>
      <c r="E58" s="36" t="s">
        <v>32</v>
      </c>
      <c r="F58" s="12">
        <v>956.04</v>
      </c>
      <c r="G58" s="41">
        <f>138.79+2.6+5.65</f>
        <v>147.04</v>
      </c>
      <c r="H58" s="5">
        <v>0</v>
      </c>
      <c r="I58" s="37"/>
    </row>
    <row r="59" spans="2:10" s="5" customFormat="1" x14ac:dyDescent="0.25">
      <c r="B59" s="42"/>
      <c r="C59" s="6"/>
      <c r="D59" t="s">
        <v>33</v>
      </c>
      <c r="E59" s="36" t="s">
        <v>34</v>
      </c>
      <c r="F59" s="12">
        <f>G59+H59</f>
        <v>900</v>
      </c>
      <c r="G59" s="5">
        <v>900</v>
      </c>
      <c r="H59" s="5">
        <v>0</v>
      </c>
    </row>
    <row r="60" spans="2:10" s="5" customFormat="1" x14ac:dyDescent="0.25">
      <c r="B60"/>
      <c r="C60" s="6"/>
      <c r="D60" s="33" t="s">
        <v>35</v>
      </c>
      <c r="E60" s="36" t="s">
        <v>36</v>
      </c>
      <c r="F60" s="12">
        <f>15.8+0.63</f>
        <v>16.43</v>
      </c>
      <c r="G60" s="5">
        <f>F60</f>
        <v>16.43</v>
      </c>
      <c r="H60" s="5">
        <v>0</v>
      </c>
    </row>
    <row r="61" spans="2:10" s="5" customFormat="1" x14ac:dyDescent="0.25">
      <c r="B61"/>
      <c r="C61" s="6"/>
      <c r="D61" s="33" t="s">
        <v>35</v>
      </c>
      <c r="E61" s="36" t="s">
        <v>37</v>
      </c>
      <c r="F61" s="12">
        <v>30.56</v>
      </c>
      <c r="G61" s="5">
        <f>F61</f>
        <v>30.56</v>
      </c>
      <c r="H61" s="5">
        <v>0</v>
      </c>
    </row>
    <row r="62" spans="2:10" s="5" customFormat="1" x14ac:dyDescent="0.25">
      <c r="B62"/>
      <c r="C62" s="43"/>
      <c r="D62" t="s">
        <v>38</v>
      </c>
      <c r="E62" s="36" t="s">
        <v>39</v>
      </c>
      <c r="F62" s="12">
        <v>121.13</v>
      </c>
      <c r="G62" s="5">
        <f>F62/1.23</f>
        <v>98.479674796747972</v>
      </c>
      <c r="H62" s="5">
        <f>F62-G62</f>
        <v>22.650325203252024</v>
      </c>
      <c r="J62" s="44"/>
    </row>
    <row r="63" spans="2:10" s="5" customFormat="1" x14ac:dyDescent="0.25">
      <c r="B63"/>
      <c r="C63" s="6"/>
      <c r="D63" t="s">
        <v>40</v>
      </c>
      <c r="E63" s="36" t="s">
        <v>41</v>
      </c>
      <c r="F63" s="12">
        <v>8.61</v>
      </c>
      <c r="G63" s="5">
        <f>F63/1.23</f>
        <v>7</v>
      </c>
      <c r="H63" s="5">
        <f>F63-G63</f>
        <v>1.6099999999999994</v>
      </c>
    </row>
    <row r="64" spans="2:10" s="5" customFormat="1" x14ac:dyDescent="0.25">
      <c r="B64"/>
      <c r="C64" s="6"/>
      <c r="D64" t="s">
        <v>42</v>
      </c>
      <c r="E64" s="36" t="s">
        <v>43</v>
      </c>
      <c r="F64" s="12">
        <v>9.99</v>
      </c>
      <c r="G64" s="5">
        <v>8.1199999999999992</v>
      </c>
      <c r="H64" s="5">
        <v>1.87</v>
      </c>
      <c r="J64" s="44"/>
    </row>
    <row r="65" spans="2:13" s="5" customFormat="1" x14ac:dyDescent="0.25">
      <c r="B65"/>
      <c r="C65" s="6"/>
      <c r="D65" s="7" t="s">
        <v>44</v>
      </c>
      <c r="E65" s="36" t="s">
        <v>45</v>
      </c>
      <c r="F65" s="12">
        <v>113</v>
      </c>
      <c r="G65" s="5">
        <f>F65/1.23</f>
        <v>91.869918699186996</v>
      </c>
      <c r="H65" s="5">
        <f>F65-G65</f>
        <v>21.130081300813004</v>
      </c>
      <c r="J65" s="44"/>
    </row>
    <row r="66" spans="2:13" s="5" customFormat="1" x14ac:dyDescent="0.25">
      <c r="B66"/>
      <c r="C66" s="6"/>
      <c r="D66" s="7" t="s">
        <v>46</v>
      </c>
      <c r="E66" s="36" t="s">
        <v>47</v>
      </c>
      <c r="F66" s="12">
        <v>32.950000000000003</v>
      </c>
      <c r="G66" s="5">
        <f>F66-H66</f>
        <v>26.790000000000003</v>
      </c>
      <c r="H66" s="5">
        <v>6.16</v>
      </c>
      <c r="J66" s="44"/>
    </row>
    <row r="67" spans="2:13" s="5" customFormat="1" x14ac:dyDescent="0.25">
      <c r="B67"/>
      <c r="C67" s="6"/>
      <c r="D67" s="7"/>
      <c r="E67" s="8"/>
      <c r="F67" s="45"/>
      <c r="J67" s="44"/>
    </row>
    <row r="68" spans="2:13" s="5" customFormat="1" x14ac:dyDescent="0.25">
      <c r="B68"/>
      <c r="C68" s="6"/>
      <c r="D68" s="7"/>
      <c r="E68" s="8"/>
      <c r="F68" s="45"/>
      <c r="J68" s="44"/>
    </row>
    <row r="69" spans="2:13" s="5" customFormat="1" x14ac:dyDescent="0.25">
      <c r="B69"/>
      <c r="C69" s="6"/>
      <c r="D69" s="7"/>
      <c r="E69" s="8"/>
      <c r="F69" s="45"/>
      <c r="J69" s="44"/>
    </row>
    <row r="70" spans="2:13" s="5" customFormat="1" x14ac:dyDescent="0.25">
      <c r="B70"/>
      <c r="C70" s="6"/>
      <c r="D70" s="7"/>
      <c r="E70" s="8"/>
      <c r="F70" s="45"/>
      <c r="J70" s="44"/>
    </row>
    <row r="71" spans="2:13" s="5" customFormat="1" x14ac:dyDescent="0.25">
      <c r="B71"/>
      <c r="C71" s="6"/>
      <c r="D71" s="7"/>
      <c r="E71" s="8"/>
      <c r="F71" s="17"/>
      <c r="J71" s="44"/>
    </row>
    <row r="72" spans="2:13" s="5" customFormat="1" x14ac:dyDescent="0.25">
      <c r="B72"/>
      <c r="C72" s="6"/>
      <c r="D72" s="7"/>
      <c r="E72" s="8"/>
      <c r="F72" s="17"/>
      <c r="J72" s="44"/>
    </row>
    <row r="73" spans="2:13" s="5" customFormat="1" x14ac:dyDescent="0.25">
      <c r="B73"/>
      <c r="C73" s="6"/>
      <c r="D73" s="7"/>
      <c r="E73" s="8"/>
      <c r="F73" s="17"/>
      <c r="J73" s="44"/>
    </row>
    <row r="74" spans="2:13" s="5" customFormat="1" x14ac:dyDescent="0.25">
      <c r="B74"/>
      <c r="C74" s="6"/>
      <c r="D74" s="7"/>
      <c r="E74" s="8"/>
      <c r="F74" s="17"/>
      <c r="J74" s="44"/>
    </row>
    <row r="75" spans="2:13" s="5" customFormat="1" x14ac:dyDescent="0.25">
      <c r="B75"/>
      <c r="C75" s="6"/>
      <c r="D75" s="7"/>
      <c r="E75" s="8"/>
      <c r="F75" s="17"/>
      <c r="J75" s="44"/>
    </row>
    <row r="76" spans="2:13" s="5" customFormat="1" x14ac:dyDescent="0.25">
      <c r="B76"/>
      <c r="C76" s="6"/>
      <c r="D76" s="7"/>
      <c r="E76" s="8"/>
      <c r="F76" s="17"/>
      <c r="J76" s="44"/>
    </row>
    <row r="77" spans="2:13" s="5" customFormat="1" x14ac:dyDescent="0.25">
      <c r="B77"/>
      <c r="C77" s="6"/>
      <c r="D77" s="7"/>
      <c r="E77" s="8"/>
      <c r="F77" s="17"/>
      <c r="J77" s="44"/>
    </row>
    <row r="78" spans="2:13" s="5" customFormat="1" x14ac:dyDescent="0.25">
      <c r="C78" s="6"/>
      <c r="D78" s="7"/>
      <c r="E78" s="36"/>
      <c r="F78" s="12"/>
    </row>
    <row r="79" spans="2:13" s="5" customFormat="1" x14ac:dyDescent="0.25">
      <c r="C79" s="1"/>
      <c r="D79" s="3"/>
      <c r="E79" s="1"/>
      <c r="F79" s="40">
        <f>SUM(F56:F78)</f>
        <v>2656.7099999999996</v>
      </c>
      <c r="G79" s="5">
        <f>SUM(G56:G78)</f>
        <v>1748.2895934959347</v>
      </c>
      <c r="H79" s="5">
        <f>SUM(H56:H78)</f>
        <v>99.420406504065028</v>
      </c>
    </row>
    <row r="80" spans="2:13" x14ac:dyDescent="0.25">
      <c r="L80" s="5"/>
      <c r="M80" s="5"/>
    </row>
    <row r="81" spans="2:13" s="5" customFormat="1" x14ac:dyDescent="0.25">
      <c r="C81" s="1"/>
      <c r="D81" s="34" t="s">
        <v>48</v>
      </c>
      <c r="E81" s="1"/>
      <c r="F81" s="4"/>
      <c r="G81" s="5" t="s">
        <v>2</v>
      </c>
      <c r="H81" s="5" t="s">
        <v>3</v>
      </c>
    </row>
    <row r="82" spans="2:13" s="5" customFormat="1" x14ac:dyDescent="0.25">
      <c r="B82"/>
      <c r="C82" s="6">
        <v>44227</v>
      </c>
      <c r="D82" s="33" t="s">
        <v>49</v>
      </c>
      <c r="E82" s="36" t="s">
        <v>80</v>
      </c>
      <c r="F82" s="12">
        <v>1043.8399999999999</v>
      </c>
      <c r="G82" s="5">
        <f t="shared" ref="G82:G86" si="0">F82</f>
        <v>1043.8399999999999</v>
      </c>
      <c r="H82" s="5">
        <v>0</v>
      </c>
    </row>
    <row r="83" spans="2:13" s="5" customFormat="1" x14ac:dyDescent="0.25">
      <c r="B83"/>
      <c r="C83" s="6">
        <v>44227</v>
      </c>
      <c r="D83" t="s">
        <v>51</v>
      </c>
      <c r="E83" s="36" t="s">
        <v>80</v>
      </c>
      <c r="F83" s="12">
        <v>938.09</v>
      </c>
      <c r="G83" s="5">
        <f t="shared" si="0"/>
        <v>938.09</v>
      </c>
      <c r="H83" s="5">
        <v>0</v>
      </c>
    </row>
    <row r="84" spans="2:13" s="5" customFormat="1" x14ac:dyDescent="0.25">
      <c r="B84"/>
      <c r="C84" s="6">
        <v>44227</v>
      </c>
      <c r="D84" t="s">
        <v>52</v>
      </c>
      <c r="E84" s="36" t="s">
        <v>80</v>
      </c>
      <c r="F84" s="12">
        <v>251.55</v>
      </c>
      <c r="G84" s="5">
        <f t="shared" si="0"/>
        <v>251.55</v>
      </c>
    </row>
    <row r="85" spans="2:13" s="5" customFormat="1" x14ac:dyDescent="0.25">
      <c r="B85"/>
      <c r="C85" s="6">
        <v>45688</v>
      </c>
      <c r="D85" t="s">
        <v>53</v>
      </c>
      <c r="E85" s="36" t="s">
        <v>81</v>
      </c>
      <c r="F85" s="12">
        <v>1092</v>
      </c>
      <c r="G85" s="5">
        <f t="shared" si="0"/>
        <v>1092</v>
      </c>
      <c r="H85" s="5">
        <v>0</v>
      </c>
    </row>
    <row r="86" spans="2:13" s="5" customFormat="1" x14ac:dyDescent="0.25">
      <c r="B86"/>
      <c r="C86" s="6">
        <v>45688</v>
      </c>
      <c r="D86" t="s">
        <v>55</v>
      </c>
      <c r="E86" s="36" t="s">
        <v>56</v>
      </c>
      <c r="F86" s="12">
        <v>65</v>
      </c>
      <c r="G86" s="5">
        <f t="shared" si="0"/>
        <v>65</v>
      </c>
      <c r="H86" s="5">
        <v>0</v>
      </c>
    </row>
    <row r="87" spans="2:13" s="5" customFormat="1" x14ac:dyDescent="0.25">
      <c r="B87"/>
      <c r="C87" s="6"/>
      <c r="D87"/>
      <c r="E87" s="36"/>
      <c r="F87" s="12"/>
    </row>
    <row r="88" spans="2:13" s="5" customFormat="1" x14ac:dyDescent="0.25">
      <c r="C88" s="46"/>
      <c r="D88" s="47"/>
      <c r="E88" s="47"/>
      <c r="F88" s="48"/>
    </row>
    <row r="89" spans="2:13" s="5" customFormat="1" x14ac:dyDescent="0.25">
      <c r="C89" s="47"/>
      <c r="D89" s="49"/>
      <c r="E89" s="47"/>
      <c r="F89" s="40">
        <f>SUM(F82:F88)</f>
        <v>3390.48</v>
      </c>
      <c r="G89" s="5">
        <f>SUM(G82:G88)</f>
        <v>3390.48</v>
      </c>
      <c r="H89" s="5">
        <f>SUM(H82:H88)</f>
        <v>0</v>
      </c>
      <c r="I89" s="50">
        <f>F89+Junho!I87</f>
        <v>26158.53</v>
      </c>
    </row>
    <row r="90" spans="2:13" x14ac:dyDescent="0.25">
      <c r="L90" s="5"/>
      <c r="M90" s="5"/>
    </row>
    <row r="91" spans="2:13" x14ac:dyDescent="0.25">
      <c r="L91" s="5"/>
      <c r="M91" s="5"/>
    </row>
    <row r="92" spans="2:13" s="5" customFormat="1" x14ac:dyDescent="0.25">
      <c r="C92"/>
      <c r="D92" s="51" t="s">
        <v>19</v>
      </c>
      <c r="E92" s="52">
        <f>E51</f>
        <v>108963.6</v>
      </c>
      <c r="G92" s="5">
        <f>F51</f>
        <v>33814.6</v>
      </c>
    </row>
    <row r="93" spans="2:13" s="5" customFormat="1" x14ac:dyDescent="0.25">
      <c r="C93"/>
      <c r="D93" s="36" t="s">
        <v>57</v>
      </c>
      <c r="E93" s="12">
        <f>-F39</f>
        <v>0</v>
      </c>
      <c r="F93" s="38">
        <f>E93/E92</f>
        <v>0</v>
      </c>
      <c r="G93" s="5">
        <f>-G39</f>
        <v>0</v>
      </c>
    </row>
    <row r="94" spans="2:13" s="5" customFormat="1" x14ac:dyDescent="0.25">
      <c r="C94"/>
      <c r="D94" s="36" t="s">
        <v>58</v>
      </c>
      <c r="E94" s="12">
        <f>-F79</f>
        <v>-2656.7099999999996</v>
      </c>
      <c r="F94" s="38">
        <f>(-2951.87/26138.85)</f>
        <v>-0.11293036992828683</v>
      </c>
      <c r="G94" s="5">
        <f>-G79</f>
        <v>-1748.2895934959347</v>
      </c>
    </row>
    <row r="95" spans="2:13" s="5" customFormat="1" x14ac:dyDescent="0.25">
      <c r="C95"/>
      <c r="D95" s="47" t="s">
        <v>59</v>
      </c>
      <c r="E95" s="48">
        <f>-F89</f>
        <v>-3390.48</v>
      </c>
      <c r="F95" s="38">
        <f>E95/E92</f>
        <v>-3.1115712035945948E-2</v>
      </c>
      <c r="G95" s="5">
        <f>-G89</f>
        <v>-3390.48</v>
      </c>
    </row>
    <row r="96" spans="2:13" s="5" customFormat="1" x14ac:dyDescent="0.25">
      <c r="C96"/>
      <c r="D96" s="53" t="s">
        <v>60</v>
      </c>
      <c r="E96" s="54">
        <f>E92+E93+E94+E95</f>
        <v>102916.41</v>
      </c>
      <c r="F96" s="38">
        <f>E96/E51</f>
        <v>0.94450265960375757</v>
      </c>
      <c r="G96" s="55">
        <f>G92+G93+G94+G95</f>
        <v>28675.830406504065</v>
      </c>
    </row>
    <row r="97" spans="4:13" x14ac:dyDescent="0.25">
      <c r="L97" s="5"/>
      <c r="M97" s="5"/>
    </row>
    <row r="98" spans="4:13" x14ac:dyDescent="0.25">
      <c r="F98" s="24"/>
      <c r="L98" s="5"/>
      <c r="M98" s="5"/>
    </row>
    <row r="99" spans="4:13" ht="18.75" x14ac:dyDescent="0.3">
      <c r="D99" s="56" t="s">
        <v>61</v>
      </c>
      <c r="E99" s="57">
        <f>Junho!E97+'Julho (2)'!E51</f>
        <v>406354.71400000004</v>
      </c>
      <c r="L99" s="5"/>
      <c r="M99" s="5"/>
    </row>
    <row r="100" spans="4:13" x14ac:dyDescent="0.25">
      <c r="L100" s="5"/>
      <c r="M100" s="5"/>
    </row>
    <row r="101" spans="4:13" x14ac:dyDescent="0.25">
      <c r="M101" s="5"/>
    </row>
    <row r="102" spans="4:13" x14ac:dyDescent="0.25">
      <c r="M102" s="5"/>
    </row>
    <row r="103" spans="4:13" x14ac:dyDescent="0.25">
      <c r="M103" s="5"/>
    </row>
    <row r="104" spans="4:13" x14ac:dyDescent="0.25">
      <c r="M104" s="5"/>
    </row>
    <row r="105" spans="4:13" x14ac:dyDescent="0.25">
      <c r="F105"/>
      <c r="G105"/>
      <c r="H105"/>
      <c r="I105"/>
      <c r="M105" s="5"/>
    </row>
    <row r="106" spans="4:13" x14ac:dyDescent="0.25">
      <c r="F106"/>
      <c r="G106"/>
      <c r="H106"/>
      <c r="I106"/>
      <c r="M106" s="5"/>
    </row>
  </sheetData>
  <pageMargins left="0.9055118110236221" right="0.70866141732283472" top="1.6535433070866143" bottom="1.2204724409448819" header="0.31496062992125984" footer="0.31496062992125984"/>
  <pageSetup paperSize="9" scale="65" orientation="landscape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74BB0-F872-4C5A-B806-B438FF791926}">
  <dimension ref="A2:Q106"/>
  <sheetViews>
    <sheetView topLeftCell="A10" zoomScale="84" zoomScaleNormal="84" workbookViewId="0">
      <selection activeCell="H44" sqref="H44"/>
    </sheetView>
  </sheetViews>
  <sheetFormatPr defaultRowHeight="15" x14ac:dyDescent="0.25"/>
  <cols>
    <col min="1" max="1" width="12" customWidth="1"/>
    <col min="2" max="2" width="10.5703125" customWidth="1"/>
    <col min="3" max="3" width="8.7109375" customWidth="1"/>
    <col min="4" max="4" width="29.28515625" bestFit="1" customWidth="1"/>
    <col min="5" max="5" width="32.7109375" bestFit="1" customWidth="1"/>
    <col min="6" max="6" width="13" style="5" bestFit="1" customWidth="1"/>
    <col min="7" max="7" width="21.28515625" style="5" bestFit="1" customWidth="1"/>
    <col min="8" max="8" width="13.42578125" style="5" customWidth="1"/>
    <col min="9" max="9" width="13.28515625" style="5" customWidth="1"/>
    <col min="10" max="10" width="19.7109375" bestFit="1" customWidth="1"/>
    <col min="11" max="11" width="16.42578125" bestFit="1" customWidth="1"/>
    <col min="12" max="12" width="12.7109375" bestFit="1" customWidth="1"/>
    <col min="13" max="14" width="11.7109375" bestFit="1" customWidth="1"/>
    <col min="15" max="15" width="12.7109375" bestFit="1" customWidth="1"/>
    <col min="16" max="16" width="10.7109375" bestFit="1" customWidth="1"/>
    <col min="17" max="17" width="11.7109375" bestFit="1" customWidth="1"/>
  </cols>
  <sheetData>
    <row r="2" spans="2:11" x14ac:dyDescent="0.25">
      <c r="B2" s="1" t="s">
        <v>0</v>
      </c>
      <c r="C2" s="1" t="s">
        <v>1</v>
      </c>
      <c r="D2" s="2"/>
      <c r="E2" s="3"/>
      <c r="F2" s="4"/>
      <c r="G2" s="5" t="s">
        <v>2</v>
      </c>
      <c r="H2" s="5" t="s">
        <v>3</v>
      </c>
    </row>
    <row r="3" spans="2:11" x14ac:dyDescent="0.25">
      <c r="B3" s="6"/>
      <c r="C3" s="6"/>
      <c r="D3" s="7"/>
      <c r="E3" s="8"/>
      <c r="F3" s="9"/>
    </row>
    <row r="4" spans="2:11" x14ac:dyDescent="0.25">
      <c r="B4" s="6"/>
      <c r="C4" s="6"/>
      <c r="D4" s="7"/>
      <c r="E4" s="8"/>
      <c r="F4" s="9"/>
    </row>
    <row r="5" spans="2:11" x14ac:dyDescent="0.25">
      <c r="B5" s="6"/>
      <c r="C5" s="6"/>
      <c r="D5" s="7"/>
      <c r="E5" s="8"/>
      <c r="F5" s="9"/>
    </row>
    <row r="6" spans="2:11" x14ac:dyDescent="0.25">
      <c r="B6" s="6"/>
      <c r="C6" s="6"/>
      <c r="D6" s="7"/>
      <c r="E6" s="8"/>
      <c r="F6" s="9"/>
      <c r="J6" t="s">
        <v>4</v>
      </c>
    </row>
    <row r="7" spans="2:11" s="5" customFormat="1" x14ac:dyDescent="0.25">
      <c r="B7" s="6"/>
      <c r="C7" s="6"/>
      <c r="D7" s="7"/>
      <c r="E7" s="10"/>
      <c r="F7" s="9"/>
      <c r="G7" s="11"/>
      <c r="H7" s="11"/>
    </row>
    <row r="8" spans="2:11" s="5" customFormat="1" x14ac:dyDescent="0.25">
      <c r="B8" s="6"/>
      <c r="C8" s="6"/>
      <c r="D8" s="7"/>
      <c r="E8" s="8"/>
      <c r="F8" s="12"/>
      <c r="J8" s="5" t="s">
        <v>5</v>
      </c>
      <c r="K8" s="5">
        <f>G51</f>
        <v>0</v>
      </c>
    </row>
    <row r="9" spans="2:11" s="5" customFormat="1" x14ac:dyDescent="0.25">
      <c r="B9" s="6"/>
      <c r="C9" s="6"/>
      <c r="D9" s="7"/>
      <c r="E9" s="8"/>
      <c r="F9" s="9"/>
      <c r="J9" s="5" t="s">
        <v>6</v>
      </c>
      <c r="K9" s="5">
        <f>H39+H79+H89</f>
        <v>99.420406504065028</v>
      </c>
    </row>
    <row r="10" spans="2:11" s="5" customFormat="1" x14ac:dyDescent="0.25">
      <c r="B10" s="6"/>
      <c r="C10" s="6"/>
      <c r="D10" s="7"/>
      <c r="E10" s="8"/>
      <c r="F10" s="9"/>
      <c r="J10" s="13" t="s">
        <v>7</v>
      </c>
      <c r="K10" s="14">
        <f>K8-K9</f>
        <v>-99.420406504065028</v>
      </c>
    </row>
    <row r="11" spans="2:11" s="5" customFormat="1" x14ac:dyDescent="0.25">
      <c r="B11" s="6"/>
      <c r="C11" s="6"/>
      <c r="D11" s="7"/>
      <c r="E11" s="8"/>
      <c r="F11" s="9"/>
    </row>
    <row r="12" spans="2:11" s="5" customFormat="1" x14ac:dyDescent="0.25">
      <c r="B12" s="6"/>
      <c r="C12" s="6"/>
      <c r="D12" s="7"/>
      <c r="E12" s="8"/>
      <c r="F12" s="9"/>
    </row>
    <row r="13" spans="2:11" s="5" customFormat="1" x14ac:dyDescent="0.25">
      <c r="B13" s="6"/>
      <c r="C13" s="6"/>
      <c r="D13" s="7"/>
      <c r="E13" s="8"/>
      <c r="F13" s="9"/>
      <c r="J13" s="5" t="s">
        <v>8</v>
      </c>
      <c r="K13" s="5">
        <f>F51</f>
        <v>4090</v>
      </c>
    </row>
    <row r="14" spans="2:11" s="5" customFormat="1" x14ac:dyDescent="0.25">
      <c r="B14" s="6"/>
      <c r="C14" s="6"/>
      <c r="D14" s="7"/>
      <c r="E14" s="8"/>
      <c r="F14" s="9"/>
      <c r="J14" s="5" t="s">
        <v>9</v>
      </c>
      <c r="K14" s="5">
        <f>G39+G79+G89</f>
        <v>5138.7695934959347</v>
      </c>
    </row>
    <row r="15" spans="2:11" s="5" customFormat="1" x14ac:dyDescent="0.25">
      <c r="B15" s="6"/>
      <c r="C15" s="6"/>
      <c r="D15" s="7"/>
      <c r="E15" s="8"/>
      <c r="F15" s="9"/>
      <c r="K15" s="5">
        <f>K13-K14</f>
        <v>-1048.7695934959347</v>
      </c>
    </row>
    <row r="16" spans="2:11" s="5" customFormat="1" x14ac:dyDescent="0.25">
      <c r="B16" s="6"/>
      <c r="C16" s="6"/>
      <c r="D16" s="7"/>
      <c r="E16" s="8"/>
      <c r="F16" s="9"/>
      <c r="J16" s="13" t="s">
        <v>10</v>
      </c>
      <c r="K16" s="14">
        <f>K15*0.17</f>
        <v>-178.29083089430893</v>
      </c>
    </row>
    <row r="17" spans="1:14" s="5" customFormat="1" x14ac:dyDescent="0.25">
      <c r="B17" s="6"/>
      <c r="C17" s="6"/>
      <c r="D17" s="7"/>
      <c r="E17" s="8"/>
      <c r="F17" s="9"/>
    </row>
    <row r="18" spans="1:14" s="5" customFormat="1" x14ac:dyDescent="0.25">
      <c r="B18" s="6"/>
      <c r="C18" s="15"/>
      <c r="D18" s="7"/>
      <c r="E18" s="8"/>
      <c r="F18" s="9"/>
    </row>
    <row r="19" spans="1:14" s="5" customFormat="1" x14ac:dyDescent="0.25">
      <c r="A19" s="16"/>
      <c r="B19" s="6"/>
      <c r="C19" s="6"/>
      <c r="D19" s="7"/>
      <c r="E19" s="8"/>
      <c r="F19" s="17"/>
    </row>
    <row r="20" spans="1:14" s="5" customFormat="1" x14ac:dyDescent="0.25">
      <c r="B20" s="6"/>
      <c r="C20" s="6"/>
      <c r="D20" s="7"/>
      <c r="E20" s="8"/>
      <c r="F20" s="17"/>
    </row>
    <row r="21" spans="1:14" s="5" customFormat="1" x14ac:dyDescent="0.25">
      <c r="B21" s="6"/>
      <c r="C21" s="6"/>
      <c r="D21" s="7"/>
      <c r="E21" s="8"/>
      <c r="F21" s="9"/>
      <c r="J21" s="14" t="s">
        <v>11</v>
      </c>
    </row>
    <row r="22" spans="1:14" s="5" customFormat="1" x14ac:dyDescent="0.25">
      <c r="B22" s="6"/>
      <c r="C22" s="6"/>
      <c r="D22" s="7"/>
      <c r="E22" s="8"/>
      <c r="F22" s="17"/>
      <c r="I22" s="18" t="s">
        <v>10</v>
      </c>
      <c r="J22" s="5" t="s">
        <v>12</v>
      </c>
      <c r="K22" s="14">
        <f>K13+'Julho (2)'!K22</f>
        <v>246777.31333333335</v>
      </c>
      <c r="M22" s="19"/>
    </row>
    <row r="23" spans="1:14" s="5" customFormat="1" x14ac:dyDescent="0.25">
      <c r="B23" s="6"/>
      <c r="C23" s="6"/>
      <c r="D23" s="7"/>
      <c r="E23" s="8"/>
      <c r="F23" s="9"/>
      <c r="I23" s="13"/>
      <c r="J23" s="5" t="s">
        <v>13</v>
      </c>
      <c r="K23" s="5">
        <f>K14+'Julho (2)'!K23</f>
        <v>177571.40475609759</v>
      </c>
    </row>
    <row r="24" spans="1:14" s="5" customFormat="1" x14ac:dyDescent="0.25">
      <c r="B24" s="6"/>
      <c r="C24" s="6"/>
      <c r="D24" s="7"/>
      <c r="E24" s="8"/>
      <c r="F24" s="20"/>
      <c r="I24" s="13"/>
      <c r="J24" s="13" t="s">
        <v>14</v>
      </c>
      <c r="K24" s="5">
        <f>1714.45*8</f>
        <v>13715.6</v>
      </c>
    </row>
    <row r="25" spans="1:14" s="5" customFormat="1" x14ac:dyDescent="0.25">
      <c r="B25" s="6"/>
      <c r="C25" s="6"/>
      <c r="D25" s="7"/>
      <c r="E25" s="8"/>
      <c r="F25" s="9"/>
      <c r="I25" s="13"/>
      <c r="K25" s="21">
        <f>K22-K23-K24</f>
        <v>55490.308577235766</v>
      </c>
      <c r="L25" s="11"/>
    </row>
    <row r="26" spans="1:14" s="5" customFormat="1" x14ac:dyDescent="0.25">
      <c r="B26" s="6"/>
      <c r="C26" s="6"/>
      <c r="D26" s="7"/>
      <c r="E26" s="8"/>
      <c r="F26" s="12"/>
      <c r="I26" s="13"/>
      <c r="J26" s="22">
        <v>0.17</v>
      </c>
      <c r="K26" s="23">
        <f>K25*0.17</f>
        <v>9433.3524581300808</v>
      </c>
    </row>
    <row r="27" spans="1:14" s="5" customFormat="1" x14ac:dyDescent="0.25">
      <c r="B27" s="6"/>
      <c r="C27" s="6"/>
      <c r="D27" s="7"/>
      <c r="E27" s="8"/>
      <c r="F27" s="9"/>
      <c r="I27" s="18" t="s">
        <v>15</v>
      </c>
      <c r="J27" s="5" t="s">
        <v>12</v>
      </c>
      <c r="K27" s="5">
        <f>K8+'Julho (2)'!K27</f>
        <v>0</v>
      </c>
    </row>
    <row r="28" spans="1:14" s="5" customFormat="1" x14ac:dyDescent="0.25">
      <c r="B28" s="6"/>
      <c r="C28" s="6"/>
      <c r="D28" s="7"/>
      <c r="E28" s="8"/>
      <c r="F28" s="9"/>
      <c r="I28" s="13"/>
      <c r="J28" s="5" t="s">
        <v>16</v>
      </c>
      <c r="K28" s="5">
        <f>K9+'Julho (2)'!K28</f>
        <v>27531.983699186989</v>
      </c>
    </row>
    <row r="29" spans="1:14" s="5" customFormat="1" x14ac:dyDescent="0.25">
      <c r="B29" s="6"/>
      <c r="C29" s="6"/>
      <c r="D29" s="7"/>
      <c r="E29" s="10"/>
      <c r="F29" s="9"/>
      <c r="G29" s="11"/>
      <c r="H29" s="11"/>
      <c r="J29" s="18" t="s">
        <v>3</v>
      </c>
      <c r="K29" s="23">
        <f>K27-K28</f>
        <v>-27531.983699186989</v>
      </c>
    </row>
    <row r="30" spans="1:14" s="5" customFormat="1" x14ac:dyDescent="0.25">
      <c r="B30" s="6"/>
      <c r="C30" s="6"/>
      <c r="D30" s="7"/>
      <c r="E30" s="8"/>
      <c r="F30" s="9"/>
      <c r="J30" s="16"/>
      <c r="K30" s="24"/>
      <c r="L30" s="25">
        <f>K30+K29</f>
        <v>-27531.983699186989</v>
      </c>
    </row>
    <row r="31" spans="1:14" s="5" customFormat="1" x14ac:dyDescent="0.25">
      <c r="B31" s="6"/>
      <c r="C31" s="6"/>
      <c r="D31" s="7"/>
      <c r="E31" s="10"/>
      <c r="F31" s="9"/>
      <c r="G31" s="11"/>
      <c r="H31" s="11"/>
      <c r="J31" s="18"/>
      <c r="K31" s="24" t="s">
        <v>62</v>
      </c>
      <c r="L31" s="5">
        <v>14954.52</v>
      </c>
    </row>
    <row r="32" spans="1:14" s="5" customFormat="1" x14ac:dyDescent="0.25">
      <c r="B32" s="6"/>
      <c r="C32" s="6"/>
      <c r="D32" s="7"/>
      <c r="E32" s="8"/>
      <c r="F32" s="9"/>
      <c r="J32" s="18"/>
      <c r="K32" s="23"/>
      <c r="L32" s="26">
        <f>SUM(L30:L31)</f>
        <v>-12577.463699186988</v>
      </c>
      <c r="N32" s="14"/>
    </row>
    <row r="33" spans="2:17" s="5" customFormat="1" x14ac:dyDescent="0.25">
      <c r="B33" s="6"/>
      <c r="C33" s="6"/>
      <c r="D33" s="7"/>
      <c r="E33" s="8"/>
      <c r="F33" s="9"/>
      <c r="J33" s="18"/>
      <c r="K33" s="14" t="s">
        <v>17</v>
      </c>
      <c r="L33" s="27">
        <f>Abril!L33+1994.83</f>
        <v>5491.09</v>
      </c>
    </row>
    <row r="34" spans="2:17" s="5" customFormat="1" x14ac:dyDescent="0.25">
      <c r="B34" s="6"/>
      <c r="C34" s="6"/>
      <c r="D34" s="7"/>
      <c r="E34" s="8"/>
      <c r="F34" s="9"/>
      <c r="J34" s="18"/>
      <c r="K34" s="14"/>
      <c r="L34" s="14"/>
    </row>
    <row r="35" spans="2:17" s="5" customFormat="1" x14ac:dyDescent="0.25">
      <c r="B35" s="6"/>
      <c r="C35" s="6"/>
      <c r="D35" s="7"/>
      <c r="E35" s="8"/>
      <c r="F35" s="9"/>
      <c r="J35" s="18"/>
      <c r="K35" s="14"/>
      <c r="L35" s="14"/>
    </row>
    <row r="36" spans="2:17" s="5" customFormat="1" x14ac:dyDescent="0.25">
      <c r="B36" s="6"/>
      <c r="C36" s="6"/>
      <c r="D36" s="7"/>
      <c r="E36" s="8"/>
      <c r="F36" s="9"/>
      <c r="J36" s="18"/>
      <c r="K36" s="14"/>
      <c r="L36" s="14"/>
    </row>
    <row r="37" spans="2:17" s="5" customFormat="1" x14ac:dyDescent="0.25">
      <c r="B37" s="6"/>
      <c r="C37" s="6"/>
      <c r="D37" s="7"/>
      <c r="E37" s="28"/>
      <c r="F37" s="17"/>
      <c r="G37" s="23"/>
      <c r="L37" s="14"/>
    </row>
    <row r="38" spans="2:17" s="5" customFormat="1" x14ac:dyDescent="0.25">
      <c r="B38" s="6"/>
      <c r="C38" s="6"/>
      <c r="D38" s="7"/>
      <c r="E38" s="8"/>
      <c r="F38" s="17"/>
    </row>
    <row r="39" spans="2:17" x14ac:dyDescent="0.25">
      <c r="B39" s="29"/>
      <c r="C39" s="29"/>
      <c r="D39" s="30"/>
      <c r="E39" s="31"/>
      <c r="F39" s="32">
        <f>SUM(F3:F38)</f>
        <v>0</v>
      </c>
      <c r="G39" s="5">
        <f>SUM(G3:G38)</f>
        <v>0</v>
      </c>
      <c r="H39" s="14">
        <f>SUM(H3:H38)</f>
        <v>0</v>
      </c>
      <c r="J39" s="5"/>
      <c r="M39" s="5"/>
      <c r="Q39" s="5"/>
    </row>
    <row r="40" spans="2:17" x14ac:dyDescent="0.25">
      <c r="C40" s="33"/>
      <c r="M40" s="5"/>
      <c r="Q40" s="5"/>
    </row>
    <row r="41" spans="2:17" x14ac:dyDescent="0.25">
      <c r="C41" s="33"/>
      <c r="M41" s="5"/>
      <c r="N41" s="5"/>
      <c r="O41" s="5"/>
      <c r="Q41" s="5"/>
    </row>
    <row r="42" spans="2:17" x14ac:dyDescent="0.25">
      <c r="C42" s="33"/>
      <c r="M42" s="5"/>
      <c r="N42" s="5"/>
      <c r="O42" s="5"/>
      <c r="Q42" s="5"/>
    </row>
    <row r="43" spans="2:17" x14ac:dyDescent="0.25">
      <c r="B43" t="s">
        <v>18</v>
      </c>
      <c r="C43" s="29"/>
      <c r="D43" s="34" t="s">
        <v>19</v>
      </c>
      <c r="E43" s="31"/>
      <c r="F43" s="5" t="s">
        <v>20</v>
      </c>
      <c r="G43" s="5" t="s">
        <v>3</v>
      </c>
      <c r="H43" s="5" t="s">
        <v>21</v>
      </c>
      <c r="M43" s="5"/>
      <c r="O43" s="5"/>
      <c r="Q43" s="5"/>
    </row>
    <row r="44" spans="2:17" s="62" customFormat="1" x14ac:dyDescent="0.25">
      <c r="B44" s="63"/>
      <c r="C44" s="64"/>
      <c r="D44" s="65" t="s">
        <v>396</v>
      </c>
      <c r="E44" s="66">
        <v>9114.85</v>
      </c>
      <c r="F44" s="67">
        <f>5030.7/1.23</f>
        <v>4090</v>
      </c>
      <c r="G44" s="67" t="s">
        <v>423</v>
      </c>
      <c r="H44" s="79">
        <f>E44-4000-1030.7</f>
        <v>4084.1500000000005</v>
      </c>
      <c r="I44" s="5"/>
    </row>
    <row r="45" spans="2:17" s="5" customFormat="1" x14ac:dyDescent="0.25">
      <c r="B45"/>
      <c r="C45" s="35"/>
      <c r="D45" s="36"/>
      <c r="E45" s="12"/>
      <c r="F45" s="37"/>
      <c r="G45" s="37"/>
      <c r="H45" s="11"/>
    </row>
    <row r="46" spans="2:17" s="5" customFormat="1" x14ac:dyDescent="0.25">
      <c r="B46"/>
      <c r="C46" s="35"/>
      <c r="D46" s="36"/>
      <c r="E46" s="12"/>
      <c r="F46" s="37"/>
      <c r="G46" s="37"/>
      <c r="H46" s="77"/>
    </row>
    <row r="47" spans="2:17" s="5" customFormat="1" x14ac:dyDescent="0.25">
      <c r="B47"/>
      <c r="C47" s="35"/>
      <c r="D47" s="36"/>
      <c r="E47" s="12"/>
      <c r="F47" s="37"/>
      <c r="G47" s="37"/>
      <c r="H47" s="77"/>
    </row>
    <row r="48" spans="2:17" s="5" customFormat="1" x14ac:dyDescent="0.25">
      <c r="B48"/>
      <c r="C48" s="35"/>
      <c r="D48" s="36"/>
      <c r="E48" s="12"/>
      <c r="F48" s="37"/>
      <c r="G48" s="37"/>
      <c r="H48" s="77"/>
    </row>
    <row r="49" spans="2:10" s="5" customFormat="1" x14ac:dyDescent="0.25">
      <c r="B49"/>
      <c r="C49" s="35"/>
      <c r="D49" s="36"/>
      <c r="E49" s="12"/>
      <c r="F49" s="37"/>
      <c r="G49" s="37"/>
      <c r="H49" s="11"/>
    </row>
    <row r="50" spans="2:10" s="62" customFormat="1" x14ac:dyDescent="0.25">
      <c r="B50" s="63"/>
      <c r="C50" s="64"/>
      <c r="D50" s="65"/>
      <c r="E50" s="66"/>
      <c r="F50" s="67"/>
      <c r="G50" s="67"/>
      <c r="H50" s="68"/>
    </row>
    <row r="51" spans="2:10" s="5" customFormat="1" x14ac:dyDescent="0.25">
      <c r="C51" s="39"/>
      <c r="D51" s="1"/>
      <c r="E51" s="40">
        <f>SUM(E44:E50)</f>
        <v>9114.85</v>
      </c>
      <c r="F51" s="14">
        <f>SUM(F44:F50)</f>
        <v>4090</v>
      </c>
      <c r="G51" s="14">
        <f>SUM(G44:G49)</f>
        <v>0</v>
      </c>
      <c r="H51" s="14">
        <f>SUM(H44:H50)</f>
        <v>4084.1500000000005</v>
      </c>
    </row>
    <row r="52" spans="2:10" s="5" customFormat="1" x14ac:dyDescent="0.25">
      <c r="C52" s="33"/>
      <c r="D52" s="36"/>
      <c r="G52" s="37"/>
    </row>
    <row r="53" spans="2:10" s="5" customFormat="1" x14ac:dyDescent="0.25">
      <c r="C53" s="33"/>
      <c r="D53" s="36"/>
      <c r="G53" s="14"/>
    </row>
    <row r="54" spans="2:10" s="5" customFormat="1" x14ac:dyDescent="0.25">
      <c r="C54" s="33"/>
      <c r="D54" s="36"/>
    </row>
    <row r="55" spans="2:10" s="5" customFormat="1" x14ac:dyDescent="0.25">
      <c r="B55" s="1" t="s">
        <v>1</v>
      </c>
      <c r="C55" s="1"/>
      <c r="D55" s="34" t="s">
        <v>26</v>
      </c>
      <c r="E55" s="1"/>
      <c r="F55" s="4"/>
      <c r="G55" s="5" t="s">
        <v>2</v>
      </c>
      <c r="H55" s="5" t="s">
        <v>3</v>
      </c>
    </row>
    <row r="56" spans="2:10" s="5" customFormat="1" x14ac:dyDescent="0.25">
      <c r="B56"/>
      <c r="C56" s="6"/>
      <c r="D56" t="s">
        <v>27</v>
      </c>
      <c r="E56" s="36" t="s">
        <v>28</v>
      </c>
      <c r="F56" s="12">
        <v>246</v>
      </c>
      <c r="G56" s="5">
        <v>200</v>
      </c>
      <c r="H56" s="5">
        <v>46</v>
      </c>
    </row>
    <row r="57" spans="2:10" s="5" customFormat="1" x14ac:dyDescent="0.25">
      <c r="B57"/>
      <c r="C57" s="6"/>
      <c r="D57" t="s">
        <v>29</v>
      </c>
      <c r="E57" s="36" t="s">
        <v>30</v>
      </c>
      <c r="F57" s="12">
        <v>222</v>
      </c>
      <c r="G57" s="5">
        <f>F57</f>
        <v>222</v>
      </c>
      <c r="H57" s="5">
        <v>0</v>
      </c>
    </row>
    <row r="58" spans="2:10" s="5" customFormat="1" x14ac:dyDescent="0.25">
      <c r="B58"/>
      <c r="C58" s="6"/>
      <c r="D58" t="s">
        <v>31</v>
      </c>
      <c r="E58" s="36" t="s">
        <v>32</v>
      </c>
      <c r="F58" s="12">
        <v>956.04</v>
      </c>
      <c r="G58" s="41">
        <f>138.79+2.6+5.65</f>
        <v>147.04</v>
      </c>
      <c r="H58" s="5">
        <v>0</v>
      </c>
      <c r="I58" s="37"/>
    </row>
    <row r="59" spans="2:10" s="5" customFormat="1" x14ac:dyDescent="0.25">
      <c r="B59" s="42"/>
      <c r="C59" s="6"/>
      <c r="D59" t="s">
        <v>33</v>
      </c>
      <c r="E59" s="36" t="s">
        <v>34</v>
      </c>
      <c r="F59" s="12">
        <f>G59+H59</f>
        <v>900</v>
      </c>
      <c r="G59" s="5">
        <v>900</v>
      </c>
      <c r="H59" s="5">
        <v>0</v>
      </c>
    </row>
    <row r="60" spans="2:10" s="5" customFormat="1" x14ac:dyDescent="0.25">
      <c r="B60"/>
      <c r="C60" s="6"/>
      <c r="D60" s="33" t="s">
        <v>35</v>
      </c>
      <c r="E60" s="36" t="s">
        <v>36</v>
      </c>
      <c r="F60" s="12">
        <f>15.8+0.63</f>
        <v>16.43</v>
      </c>
      <c r="G60" s="5">
        <f>F60</f>
        <v>16.43</v>
      </c>
      <c r="H60" s="5">
        <v>0</v>
      </c>
    </row>
    <row r="61" spans="2:10" s="5" customFormat="1" x14ac:dyDescent="0.25">
      <c r="B61"/>
      <c r="C61" s="6"/>
      <c r="D61" s="33" t="s">
        <v>35</v>
      </c>
      <c r="E61" s="36" t="s">
        <v>37</v>
      </c>
      <c r="F61" s="12">
        <v>30.56</v>
      </c>
      <c r="G61" s="5">
        <f>F61</f>
        <v>30.56</v>
      </c>
      <c r="H61" s="5">
        <v>0</v>
      </c>
    </row>
    <row r="62" spans="2:10" s="5" customFormat="1" x14ac:dyDescent="0.25">
      <c r="B62"/>
      <c r="C62" s="43"/>
      <c r="D62" t="s">
        <v>38</v>
      </c>
      <c r="E62" s="36" t="s">
        <v>39</v>
      </c>
      <c r="F62" s="12">
        <v>121.13</v>
      </c>
      <c r="G62" s="5">
        <f>F62/1.23</f>
        <v>98.479674796747972</v>
      </c>
      <c r="H62" s="5">
        <f>F62-G62</f>
        <v>22.650325203252024</v>
      </c>
      <c r="J62" s="44"/>
    </row>
    <row r="63" spans="2:10" s="5" customFormat="1" x14ac:dyDescent="0.25">
      <c r="B63"/>
      <c r="C63" s="6"/>
      <c r="D63" t="s">
        <v>40</v>
      </c>
      <c r="E63" s="36" t="s">
        <v>41</v>
      </c>
      <c r="F63" s="12">
        <v>8.61</v>
      </c>
      <c r="G63" s="5">
        <f>F63/1.23</f>
        <v>7</v>
      </c>
      <c r="H63" s="5">
        <f>F63-G63</f>
        <v>1.6099999999999994</v>
      </c>
    </row>
    <row r="64" spans="2:10" s="5" customFormat="1" x14ac:dyDescent="0.25">
      <c r="B64"/>
      <c r="C64" s="6"/>
      <c r="D64" t="s">
        <v>42</v>
      </c>
      <c r="E64" s="36" t="s">
        <v>43</v>
      </c>
      <c r="F64" s="12">
        <v>9.99</v>
      </c>
      <c r="G64" s="5">
        <v>8.1199999999999992</v>
      </c>
      <c r="H64" s="5">
        <v>1.87</v>
      </c>
      <c r="J64" s="44"/>
    </row>
    <row r="65" spans="2:13" s="5" customFormat="1" x14ac:dyDescent="0.25">
      <c r="B65"/>
      <c r="C65" s="6"/>
      <c r="D65" s="7" t="s">
        <v>44</v>
      </c>
      <c r="E65" s="36" t="s">
        <v>45</v>
      </c>
      <c r="F65" s="12">
        <v>113</v>
      </c>
      <c r="G65" s="5">
        <f>F65/1.23</f>
        <v>91.869918699186996</v>
      </c>
      <c r="H65" s="5">
        <f>F65-G65</f>
        <v>21.130081300813004</v>
      </c>
      <c r="J65" s="44"/>
    </row>
    <row r="66" spans="2:13" s="5" customFormat="1" x14ac:dyDescent="0.25">
      <c r="B66"/>
      <c r="C66" s="6"/>
      <c r="D66" s="7" t="s">
        <v>46</v>
      </c>
      <c r="E66" s="36" t="s">
        <v>47</v>
      </c>
      <c r="F66" s="12">
        <v>32.950000000000003</v>
      </c>
      <c r="G66" s="5">
        <f>F66-H66</f>
        <v>26.790000000000003</v>
      </c>
      <c r="H66" s="5">
        <v>6.16</v>
      </c>
      <c r="J66" s="44"/>
    </row>
    <row r="67" spans="2:13" s="5" customFormat="1" x14ac:dyDescent="0.25">
      <c r="B67"/>
      <c r="C67" s="6"/>
      <c r="D67" s="7"/>
      <c r="E67" s="8"/>
      <c r="F67" s="45"/>
      <c r="J67" s="44"/>
    </row>
    <row r="68" spans="2:13" s="5" customFormat="1" x14ac:dyDescent="0.25">
      <c r="B68"/>
      <c r="C68" s="6"/>
      <c r="D68" s="7"/>
      <c r="E68" s="8"/>
      <c r="F68" s="45"/>
      <c r="J68" s="44"/>
    </row>
    <row r="69" spans="2:13" s="5" customFormat="1" x14ac:dyDescent="0.25">
      <c r="B69"/>
      <c r="C69" s="6"/>
      <c r="D69" s="7"/>
      <c r="E69" s="8"/>
      <c r="F69" s="45"/>
      <c r="J69" s="44"/>
    </row>
    <row r="70" spans="2:13" s="5" customFormat="1" x14ac:dyDescent="0.25">
      <c r="B70"/>
      <c r="C70" s="6"/>
      <c r="D70" s="7"/>
      <c r="E70" s="8"/>
      <c r="F70" s="45"/>
      <c r="J70" s="44"/>
    </row>
    <row r="71" spans="2:13" s="5" customFormat="1" x14ac:dyDescent="0.25">
      <c r="B71"/>
      <c r="C71" s="6"/>
      <c r="D71" s="7"/>
      <c r="E71" s="8"/>
      <c r="F71" s="17"/>
      <c r="J71" s="44"/>
    </row>
    <row r="72" spans="2:13" s="5" customFormat="1" x14ac:dyDescent="0.25">
      <c r="B72"/>
      <c r="C72" s="6"/>
      <c r="D72" s="7"/>
      <c r="E72" s="8"/>
      <c r="F72" s="17"/>
      <c r="J72" s="44"/>
    </row>
    <row r="73" spans="2:13" s="5" customFormat="1" x14ac:dyDescent="0.25">
      <c r="B73"/>
      <c r="C73" s="6"/>
      <c r="D73" s="7"/>
      <c r="E73" s="8"/>
      <c r="F73" s="17"/>
      <c r="J73" s="44"/>
    </row>
    <row r="74" spans="2:13" s="5" customFormat="1" x14ac:dyDescent="0.25">
      <c r="B74"/>
      <c r="C74" s="6"/>
      <c r="D74" s="7"/>
      <c r="E74" s="8"/>
      <c r="F74" s="17"/>
      <c r="J74" s="44"/>
    </row>
    <row r="75" spans="2:13" s="5" customFormat="1" x14ac:dyDescent="0.25">
      <c r="B75"/>
      <c r="C75" s="6"/>
      <c r="D75" s="7"/>
      <c r="E75" s="8"/>
      <c r="F75" s="17"/>
      <c r="J75" s="44"/>
    </row>
    <row r="76" spans="2:13" s="5" customFormat="1" x14ac:dyDescent="0.25">
      <c r="B76"/>
      <c r="C76" s="6"/>
      <c r="D76" s="7"/>
      <c r="E76" s="8"/>
      <c r="F76" s="17"/>
      <c r="J76" s="44"/>
    </row>
    <row r="77" spans="2:13" s="5" customFormat="1" x14ac:dyDescent="0.25">
      <c r="B77"/>
      <c r="C77" s="6"/>
      <c r="D77" s="7"/>
      <c r="E77" s="8"/>
      <c r="F77" s="17"/>
      <c r="J77" s="44"/>
    </row>
    <row r="78" spans="2:13" s="5" customFormat="1" x14ac:dyDescent="0.25">
      <c r="C78" s="6"/>
      <c r="D78" s="7"/>
      <c r="E78" s="36"/>
      <c r="F78" s="12"/>
    </row>
    <row r="79" spans="2:13" s="5" customFormat="1" x14ac:dyDescent="0.25">
      <c r="C79" s="1"/>
      <c r="D79" s="3"/>
      <c r="E79" s="1"/>
      <c r="F79" s="40">
        <f>SUM(F56:F78)</f>
        <v>2656.7099999999996</v>
      </c>
      <c r="G79" s="5">
        <f>SUM(G56:G78)</f>
        <v>1748.2895934959347</v>
      </c>
      <c r="H79" s="5">
        <f>SUM(H56:H78)</f>
        <v>99.420406504065028</v>
      </c>
    </row>
    <row r="80" spans="2:13" x14ac:dyDescent="0.25">
      <c r="L80" s="5"/>
      <c r="M80" s="5"/>
    </row>
    <row r="81" spans="2:13" s="5" customFormat="1" x14ac:dyDescent="0.25">
      <c r="C81" s="1"/>
      <c r="D81" s="34" t="s">
        <v>48</v>
      </c>
      <c r="E81" s="1"/>
      <c r="F81" s="4"/>
      <c r="G81" s="5" t="s">
        <v>2</v>
      </c>
      <c r="H81" s="5" t="s">
        <v>3</v>
      </c>
    </row>
    <row r="82" spans="2:13" s="5" customFormat="1" x14ac:dyDescent="0.25">
      <c r="B82"/>
      <c r="C82" s="6">
        <v>44227</v>
      </c>
      <c r="D82" s="33" t="s">
        <v>49</v>
      </c>
      <c r="E82" s="36" t="s">
        <v>80</v>
      </c>
      <c r="F82" s="12">
        <v>1043.8399999999999</v>
      </c>
      <c r="G82" s="5">
        <f t="shared" ref="G82:G86" si="0">F82</f>
        <v>1043.8399999999999</v>
      </c>
      <c r="H82" s="5">
        <v>0</v>
      </c>
    </row>
    <row r="83" spans="2:13" s="5" customFormat="1" x14ac:dyDescent="0.25">
      <c r="B83"/>
      <c r="C83" s="6">
        <v>44227</v>
      </c>
      <c r="D83" t="s">
        <v>51</v>
      </c>
      <c r="E83" s="36" t="s">
        <v>80</v>
      </c>
      <c r="F83" s="12">
        <v>938.09</v>
      </c>
      <c r="G83" s="5">
        <f t="shared" si="0"/>
        <v>938.09</v>
      </c>
      <c r="H83" s="5">
        <v>0</v>
      </c>
    </row>
    <row r="84" spans="2:13" s="5" customFormat="1" x14ac:dyDescent="0.25">
      <c r="B84"/>
      <c r="C84" s="6">
        <v>44227</v>
      </c>
      <c r="D84" t="s">
        <v>52</v>
      </c>
      <c r="E84" s="36" t="s">
        <v>80</v>
      </c>
      <c r="F84" s="12">
        <v>251.55</v>
      </c>
      <c r="G84" s="5">
        <f t="shared" si="0"/>
        <v>251.55</v>
      </c>
    </row>
    <row r="85" spans="2:13" s="5" customFormat="1" x14ac:dyDescent="0.25">
      <c r="B85"/>
      <c r="C85" s="6">
        <v>45688</v>
      </c>
      <c r="D85" t="s">
        <v>53</v>
      </c>
      <c r="E85" s="36" t="s">
        <v>81</v>
      </c>
      <c r="F85" s="12">
        <v>1092</v>
      </c>
      <c r="G85" s="5">
        <f t="shared" si="0"/>
        <v>1092</v>
      </c>
      <c r="H85" s="5">
        <v>0</v>
      </c>
    </row>
    <row r="86" spans="2:13" s="5" customFormat="1" x14ac:dyDescent="0.25">
      <c r="B86"/>
      <c r="C86" s="6">
        <v>45688</v>
      </c>
      <c r="D86" t="s">
        <v>55</v>
      </c>
      <c r="E86" s="36" t="s">
        <v>56</v>
      </c>
      <c r="F86" s="12">
        <v>65</v>
      </c>
      <c r="G86" s="5">
        <f t="shared" si="0"/>
        <v>65</v>
      </c>
      <c r="H86" s="5">
        <v>0</v>
      </c>
    </row>
    <row r="87" spans="2:13" s="5" customFormat="1" x14ac:dyDescent="0.25">
      <c r="B87"/>
      <c r="C87" s="6"/>
      <c r="D87"/>
      <c r="E87" s="36"/>
      <c r="F87" s="12"/>
    </row>
    <row r="88" spans="2:13" s="5" customFormat="1" x14ac:dyDescent="0.25">
      <c r="C88" s="46"/>
      <c r="D88" s="47"/>
      <c r="E88" s="47"/>
      <c r="F88" s="48"/>
    </row>
    <row r="89" spans="2:13" s="5" customFormat="1" x14ac:dyDescent="0.25">
      <c r="C89" s="47"/>
      <c r="D89" s="49"/>
      <c r="E89" s="47"/>
      <c r="F89" s="40">
        <f>SUM(F82:F88)</f>
        <v>3390.48</v>
      </c>
      <c r="G89" s="5">
        <f>SUM(G82:G88)</f>
        <v>3390.48</v>
      </c>
      <c r="H89" s="5">
        <f>SUM(H82:H88)</f>
        <v>0</v>
      </c>
      <c r="I89" s="50">
        <f>F89+'Julho (2)'!I89</f>
        <v>29549.01</v>
      </c>
    </row>
    <row r="90" spans="2:13" x14ac:dyDescent="0.25">
      <c r="L90" s="5"/>
      <c r="M90" s="5"/>
    </row>
    <row r="91" spans="2:13" x14ac:dyDescent="0.25">
      <c r="L91" s="5"/>
      <c r="M91" s="5"/>
    </row>
    <row r="92" spans="2:13" s="5" customFormat="1" x14ac:dyDescent="0.25">
      <c r="C92"/>
      <c r="D92" s="51" t="s">
        <v>19</v>
      </c>
      <c r="E92" s="52">
        <f>E51</f>
        <v>9114.85</v>
      </c>
      <c r="G92" s="5">
        <f>F51</f>
        <v>4090</v>
      </c>
    </row>
    <row r="93" spans="2:13" s="5" customFormat="1" x14ac:dyDescent="0.25">
      <c r="C93"/>
      <c r="D93" s="36" t="s">
        <v>57</v>
      </c>
      <c r="E93" s="12">
        <f>-F39</f>
        <v>0</v>
      </c>
      <c r="F93" s="38">
        <f>E93/E92</f>
        <v>0</v>
      </c>
      <c r="G93" s="5">
        <f>-G39</f>
        <v>0</v>
      </c>
    </row>
    <row r="94" spans="2:13" s="5" customFormat="1" x14ac:dyDescent="0.25">
      <c r="C94"/>
      <c r="D94" s="36" t="s">
        <v>58</v>
      </c>
      <c r="E94" s="12">
        <f>-F79</f>
        <v>-2656.7099999999996</v>
      </c>
      <c r="F94" s="38">
        <f>(-2951.87/26138.85)</f>
        <v>-0.11293036992828683</v>
      </c>
      <c r="G94" s="5">
        <f>-G79</f>
        <v>-1748.2895934959347</v>
      </c>
    </row>
    <row r="95" spans="2:13" s="5" customFormat="1" x14ac:dyDescent="0.25">
      <c r="C95"/>
      <c r="D95" s="47" t="s">
        <v>59</v>
      </c>
      <c r="E95" s="48">
        <f>-F89</f>
        <v>-3390.48</v>
      </c>
      <c r="F95" s="38">
        <f>E95/E92</f>
        <v>-0.37197320855526966</v>
      </c>
      <c r="G95" s="5">
        <f>-G89</f>
        <v>-3390.48</v>
      </c>
    </row>
    <row r="96" spans="2:13" s="5" customFormat="1" x14ac:dyDescent="0.25">
      <c r="C96"/>
      <c r="D96" s="53" t="s">
        <v>60</v>
      </c>
      <c r="E96" s="54">
        <f>E92+E93+E94+E95</f>
        <v>3067.6600000000012</v>
      </c>
      <c r="F96" s="38">
        <f>E96/E51</f>
        <v>0.33655627903915053</v>
      </c>
      <c r="G96" s="55">
        <f>G92+G93+G94+G95</f>
        <v>-1048.7695934959347</v>
      </c>
    </row>
    <row r="97" spans="4:13" x14ac:dyDescent="0.25">
      <c r="L97" s="5"/>
      <c r="M97" s="5"/>
    </row>
    <row r="98" spans="4:13" x14ac:dyDescent="0.25">
      <c r="F98" s="24"/>
      <c r="L98" s="5"/>
      <c r="M98" s="5"/>
    </row>
    <row r="99" spans="4:13" ht="18.75" x14ac:dyDescent="0.3">
      <c r="D99" s="56" t="s">
        <v>61</v>
      </c>
      <c r="E99" s="57">
        <f>'Julho (2)'!E99+Agosto!E51</f>
        <v>415469.56400000001</v>
      </c>
      <c r="L99" s="5"/>
      <c r="M99" s="5"/>
    </row>
    <row r="100" spans="4:13" x14ac:dyDescent="0.25">
      <c r="L100" s="5"/>
      <c r="M100" s="5"/>
    </row>
    <row r="101" spans="4:13" x14ac:dyDescent="0.25">
      <c r="M101" s="5"/>
    </row>
    <row r="102" spans="4:13" x14ac:dyDescent="0.25">
      <c r="M102" s="5"/>
    </row>
    <row r="103" spans="4:13" x14ac:dyDescent="0.25">
      <c r="M103" s="5"/>
    </row>
    <row r="104" spans="4:13" x14ac:dyDescent="0.25">
      <c r="M104" s="5"/>
    </row>
    <row r="105" spans="4:13" x14ac:dyDescent="0.25">
      <c r="F105"/>
      <c r="G105"/>
      <c r="H105"/>
      <c r="I105"/>
      <c r="M105" s="5"/>
    </row>
    <row r="106" spans="4:13" x14ac:dyDescent="0.25">
      <c r="F106"/>
      <c r="G106"/>
      <c r="H106"/>
      <c r="I106"/>
      <c r="M106" s="5"/>
    </row>
  </sheetData>
  <pageMargins left="0.9055118110236221" right="0.70866141732283472" top="1.6535433070866143" bottom="1.2204724409448819" header="0.31496062992125984" footer="0.31496062992125984"/>
  <pageSetup paperSize="9" scale="65" orientation="landscape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D3B7A-F13C-42DA-AAC6-150595AE745C}">
  <dimension ref="A2:Q106"/>
  <sheetViews>
    <sheetView topLeftCell="A7" zoomScale="84" zoomScaleNormal="84" workbookViewId="0">
      <selection activeCell="K24" sqref="K24"/>
    </sheetView>
  </sheetViews>
  <sheetFormatPr defaultRowHeight="15" x14ac:dyDescent="0.25"/>
  <cols>
    <col min="1" max="1" width="12" customWidth="1"/>
    <col min="2" max="2" width="10.5703125" customWidth="1"/>
    <col min="3" max="3" width="8.7109375" customWidth="1"/>
    <col min="4" max="4" width="29.28515625" bestFit="1" customWidth="1"/>
    <col min="5" max="5" width="32.7109375" bestFit="1" customWidth="1"/>
    <col min="6" max="6" width="13" style="5" bestFit="1" customWidth="1"/>
    <col min="7" max="7" width="21.28515625" style="5" bestFit="1" customWidth="1"/>
    <col min="8" max="8" width="13.42578125" style="5" customWidth="1"/>
    <col min="9" max="9" width="13.28515625" style="5" customWidth="1"/>
    <col min="10" max="10" width="19.7109375" bestFit="1" customWidth="1"/>
    <col min="11" max="11" width="16.42578125" bestFit="1" customWidth="1"/>
    <col min="12" max="12" width="12.7109375" bestFit="1" customWidth="1"/>
    <col min="13" max="14" width="11.7109375" bestFit="1" customWidth="1"/>
    <col min="15" max="15" width="12.7109375" bestFit="1" customWidth="1"/>
    <col min="16" max="16" width="10.7109375" bestFit="1" customWidth="1"/>
    <col min="17" max="17" width="11.7109375" bestFit="1" customWidth="1"/>
  </cols>
  <sheetData>
    <row r="2" spans="2:11" x14ac:dyDescent="0.25">
      <c r="B2" s="1" t="s">
        <v>0</v>
      </c>
      <c r="C2" s="1" t="s">
        <v>1</v>
      </c>
      <c r="D2" s="2"/>
      <c r="E2" s="3"/>
      <c r="F2" s="4"/>
      <c r="G2" s="5" t="s">
        <v>2</v>
      </c>
      <c r="H2" s="5" t="s">
        <v>3</v>
      </c>
    </row>
    <row r="3" spans="2:11" x14ac:dyDescent="0.25">
      <c r="B3" s="6"/>
      <c r="C3" s="6"/>
      <c r="D3" s="7"/>
      <c r="E3" s="8"/>
      <c r="F3" s="9"/>
    </row>
    <row r="4" spans="2:11" x14ac:dyDescent="0.25">
      <c r="B4" s="6"/>
      <c r="C4" s="6"/>
      <c r="D4" s="7"/>
      <c r="E4" s="8"/>
      <c r="F4" s="9"/>
    </row>
    <row r="5" spans="2:11" x14ac:dyDescent="0.25">
      <c r="B5" s="6"/>
      <c r="C5" s="6"/>
      <c r="D5" s="7"/>
      <c r="E5" s="8"/>
      <c r="F5" s="9"/>
    </row>
    <row r="6" spans="2:11" x14ac:dyDescent="0.25">
      <c r="B6" s="6"/>
      <c r="C6" s="6"/>
      <c r="D6" s="7"/>
      <c r="E6" s="8"/>
      <c r="F6" s="9"/>
      <c r="J6" t="s">
        <v>4</v>
      </c>
    </row>
    <row r="7" spans="2:11" s="5" customFormat="1" x14ac:dyDescent="0.25">
      <c r="B7" s="6"/>
      <c r="C7" s="6"/>
      <c r="D7" s="7"/>
      <c r="E7" s="10"/>
      <c r="F7" s="9"/>
      <c r="G7" s="11"/>
      <c r="H7" s="11"/>
    </row>
    <row r="8" spans="2:11" s="5" customFormat="1" x14ac:dyDescent="0.25">
      <c r="B8" s="6"/>
      <c r="C8" s="6"/>
      <c r="D8" s="7"/>
      <c r="E8" s="8"/>
      <c r="F8" s="12"/>
      <c r="J8" s="5" t="s">
        <v>5</v>
      </c>
      <c r="K8" s="5">
        <f>G51</f>
        <v>0</v>
      </c>
    </row>
    <row r="9" spans="2:11" s="5" customFormat="1" x14ac:dyDescent="0.25">
      <c r="B9" s="6"/>
      <c r="C9" s="6"/>
      <c r="D9" s="7"/>
      <c r="E9" s="8"/>
      <c r="F9" s="9"/>
      <c r="J9" s="5" t="s">
        <v>6</v>
      </c>
      <c r="K9" s="5">
        <f>H39+H79+H89</f>
        <v>99.420406504065028</v>
      </c>
    </row>
    <row r="10" spans="2:11" s="5" customFormat="1" x14ac:dyDescent="0.25">
      <c r="B10" s="6"/>
      <c r="C10" s="6"/>
      <c r="D10" s="7"/>
      <c r="E10" s="8"/>
      <c r="F10" s="9"/>
      <c r="J10" s="13" t="s">
        <v>7</v>
      </c>
      <c r="K10" s="14">
        <f>K8-K9</f>
        <v>-99.420406504065028</v>
      </c>
    </row>
    <row r="11" spans="2:11" s="5" customFormat="1" x14ac:dyDescent="0.25">
      <c r="B11" s="6"/>
      <c r="C11" s="6"/>
      <c r="D11" s="7"/>
      <c r="E11" s="8"/>
      <c r="F11" s="9"/>
    </row>
    <row r="12" spans="2:11" s="5" customFormat="1" x14ac:dyDescent="0.25">
      <c r="B12" s="6"/>
      <c r="C12" s="6"/>
      <c r="D12" s="7"/>
      <c r="E12" s="8"/>
      <c r="F12" s="9"/>
    </row>
    <row r="13" spans="2:11" s="5" customFormat="1" x14ac:dyDescent="0.25">
      <c r="B13" s="6"/>
      <c r="C13" s="6"/>
      <c r="D13" s="7"/>
      <c r="E13" s="8"/>
      <c r="F13" s="9"/>
      <c r="J13" s="5" t="s">
        <v>8</v>
      </c>
      <c r="K13" s="5">
        <f>F51</f>
        <v>5135.4250000000002</v>
      </c>
    </row>
    <row r="14" spans="2:11" s="5" customFormat="1" x14ac:dyDescent="0.25">
      <c r="B14" s="6"/>
      <c r="C14" s="6"/>
      <c r="D14" s="7"/>
      <c r="E14" s="8"/>
      <c r="F14" s="9"/>
      <c r="J14" s="5" t="s">
        <v>9</v>
      </c>
      <c r="K14" s="5">
        <f>G39+G79+G89</f>
        <v>5138.7695934959347</v>
      </c>
    </row>
    <row r="15" spans="2:11" s="5" customFormat="1" x14ac:dyDescent="0.25">
      <c r="B15" s="6"/>
      <c r="C15" s="6"/>
      <c r="D15" s="7"/>
      <c r="E15" s="8"/>
      <c r="F15" s="9"/>
      <c r="K15" s="5">
        <f>K13-K14</f>
        <v>-3.3445934959345323</v>
      </c>
    </row>
    <row r="16" spans="2:11" s="5" customFormat="1" x14ac:dyDescent="0.25">
      <c r="B16" s="6"/>
      <c r="C16" s="6"/>
      <c r="D16" s="7"/>
      <c r="E16" s="8"/>
      <c r="F16" s="9"/>
      <c r="J16" s="13" t="s">
        <v>10</v>
      </c>
      <c r="K16" s="14">
        <f>K15*0.17</f>
        <v>-0.56858089430887049</v>
      </c>
    </row>
    <row r="17" spans="1:14" s="5" customFormat="1" x14ac:dyDescent="0.25">
      <c r="B17" s="6"/>
      <c r="C17" s="6"/>
      <c r="D17" s="7"/>
      <c r="E17" s="8"/>
      <c r="F17" s="9"/>
    </row>
    <row r="18" spans="1:14" s="5" customFormat="1" x14ac:dyDescent="0.25">
      <c r="B18" s="6"/>
      <c r="C18" s="15"/>
      <c r="D18" s="7"/>
      <c r="E18" s="8"/>
      <c r="F18" s="9"/>
    </row>
    <row r="19" spans="1:14" s="5" customFormat="1" x14ac:dyDescent="0.25">
      <c r="A19" s="16"/>
      <c r="B19" s="6"/>
      <c r="C19" s="6"/>
      <c r="D19" s="7"/>
      <c r="E19" s="8"/>
      <c r="F19" s="17"/>
    </row>
    <row r="20" spans="1:14" s="5" customFormat="1" x14ac:dyDescent="0.25">
      <c r="B20" s="6"/>
      <c r="C20" s="6"/>
      <c r="D20" s="7"/>
      <c r="E20" s="8"/>
      <c r="F20" s="17"/>
    </row>
    <row r="21" spans="1:14" s="5" customFormat="1" x14ac:dyDescent="0.25">
      <c r="B21" s="6"/>
      <c r="C21" s="6"/>
      <c r="D21" s="7"/>
      <c r="E21" s="8"/>
      <c r="F21" s="9"/>
      <c r="J21" s="14" t="s">
        <v>11</v>
      </c>
    </row>
    <row r="22" spans="1:14" s="5" customFormat="1" x14ac:dyDescent="0.25">
      <c r="B22" s="6"/>
      <c r="C22" s="6"/>
      <c r="D22" s="7"/>
      <c r="E22" s="8"/>
      <c r="F22" s="17"/>
      <c r="I22" s="18" t="s">
        <v>10</v>
      </c>
      <c r="J22" s="5" t="s">
        <v>12</v>
      </c>
      <c r="K22" s="14">
        <f>K13+Agosto!K22</f>
        <v>251912.73833333334</v>
      </c>
      <c r="M22" s="19"/>
    </row>
    <row r="23" spans="1:14" s="5" customFormat="1" x14ac:dyDescent="0.25">
      <c r="B23" s="6"/>
      <c r="C23" s="6"/>
      <c r="D23" s="7"/>
      <c r="E23" s="8"/>
      <c r="F23" s="9"/>
      <c r="I23" s="13"/>
      <c r="J23" s="5" t="s">
        <v>13</v>
      </c>
      <c r="K23" s="5">
        <f>K14+Agosto!K23</f>
        <v>182710.17434959352</v>
      </c>
    </row>
    <row r="24" spans="1:14" s="5" customFormat="1" x14ac:dyDescent="0.25">
      <c r="B24" s="6"/>
      <c r="C24" s="6"/>
      <c r="D24" s="7"/>
      <c r="E24" s="8"/>
      <c r="F24" s="20"/>
      <c r="I24" s="13"/>
      <c r="J24" s="13" t="s">
        <v>14</v>
      </c>
      <c r="K24" s="5">
        <f>1714.45*9</f>
        <v>15430.050000000001</v>
      </c>
    </row>
    <row r="25" spans="1:14" s="5" customFormat="1" x14ac:dyDescent="0.25">
      <c r="B25" s="6"/>
      <c r="C25" s="6"/>
      <c r="D25" s="7"/>
      <c r="E25" s="8"/>
      <c r="F25" s="9"/>
      <c r="I25" s="13"/>
      <c r="K25" s="21">
        <f>K22-K23-K24</f>
        <v>53772.513983739816</v>
      </c>
      <c r="L25" s="11"/>
    </row>
    <row r="26" spans="1:14" s="5" customFormat="1" x14ac:dyDescent="0.25">
      <c r="B26" s="6"/>
      <c r="C26" s="6"/>
      <c r="D26" s="7"/>
      <c r="E26" s="8"/>
      <c r="F26" s="12"/>
      <c r="I26" s="13"/>
      <c r="J26" s="22">
        <v>0.17</v>
      </c>
      <c r="K26" s="23">
        <f>K25*0.17</f>
        <v>9141.3273772357697</v>
      </c>
    </row>
    <row r="27" spans="1:14" s="5" customFormat="1" x14ac:dyDescent="0.25">
      <c r="B27" s="6"/>
      <c r="C27" s="6"/>
      <c r="D27" s="7"/>
      <c r="E27" s="8"/>
      <c r="F27" s="9"/>
      <c r="I27" s="18" t="s">
        <v>15</v>
      </c>
      <c r="J27" s="5" t="s">
        <v>12</v>
      </c>
      <c r="K27" s="5">
        <f>K8+Agosto!K27</f>
        <v>0</v>
      </c>
    </row>
    <row r="28" spans="1:14" s="5" customFormat="1" x14ac:dyDescent="0.25">
      <c r="B28" s="6"/>
      <c r="C28" s="6"/>
      <c r="D28" s="7"/>
      <c r="E28" s="8"/>
      <c r="F28" s="9"/>
      <c r="I28" s="13"/>
      <c r="J28" s="5" t="s">
        <v>16</v>
      </c>
      <c r="K28" s="5">
        <f>K9+Agosto!K28</f>
        <v>27631.404105691054</v>
      </c>
    </row>
    <row r="29" spans="1:14" s="5" customFormat="1" x14ac:dyDescent="0.25">
      <c r="B29" s="6"/>
      <c r="C29" s="6"/>
      <c r="D29" s="7"/>
      <c r="E29" s="10"/>
      <c r="F29" s="9"/>
      <c r="G29" s="11"/>
      <c r="H29" s="11"/>
      <c r="J29" s="18" t="s">
        <v>3</v>
      </c>
      <c r="K29" s="23">
        <f>K27-K28</f>
        <v>-27631.404105691054</v>
      </c>
    </row>
    <row r="30" spans="1:14" s="5" customFormat="1" x14ac:dyDescent="0.25">
      <c r="B30" s="6"/>
      <c r="C30" s="6"/>
      <c r="D30" s="7"/>
      <c r="E30" s="8"/>
      <c r="F30" s="9"/>
      <c r="J30" s="16"/>
      <c r="K30" s="24"/>
      <c r="L30" s="25">
        <f>K30+K29</f>
        <v>-27631.404105691054</v>
      </c>
    </row>
    <row r="31" spans="1:14" s="5" customFormat="1" x14ac:dyDescent="0.25">
      <c r="B31" s="6"/>
      <c r="C31" s="6"/>
      <c r="D31" s="7"/>
      <c r="E31" s="10"/>
      <c r="F31" s="9"/>
      <c r="G31" s="11"/>
      <c r="H31" s="11"/>
      <c r="J31" s="18"/>
      <c r="K31" s="24" t="s">
        <v>62</v>
      </c>
      <c r="L31" s="5">
        <v>0</v>
      </c>
    </row>
    <row r="32" spans="1:14" s="5" customFormat="1" x14ac:dyDescent="0.25">
      <c r="B32" s="6"/>
      <c r="C32" s="6"/>
      <c r="D32" s="7"/>
      <c r="E32" s="8"/>
      <c r="F32" s="9"/>
      <c r="J32" s="18"/>
      <c r="K32" s="23"/>
      <c r="L32" s="26">
        <f>SUM(L30:L31)</f>
        <v>-27631.404105691054</v>
      </c>
      <c r="N32" s="14"/>
    </row>
    <row r="33" spans="2:17" s="5" customFormat="1" x14ac:dyDescent="0.25">
      <c r="B33" s="6"/>
      <c r="C33" s="6"/>
      <c r="D33" s="7"/>
      <c r="E33" s="8"/>
      <c r="F33" s="9"/>
      <c r="J33" s="18"/>
      <c r="K33" s="14" t="s">
        <v>17</v>
      </c>
      <c r="L33" s="27">
        <f>Abril!L33+1994.83</f>
        <v>5491.09</v>
      </c>
    </row>
    <row r="34" spans="2:17" s="5" customFormat="1" x14ac:dyDescent="0.25">
      <c r="B34" s="6"/>
      <c r="C34" s="6"/>
      <c r="D34" s="7"/>
      <c r="E34" s="8"/>
      <c r="F34" s="9"/>
      <c r="J34" s="18"/>
      <c r="K34" s="14"/>
      <c r="L34" s="14"/>
    </row>
    <row r="35" spans="2:17" s="5" customFormat="1" x14ac:dyDescent="0.25">
      <c r="B35" s="6"/>
      <c r="C35" s="6"/>
      <c r="D35" s="7"/>
      <c r="E35" s="8"/>
      <c r="F35" s="9"/>
      <c r="J35" s="18"/>
      <c r="K35" s="14"/>
      <c r="L35" s="14"/>
    </row>
    <row r="36" spans="2:17" s="5" customFormat="1" x14ac:dyDescent="0.25">
      <c r="B36" s="6"/>
      <c r="C36" s="6"/>
      <c r="D36" s="7"/>
      <c r="E36" s="8"/>
      <c r="F36" s="9"/>
      <c r="J36" s="18"/>
      <c r="K36" s="14"/>
      <c r="L36" s="14"/>
    </row>
    <row r="37" spans="2:17" s="5" customFormat="1" x14ac:dyDescent="0.25">
      <c r="B37" s="6"/>
      <c r="C37" s="6"/>
      <c r="D37" s="7"/>
      <c r="E37" s="28"/>
      <c r="F37" s="17"/>
      <c r="G37" s="23"/>
      <c r="L37" s="14"/>
    </row>
    <row r="38" spans="2:17" s="5" customFormat="1" x14ac:dyDescent="0.25">
      <c r="B38" s="6"/>
      <c r="C38" s="6"/>
      <c r="D38" s="7"/>
      <c r="E38" s="8"/>
      <c r="F38" s="17"/>
    </row>
    <row r="39" spans="2:17" x14ac:dyDescent="0.25">
      <c r="B39" s="29"/>
      <c r="C39" s="29"/>
      <c r="D39" s="30"/>
      <c r="E39" s="31"/>
      <c r="F39" s="32">
        <f>SUM(F3:F38)</f>
        <v>0</v>
      </c>
      <c r="G39" s="5">
        <f>SUM(G3:G38)</f>
        <v>0</v>
      </c>
      <c r="H39" s="14">
        <f>SUM(H3:H38)</f>
        <v>0</v>
      </c>
      <c r="J39" s="5"/>
      <c r="M39" s="5"/>
      <c r="Q39" s="5"/>
    </row>
    <row r="40" spans="2:17" x14ac:dyDescent="0.25">
      <c r="C40" s="33"/>
      <c r="M40" s="5"/>
      <c r="Q40" s="5"/>
    </row>
    <row r="41" spans="2:17" x14ac:dyDescent="0.25">
      <c r="C41" s="33"/>
      <c r="M41" s="5"/>
      <c r="N41" s="5"/>
      <c r="O41" s="5"/>
      <c r="Q41" s="5"/>
    </row>
    <row r="42" spans="2:17" x14ac:dyDescent="0.25">
      <c r="C42" s="33"/>
      <c r="M42" s="5"/>
      <c r="N42" s="5"/>
      <c r="O42" s="5"/>
      <c r="Q42" s="5"/>
    </row>
    <row r="43" spans="2:17" x14ac:dyDescent="0.25">
      <c r="B43" t="s">
        <v>18</v>
      </c>
      <c r="C43" s="29"/>
      <c r="D43" s="34" t="s">
        <v>19</v>
      </c>
      <c r="E43" s="31"/>
      <c r="F43" s="5" t="s">
        <v>20</v>
      </c>
      <c r="G43" s="5" t="s">
        <v>3</v>
      </c>
      <c r="H43" s="5" t="s">
        <v>21</v>
      </c>
      <c r="M43" s="5"/>
      <c r="O43" s="5"/>
      <c r="Q43" s="5"/>
    </row>
    <row r="44" spans="2:17" s="62" customFormat="1" x14ac:dyDescent="0.25">
      <c r="B44" s="63"/>
      <c r="C44" s="64"/>
      <c r="D44" s="65" t="s">
        <v>397</v>
      </c>
      <c r="E44" s="66">
        <v>12647.94</v>
      </c>
      <c r="F44" s="67">
        <f>10270.85/2</f>
        <v>5135.4250000000002</v>
      </c>
      <c r="G44" s="67" t="s">
        <v>398</v>
      </c>
      <c r="H44" s="79">
        <f>E44</f>
        <v>12647.94</v>
      </c>
      <c r="I44" s="5"/>
    </row>
    <row r="45" spans="2:17" s="5" customFormat="1" x14ac:dyDescent="0.25">
      <c r="B45"/>
      <c r="C45" s="35"/>
      <c r="D45" s="36"/>
      <c r="E45" s="12"/>
      <c r="F45" s="37"/>
      <c r="G45" s="37"/>
      <c r="H45" s="11"/>
    </row>
    <row r="46" spans="2:17" s="5" customFormat="1" x14ac:dyDescent="0.25">
      <c r="B46"/>
      <c r="C46" s="35"/>
      <c r="D46" s="36"/>
      <c r="E46" s="12"/>
      <c r="F46" s="37"/>
      <c r="G46" s="37"/>
      <c r="H46" s="77"/>
    </row>
    <row r="47" spans="2:17" s="5" customFormat="1" x14ac:dyDescent="0.25">
      <c r="B47"/>
      <c r="C47" s="35"/>
      <c r="D47" s="36"/>
      <c r="E47" s="12"/>
      <c r="F47" s="37"/>
      <c r="G47" s="37"/>
      <c r="H47" s="77"/>
    </row>
    <row r="48" spans="2:17" s="5" customFormat="1" x14ac:dyDescent="0.25">
      <c r="B48"/>
      <c r="C48" s="35"/>
      <c r="D48" s="36"/>
      <c r="E48" s="12"/>
      <c r="F48" s="37"/>
      <c r="G48" s="37"/>
      <c r="H48" s="77"/>
    </row>
    <row r="49" spans="2:10" s="5" customFormat="1" x14ac:dyDescent="0.25">
      <c r="B49"/>
      <c r="C49" s="35"/>
      <c r="D49" s="36"/>
      <c r="E49" s="12"/>
      <c r="F49" s="37"/>
      <c r="G49" s="37"/>
      <c r="H49" s="11"/>
    </row>
    <row r="50" spans="2:10" s="62" customFormat="1" x14ac:dyDescent="0.25">
      <c r="B50" s="63"/>
      <c r="C50" s="64"/>
      <c r="D50" s="65"/>
      <c r="E50" s="66"/>
      <c r="F50" s="67"/>
      <c r="G50" s="67"/>
      <c r="H50" s="68"/>
    </row>
    <row r="51" spans="2:10" s="5" customFormat="1" x14ac:dyDescent="0.25">
      <c r="C51" s="39"/>
      <c r="D51" s="1"/>
      <c r="E51" s="40">
        <f>SUM(E44:E50)</f>
        <v>12647.94</v>
      </c>
      <c r="F51" s="14">
        <f>SUM(F44:F50)</f>
        <v>5135.4250000000002</v>
      </c>
      <c r="G51" s="14">
        <f>SUM(G44:G49)</f>
        <v>0</v>
      </c>
      <c r="H51" s="14">
        <f>SUM(H44:H50)</f>
        <v>12647.94</v>
      </c>
    </row>
    <row r="52" spans="2:10" s="5" customFormat="1" x14ac:dyDescent="0.25">
      <c r="C52" s="33"/>
      <c r="D52" s="36"/>
      <c r="G52" s="37"/>
    </row>
    <row r="53" spans="2:10" s="5" customFormat="1" x14ac:dyDescent="0.25">
      <c r="C53" s="33"/>
      <c r="D53" s="36"/>
      <c r="G53" s="14"/>
    </row>
    <row r="54" spans="2:10" s="5" customFormat="1" x14ac:dyDescent="0.25">
      <c r="C54" s="33"/>
      <c r="D54" s="36"/>
    </row>
    <row r="55" spans="2:10" s="5" customFormat="1" x14ac:dyDescent="0.25">
      <c r="B55" s="1" t="s">
        <v>1</v>
      </c>
      <c r="C55" s="1"/>
      <c r="D55" s="34" t="s">
        <v>26</v>
      </c>
      <c r="E55" s="1"/>
      <c r="F55" s="4"/>
      <c r="G55" s="5" t="s">
        <v>2</v>
      </c>
      <c r="H55" s="5" t="s">
        <v>3</v>
      </c>
    </row>
    <row r="56" spans="2:10" s="5" customFormat="1" x14ac:dyDescent="0.25">
      <c r="B56"/>
      <c r="C56" s="6"/>
      <c r="D56" t="s">
        <v>27</v>
      </c>
      <c r="E56" s="36" t="s">
        <v>28</v>
      </c>
      <c r="F56" s="12">
        <v>246</v>
      </c>
      <c r="G56" s="5">
        <v>200</v>
      </c>
      <c r="H56" s="5">
        <v>46</v>
      </c>
    </row>
    <row r="57" spans="2:10" s="5" customFormat="1" x14ac:dyDescent="0.25">
      <c r="B57"/>
      <c r="C57" s="6"/>
      <c r="D57" t="s">
        <v>29</v>
      </c>
      <c r="E57" s="36" t="s">
        <v>30</v>
      </c>
      <c r="F57" s="12">
        <v>222</v>
      </c>
      <c r="G57" s="5">
        <f>F57</f>
        <v>222</v>
      </c>
      <c r="H57" s="5">
        <v>0</v>
      </c>
    </row>
    <row r="58" spans="2:10" s="5" customFormat="1" x14ac:dyDescent="0.25">
      <c r="B58"/>
      <c r="C58" s="6"/>
      <c r="D58" t="s">
        <v>31</v>
      </c>
      <c r="E58" s="36" t="s">
        <v>32</v>
      </c>
      <c r="F58" s="12">
        <v>956.04</v>
      </c>
      <c r="G58" s="41">
        <f>138.79+2.6+5.65</f>
        <v>147.04</v>
      </c>
      <c r="H58" s="5">
        <v>0</v>
      </c>
      <c r="I58" s="37"/>
    </row>
    <row r="59" spans="2:10" s="5" customFormat="1" x14ac:dyDescent="0.25">
      <c r="B59" s="42"/>
      <c r="C59" s="6"/>
      <c r="D59" t="s">
        <v>33</v>
      </c>
      <c r="E59" s="36" t="s">
        <v>34</v>
      </c>
      <c r="F59" s="12">
        <f>G59+H59</f>
        <v>900</v>
      </c>
      <c r="G59" s="5">
        <v>900</v>
      </c>
      <c r="H59" s="5">
        <v>0</v>
      </c>
    </row>
    <row r="60" spans="2:10" s="5" customFormat="1" x14ac:dyDescent="0.25">
      <c r="B60"/>
      <c r="C60" s="6"/>
      <c r="D60" s="33" t="s">
        <v>35</v>
      </c>
      <c r="E60" s="36" t="s">
        <v>36</v>
      </c>
      <c r="F60" s="12">
        <f>15.8+0.63</f>
        <v>16.43</v>
      </c>
      <c r="G60" s="5">
        <f>F60</f>
        <v>16.43</v>
      </c>
      <c r="H60" s="5">
        <v>0</v>
      </c>
    </row>
    <row r="61" spans="2:10" s="5" customFormat="1" x14ac:dyDescent="0.25">
      <c r="B61"/>
      <c r="C61" s="6"/>
      <c r="D61" s="33" t="s">
        <v>35</v>
      </c>
      <c r="E61" s="36" t="s">
        <v>37</v>
      </c>
      <c r="F61" s="12">
        <v>30.56</v>
      </c>
      <c r="G61" s="5">
        <f>F61</f>
        <v>30.56</v>
      </c>
      <c r="H61" s="5">
        <v>0</v>
      </c>
    </row>
    <row r="62" spans="2:10" s="5" customFormat="1" x14ac:dyDescent="0.25">
      <c r="B62"/>
      <c r="C62" s="43"/>
      <c r="D62" t="s">
        <v>38</v>
      </c>
      <c r="E62" s="36" t="s">
        <v>39</v>
      </c>
      <c r="F62" s="12">
        <v>121.13</v>
      </c>
      <c r="G62" s="5">
        <f>F62/1.23</f>
        <v>98.479674796747972</v>
      </c>
      <c r="H62" s="5">
        <f>F62-G62</f>
        <v>22.650325203252024</v>
      </c>
      <c r="J62" s="44"/>
    </row>
    <row r="63" spans="2:10" s="5" customFormat="1" x14ac:dyDescent="0.25">
      <c r="B63"/>
      <c r="C63" s="6"/>
      <c r="D63" t="s">
        <v>40</v>
      </c>
      <c r="E63" s="36" t="s">
        <v>41</v>
      </c>
      <c r="F63" s="12">
        <v>8.61</v>
      </c>
      <c r="G63" s="5">
        <f>F63/1.23</f>
        <v>7</v>
      </c>
      <c r="H63" s="5">
        <f>F63-G63</f>
        <v>1.6099999999999994</v>
      </c>
    </row>
    <row r="64" spans="2:10" s="5" customFormat="1" x14ac:dyDescent="0.25">
      <c r="B64"/>
      <c r="C64" s="6"/>
      <c r="D64" t="s">
        <v>42</v>
      </c>
      <c r="E64" s="36" t="s">
        <v>43</v>
      </c>
      <c r="F64" s="12">
        <v>9.99</v>
      </c>
      <c r="G64" s="5">
        <v>8.1199999999999992</v>
      </c>
      <c r="H64" s="5">
        <v>1.87</v>
      </c>
      <c r="J64" s="44"/>
    </row>
    <row r="65" spans="2:13" s="5" customFormat="1" x14ac:dyDescent="0.25">
      <c r="B65"/>
      <c r="C65" s="6"/>
      <c r="D65" s="7" t="s">
        <v>44</v>
      </c>
      <c r="E65" s="36" t="s">
        <v>45</v>
      </c>
      <c r="F65" s="12">
        <v>113</v>
      </c>
      <c r="G65" s="5">
        <f>F65/1.23</f>
        <v>91.869918699186996</v>
      </c>
      <c r="H65" s="5">
        <f>F65-G65</f>
        <v>21.130081300813004</v>
      </c>
      <c r="J65" s="44"/>
    </row>
    <row r="66" spans="2:13" s="5" customFormat="1" x14ac:dyDescent="0.25">
      <c r="B66"/>
      <c r="C66" s="6"/>
      <c r="D66" s="7" t="s">
        <v>46</v>
      </c>
      <c r="E66" s="36" t="s">
        <v>47</v>
      </c>
      <c r="F66" s="12">
        <v>32.950000000000003</v>
      </c>
      <c r="G66" s="5">
        <f>F66-H66</f>
        <v>26.790000000000003</v>
      </c>
      <c r="H66" s="5">
        <v>6.16</v>
      </c>
      <c r="J66" s="44"/>
    </row>
    <row r="67" spans="2:13" s="5" customFormat="1" x14ac:dyDescent="0.25">
      <c r="B67"/>
      <c r="C67" s="6"/>
      <c r="D67" s="7"/>
      <c r="E67" s="8"/>
      <c r="F67" s="45"/>
      <c r="J67" s="44"/>
    </row>
    <row r="68" spans="2:13" s="5" customFormat="1" x14ac:dyDescent="0.25">
      <c r="B68"/>
      <c r="C68" s="6"/>
      <c r="D68" s="7"/>
      <c r="E68" s="8"/>
      <c r="F68" s="45"/>
      <c r="J68" s="44"/>
    </row>
    <row r="69" spans="2:13" s="5" customFormat="1" x14ac:dyDescent="0.25">
      <c r="B69"/>
      <c r="C69" s="6"/>
      <c r="D69" s="7"/>
      <c r="E69" s="8"/>
      <c r="F69" s="45"/>
      <c r="J69" s="44"/>
    </row>
    <row r="70" spans="2:13" s="5" customFormat="1" x14ac:dyDescent="0.25">
      <c r="B70"/>
      <c r="C70" s="6"/>
      <c r="D70" s="7"/>
      <c r="E70" s="8"/>
      <c r="F70" s="45"/>
      <c r="J70" s="44"/>
    </row>
    <row r="71" spans="2:13" s="5" customFormat="1" x14ac:dyDescent="0.25">
      <c r="B71"/>
      <c r="C71" s="6"/>
      <c r="D71" s="7"/>
      <c r="E71" s="8"/>
      <c r="F71" s="17"/>
      <c r="J71" s="44"/>
    </row>
    <row r="72" spans="2:13" s="5" customFormat="1" x14ac:dyDescent="0.25">
      <c r="B72"/>
      <c r="C72" s="6"/>
      <c r="D72" s="7"/>
      <c r="E72" s="8"/>
      <c r="F72" s="17"/>
      <c r="J72" s="44"/>
    </row>
    <row r="73" spans="2:13" s="5" customFormat="1" x14ac:dyDescent="0.25">
      <c r="B73"/>
      <c r="C73" s="6"/>
      <c r="D73" s="7"/>
      <c r="E73" s="8"/>
      <c r="F73" s="17"/>
      <c r="J73" s="44"/>
    </row>
    <row r="74" spans="2:13" s="5" customFormat="1" x14ac:dyDescent="0.25">
      <c r="B74"/>
      <c r="C74" s="6"/>
      <c r="D74" s="7"/>
      <c r="E74" s="8"/>
      <c r="F74" s="17"/>
      <c r="J74" s="44"/>
    </row>
    <row r="75" spans="2:13" s="5" customFormat="1" x14ac:dyDescent="0.25">
      <c r="B75"/>
      <c r="C75" s="6"/>
      <c r="D75" s="7"/>
      <c r="E75" s="8"/>
      <c r="F75" s="17"/>
      <c r="J75" s="44"/>
    </row>
    <row r="76" spans="2:13" s="5" customFormat="1" x14ac:dyDescent="0.25">
      <c r="B76"/>
      <c r="C76" s="6"/>
      <c r="D76" s="7"/>
      <c r="E76" s="8"/>
      <c r="F76" s="17"/>
      <c r="J76" s="44"/>
    </row>
    <row r="77" spans="2:13" s="5" customFormat="1" x14ac:dyDescent="0.25">
      <c r="B77"/>
      <c r="C77" s="6"/>
      <c r="D77" s="7"/>
      <c r="E77" s="8"/>
      <c r="F77" s="17"/>
      <c r="J77" s="44"/>
    </row>
    <row r="78" spans="2:13" s="5" customFormat="1" x14ac:dyDescent="0.25">
      <c r="C78" s="6"/>
      <c r="D78" s="7"/>
      <c r="E78" s="36"/>
      <c r="F78" s="12"/>
    </row>
    <row r="79" spans="2:13" s="5" customFormat="1" x14ac:dyDescent="0.25">
      <c r="C79" s="1"/>
      <c r="D79" s="3"/>
      <c r="E79" s="1"/>
      <c r="F79" s="40">
        <f>SUM(F56:F78)</f>
        <v>2656.7099999999996</v>
      </c>
      <c r="G79" s="5">
        <f>SUM(G56:G78)</f>
        <v>1748.2895934959347</v>
      </c>
      <c r="H79" s="5">
        <f>SUM(H56:H78)</f>
        <v>99.420406504065028</v>
      </c>
    </row>
    <row r="80" spans="2:13" x14ac:dyDescent="0.25">
      <c r="L80" s="5"/>
      <c r="M80" s="5"/>
    </row>
    <row r="81" spans="2:13" s="5" customFormat="1" x14ac:dyDescent="0.25">
      <c r="C81" s="1"/>
      <c r="D81" s="34" t="s">
        <v>48</v>
      </c>
      <c r="E81" s="1"/>
      <c r="F81" s="4"/>
      <c r="G81" s="5" t="s">
        <v>2</v>
      </c>
      <c r="H81" s="5" t="s">
        <v>3</v>
      </c>
    </row>
    <row r="82" spans="2:13" s="5" customFormat="1" x14ac:dyDescent="0.25">
      <c r="B82"/>
      <c r="C82" s="6">
        <v>44227</v>
      </c>
      <c r="D82" s="33" t="s">
        <v>49</v>
      </c>
      <c r="E82" s="36" t="s">
        <v>80</v>
      </c>
      <c r="F82" s="12">
        <v>1043.8399999999999</v>
      </c>
      <c r="G82" s="5">
        <f t="shared" ref="G82:G86" si="0">F82</f>
        <v>1043.8399999999999</v>
      </c>
      <c r="H82" s="5">
        <v>0</v>
      </c>
    </row>
    <row r="83" spans="2:13" s="5" customFormat="1" x14ac:dyDescent="0.25">
      <c r="B83"/>
      <c r="C83" s="6">
        <v>44227</v>
      </c>
      <c r="D83" t="s">
        <v>51</v>
      </c>
      <c r="E83" s="36" t="s">
        <v>80</v>
      </c>
      <c r="F83" s="12">
        <v>938.09</v>
      </c>
      <c r="G83" s="5">
        <f t="shared" si="0"/>
        <v>938.09</v>
      </c>
      <c r="H83" s="5">
        <v>0</v>
      </c>
    </row>
    <row r="84" spans="2:13" s="5" customFormat="1" x14ac:dyDescent="0.25">
      <c r="B84"/>
      <c r="C84" s="6">
        <v>44227</v>
      </c>
      <c r="D84" t="s">
        <v>52</v>
      </c>
      <c r="E84" s="36" t="s">
        <v>80</v>
      </c>
      <c r="F84" s="12">
        <v>251.55</v>
      </c>
      <c r="G84" s="5">
        <f t="shared" si="0"/>
        <v>251.55</v>
      </c>
    </row>
    <row r="85" spans="2:13" s="5" customFormat="1" x14ac:dyDescent="0.25">
      <c r="B85"/>
      <c r="C85" s="6">
        <v>45688</v>
      </c>
      <c r="D85" t="s">
        <v>53</v>
      </c>
      <c r="E85" s="36" t="s">
        <v>81</v>
      </c>
      <c r="F85" s="12">
        <v>1092</v>
      </c>
      <c r="G85" s="5">
        <f t="shared" si="0"/>
        <v>1092</v>
      </c>
      <c r="H85" s="5">
        <v>0</v>
      </c>
    </row>
    <row r="86" spans="2:13" s="5" customFormat="1" x14ac:dyDescent="0.25">
      <c r="B86"/>
      <c r="C86" s="6">
        <v>45688</v>
      </c>
      <c r="D86" t="s">
        <v>55</v>
      </c>
      <c r="E86" s="36" t="s">
        <v>56</v>
      </c>
      <c r="F86" s="12">
        <v>65</v>
      </c>
      <c r="G86" s="5">
        <f t="shared" si="0"/>
        <v>65</v>
      </c>
      <c r="H86" s="5">
        <v>0</v>
      </c>
    </row>
    <row r="87" spans="2:13" s="5" customFormat="1" x14ac:dyDescent="0.25">
      <c r="B87"/>
      <c r="C87" s="6"/>
      <c r="D87"/>
      <c r="E87" s="36"/>
      <c r="F87" s="12"/>
    </row>
    <row r="88" spans="2:13" s="5" customFormat="1" x14ac:dyDescent="0.25">
      <c r="C88" s="46"/>
      <c r="D88" s="47"/>
      <c r="E88" s="47"/>
      <c r="F88" s="48"/>
    </row>
    <row r="89" spans="2:13" s="5" customFormat="1" x14ac:dyDescent="0.25">
      <c r="C89" s="47"/>
      <c r="D89" s="49"/>
      <c r="E89" s="47"/>
      <c r="F89" s="40">
        <f>SUM(F82:F88)</f>
        <v>3390.48</v>
      </c>
      <c r="G89" s="5">
        <f>SUM(G82:G88)</f>
        <v>3390.48</v>
      </c>
      <c r="H89" s="5">
        <f>SUM(H82:H88)</f>
        <v>0</v>
      </c>
      <c r="I89" s="50">
        <f>F89+Agosto!I89</f>
        <v>32939.49</v>
      </c>
    </row>
    <row r="90" spans="2:13" x14ac:dyDescent="0.25">
      <c r="L90" s="5"/>
      <c r="M90" s="5"/>
    </row>
    <row r="91" spans="2:13" x14ac:dyDescent="0.25">
      <c r="L91" s="5"/>
      <c r="M91" s="5"/>
    </row>
    <row r="92" spans="2:13" s="5" customFormat="1" x14ac:dyDescent="0.25">
      <c r="C92"/>
      <c r="D92" s="51" t="s">
        <v>19</v>
      </c>
      <c r="E92" s="52">
        <f>E51</f>
        <v>12647.94</v>
      </c>
      <c r="G92" s="5">
        <f>F51</f>
        <v>5135.4250000000002</v>
      </c>
    </row>
    <row r="93" spans="2:13" s="5" customFormat="1" x14ac:dyDescent="0.25">
      <c r="C93"/>
      <c r="D93" s="36" t="s">
        <v>57</v>
      </c>
      <c r="E93" s="12">
        <f>-F39</f>
        <v>0</v>
      </c>
      <c r="F93" s="38">
        <f>E93/E92</f>
        <v>0</v>
      </c>
      <c r="G93" s="5">
        <f>-G39</f>
        <v>0</v>
      </c>
    </row>
    <row r="94" spans="2:13" s="5" customFormat="1" x14ac:dyDescent="0.25">
      <c r="C94"/>
      <c r="D94" s="36" t="s">
        <v>58</v>
      </c>
      <c r="E94" s="12">
        <f>-F79</f>
        <v>-2656.7099999999996</v>
      </c>
      <c r="F94" s="38">
        <f>(-2951.87/26138.85)</f>
        <v>-0.11293036992828683</v>
      </c>
      <c r="G94" s="5">
        <f>-G79</f>
        <v>-1748.2895934959347</v>
      </c>
    </row>
    <row r="95" spans="2:13" s="5" customFormat="1" x14ac:dyDescent="0.25">
      <c r="C95"/>
      <c r="D95" s="47" t="s">
        <v>59</v>
      </c>
      <c r="E95" s="48">
        <f>-F89</f>
        <v>-3390.48</v>
      </c>
      <c r="F95" s="38">
        <f>E95/E92</f>
        <v>-0.26806578778836709</v>
      </c>
      <c r="G95" s="5">
        <f>-G89</f>
        <v>-3390.48</v>
      </c>
    </row>
    <row r="96" spans="2:13" s="5" customFormat="1" x14ac:dyDescent="0.25">
      <c r="C96"/>
      <c r="D96" s="53" t="s">
        <v>60</v>
      </c>
      <c r="E96" s="54">
        <f>E92+E93+E94+E95</f>
        <v>6600.7500000000018</v>
      </c>
      <c r="F96" s="38">
        <f>E96/E51</f>
        <v>0.52188340551900159</v>
      </c>
      <c r="G96" s="55">
        <f>G92+G93+G94+G95</f>
        <v>-3.3445934959345323</v>
      </c>
    </row>
    <row r="97" spans="4:13" x14ac:dyDescent="0.25">
      <c r="L97" s="5"/>
      <c r="M97" s="5"/>
    </row>
    <row r="98" spans="4:13" x14ac:dyDescent="0.25">
      <c r="F98" s="24"/>
      <c r="L98" s="5"/>
      <c r="M98" s="5"/>
    </row>
    <row r="99" spans="4:13" ht="18.75" x14ac:dyDescent="0.3">
      <c r="D99" s="56" t="s">
        <v>61</v>
      </c>
      <c r="E99" s="57">
        <f>Agosto!E99+Setembro!E51</f>
        <v>428117.50400000002</v>
      </c>
      <c r="L99" s="5"/>
      <c r="M99" s="5"/>
    </row>
    <row r="100" spans="4:13" x14ac:dyDescent="0.25">
      <c r="L100" s="5"/>
      <c r="M100" s="5"/>
    </row>
    <row r="101" spans="4:13" x14ac:dyDescent="0.25">
      <c r="M101" s="5"/>
    </row>
    <row r="102" spans="4:13" x14ac:dyDescent="0.25">
      <c r="M102" s="5"/>
    </row>
    <row r="103" spans="4:13" x14ac:dyDescent="0.25">
      <c r="M103" s="5"/>
    </row>
    <row r="104" spans="4:13" x14ac:dyDescent="0.25">
      <c r="M104" s="5"/>
    </row>
    <row r="105" spans="4:13" x14ac:dyDescent="0.25">
      <c r="F105"/>
      <c r="G105"/>
      <c r="H105"/>
      <c r="I105"/>
      <c r="M105" s="5"/>
    </row>
    <row r="106" spans="4:13" x14ac:dyDescent="0.25">
      <c r="F106"/>
      <c r="G106"/>
      <c r="H106"/>
      <c r="I106"/>
      <c r="M106" s="5"/>
    </row>
  </sheetData>
  <pageMargins left="0.9055118110236221" right="0.70866141732283472" top="1.6535433070866143" bottom="1.2204724409448819" header="0.31496062992125984" footer="0.31496062992125984"/>
  <pageSetup paperSize="9" scale="65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9</vt:i4>
      </vt:variant>
      <vt:variant>
        <vt:lpstr>Intervalos com Nome</vt:lpstr>
      </vt:variant>
      <vt:variant>
        <vt:i4>9</vt:i4>
      </vt:variant>
    </vt:vector>
  </HeadingPairs>
  <TitlesOfParts>
    <vt:vector size="18" baseType="lpstr">
      <vt:lpstr>Janeiro</vt:lpstr>
      <vt:lpstr>Fevereiro</vt:lpstr>
      <vt:lpstr>Março</vt:lpstr>
      <vt:lpstr>Abril</vt:lpstr>
      <vt:lpstr>Maio</vt:lpstr>
      <vt:lpstr>Junho</vt:lpstr>
      <vt:lpstr>Julho (2)</vt:lpstr>
      <vt:lpstr>Agosto</vt:lpstr>
      <vt:lpstr>Setembro</vt:lpstr>
      <vt:lpstr>Abril!Área_de_Impressão</vt:lpstr>
      <vt:lpstr>Agosto!Área_de_Impressão</vt:lpstr>
      <vt:lpstr>Fevereiro!Área_de_Impressão</vt:lpstr>
      <vt:lpstr>Janeiro!Área_de_Impressão</vt:lpstr>
      <vt:lpstr>'Julho (2)'!Área_de_Impressão</vt:lpstr>
      <vt:lpstr>Junho!Área_de_Impressão</vt:lpstr>
      <vt:lpstr>Maio!Área_de_Impressão</vt:lpstr>
      <vt:lpstr>Março!Área_de_Impressão</vt:lpstr>
      <vt:lpstr>Setembro!Área_de_Impressão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</dc:creator>
  <cp:lastModifiedBy>Marisa Pacheco</cp:lastModifiedBy>
  <dcterms:created xsi:type="dcterms:W3CDTF">2024-12-04T15:34:29Z</dcterms:created>
  <dcterms:modified xsi:type="dcterms:W3CDTF">2025-05-30T15:03:01Z</dcterms:modified>
</cp:coreProperties>
</file>