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K = n|4" sheetId="1" r:id="rId1"/>
    <sheet name="K = n|2" sheetId="2" r:id="rId2"/>
    <sheet name="K = 3n|4" sheetId="3" r:id="rId3"/>
  </sheets>
  <calcPr calcId="145621"/>
</workbook>
</file>

<file path=xl/calcChain.xml><?xml version="1.0" encoding="utf-8"?>
<calcChain xmlns="http://schemas.openxmlformats.org/spreadsheetml/2006/main">
  <c r="T24" i="3" l="1"/>
  <c r="T23" i="3"/>
  <c r="T22" i="3"/>
  <c r="T20" i="3"/>
  <c r="T19" i="3"/>
  <c r="T18" i="3"/>
  <c r="T17" i="3"/>
  <c r="T16" i="3"/>
  <c r="T13" i="3"/>
  <c r="T12" i="3"/>
  <c r="T11" i="3"/>
  <c r="T10" i="3"/>
  <c r="T9" i="3"/>
  <c r="M24" i="3"/>
  <c r="M23" i="3"/>
  <c r="M22" i="3"/>
  <c r="M18" i="3"/>
  <c r="M17" i="3"/>
  <c r="M14" i="3"/>
  <c r="M5" i="3"/>
  <c r="M3" i="3"/>
  <c r="F24" i="3"/>
  <c r="F23" i="3"/>
  <c r="F21" i="3"/>
  <c r="F22" i="3"/>
  <c r="F20" i="3"/>
  <c r="F16" i="3"/>
  <c r="F13" i="3"/>
  <c r="F12" i="3"/>
  <c r="F11" i="3"/>
  <c r="F6" i="3"/>
  <c r="T24" i="2"/>
  <c r="T23" i="2"/>
  <c r="T22" i="2"/>
  <c r="T20" i="2"/>
  <c r="T19" i="2"/>
  <c r="T18" i="2"/>
  <c r="T17" i="2"/>
  <c r="T16" i="2"/>
  <c r="T13" i="2"/>
  <c r="T12" i="2"/>
  <c r="T11" i="2"/>
  <c r="T10" i="2"/>
  <c r="T9" i="2"/>
  <c r="M23" i="2"/>
  <c r="M22" i="2"/>
  <c r="M17" i="2"/>
  <c r="M14" i="2"/>
  <c r="M24" i="2"/>
  <c r="M11" i="2"/>
  <c r="M11" i="1"/>
  <c r="M5" i="2"/>
  <c r="M3" i="2"/>
  <c r="F24" i="2"/>
  <c r="F23" i="2"/>
  <c r="F22" i="2"/>
  <c r="F21" i="2"/>
  <c r="F20" i="2"/>
  <c r="F16" i="2"/>
  <c r="F12" i="2"/>
  <c r="F12" i="1"/>
  <c r="F11" i="2"/>
  <c r="T22" i="1"/>
  <c r="T20" i="1"/>
  <c r="T19" i="1"/>
  <c r="T18" i="1"/>
  <c r="M24" i="1"/>
  <c r="M12" i="1"/>
  <c r="M5" i="1"/>
  <c r="M3" i="1"/>
  <c r="F24" i="1"/>
  <c r="F23" i="1"/>
  <c r="F22" i="1"/>
  <c r="F20" i="1"/>
  <c r="F21" i="1"/>
  <c r="F17" i="1"/>
  <c r="F16" i="1"/>
  <c r="F13" i="1"/>
  <c r="F11" i="1"/>
  <c r="T21" i="2" l="1"/>
  <c r="T21" i="3"/>
  <c r="T15" i="3"/>
  <c r="T15" i="2"/>
  <c r="T14" i="2"/>
  <c r="T14" i="3"/>
  <c r="T8" i="3"/>
  <c r="T8" i="2"/>
  <c r="T7" i="2"/>
  <c r="T7" i="3"/>
  <c r="T6" i="3"/>
  <c r="T6" i="2"/>
  <c r="T5" i="2"/>
  <c r="T5" i="3"/>
  <c r="T4" i="3"/>
  <c r="T4" i="2"/>
  <c r="T3" i="2"/>
  <c r="T3" i="3"/>
  <c r="M21" i="3"/>
  <c r="M21" i="2"/>
  <c r="M20" i="2"/>
  <c r="M20" i="3"/>
  <c r="M19" i="3"/>
  <c r="M19" i="2"/>
  <c r="M18" i="2"/>
  <c r="M16" i="3"/>
  <c r="M16" i="2"/>
  <c r="M15" i="2"/>
  <c r="M15" i="3"/>
  <c r="M13" i="3"/>
  <c r="M13" i="2"/>
  <c r="M12" i="2"/>
  <c r="M12" i="3"/>
  <c r="M4" i="3"/>
  <c r="M4" i="2"/>
  <c r="F19" i="2"/>
  <c r="F19" i="3"/>
  <c r="F18" i="3"/>
  <c r="F18" i="2"/>
  <c r="F17" i="2"/>
  <c r="F17" i="3"/>
  <c r="F15" i="3"/>
  <c r="F15" i="2"/>
  <c r="F14" i="2"/>
  <c r="F14" i="3"/>
  <c r="F10" i="3"/>
  <c r="F10" i="2"/>
  <c r="F9" i="2"/>
  <c r="F7" i="2"/>
  <c r="F9" i="3"/>
  <c r="F5" i="3"/>
  <c r="F5" i="2"/>
  <c r="T25" i="2"/>
  <c r="T26" i="2"/>
  <c r="T26" i="3"/>
  <c r="T25" i="3"/>
  <c r="F8" i="2"/>
  <c r="F8" i="3"/>
  <c r="F7" i="3"/>
  <c r="M6" i="2"/>
  <c r="M7" i="2"/>
  <c r="M8" i="2"/>
  <c r="M9" i="2"/>
  <c r="M10" i="2"/>
  <c r="F6" i="2"/>
  <c r="F4" i="2"/>
  <c r="M6" i="3"/>
  <c r="M7" i="3"/>
  <c r="M8" i="3"/>
  <c r="M9" i="3"/>
  <c r="M10" i="3"/>
  <c r="M11" i="3"/>
  <c r="F4" i="3"/>
  <c r="T26" i="1"/>
  <c r="T25" i="1"/>
  <c r="F8" i="1"/>
  <c r="F7" i="1"/>
  <c r="T24" i="1"/>
  <c r="T23" i="1"/>
  <c r="T21" i="1"/>
  <c r="T15" i="1"/>
  <c r="T16" i="1"/>
  <c r="T14" i="1"/>
  <c r="T8" i="1"/>
  <c r="T7" i="1"/>
  <c r="T6" i="1"/>
  <c r="T5" i="1"/>
  <c r="T4" i="1"/>
  <c r="T3" i="1"/>
  <c r="M21" i="1"/>
  <c r="M20" i="1"/>
  <c r="M19" i="1"/>
  <c r="M18" i="1"/>
  <c r="M16" i="1"/>
  <c r="M15" i="1"/>
  <c r="M13" i="1"/>
  <c r="M4" i="1"/>
  <c r="F19" i="1"/>
  <c r="F18" i="1"/>
  <c r="F15" i="1"/>
  <c r="F14" i="1"/>
  <c r="F10" i="1"/>
  <c r="F9" i="1"/>
  <c r="F6" i="1"/>
  <c r="F5" i="1"/>
  <c r="T17" i="1"/>
  <c r="T13" i="1"/>
  <c r="T12" i="1"/>
  <c r="T11" i="1"/>
  <c r="T10" i="1"/>
  <c r="T9" i="1"/>
  <c r="M23" i="1"/>
  <c r="M22" i="1"/>
  <c r="M17" i="1"/>
  <c r="M14" i="1"/>
  <c r="M6" i="1" l="1"/>
  <c r="M7" i="1"/>
  <c r="M8" i="1"/>
  <c r="M9" i="1"/>
  <c r="M10" i="1"/>
  <c r="F3" i="1"/>
  <c r="F3" i="3" l="1"/>
  <c r="F3" i="2"/>
</calcChain>
</file>

<file path=xl/sharedStrings.xml><?xml version="1.0" encoding="utf-8"?>
<sst xmlns="http://schemas.openxmlformats.org/spreadsheetml/2006/main" count="315" uniqueCount="99">
  <si>
    <t>Instâncias</t>
  </si>
  <si>
    <t>Método de resolução</t>
  </si>
  <si>
    <t>HVMP</t>
  </si>
  <si>
    <t>HIMB</t>
  </si>
  <si>
    <t>Modelo</t>
  </si>
  <si>
    <t>a280</t>
  </si>
  <si>
    <t>ali535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</si>
  <si>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</si>
  <si>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</si>
  <si>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</si>
  <si>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</si>
  <si>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</si>
  <si>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</si>
  <si>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</si>
  <si>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</si>
  <si>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</si>
  <si>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</si>
  <si>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</si>
  <si>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</si>
  <si>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</si>
  <si>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</si>
  <si>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</si>
  <si>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Número de pontos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</si>
  <si>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</si>
  <si>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</si>
  <si>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</si>
  <si>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</si>
  <si>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</si>
  <si>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</si>
  <si>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</si>
  <si>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</si>
  <si>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</si>
  <si>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</si>
  <si>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</si>
  <si>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</si>
  <si>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</si>
  <si>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</si>
  <si>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</si>
  <si>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</si>
  <si>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</si>
  <si>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</si>
  <si>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</si>
  <si>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</si>
  <si>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</si>
  <si>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</si>
  <si>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</si>
  <si>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</si>
  <si>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</si>
  <si>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</si>
  <si>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</si>
  <si>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</si>
  <si>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</si>
  <si>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</si>
  <si>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</si>
  <si>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</si>
  <si>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</si>
  <si>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</si>
  <si>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</si>
  <si>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</si>
  <si>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</si>
  <si>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</si>
  <si>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</si>
  <si>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</si>
  <si>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</si>
  <si>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</si>
  <si>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</si>
  <si>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</si>
  <si>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</si>
  <si>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</si>
  <si>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</si>
  <si>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</si>
  <si>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</si>
  <si>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</si>
  <si>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HVMPA</t>
  </si>
  <si>
    <t>k = n/2</t>
  </si>
  <si>
    <t>k = 3n/4</t>
  </si>
  <si>
    <t>k = n/4</t>
  </si>
  <si>
    <t>3351.0</t>
  </si>
  <si>
    <t>9617.0</t>
  </si>
  <si>
    <t>632.3</t>
  </si>
  <si>
    <t>1328.44</t>
  </si>
  <si>
    <t>2116.06</t>
  </si>
  <si>
    <t>561.0</t>
  </si>
  <si>
    <t>933.0</t>
  </si>
  <si>
    <t>660.0</t>
  </si>
  <si>
    <t>1161.0</t>
  </si>
  <si>
    <t>211.73</t>
  </si>
  <si>
    <t>8168.56</t>
  </si>
  <si>
    <t>3482.52</t>
  </si>
  <si>
    <t>hk48</t>
  </si>
  <si>
    <t>Observações</t>
  </si>
  <si>
    <t>Linhas em cinza indicam que aquela instância foi resolvida com o modelo</t>
  </si>
  <si>
    <t>Intervalo</t>
  </si>
  <si>
    <t>Coeficiente</t>
  </si>
  <si>
    <t>k &lt; 15</t>
  </si>
  <si>
    <t>15 &lt; = k &lt; 30</t>
  </si>
  <si>
    <t>30 &lt;= k &lt; 200</t>
  </si>
  <si>
    <t>200 &lt;= k</t>
  </si>
  <si>
    <t>Na HVMPA, visando melhorar os resultados, foi utilizado diferentes coeficientes que multiplicam o tamanho da instância ,  abaixo segue os coeficientes que foram utilizados em cada caso , onde k é a dimensão do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</si>
</sst>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topLeftCell="A17" zoomScaleNormal="100" workbookViewId="0">
      <selection activeCell="B26" sqref="B26:E38"/>
    </sheetView>
  </sheetViews>
  <sheetFormatPr defaultRowHeight="15" x14ac:dyDescent="0.25"/>
  <cols>
    <col min="2" max="2" width="9.7109375" bestFit="1" customWidth="1"/>
    <col min="3" max="3" width="17.85546875" bestFit="1" customWidth="1"/>
    <col min="9" max="9" width="9.7109375" bestFit="1" customWidth="1"/>
    <col min="10" max="10" width="17.85546875" bestFit="1" customWidth="1"/>
    <col min="16" max="16" width="9.7109375" bestFit="1" customWidth="1"/>
    <col min="17" max="17" width="17.85546875" bestFit="1" customWidth="1"/>
  </cols>
  <sheetData>
    <row r="1" spans="2:21" x14ac:dyDescent="0.25">
      <c r="B1" s="1"/>
      <c r="C1" s="1" t="s">
        <v>76</v>
      </c>
      <c r="D1" s="16" t="s">
        <v>1</v>
      </c>
      <c r="E1" s="17"/>
      <c r="F1" s="17"/>
      <c r="G1" s="18"/>
      <c r="H1" s="2"/>
      <c r="I1" s="1"/>
      <c r="J1" s="1" t="s">
        <v>76</v>
      </c>
      <c r="K1" s="19" t="s">
        <v>1</v>
      </c>
      <c r="L1" s="19"/>
      <c r="M1" s="19"/>
      <c r="N1" s="19"/>
      <c r="O1" s="2"/>
      <c r="P1" s="1"/>
      <c r="Q1" s="1" t="s">
        <v>76</v>
      </c>
      <c r="R1" s="19" t="s">
        <v>1</v>
      </c>
      <c r="S1" s="19"/>
      <c r="T1" s="19"/>
      <c r="U1" s="19"/>
    </row>
    <row r="2" spans="2:21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73</v>
      </c>
      <c r="G2" s="1" t="s">
        <v>4</v>
      </c>
      <c r="H2" s="2"/>
      <c r="I2" s="1" t="s">
        <v>0</v>
      </c>
      <c r="J2" s="1" t="s">
        <v>22</v>
      </c>
      <c r="K2" s="1" t="s">
        <v>2</v>
      </c>
      <c r="L2" s="1" t="s">
        <v>3</v>
      </c>
      <c r="M2" s="1" t="s">
        <v>73</v>
      </c>
      <c r="N2" s="1" t="s">
        <v>4</v>
      </c>
      <c r="O2" s="2"/>
      <c r="P2" s="1" t="s">
        <v>0</v>
      </c>
      <c r="Q2" s="1" t="s">
        <v>22</v>
      </c>
      <c r="R2" s="1" t="s">
        <v>2</v>
      </c>
      <c r="S2" s="1" t="s">
        <v>3</v>
      </c>
      <c r="T2" s="1" t="s">
        <v>73</v>
      </c>
      <c r="U2" s="1" t="s">
        <v>4</v>
      </c>
    </row>
    <row r="3" spans="2:21" x14ac:dyDescent="0.25">
      <c r="B3" s="1" t="s">
        <v>5</v>
      </c>
      <c r="C3" s="1">
        <v>70</v>
      </c>
      <c r="D3" s="1" t="s">
        <v>79</v>
      </c>
      <c r="E3" s="1"/>
      <c r="F3" s="1">
        <f>AVERAGE(897.67,867.1,844.87)</f>
        <v>869.88</v>
      </c>
      <c r="G3" s="1"/>
      <c r="H3" s="2"/>
      <c r="I3" s="1" t="s">
        <v>28</v>
      </c>
      <c r="J3" s="1">
        <v>12</v>
      </c>
      <c r="K3" s="1">
        <v>668</v>
      </c>
      <c r="L3" s="1"/>
      <c r="M3" s="1">
        <f>AVERAGE(650,627,932)</f>
        <v>736.33333333333337</v>
      </c>
      <c r="N3" s="1"/>
      <c r="O3" s="2"/>
      <c r="P3" s="1" t="s">
        <v>49</v>
      </c>
      <c r="Q3" s="1">
        <v>19</v>
      </c>
      <c r="R3" s="1">
        <v>25126.84</v>
      </c>
      <c r="S3" s="1"/>
      <c r="T3" s="1">
        <f>AVERAGE(29975.23,29310.22,36193.96)</f>
        <v>31826.47</v>
      </c>
      <c r="U3" s="1"/>
    </row>
    <row r="4" spans="2:21" x14ac:dyDescent="0.25">
      <c r="B4" s="1" t="s">
        <v>6</v>
      </c>
      <c r="C4" s="1">
        <v>133</v>
      </c>
      <c r="D4" s="1"/>
      <c r="E4" s="1"/>
      <c r="F4" s="1"/>
      <c r="G4" s="1"/>
      <c r="H4" s="2"/>
      <c r="I4" s="1" t="s">
        <v>29</v>
      </c>
      <c r="J4" s="1">
        <v>24</v>
      </c>
      <c r="K4" s="1">
        <v>11086.43</v>
      </c>
      <c r="L4" s="1"/>
      <c r="M4" s="5">
        <f>AVERAGE(14951.05,16876.33,19095.61)</f>
        <v>16974.330000000002</v>
      </c>
      <c r="N4" s="1"/>
      <c r="O4" s="2"/>
      <c r="P4" s="1" t="s">
        <v>50</v>
      </c>
      <c r="Q4" s="1">
        <v>26</v>
      </c>
      <c r="R4" s="1" t="s">
        <v>87</v>
      </c>
      <c r="S4" s="1"/>
      <c r="T4" s="5">
        <f>AVERAGE(12891.93,13590.09,14590.09)</f>
        <v>13690.703333333333</v>
      </c>
      <c r="U4" s="1"/>
    </row>
    <row r="5" spans="2:21" x14ac:dyDescent="0.25">
      <c r="B5" s="3" t="s">
        <v>7</v>
      </c>
      <c r="C5" s="3">
        <v>12</v>
      </c>
      <c r="D5" s="3">
        <v>1409</v>
      </c>
      <c r="E5" s="3"/>
      <c r="F5" s="3">
        <f>AVERAGE(2054,2124,2128)</f>
        <v>2102</v>
      </c>
      <c r="G5" s="3">
        <v>1239</v>
      </c>
      <c r="H5" s="2"/>
      <c r="I5" s="1" t="s">
        <v>30</v>
      </c>
      <c r="J5" s="1">
        <v>30</v>
      </c>
      <c r="K5" s="1">
        <v>1411</v>
      </c>
      <c r="L5" s="1"/>
      <c r="M5" s="5">
        <f>AVERAGE(1989,2305,2257)</f>
        <v>2183.6666666666665</v>
      </c>
      <c r="N5" s="1"/>
      <c r="O5" s="2"/>
      <c r="P5" s="1" t="s">
        <v>51</v>
      </c>
      <c r="Q5" s="1">
        <v>31</v>
      </c>
      <c r="R5" s="1">
        <v>10765.78</v>
      </c>
      <c r="S5" s="1"/>
      <c r="T5" s="5">
        <f>AVERAGE(18185.41,23572.09,25596.82)</f>
        <v>22451.440000000002</v>
      </c>
      <c r="U5" s="1"/>
    </row>
    <row r="6" spans="2:21" x14ac:dyDescent="0.25">
      <c r="B6" s="1" t="s">
        <v>8</v>
      </c>
      <c r="C6" s="1">
        <v>133</v>
      </c>
      <c r="D6" s="1">
        <v>5712</v>
      </c>
      <c r="E6" s="1"/>
      <c r="F6" s="5">
        <f>AVERAGE(6391,6778,6227)</f>
        <v>6465.333333333333</v>
      </c>
      <c r="G6" s="1"/>
      <c r="H6" s="2"/>
      <c r="I6" s="1" t="s">
        <v>31</v>
      </c>
      <c r="J6" s="1">
        <v>34</v>
      </c>
      <c r="K6" s="1"/>
      <c r="L6" s="1"/>
      <c r="M6" s="5">
        <f t="shared" ref="M6:M10" si="0">AVERAGE(1)</f>
        <v>1</v>
      </c>
      <c r="N6" s="1"/>
      <c r="O6" s="2"/>
      <c r="P6" s="1" t="s">
        <v>52</v>
      </c>
      <c r="Q6" s="1">
        <v>34</v>
      </c>
      <c r="R6" s="1">
        <v>22828.74</v>
      </c>
      <c r="S6" s="1"/>
      <c r="T6" s="5">
        <f>AVERAGE(37654.05,39440.24,39095.19)</f>
        <v>38729.826666666668</v>
      </c>
      <c r="U6" s="1"/>
    </row>
    <row r="7" spans="2:21" x14ac:dyDescent="0.25">
      <c r="B7" s="3" t="s">
        <v>9</v>
      </c>
      <c r="C7" s="3">
        <v>7</v>
      </c>
      <c r="D7" s="3">
        <v>292</v>
      </c>
      <c r="E7" s="3"/>
      <c r="F7" s="3">
        <f>AVERAGE(412,317,347)</f>
        <v>358.66666666666669</v>
      </c>
      <c r="G7" s="3">
        <v>246</v>
      </c>
      <c r="H7" s="2"/>
      <c r="I7" s="1" t="s">
        <v>32</v>
      </c>
      <c r="J7" s="1">
        <v>50</v>
      </c>
      <c r="K7" s="1"/>
      <c r="L7" s="1"/>
      <c r="M7" s="5">
        <f t="shared" si="0"/>
        <v>1</v>
      </c>
      <c r="N7" s="1"/>
      <c r="O7" s="2"/>
      <c r="P7" s="1" t="s">
        <v>53</v>
      </c>
      <c r="Q7" s="1">
        <v>36</v>
      </c>
      <c r="R7" s="1">
        <v>10893.75</v>
      </c>
      <c r="S7" s="1"/>
      <c r="T7" s="5">
        <f>AVERAGE(32041.1,31142.17,37654.05)</f>
        <v>33612.44</v>
      </c>
      <c r="U7" s="1"/>
    </row>
    <row r="8" spans="2:21" x14ac:dyDescent="0.25">
      <c r="B8" s="3" t="s">
        <v>10</v>
      </c>
      <c r="C8" s="3">
        <v>7</v>
      </c>
      <c r="D8" s="3">
        <v>352</v>
      </c>
      <c r="E8" s="3"/>
      <c r="F8" s="3">
        <f>AVERAGE(375,364,381)</f>
        <v>373.33333333333331</v>
      </c>
      <c r="G8" s="4">
        <v>282</v>
      </c>
      <c r="H8" s="2"/>
      <c r="I8" s="1" t="s">
        <v>33</v>
      </c>
      <c r="J8" s="1">
        <v>57</v>
      </c>
      <c r="K8" s="1"/>
      <c r="L8" s="1"/>
      <c r="M8" s="5">
        <f t="shared" si="0"/>
        <v>1</v>
      </c>
      <c r="N8" s="1"/>
      <c r="O8" s="2"/>
      <c r="P8" s="1" t="s">
        <v>54</v>
      </c>
      <c r="Q8" s="1">
        <v>38</v>
      </c>
      <c r="R8" s="1">
        <v>17072</v>
      </c>
      <c r="S8" s="1"/>
      <c r="T8" s="5">
        <f>AVERAGE(45865.68,47951.81,57976.33)</f>
        <v>50597.94</v>
      </c>
      <c r="U8" s="1"/>
    </row>
    <row r="9" spans="2:21" x14ac:dyDescent="0.25">
      <c r="B9" s="3" t="s">
        <v>11</v>
      </c>
      <c r="C9" s="3">
        <v>13</v>
      </c>
      <c r="D9" s="3">
        <v>604.66</v>
      </c>
      <c r="E9" s="3"/>
      <c r="F9" s="3">
        <f>AVERAGE(669.42,737.25,684.29)</f>
        <v>696.98666666666668</v>
      </c>
      <c r="G9" s="6">
        <v>480.48033445701299</v>
      </c>
      <c r="H9" s="2"/>
      <c r="I9" s="1" t="s">
        <v>34</v>
      </c>
      <c r="J9" s="1">
        <v>107</v>
      </c>
      <c r="K9" s="1"/>
      <c r="L9" s="1"/>
      <c r="M9" s="5">
        <f t="shared" si="0"/>
        <v>1</v>
      </c>
      <c r="N9" s="1"/>
      <c r="O9" s="2"/>
      <c r="P9" s="1" t="s">
        <v>55</v>
      </c>
      <c r="Q9" s="1">
        <v>56</v>
      </c>
      <c r="R9" s="1">
        <v>22868.63</v>
      </c>
      <c r="S9" s="1"/>
      <c r="T9" s="5">
        <f>AVERAGE(29035.76,29610.49,31344.61)</f>
        <v>29996.953333333335</v>
      </c>
      <c r="U9" s="1"/>
    </row>
    <row r="10" spans="2:21" x14ac:dyDescent="0.25">
      <c r="B10" s="1" t="s">
        <v>12</v>
      </c>
      <c r="C10" s="1">
        <v>31</v>
      </c>
      <c r="D10" s="1">
        <v>14342.78</v>
      </c>
      <c r="E10" s="1"/>
      <c r="F10" s="5">
        <f>AVERAGE(16917.9,18743.51,17219.61)</f>
        <v>17627.006666666668</v>
      </c>
      <c r="G10" s="1"/>
      <c r="H10" s="2"/>
      <c r="I10" s="1" t="s">
        <v>35</v>
      </c>
      <c r="J10" s="1">
        <v>166</v>
      </c>
      <c r="K10" s="1"/>
      <c r="L10" s="1"/>
      <c r="M10" s="5">
        <f t="shared" si="0"/>
        <v>1</v>
      </c>
      <c r="N10" s="1"/>
      <c r="O10" s="2"/>
      <c r="P10" s="1" t="s">
        <v>56</v>
      </c>
      <c r="Q10" s="1">
        <v>66</v>
      </c>
      <c r="R10" s="1">
        <v>8100</v>
      </c>
      <c r="S10" s="1"/>
      <c r="T10" s="5">
        <f>AVERAGE(11836.9,11770.38,14507.07)</f>
        <v>12704.783333333333</v>
      </c>
      <c r="U10" s="1"/>
    </row>
    <row r="11" spans="2:21" x14ac:dyDescent="0.25">
      <c r="B11" s="1" t="s">
        <v>13</v>
      </c>
      <c r="C11" s="1">
        <v>14</v>
      </c>
      <c r="D11" s="1">
        <v>6116</v>
      </c>
      <c r="E11" s="1"/>
      <c r="F11" s="5">
        <f>AVERAGE(5344,5014,8905)</f>
        <v>6421</v>
      </c>
      <c r="G11" s="1"/>
      <c r="H11" s="2"/>
      <c r="I11" s="1" t="s">
        <v>89</v>
      </c>
      <c r="J11" s="1">
        <v>12</v>
      </c>
      <c r="K11" s="1">
        <v>3454</v>
      </c>
      <c r="L11" s="1"/>
      <c r="M11" s="5">
        <f>AVERAGE(2551,2633,3587)</f>
        <v>2923.6666666666665</v>
      </c>
      <c r="N11" s="1"/>
      <c r="O11" s="2"/>
      <c r="P11" s="1" t="s">
        <v>57</v>
      </c>
      <c r="Q11" s="1">
        <v>74</v>
      </c>
      <c r="R11" s="7">
        <v>12369.29</v>
      </c>
      <c r="S11" s="1"/>
      <c r="T11" s="5">
        <f>AVERAGE(15596.76,14797.56,16218.51)</f>
        <v>15537.61</v>
      </c>
      <c r="U11" s="1"/>
    </row>
    <row r="12" spans="2:21" x14ac:dyDescent="0.25">
      <c r="B12" s="15" t="s">
        <v>14</v>
      </c>
      <c r="C12" s="15">
        <v>45</v>
      </c>
      <c r="D12" s="15">
        <v>21120</v>
      </c>
      <c r="E12" s="15"/>
      <c r="F12" s="15">
        <f>AVERAGE(75880,86330,90810)</f>
        <v>84340</v>
      </c>
      <c r="G12" s="15"/>
      <c r="H12" s="2"/>
      <c r="I12" s="1" t="s">
        <v>36</v>
      </c>
      <c r="J12" s="1">
        <v>25</v>
      </c>
      <c r="K12" s="1">
        <v>5157.68</v>
      </c>
      <c r="L12" s="1"/>
      <c r="M12" s="5">
        <f>AVERAGE(8255.57,8274.08,7755.46)</f>
        <v>8095.0366666666669</v>
      </c>
      <c r="N12" s="1"/>
      <c r="O12" s="2"/>
      <c r="P12" s="1" t="s">
        <v>58</v>
      </c>
      <c r="Q12" s="1">
        <v>109</v>
      </c>
      <c r="R12" s="1">
        <v>22600.959999999999</v>
      </c>
      <c r="S12" s="1"/>
      <c r="T12" s="5">
        <f>AVERAGE(30888.87,28017.7,32708.84)</f>
        <v>30538.47</v>
      </c>
      <c r="U12" s="1"/>
    </row>
    <row r="13" spans="2:21" x14ac:dyDescent="0.25">
      <c r="B13" s="3" t="s">
        <v>15</v>
      </c>
      <c r="C13" s="3">
        <v>3</v>
      </c>
      <c r="D13" s="3">
        <v>249.88</v>
      </c>
      <c r="E13" s="3"/>
      <c r="F13" s="3">
        <f>AVERAGE(249.88,418.94,418.94)</f>
        <v>362.58666666666664</v>
      </c>
      <c r="G13" s="3">
        <v>224.88</v>
      </c>
      <c r="H13" s="2"/>
      <c r="I13" s="1" t="s">
        <v>37</v>
      </c>
      <c r="J13" s="1">
        <v>37</v>
      </c>
      <c r="K13" s="1">
        <v>6644.96</v>
      </c>
      <c r="L13" s="1"/>
      <c r="M13" s="5">
        <f>AVERAGE(12753.45,12612.92,12212.89)</f>
        <v>12526.42</v>
      </c>
      <c r="N13" s="1"/>
      <c r="O13" s="2"/>
      <c r="P13" s="1" t="s">
        <v>59</v>
      </c>
      <c r="Q13" s="1">
        <v>250</v>
      </c>
      <c r="R13" s="1">
        <v>68337.149999999994</v>
      </c>
      <c r="S13" s="1"/>
      <c r="T13" s="5">
        <f>AVERAGE(130310.8,133073.15,144949.43)</f>
        <v>136111.12666666668</v>
      </c>
      <c r="U13" s="1"/>
    </row>
    <row r="14" spans="2:21" x14ac:dyDescent="0.25">
      <c r="B14" s="1" t="s">
        <v>16</v>
      </c>
      <c r="C14" s="1">
        <v>32</v>
      </c>
      <c r="D14" s="1">
        <v>1211.5899999999999</v>
      </c>
      <c r="E14" s="1"/>
      <c r="F14" s="5">
        <f>AVERAGE(1948.22,2191.18,2186.58)</f>
        <v>2108.66</v>
      </c>
      <c r="G14" s="1"/>
      <c r="H14" s="2"/>
      <c r="I14" s="1" t="s">
        <v>38</v>
      </c>
      <c r="J14" s="1">
        <v>50</v>
      </c>
      <c r="K14" s="1">
        <v>6870.92</v>
      </c>
      <c r="L14" s="1"/>
      <c r="M14" s="5">
        <f>AVERAGE(7761.09,7208.47,7654.75)</f>
        <v>7541.4366666666674</v>
      </c>
      <c r="N14" s="1"/>
      <c r="O14" s="2"/>
      <c r="P14" s="1" t="s">
        <v>60</v>
      </c>
      <c r="Q14" s="1">
        <v>24</v>
      </c>
      <c r="R14" s="1">
        <v>277.23</v>
      </c>
      <c r="S14" s="1"/>
      <c r="T14" s="5">
        <f>AVERAGE(397.56,392.62,417.1)</f>
        <v>402.42666666666673</v>
      </c>
      <c r="U14" s="1"/>
    </row>
    <row r="15" spans="2:21" x14ac:dyDescent="0.25">
      <c r="B15" s="1" t="s">
        <v>17</v>
      </c>
      <c r="C15" s="1">
        <v>37</v>
      </c>
      <c r="D15" s="1">
        <v>1304.57</v>
      </c>
      <c r="E15" s="1"/>
      <c r="F15" s="5">
        <f>AVERAGE(2567.95,2527.79,2648.08)</f>
        <v>2581.2733333333331</v>
      </c>
      <c r="G15" s="1"/>
      <c r="H15" s="2"/>
      <c r="I15" s="1" t="s">
        <v>39</v>
      </c>
      <c r="J15" s="1">
        <v>25</v>
      </c>
      <c r="K15" s="1">
        <v>5552.01</v>
      </c>
      <c r="L15" s="1"/>
      <c r="M15" s="5">
        <f>AVERAGE(6937.67,7666.63,6838.35)</f>
        <v>7147.55</v>
      </c>
      <c r="N15" s="1"/>
      <c r="O15" s="2"/>
      <c r="P15" s="1" t="s">
        <v>61</v>
      </c>
      <c r="Q15" s="1">
        <v>48</v>
      </c>
      <c r="R15" s="1">
        <v>560.07000000000005</v>
      </c>
      <c r="S15" s="1"/>
      <c r="T15" s="5">
        <f>AVERAGE(1085.3,1061.46,1017.89)</f>
        <v>1054.8833333333334</v>
      </c>
      <c r="U15" s="1"/>
    </row>
    <row r="16" spans="2:21" x14ac:dyDescent="0.25">
      <c r="B16" s="3" t="s">
        <v>18</v>
      </c>
      <c r="C16" s="3">
        <v>10</v>
      </c>
      <c r="D16" s="3">
        <v>103</v>
      </c>
      <c r="E16" s="3"/>
      <c r="F16" s="3">
        <f>AVERAGE(121,138,153)</f>
        <v>137.33333333333334</v>
      </c>
      <c r="G16" s="3">
        <v>99</v>
      </c>
      <c r="H16" s="2"/>
      <c r="I16" s="1" t="s">
        <v>40</v>
      </c>
      <c r="J16" s="1">
        <v>37</v>
      </c>
      <c r="K16" s="1">
        <v>5199.62</v>
      </c>
      <c r="L16" s="1"/>
      <c r="M16" s="5">
        <f>AVERAGE(10643.04,10336.58,11892.76)</f>
        <v>10957.460000000001</v>
      </c>
      <c r="N16" s="1"/>
      <c r="O16" s="2"/>
      <c r="P16" s="1" t="s">
        <v>62</v>
      </c>
      <c r="Q16" s="1">
        <v>143</v>
      </c>
      <c r="R16" s="1">
        <v>1745</v>
      </c>
      <c r="S16" s="1"/>
      <c r="T16" s="5">
        <f>AVERAGE(2653.61,2870.98,2854.8)</f>
        <v>2793.1299999999997</v>
      </c>
      <c r="U16" s="1"/>
    </row>
    <row r="17" spans="2:21" x14ac:dyDescent="0.25">
      <c r="B17" s="3" t="s">
        <v>19</v>
      </c>
      <c r="C17" s="3">
        <v>12</v>
      </c>
      <c r="D17" s="3">
        <v>77.040000000000006</v>
      </c>
      <c r="E17" s="3"/>
      <c r="F17" s="3">
        <f>AVERAGE(93.38,98.55,111.71)</f>
        <v>101.21333333333332</v>
      </c>
      <c r="G17" s="3">
        <v>76.72</v>
      </c>
      <c r="H17" s="2"/>
      <c r="I17" s="1" t="s">
        <v>41</v>
      </c>
      <c r="J17" s="1">
        <v>50</v>
      </c>
      <c r="K17" s="1">
        <v>6907.12</v>
      </c>
      <c r="L17" s="1"/>
      <c r="M17" s="5">
        <f>AVERAGE(8016.48,7839.4,8005.45)</f>
        <v>7953.7766666666657</v>
      </c>
      <c r="N17" s="1"/>
      <c r="O17" s="2"/>
      <c r="P17" s="1" t="s">
        <v>63</v>
      </c>
      <c r="Q17" s="1">
        <v>195</v>
      </c>
      <c r="R17" s="1">
        <v>2382.5</v>
      </c>
      <c r="S17" s="1"/>
      <c r="T17" s="5">
        <f>AVERAGE(4033.5,4161.65,4063.4)</f>
        <v>4086.1833333333329</v>
      </c>
      <c r="U17" s="1"/>
    </row>
    <row r="18" spans="2:21" x14ac:dyDescent="0.25">
      <c r="B18" s="1" t="s">
        <v>20</v>
      </c>
      <c r="C18" s="1">
        <v>19</v>
      </c>
      <c r="D18" s="1">
        <v>97.38</v>
      </c>
      <c r="E18" s="1"/>
      <c r="F18" s="5">
        <f>AVERAGE(139.37,158.52,163.61)</f>
        <v>153.83333333333334</v>
      </c>
      <c r="G18" s="1"/>
      <c r="H18" s="2"/>
      <c r="I18" s="1" t="s">
        <v>42</v>
      </c>
      <c r="J18" s="1">
        <v>25</v>
      </c>
      <c r="K18" s="1">
        <v>4346.5200000000004</v>
      </c>
      <c r="L18" s="1"/>
      <c r="M18" s="5">
        <f>AVERAGE(7075.39,7251.23,7223.71)</f>
        <v>7183.4433333333327</v>
      </c>
      <c r="N18" s="1"/>
      <c r="O18" s="2"/>
      <c r="P18" s="1" t="s">
        <v>64</v>
      </c>
      <c r="Q18" s="1">
        <v>43</v>
      </c>
      <c r="R18" s="1">
        <v>5028</v>
      </c>
      <c r="S18" s="1"/>
      <c r="T18" s="5">
        <f>AVERAGE(6603,7413,7622)</f>
        <v>7212.666666666667</v>
      </c>
      <c r="U18" s="1"/>
    </row>
    <row r="19" spans="2:21" x14ac:dyDescent="0.25">
      <c r="B19" s="1" t="s">
        <v>21</v>
      </c>
      <c r="C19" s="1">
        <v>25</v>
      </c>
      <c r="D19" s="1">
        <v>150.96</v>
      </c>
      <c r="E19" s="1"/>
      <c r="F19" s="5">
        <f>AVERAGE(185.41,186.49,194.89)</f>
        <v>188.92999999999998</v>
      </c>
      <c r="G19" s="1"/>
      <c r="H19" s="2"/>
      <c r="I19" s="1" t="s">
        <v>43</v>
      </c>
      <c r="J19" s="1">
        <v>25</v>
      </c>
      <c r="K19" s="1">
        <v>5246.28</v>
      </c>
      <c r="L19" s="1"/>
      <c r="M19" s="5">
        <f>AVERAGE(6861.04,7111.42,7879.11)</f>
        <v>7283.8566666666666</v>
      </c>
      <c r="N19" s="1"/>
      <c r="O19" s="2"/>
      <c r="P19" s="1" t="s">
        <v>65</v>
      </c>
      <c r="Q19" s="1">
        <v>133</v>
      </c>
      <c r="R19" s="1">
        <v>12360</v>
      </c>
      <c r="S19" s="1"/>
      <c r="T19" s="5">
        <f>AVERAGE(13706,13617,13109)</f>
        <v>13477.333333333334</v>
      </c>
      <c r="U19" s="1"/>
    </row>
    <row r="20" spans="2:21" x14ac:dyDescent="0.25">
      <c r="B20" s="3" t="s">
        <v>23</v>
      </c>
      <c r="C20" s="3">
        <v>6</v>
      </c>
      <c r="D20" s="3">
        <v>147</v>
      </c>
      <c r="E20" s="3"/>
      <c r="F20" s="3">
        <f>AVERAGE(194,181,203)</f>
        <v>192.66666666666666</v>
      </c>
      <c r="G20" s="3">
        <v>145</v>
      </c>
      <c r="H20" s="2"/>
      <c r="I20" s="1" t="s">
        <v>44</v>
      </c>
      <c r="J20" s="1">
        <v>25</v>
      </c>
      <c r="K20" s="1">
        <v>4123.3500000000004</v>
      </c>
      <c r="L20" s="1"/>
      <c r="M20" s="5">
        <f>AVERAGE(7213.03,7198.85,7307.81)</f>
        <v>7239.8966666666674</v>
      </c>
      <c r="N20" s="1"/>
      <c r="O20" s="2"/>
      <c r="P20" s="1" t="s">
        <v>66</v>
      </c>
      <c r="Q20" s="1">
        <v>258</v>
      </c>
      <c r="R20" s="1">
        <v>22289</v>
      </c>
      <c r="S20" s="1"/>
      <c r="T20" s="5">
        <f>AVERAGE(30529,30323,30646)</f>
        <v>30499.333333333332</v>
      </c>
      <c r="U20" s="1"/>
    </row>
    <row r="21" spans="2:21" x14ac:dyDescent="0.25">
      <c r="B21" s="1" t="s">
        <v>24</v>
      </c>
      <c r="C21" s="1">
        <v>65</v>
      </c>
      <c r="D21" s="1">
        <v>562.04</v>
      </c>
      <c r="E21" s="1"/>
      <c r="F21" s="5">
        <f>AVERAGE(764,746.31,742.63)</f>
        <v>750.98</v>
      </c>
      <c r="G21" s="1"/>
      <c r="H21" s="2"/>
      <c r="I21" s="1" t="s">
        <v>45</v>
      </c>
      <c r="J21" s="1">
        <v>26</v>
      </c>
      <c r="K21" s="1">
        <v>2149.8200000000002</v>
      </c>
      <c r="L21" s="1"/>
      <c r="M21" s="5">
        <f>AVERAGE(4486.71,4405.09,4811.21)</f>
        <v>4567.6699999999992</v>
      </c>
      <c r="N21" s="1"/>
      <c r="O21" s="2"/>
      <c r="P21" s="15" t="s">
        <v>67</v>
      </c>
      <c r="Q21" s="15">
        <v>17</v>
      </c>
      <c r="R21" s="15">
        <v>130.04</v>
      </c>
      <c r="S21" s="15"/>
      <c r="T21" s="15">
        <f>AVERAGE(164.87,179.8,183.83)</f>
        <v>176.16666666666666</v>
      </c>
      <c r="U21" s="15"/>
    </row>
    <row r="22" spans="2:21" x14ac:dyDescent="0.25">
      <c r="B22" s="3" t="s">
        <v>25</v>
      </c>
      <c r="C22" s="3">
        <v>4</v>
      </c>
      <c r="D22" s="3">
        <v>174</v>
      </c>
      <c r="E22" s="3"/>
      <c r="F22" s="3">
        <f>AVERAGE(143,143,146)</f>
        <v>144</v>
      </c>
      <c r="G22" s="3">
        <v>143</v>
      </c>
      <c r="H22" s="2"/>
      <c r="I22" s="1" t="s">
        <v>46</v>
      </c>
      <c r="J22" s="1">
        <v>79</v>
      </c>
      <c r="K22" s="1">
        <v>9156.66</v>
      </c>
      <c r="L22" s="1"/>
      <c r="M22" s="5">
        <f>AVERAGE(12147.1,13363.35,12847.54)</f>
        <v>12785.996666666668</v>
      </c>
      <c r="N22" s="1"/>
      <c r="O22" s="2"/>
      <c r="P22" s="1" t="s">
        <v>68</v>
      </c>
      <c r="Q22" s="1">
        <v>10</v>
      </c>
      <c r="R22" s="1">
        <v>146</v>
      </c>
      <c r="S22" s="1"/>
      <c r="T22" s="5">
        <f>AVERAGE(185,188,180)</f>
        <v>184.33333333333334</v>
      </c>
      <c r="U22" s="1"/>
    </row>
    <row r="23" spans="2:21" x14ac:dyDescent="0.25">
      <c r="B23" s="3" t="s">
        <v>26</v>
      </c>
      <c r="C23" s="3">
        <v>5</v>
      </c>
      <c r="D23" s="3">
        <v>258</v>
      </c>
      <c r="E23" s="3"/>
      <c r="F23" s="3">
        <f>AVERAGE(181,404,311)</f>
        <v>298.66666666666669</v>
      </c>
      <c r="G23" s="3">
        <v>181</v>
      </c>
      <c r="H23" s="2"/>
      <c r="I23" s="1" t="s">
        <v>47</v>
      </c>
      <c r="J23" s="1">
        <v>344</v>
      </c>
      <c r="K23" s="1">
        <v>13388.78</v>
      </c>
      <c r="L23" s="1"/>
      <c r="M23" s="5">
        <f>AVERAGE(28101.45,29702.56,29328.97)</f>
        <v>29044.326666666671</v>
      </c>
      <c r="N23" s="1"/>
      <c r="O23" s="2"/>
      <c r="P23" s="1" t="s">
        <v>69</v>
      </c>
      <c r="Q23" s="1">
        <v>56</v>
      </c>
      <c r="R23" s="1">
        <v>27500</v>
      </c>
      <c r="S23" s="1"/>
      <c r="T23" s="5">
        <f>AVERAGE(37889.64,37071.07,34360.67)</f>
        <v>36440.46</v>
      </c>
      <c r="U23" s="1"/>
    </row>
    <row r="24" spans="2:21" x14ac:dyDescent="0.25">
      <c r="B24" s="3" t="s">
        <v>27</v>
      </c>
      <c r="C24" s="3">
        <v>6</v>
      </c>
      <c r="D24" s="3">
        <v>162</v>
      </c>
      <c r="E24" s="3"/>
      <c r="F24" s="3">
        <f>AVERAGE(181,213,219)</f>
        <v>204.33333333333334</v>
      </c>
      <c r="G24" s="3">
        <v>162</v>
      </c>
      <c r="H24" s="2"/>
      <c r="I24" s="8" t="s">
        <v>48</v>
      </c>
      <c r="J24" s="8">
        <v>140</v>
      </c>
      <c r="K24" s="8">
        <v>728</v>
      </c>
      <c r="L24" s="8"/>
      <c r="M24" s="8">
        <f>AVERAGE(1093,1135,1004)</f>
        <v>1077.3333333333333</v>
      </c>
      <c r="N24" s="8"/>
      <c r="O24" s="2"/>
      <c r="P24" s="1" t="s">
        <v>70</v>
      </c>
      <c r="Q24" s="1">
        <v>56</v>
      </c>
      <c r="R24" s="1">
        <v>1036.02</v>
      </c>
      <c r="S24" s="1"/>
      <c r="T24" s="13">
        <f>AVERAGE(1032.41,1042.59,1232.48)</f>
        <v>1102.4933333333333</v>
      </c>
      <c r="U24" s="1"/>
    </row>
    <row r="25" spans="2:21" x14ac:dyDescent="0.25">
      <c r="H25" s="2"/>
      <c r="I25" s="10"/>
      <c r="J25" s="10"/>
      <c r="K25" s="10"/>
      <c r="L25" s="10"/>
      <c r="M25" s="10"/>
      <c r="N25" s="10"/>
      <c r="O25" s="2"/>
      <c r="P25" s="3" t="s">
        <v>71</v>
      </c>
      <c r="Q25" s="3">
        <v>4</v>
      </c>
      <c r="R25" s="3">
        <v>826.08</v>
      </c>
      <c r="S25" s="3"/>
      <c r="T25" s="3">
        <f>AVERAGE(691.46,638.03,826.29)</f>
        <v>718.59333333333325</v>
      </c>
      <c r="U25" s="3">
        <v>714.33</v>
      </c>
    </row>
    <row r="26" spans="2:21" x14ac:dyDescent="0.25">
      <c r="B26" s="20" t="s">
        <v>90</v>
      </c>
      <c r="C26" s="20"/>
      <c r="D26" s="20"/>
      <c r="E26" s="20"/>
      <c r="H26" s="2"/>
      <c r="I26" s="9"/>
      <c r="J26" s="9"/>
      <c r="K26" s="9"/>
      <c r="L26" s="9"/>
      <c r="M26" s="9"/>
      <c r="N26" s="9"/>
      <c r="O26" s="2"/>
      <c r="P26" s="11" t="s">
        <v>72</v>
      </c>
      <c r="Q26" s="11">
        <v>5</v>
      </c>
      <c r="R26" s="11">
        <v>456.58</v>
      </c>
      <c r="S26" s="11"/>
      <c r="T26" s="11">
        <f>AVERAGE(654.06,667.35,704.95)</f>
        <v>675.45333333333326</v>
      </c>
      <c r="U26" s="11">
        <v>662.17</v>
      </c>
    </row>
    <row r="27" spans="2:21" x14ac:dyDescent="0.25">
      <c r="B27" s="21" t="s">
        <v>91</v>
      </c>
      <c r="C27" s="21"/>
      <c r="D27" s="21"/>
      <c r="E27" s="21"/>
      <c r="H27" s="2"/>
      <c r="I27" s="9"/>
      <c r="J27" s="9"/>
      <c r="K27" s="9"/>
      <c r="L27" s="9"/>
      <c r="M27" s="9"/>
      <c r="N27" s="9"/>
      <c r="O27" s="2"/>
      <c r="P27" s="10"/>
      <c r="Q27" s="10"/>
      <c r="R27" s="10"/>
      <c r="S27" s="10"/>
      <c r="T27" s="10"/>
      <c r="U27" s="10"/>
    </row>
    <row r="28" spans="2:21" x14ac:dyDescent="0.25">
      <c r="B28" s="21"/>
      <c r="C28" s="21"/>
      <c r="D28" s="21"/>
      <c r="E28" s="21"/>
    </row>
    <row r="29" spans="2:21" ht="15" customHeight="1" x14ac:dyDescent="0.25">
      <c r="B29" s="22" t="s">
        <v>98</v>
      </c>
      <c r="C29" s="22"/>
      <c r="D29" s="22"/>
      <c r="E29" s="22"/>
      <c r="F29" s="12"/>
    </row>
    <row r="30" spans="2:21" x14ac:dyDescent="0.25">
      <c r="B30" s="22"/>
      <c r="C30" s="22"/>
      <c r="D30" s="22"/>
      <c r="E30" s="22"/>
      <c r="F30" s="12"/>
    </row>
    <row r="31" spans="2:21" x14ac:dyDescent="0.25">
      <c r="B31" s="22"/>
      <c r="C31" s="22"/>
      <c r="D31" s="22"/>
      <c r="E31" s="22"/>
      <c r="F31" s="12"/>
    </row>
    <row r="32" spans="2:21" x14ac:dyDescent="0.25">
      <c r="B32" s="22"/>
      <c r="C32" s="22"/>
      <c r="D32" s="22"/>
      <c r="E32" s="22"/>
    </row>
    <row r="33" spans="2:5" x14ac:dyDescent="0.25">
      <c r="B33" s="22"/>
      <c r="C33" s="22"/>
      <c r="D33" s="22"/>
      <c r="E33" s="22"/>
    </row>
    <row r="34" spans="2:5" x14ac:dyDescent="0.25">
      <c r="B34" s="23" t="s">
        <v>92</v>
      </c>
      <c r="C34" s="23"/>
      <c r="D34" s="23" t="s">
        <v>93</v>
      </c>
      <c r="E34" s="23"/>
    </row>
    <row r="35" spans="2:5" x14ac:dyDescent="0.25">
      <c r="B35" s="23" t="s">
        <v>94</v>
      </c>
      <c r="C35" s="23"/>
      <c r="D35" s="23">
        <v>0.15</v>
      </c>
      <c r="E35" s="23"/>
    </row>
    <row r="36" spans="2:5" x14ac:dyDescent="0.25">
      <c r="B36" s="23" t="s">
        <v>95</v>
      </c>
      <c r="C36" s="23"/>
      <c r="D36" s="23">
        <v>0.1</v>
      </c>
      <c r="E36" s="23"/>
    </row>
    <row r="37" spans="2:5" x14ac:dyDescent="0.25">
      <c r="B37" s="23" t="s">
        <v>96</v>
      </c>
      <c r="C37" s="23"/>
      <c r="D37" s="23">
        <v>0.05</v>
      </c>
      <c r="E37" s="23"/>
    </row>
    <row r="38" spans="2:5" x14ac:dyDescent="0.25">
      <c r="B38" s="23" t="s">
        <v>97</v>
      </c>
      <c r="C38" s="23"/>
      <c r="D38" s="23">
        <v>0.01</v>
      </c>
      <c r="E38" s="23"/>
    </row>
  </sheetData>
  <mergeCells count="16">
    <mergeCell ref="B38:C38"/>
    <mergeCell ref="D38:E38"/>
    <mergeCell ref="B29:E33"/>
    <mergeCell ref="B35:C35"/>
    <mergeCell ref="D35:E35"/>
    <mergeCell ref="B36:C36"/>
    <mergeCell ref="D36:E36"/>
    <mergeCell ref="B37:C37"/>
    <mergeCell ref="D37:E37"/>
    <mergeCell ref="B34:C34"/>
    <mergeCell ref="D34:E34"/>
    <mergeCell ref="D1:G1"/>
    <mergeCell ref="K1:N1"/>
    <mergeCell ref="R1:U1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topLeftCell="A15" workbookViewId="0">
      <selection activeCell="B26" sqref="B26:E38"/>
    </sheetView>
  </sheetViews>
  <sheetFormatPr defaultRowHeight="15" x14ac:dyDescent="0.25"/>
  <cols>
    <col min="2" max="2" width="9.7109375" bestFit="1" customWidth="1"/>
    <col min="3" max="3" width="17.85546875" bestFit="1" customWidth="1"/>
    <col min="9" max="9" width="9.7109375" bestFit="1" customWidth="1"/>
    <col min="10" max="10" width="17.85546875" bestFit="1" customWidth="1"/>
    <col min="16" max="16" width="9.7109375" bestFit="1" customWidth="1"/>
    <col min="17" max="17" width="17.85546875" bestFit="1" customWidth="1"/>
  </cols>
  <sheetData>
    <row r="1" spans="2:21" x14ac:dyDescent="0.25">
      <c r="B1" s="1"/>
      <c r="C1" s="1" t="s">
        <v>74</v>
      </c>
      <c r="D1" s="16" t="s">
        <v>1</v>
      </c>
      <c r="E1" s="17"/>
      <c r="F1" s="17"/>
      <c r="G1" s="18"/>
      <c r="H1" s="2"/>
      <c r="I1" s="1"/>
      <c r="J1" s="1" t="s">
        <v>74</v>
      </c>
      <c r="K1" s="19" t="s">
        <v>1</v>
      </c>
      <c r="L1" s="19"/>
      <c r="M1" s="19"/>
      <c r="N1" s="19"/>
      <c r="O1" s="2"/>
      <c r="P1" s="1"/>
      <c r="Q1" s="1" t="s">
        <v>74</v>
      </c>
      <c r="R1" s="19" t="s">
        <v>1</v>
      </c>
      <c r="S1" s="19"/>
      <c r="T1" s="19"/>
      <c r="U1" s="19"/>
    </row>
    <row r="2" spans="2:21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73</v>
      </c>
      <c r="G2" s="1" t="s">
        <v>4</v>
      </c>
      <c r="H2" s="2"/>
      <c r="I2" s="1" t="s">
        <v>0</v>
      </c>
      <c r="J2" s="1" t="s">
        <v>22</v>
      </c>
      <c r="K2" s="1" t="s">
        <v>2</v>
      </c>
      <c r="L2" s="1" t="s">
        <v>3</v>
      </c>
      <c r="M2" s="1" t="s">
        <v>73</v>
      </c>
      <c r="N2" s="1" t="s">
        <v>4</v>
      </c>
      <c r="O2" s="2"/>
      <c r="P2" s="1" t="s">
        <v>0</v>
      </c>
      <c r="Q2" s="1" t="s">
        <v>22</v>
      </c>
      <c r="R2" s="1" t="s">
        <v>2</v>
      </c>
      <c r="S2" s="1" t="s">
        <v>3</v>
      </c>
      <c r="T2" s="1" t="s">
        <v>73</v>
      </c>
      <c r="U2" s="1" t="s">
        <v>4</v>
      </c>
    </row>
    <row r="3" spans="2:21" x14ac:dyDescent="0.25">
      <c r="B3" s="1" t="s">
        <v>5</v>
      </c>
      <c r="C3" s="1">
        <v>140</v>
      </c>
      <c r="D3" s="1" t="s">
        <v>80</v>
      </c>
      <c r="E3" s="1"/>
      <c r="F3" s="1">
        <f>(1727.76+1764.35+1884.94)/3</f>
        <v>1792.3499999999997</v>
      </c>
      <c r="G3" s="1"/>
      <c r="H3" s="2"/>
      <c r="I3" s="1" t="s">
        <v>28</v>
      </c>
      <c r="J3" s="1">
        <v>24</v>
      </c>
      <c r="K3" s="1">
        <v>2139</v>
      </c>
      <c r="L3" s="1"/>
      <c r="M3" s="1">
        <f>AVERAGE(2291,2269,2837)</f>
        <v>2465.6666666666665</v>
      </c>
      <c r="N3" s="1"/>
      <c r="O3" s="2"/>
      <c r="P3" s="1" t="s">
        <v>49</v>
      </c>
      <c r="Q3" s="1">
        <v>38</v>
      </c>
      <c r="R3" s="1">
        <v>42676.77</v>
      </c>
      <c r="S3" s="1"/>
      <c r="T3" s="1">
        <f>AVERAGE(65021.66,73011.93,64422.99)</f>
        <v>67485.526666666658</v>
      </c>
      <c r="U3" s="1"/>
    </row>
    <row r="4" spans="2:21" x14ac:dyDescent="0.25">
      <c r="B4" s="1" t="s">
        <v>6</v>
      </c>
      <c r="C4" s="1">
        <v>267</v>
      </c>
      <c r="D4" s="1"/>
      <c r="E4" s="1"/>
      <c r="F4" s="1">
        <f>AVERAGE(1)</f>
        <v>1</v>
      </c>
      <c r="G4" s="1"/>
      <c r="H4" s="2"/>
      <c r="I4" s="1" t="s">
        <v>29</v>
      </c>
      <c r="J4" s="1">
        <v>48</v>
      </c>
      <c r="K4" s="1">
        <v>22073.5</v>
      </c>
      <c r="L4" s="1"/>
      <c r="M4" s="7">
        <f>AVERAGE(40358.03,42345.24,43523.61)</f>
        <v>42075.626666666663</v>
      </c>
      <c r="N4" s="1"/>
      <c r="O4" s="2"/>
      <c r="P4" s="1" t="s">
        <v>50</v>
      </c>
      <c r="Q4" s="1">
        <v>52</v>
      </c>
      <c r="R4" s="1">
        <v>17103.07</v>
      </c>
      <c r="S4" s="1"/>
      <c r="T4" s="7">
        <f>AVERAGE(51433.3,43820.86,49257.39)</f>
        <v>48170.516666666663</v>
      </c>
      <c r="U4" s="1"/>
    </row>
    <row r="5" spans="2:21" x14ac:dyDescent="0.25">
      <c r="B5" s="3" t="s">
        <v>7</v>
      </c>
      <c r="C5" s="3">
        <v>24</v>
      </c>
      <c r="D5" s="3">
        <v>3574</v>
      </c>
      <c r="E5" s="3"/>
      <c r="F5" s="3">
        <f>AVERAGE(4328,4661,5022)</f>
        <v>4670.333333333333</v>
      </c>
      <c r="G5" s="3" t="s">
        <v>77</v>
      </c>
      <c r="H5" s="2"/>
      <c r="I5" s="1" t="s">
        <v>30</v>
      </c>
      <c r="J5" s="1">
        <v>60</v>
      </c>
      <c r="K5" s="1">
        <v>3174</v>
      </c>
      <c r="L5" s="1"/>
      <c r="M5" s="7">
        <f>AVERAGE(5948,5343,4775)</f>
        <v>5355.333333333333</v>
      </c>
      <c r="N5" s="1"/>
      <c r="O5" s="2"/>
      <c r="P5" s="1" t="s">
        <v>51</v>
      </c>
      <c r="Q5" s="1">
        <v>62</v>
      </c>
      <c r="R5" s="1">
        <v>26214.19</v>
      </c>
      <c r="S5" s="1"/>
      <c r="T5" s="7">
        <f>AVERAGE(64880.22,66148.05,54355.89)</f>
        <v>61794.720000000001</v>
      </c>
      <c r="U5" s="1"/>
    </row>
    <row r="6" spans="2:21" x14ac:dyDescent="0.25">
      <c r="B6" s="1" t="s">
        <v>8</v>
      </c>
      <c r="C6" s="1">
        <v>266</v>
      </c>
      <c r="D6" s="1">
        <v>14421</v>
      </c>
      <c r="E6" s="1"/>
      <c r="F6" s="7">
        <f t="shared" ref="F6" si="0">AVERAGE(1)</f>
        <v>1</v>
      </c>
      <c r="G6" s="1"/>
      <c r="H6" s="2"/>
      <c r="I6" s="1" t="s">
        <v>31</v>
      </c>
      <c r="J6" s="1">
        <v>68</v>
      </c>
      <c r="K6" s="1"/>
      <c r="L6" s="1"/>
      <c r="M6" s="7">
        <f t="shared" ref="M6:M10" si="1">AVERAGE(1)</f>
        <v>1</v>
      </c>
      <c r="N6" s="1"/>
      <c r="O6" s="2"/>
      <c r="P6" s="1" t="s">
        <v>52</v>
      </c>
      <c r="Q6" s="1">
        <v>68</v>
      </c>
      <c r="R6" s="1">
        <v>53346.76</v>
      </c>
      <c r="S6" s="1"/>
      <c r="T6" s="7">
        <f>AVERAGE(89601.72,89426.51,84028.51)</f>
        <v>87685.58</v>
      </c>
      <c r="U6" s="1"/>
    </row>
    <row r="7" spans="2:21" x14ac:dyDescent="0.25">
      <c r="B7" s="3" t="s">
        <v>9</v>
      </c>
      <c r="C7" s="3">
        <v>14</v>
      </c>
      <c r="D7" s="3">
        <v>581</v>
      </c>
      <c r="E7" s="3"/>
      <c r="F7" s="3">
        <f>AVERAGE(680,710,842)</f>
        <v>744</v>
      </c>
      <c r="G7" s="3" t="s">
        <v>82</v>
      </c>
      <c r="H7" s="2"/>
      <c r="I7" s="1" t="s">
        <v>32</v>
      </c>
      <c r="J7" s="1">
        <v>101</v>
      </c>
      <c r="K7" s="1"/>
      <c r="L7" s="1"/>
      <c r="M7" s="7">
        <f t="shared" si="1"/>
        <v>1</v>
      </c>
      <c r="N7" s="1"/>
      <c r="O7" s="2"/>
      <c r="P7" s="1" t="s">
        <v>53</v>
      </c>
      <c r="Q7" s="1">
        <v>72</v>
      </c>
      <c r="R7" s="1">
        <v>26457.22</v>
      </c>
      <c r="S7" s="1"/>
      <c r="T7" s="7">
        <f>AVERAGE(58353.1,70318.9,71661.68)</f>
        <v>66777.893333333326</v>
      </c>
      <c r="U7" s="1"/>
    </row>
    <row r="8" spans="2:21" x14ac:dyDescent="0.25">
      <c r="B8" s="3" t="s">
        <v>10</v>
      </c>
      <c r="C8" s="3">
        <v>14</v>
      </c>
      <c r="D8" s="3">
        <v>816</v>
      </c>
      <c r="E8" s="3"/>
      <c r="F8" s="13">
        <f>AVERAGE(793,992,944)</f>
        <v>909.66666666666663</v>
      </c>
      <c r="G8" s="3" t="s">
        <v>84</v>
      </c>
      <c r="H8" s="2"/>
      <c r="I8" s="1" t="s">
        <v>33</v>
      </c>
      <c r="J8" s="1">
        <v>114</v>
      </c>
      <c r="K8" s="1"/>
      <c r="L8" s="1"/>
      <c r="M8" s="7">
        <f t="shared" si="1"/>
        <v>1</v>
      </c>
      <c r="N8" s="1"/>
      <c r="O8" s="2"/>
      <c r="P8" s="1" t="s">
        <v>54</v>
      </c>
      <c r="Q8" s="1">
        <v>76</v>
      </c>
      <c r="R8" s="1">
        <v>35032.6</v>
      </c>
      <c r="S8" s="1"/>
      <c r="T8" s="7">
        <f>AVERAGE(90194.96,78009.95,96796.71)</f>
        <v>88333.873333333337</v>
      </c>
      <c r="U8" s="1"/>
    </row>
    <row r="9" spans="2:21" x14ac:dyDescent="0.25">
      <c r="B9" s="3" t="s">
        <v>11</v>
      </c>
      <c r="C9" s="3">
        <v>26</v>
      </c>
      <c r="D9" s="3">
        <v>1809.58</v>
      </c>
      <c r="E9" s="3"/>
      <c r="F9" s="3">
        <f>AVERAGE(3030.76,3076.03,2979.45)</f>
        <v>3028.7466666666674</v>
      </c>
      <c r="G9" s="6">
        <v>3303.71452420693</v>
      </c>
      <c r="H9" s="2"/>
      <c r="I9" s="1" t="s">
        <v>34</v>
      </c>
      <c r="J9" s="1">
        <v>215</v>
      </c>
      <c r="K9" s="1"/>
      <c r="L9" s="1"/>
      <c r="M9" s="7">
        <f t="shared" si="1"/>
        <v>1</v>
      </c>
      <c r="N9" s="1"/>
      <c r="O9" s="2"/>
      <c r="P9" s="1" t="s">
        <v>55</v>
      </c>
      <c r="Q9" s="1">
        <v>113</v>
      </c>
      <c r="R9" s="1">
        <v>51597.94</v>
      </c>
      <c r="S9" s="1"/>
      <c r="T9" s="7">
        <f>AVERAGE(72734.64,69725.53,60707.17)</f>
        <v>67722.446666666656</v>
      </c>
      <c r="U9" s="1"/>
    </row>
    <row r="10" spans="2:21" x14ac:dyDescent="0.25">
      <c r="B10" s="1" t="s">
        <v>12</v>
      </c>
      <c r="C10" s="1">
        <v>63</v>
      </c>
      <c r="D10" s="1">
        <v>29446.799999999999</v>
      </c>
      <c r="E10" s="1"/>
      <c r="F10" s="7">
        <f>AVERAGE(52245.87,55515.52,57529.93)</f>
        <v>55097.106666666667</v>
      </c>
      <c r="G10" s="1"/>
      <c r="H10" s="2"/>
      <c r="I10" s="1" t="s">
        <v>35</v>
      </c>
      <c r="J10" s="1">
        <v>333</v>
      </c>
      <c r="K10" s="1"/>
      <c r="L10" s="1"/>
      <c r="M10" s="7">
        <f t="shared" si="1"/>
        <v>1</v>
      </c>
      <c r="N10" s="1"/>
      <c r="O10" s="2"/>
      <c r="P10" s="1" t="s">
        <v>56</v>
      </c>
      <c r="Q10" s="1">
        <v>132</v>
      </c>
      <c r="R10" s="1">
        <v>23011.19</v>
      </c>
      <c r="S10" s="1"/>
      <c r="T10" s="7">
        <f>AVERAGE(50444.69,45998.77,45944.84)</f>
        <v>47462.766666666663</v>
      </c>
      <c r="U10" s="1"/>
    </row>
    <row r="11" spans="2:21" x14ac:dyDescent="0.25">
      <c r="B11" s="1" t="s">
        <v>13</v>
      </c>
      <c r="C11" s="1">
        <v>29</v>
      </c>
      <c r="D11" s="1">
        <v>10296</v>
      </c>
      <c r="E11" s="1"/>
      <c r="F11" s="7">
        <f>AVERAGE(9116,12667,14633)</f>
        <v>12138.666666666666</v>
      </c>
      <c r="G11" s="1"/>
      <c r="H11" s="2"/>
      <c r="I11" s="1" t="s">
        <v>89</v>
      </c>
      <c r="J11" s="1">
        <v>24</v>
      </c>
      <c r="K11" s="1">
        <v>6476</v>
      </c>
      <c r="L11" s="1"/>
      <c r="M11" s="7">
        <f>AVERAGE(4697,6246,5452)</f>
        <v>5465</v>
      </c>
      <c r="N11" s="1"/>
      <c r="O11" s="2"/>
      <c r="P11" s="1" t="s">
        <v>57</v>
      </c>
      <c r="Q11" s="1">
        <v>149</v>
      </c>
      <c r="R11" s="1">
        <v>27476.07</v>
      </c>
      <c r="S11" s="1"/>
      <c r="T11" s="7">
        <f>AVERAGE(37066.44,39979.9,39487.05)</f>
        <v>38844.463333333333</v>
      </c>
      <c r="U11" s="1"/>
    </row>
    <row r="12" spans="2:21" x14ac:dyDescent="0.25">
      <c r="B12" s="1" t="s">
        <v>14</v>
      </c>
      <c r="C12" s="1">
        <v>90</v>
      </c>
      <c r="D12" s="1">
        <v>57910</v>
      </c>
      <c r="E12" s="1"/>
      <c r="F12" s="7">
        <f>AVERAGE(111010,129830,167690)</f>
        <v>136176.66666666666</v>
      </c>
      <c r="G12" s="1"/>
      <c r="H12" s="2"/>
      <c r="I12" s="1" t="s">
        <v>36</v>
      </c>
      <c r="J12" s="1">
        <v>50</v>
      </c>
      <c r="K12" s="1">
        <v>11572.88</v>
      </c>
      <c r="L12" s="1"/>
      <c r="M12" s="7">
        <f>AVERAGE(21722.81,15167.26,17342.46)</f>
        <v>18077.509999999998</v>
      </c>
      <c r="N12" s="1"/>
      <c r="O12" s="2"/>
      <c r="P12" s="1" t="s">
        <v>58</v>
      </c>
      <c r="Q12" s="1">
        <v>219</v>
      </c>
      <c r="R12" s="1">
        <v>41333.97</v>
      </c>
      <c r="S12" s="1"/>
      <c r="T12" s="7">
        <f>AVERAGE(41713.8,38395.62,45460.45)</f>
        <v>41856.623333333337</v>
      </c>
      <c r="U12" s="1"/>
    </row>
    <row r="13" spans="2:21" x14ac:dyDescent="0.25">
      <c r="B13" s="3" t="s">
        <v>15</v>
      </c>
      <c r="C13" s="3">
        <v>7</v>
      </c>
      <c r="D13" s="3">
        <v>1454.84</v>
      </c>
      <c r="E13" s="3"/>
      <c r="F13" s="3">
        <v>1454.84</v>
      </c>
      <c r="G13" s="3">
        <v>966.37</v>
      </c>
      <c r="H13" s="2"/>
      <c r="I13" s="1" t="s">
        <v>37</v>
      </c>
      <c r="J13" s="1">
        <v>75</v>
      </c>
      <c r="K13" s="7">
        <v>15643.51</v>
      </c>
      <c r="L13" s="1"/>
      <c r="M13" s="7">
        <f>AVERAGE(28091.07,28870.7,24799.54)</f>
        <v>27253.77</v>
      </c>
      <c r="N13" s="1"/>
      <c r="O13" s="2"/>
      <c r="P13" s="1" t="s">
        <v>59</v>
      </c>
      <c r="Q13" s="1">
        <v>501</v>
      </c>
      <c r="R13" s="1">
        <v>133670.14000000001</v>
      </c>
      <c r="S13" s="1"/>
      <c r="T13" s="7">
        <f>AVERAGE(289915.13,281155.37,272028.96)</f>
        <v>281033.15333333332</v>
      </c>
      <c r="U13" s="1"/>
    </row>
    <row r="14" spans="2:21" x14ac:dyDescent="0.25">
      <c r="B14" s="1" t="s">
        <v>16</v>
      </c>
      <c r="C14" s="1">
        <v>65</v>
      </c>
      <c r="D14" s="1">
        <v>2717.27</v>
      </c>
      <c r="E14" s="1"/>
      <c r="F14" s="7">
        <f>AVERAGE(4665.51,4783.82,5245.47)</f>
        <v>4898.2666666666664</v>
      </c>
      <c r="G14" s="1"/>
      <c r="H14" s="2"/>
      <c r="I14" s="1" t="s">
        <v>38</v>
      </c>
      <c r="J14" s="1">
        <v>100</v>
      </c>
      <c r="K14" s="1">
        <v>13623.44</v>
      </c>
      <c r="L14" s="1"/>
      <c r="M14" s="7">
        <f>AVERAGE(19656,15825.91,18810.46)</f>
        <v>18097.456666666669</v>
      </c>
      <c r="N14" s="1"/>
      <c r="O14" s="2"/>
      <c r="P14" s="1" t="s">
        <v>60</v>
      </c>
      <c r="Q14" s="1">
        <v>49</v>
      </c>
      <c r="R14" s="1">
        <v>600.15</v>
      </c>
      <c r="S14" s="1"/>
      <c r="T14" s="7">
        <f>AVERAGE(890.38,903.46,903.2)</f>
        <v>899.01333333333332</v>
      </c>
      <c r="U14" s="1"/>
    </row>
    <row r="15" spans="2:21" x14ac:dyDescent="0.25">
      <c r="B15" s="1" t="s">
        <v>17</v>
      </c>
      <c r="C15" s="1">
        <v>75</v>
      </c>
      <c r="D15" s="1">
        <v>3194.43</v>
      </c>
      <c r="E15" s="1"/>
      <c r="F15" s="7">
        <f>AVERAGE(6244.16,5881.71,5905.53)</f>
        <v>6010.4666666666662</v>
      </c>
      <c r="G15" s="1"/>
      <c r="H15" s="2"/>
      <c r="I15" s="1" t="s">
        <v>39</v>
      </c>
      <c r="J15" s="1">
        <v>50</v>
      </c>
      <c r="K15" s="1">
        <v>11462.54</v>
      </c>
      <c r="L15" s="1"/>
      <c r="M15" s="7">
        <f>AVERAGE(17497.76,16621.88,16995.5)</f>
        <v>17038.38</v>
      </c>
      <c r="N15" s="1"/>
      <c r="O15" s="2"/>
      <c r="P15" s="1" t="s">
        <v>61</v>
      </c>
      <c r="Q15" s="1">
        <v>97</v>
      </c>
      <c r="R15" s="1">
        <v>1135.3800000000001</v>
      </c>
      <c r="S15" s="1"/>
      <c r="T15" s="7">
        <f>AVERAGE(2281.28,2481.08,2442.08)</f>
        <v>2401.48</v>
      </c>
      <c r="U15" s="1"/>
    </row>
    <row r="16" spans="2:21" x14ac:dyDescent="0.25">
      <c r="B16" s="3" t="s">
        <v>18</v>
      </c>
      <c r="C16" s="3">
        <v>21</v>
      </c>
      <c r="D16" s="3">
        <v>255</v>
      </c>
      <c r="E16" s="3"/>
      <c r="F16" s="3">
        <f>AVERAGE(332,277,295)</f>
        <v>301.33333333333331</v>
      </c>
      <c r="G16" s="3">
        <v>230</v>
      </c>
      <c r="H16" s="2"/>
      <c r="I16" s="1" t="s">
        <v>40</v>
      </c>
      <c r="J16" s="1">
        <v>75</v>
      </c>
      <c r="K16" s="1">
        <v>12323.13</v>
      </c>
      <c r="L16" s="1"/>
      <c r="M16" s="7">
        <f>AVERAGE(22974.95,24633.24,26683.31)</f>
        <v>24763.833333333332</v>
      </c>
      <c r="N16" s="1"/>
      <c r="O16" s="2"/>
      <c r="P16" s="1" t="s">
        <v>62</v>
      </c>
      <c r="Q16" s="1">
        <v>287</v>
      </c>
      <c r="R16" s="1" t="s">
        <v>88</v>
      </c>
      <c r="S16" s="1"/>
      <c r="T16" s="7">
        <f>AVERAGE(5753.67,6047.25,5750.77)</f>
        <v>5850.5633333333344</v>
      </c>
      <c r="U16" s="1"/>
    </row>
    <row r="17" spans="2:21" x14ac:dyDescent="0.25">
      <c r="B17" s="3" t="s">
        <v>19</v>
      </c>
      <c r="C17" s="3">
        <v>25</v>
      </c>
      <c r="D17" s="3">
        <v>181.41</v>
      </c>
      <c r="E17" s="3"/>
      <c r="F17" s="3">
        <f>AVERAGE(255.91,255,281.03)</f>
        <v>263.97999999999996</v>
      </c>
      <c r="G17" s="3" t="s">
        <v>86</v>
      </c>
      <c r="H17" s="2"/>
      <c r="I17" s="1" t="s">
        <v>41</v>
      </c>
      <c r="J17" s="1">
        <v>100</v>
      </c>
      <c r="K17" s="1">
        <v>17281.75</v>
      </c>
      <c r="L17" s="1"/>
      <c r="M17" s="7">
        <f>AVERAGE(17589.46,17275.58,18495.41)</f>
        <v>17786.816666666666</v>
      </c>
      <c r="N17" s="1"/>
      <c r="O17" s="2"/>
      <c r="P17" s="1" t="s">
        <v>63</v>
      </c>
      <c r="Q17" s="1">
        <v>391</v>
      </c>
      <c r="R17" s="1">
        <v>4697.63</v>
      </c>
      <c r="S17" s="1"/>
      <c r="T17" s="7">
        <f>AVERAGE(8511.91,8818.53,8527.43)</f>
        <v>8619.2900000000009</v>
      </c>
      <c r="U17" s="1"/>
    </row>
    <row r="18" spans="2:21" x14ac:dyDescent="0.25">
      <c r="B18" s="1" t="s">
        <v>20</v>
      </c>
      <c r="C18" s="1">
        <v>38</v>
      </c>
      <c r="D18" s="1">
        <v>232.79</v>
      </c>
      <c r="E18" s="1"/>
      <c r="F18" s="7">
        <f>AVERAGE(314.37,336.12,331.17)</f>
        <v>327.22000000000003</v>
      </c>
      <c r="G18" s="1"/>
      <c r="H18" s="2"/>
      <c r="I18" s="1" t="s">
        <v>42</v>
      </c>
      <c r="J18" s="1">
        <v>50</v>
      </c>
      <c r="K18" s="1">
        <v>9617.35</v>
      </c>
      <c r="L18" s="1"/>
      <c r="M18" s="7">
        <f>AVERAGE(19467.31,17700.85,18141.15)</f>
        <v>18436.436666666668</v>
      </c>
      <c r="N18" s="1"/>
      <c r="O18" s="2"/>
      <c r="P18" s="1" t="s">
        <v>64</v>
      </c>
      <c r="Q18" s="1">
        <v>87</v>
      </c>
      <c r="R18" s="1">
        <v>10581</v>
      </c>
      <c r="S18" s="1"/>
      <c r="T18" s="7">
        <f>AVERAGE(12925,13392,13184)</f>
        <v>13167</v>
      </c>
      <c r="U18" s="1"/>
    </row>
    <row r="19" spans="2:21" x14ac:dyDescent="0.25">
      <c r="B19" s="1" t="s">
        <v>21</v>
      </c>
      <c r="C19" s="1">
        <v>50</v>
      </c>
      <c r="D19" s="1">
        <v>322.75</v>
      </c>
      <c r="E19" s="1"/>
      <c r="F19" s="7">
        <f>AVERAGE(392.7,400.08,448.47)</f>
        <v>413.75</v>
      </c>
      <c r="G19" s="1"/>
      <c r="H19" s="2"/>
      <c r="I19" s="1" t="s">
        <v>43</v>
      </c>
      <c r="J19" s="1">
        <v>50</v>
      </c>
      <c r="K19" s="1">
        <v>10720.17</v>
      </c>
      <c r="L19" s="1"/>
      <c r="M19" s="7">
        <f>AVERAGE(17222.88,19033.02,16882.89)</f>
        <v>17712.93</v>
      </c>
      <c r="N19" s="1"/>
      <c r="O19" s="2"/>
      <c r="P19" s="1" t="s">
        <v>65</v>
      </c>
      <c r="Q19" s="1">
        <v>267</v>
      </c>
      <c r="R19" s="1">
        <v>23690</v>
      </c>
      <c r="S19" s="1"/>
      <c r="T19" s="7">
        <f>AVERAGE(27483,27417,27383)</f>
        <v>27427.666666666668</v>
      </c>
      <c r="U19" s="1"/>
    </row>
    <row r="20" spans="2:21" x14ac:dyDescent="0.25">
      <c r="B20" s="3" t="s">
        <v>23</v>
      </c>
      <c r="C20" s="3">
        <v>13</v>
      </c>
      <c r="D20" s="3">
        <v>334</v>
      </c>
      <c r="E20" s="3"/>
      <c r="F20" s="3">
        <f>AVERAGE(439,456,436)</f>
        <v>443.66666666666669</v>
      </c>
      <c r="G20" s="3">
        <v>308</v>
      </c>
      <c r="H20" s="2"/>
      <c r="I20" s="1" t="s">
        <v>44</v>
      </c>
      <c r="J20" s="1">
        <v>50</v>
      </c>
      <c r="K20" s="1">
        <v>10228.68</v>
      </c>
      <c r="L20" s="1"/>
      <c r="M20" s="7">
        <f>AVERAGE(15604.97,19344.25,19559.94)</f>
        <v>18169.72</v>
      </c>
      <c r="N20" s="1"/>
      <c r="O20" s="2"/>
      <c r="P20" s="1" t="s">
        <v>66</v>
      </c>
      <c r="Q20" s="1">
        <v>516</v>
      </c>
      <c r="R20" s="1">
        <v>46820</v>
      </c>
      <c r="S20" s="1"/>
      <c r="T20" s="7">
        <f>AVERAGE(60512,60882,59513)</f>
        <v>60302.333333333336</v>
      </c>
      <c r="U20" s="1"/>
    </row>
    <row r="21" spans="2:21" x14ac:dyDescent="0.25">
      <c r="B21" s="1" t="s">
        <v>24</v>
      </c>
      <c r="C21" s="1">
        <v>131</v>
      </c>
      <c r="D21" s="1">
        <v>1179.57</v>
      </c>
      <c r="E21" s="1"/>
      <c r="F21" s="7">
        <f>AVERAGE(1528.06,1677.28,1540.26)</f>
        <v>1581.8666666666668</v>
      </c>
      <c r="G21" s="1"/>
      <c r="H21" s="2"/>
      <c r="I21" s="1" t="s">
        <v>45</v>
      </c>
      <c r="J21" s="1">
        <v>52</v>
      </c>
      <c r="K21" s="1">
        <v>5888.85</v>
      </c>
      <c r="L21" s="1"/>
      <c r="M21" s="7">
        <f>AVERAGE(9771.2,10393.89,8498.89)</f>
        <v>9554.66</v>
      </c>
      <c r="N21" s="1"/>
      <c r="O21" s="2"/>
      <c r="P21" s="15" t="s">
        <v>67</v>
      </c>
      <c r="Q21" s="15">
        <v>35</v>
      </c>
      <c r="R21" s="15">
        <v>347.28</v>
      </c>
      <c r="S21" s="15"/>
      <c r="T21" s="15">
        <f>AVERAGE(460.02,456.11,505.19)</f>
        <v>473.77333333333331</v>
      </c>
      <c r="U21" s="15"/>
    </row>
    <row r="22" spans="2:21" x14ac:dyDescent="0.25">
      <c r="B22" s="3" t="s">
        <v>25</v>
      </c>
      <c r="C22" s="3">
        <v>8</v>
      </c>
      <c r="D22" s="3">
        <v>380</v>
      </c>
      <c r="E22" s="3"/>
      <c r="F22" s="3">
        <f>AVERAGE(379,582,417)</f>
        <v>459.33333333333331</v>
      </c>
      <c r="G22" s="3">
        <v>380</v>
      </c>
      <c r="H22" s="2"/>
      <c r="I22" s="1" t="s">
        <v>46</v>
      </c>
      <c r="J22" s="1">
        <v>159</v>
      </c>
      <c r="K22" s="1">
        <v>22878.82</v>
      </c>
      <c r="L22" s="1"/>
      <c r="M22" s="7">
        <f>AVERAGE(27205.53,28492.2,31813.79)</f>
        <v>29170.506666666664</v>
      </c>
      <c r="N22" s="1"/>
      <c r="O22" s="2"/>
      <c r="P22" s="1" t="s">
        <v>68</v>
      </c>
      <c r="Q22" s="1">
        <v>21</v>
      </c>
      <c r="R22" s="1">
        <v>441</v>
      </c>
      <c r="S22" s="1"/>
      <c r="T22" s="7">
        <f>AVERAGE(555,561,587)</f>
        <v>567.66666666666663</v>
      </c>
      <c r="U22" s="1"/>
    </row>
    <row r="23" spans="2:21" x14ac:dyDescent="0.25">
      <c r="B23" s="3" t="s">
        <v>26</v>
      </c>
      <c r="C23" s="3">
        <v>10</v>
      </c>
      <c r="D23" s="3">
        <v>1019</v>
      </c>
      <c r="E23" s="3"/>
      <c r="F23" s="3">
        <f>AVERAGE(1009,972,1012)</f>
        <v>997.66666666666663</v>
      </c>
      <c r="G23" s="3">
        <v>683</v>
      </c>
      <c r="H23" s="2"/>
      <c r="I23" s="1" t="s">
        <v>47</v>
      </c>
      <c r="J23" s="1">
        <v>689</v>
      </c>
      <c r="K23" s="1">
        <v>28892.080000000002</v>
      </c>
      <c r="L23" s="1"/>
      <c r="M23" s="7">
        <f>AVERAGE(62402.34,63257.57,64796.73)</f>
        <v>63485.546666666669</v>
      </c>
      <c r="N23" s="1"/>
      <c r="O23" s="2"/>
      <c r="P23" s="1" t="s">
        <v>69</v>
      </c>
      <c r="Q23" s="1">
        <v>112</v>
      </c>
      <c r="R23" s="1">
        <v>55500</v>
      </c>
      <c r="S23" s="1"/>
      <c r="T23" s="7">
        <f>AVERAGE(77148.73,83569.79,78492.95)</f>
        <v>79737.156666666662</v>
      </c>
      <c r="U23" s="1"/>
    </row>
    <row r="24" spans="2:21" x14ac:dyDescent="0.25">
      <c r="B24" s="3" t="s">
        <v>27</v>
      </c>
      <c r="C24" s="3">
        <v>12</v>
      </c>
      <c r="D24" s="3">
        <v>490</v>
      </c>
      <c r="E24" s="3"/>
      <c r="F24" s="3">
        <f>AVERAGE(507,587,462)</f>
        <v>518.66666666666663</v>
      </c>
      <c r="G24" s="3">
        <v>409</v>
      </c>
      <c r="H24" s="2"/>
      <c r="I24" s="7" t="s">
        <v>48</v>
      </c>
      <c r="J24" s="7">
        <v>280</v>
      </c>
      <c r="K24" s="7">
        <v>1370</v>
      </c>
      <c r="L24" s="7"/>
      <c r="M24" s="7">
        <f>AVERAGE(2271,2254,2803)</f>
        <v>2442.6666666666665</v>
      </c>
      <c r="N24" s="7"/>
      <c r="O24" s="2"/>
      <c r="P24" s="1" t="s">
        <v>70</v>
      </c>
      <c r="Q24" s="1">
        <v>112</v>
      </c>
      <c r="R24" s="1">
        <v>1875.65</v>
      </c>
      <c r="S24" s="1"/>
      <c r="T24" s="7">
        <f>AVERAGE(2568.29,2178.1,2283.28)</f>
        <v>2343.2233333333334</v>
      </c>
      <c r="U24" s="1"/>
    </row>
    <row r="25" spans="2:21" x14ac:dyDescent="0.25">
      <c r="H25" s="2"/>
      <c r="I25" s="9"/>
      <c r="J25" s="9"/>
      <c r="K25" s="9"/>
      <c r="L25" s="9"/>
      <c r="M25" s="9"/>
      <c r="N25" s="9"/>
      <c r="O25" s="2"/>
      <c r="P25" s="3" t="s">
        <v>71</v>
      </c>
      <c r="Q25" s="3">
        <v>8</v>
      </c>
      <c r="R25" s="3">
        <v>1981.71</v>
      </c>
      <c r="S25" s="3"/>
      <c r="T25" s="13">
        <f>AVERAGE(1700.67,1616.53,2125.59)</f>
        <v>1814.2633333333333</v>
      </c>
      <c r="U25" s="3">
        <v>1505.95</v>
      </c>
    </row>
    <row r="26" spans="2:21" x14ac:dyDescent="0.25">
      <c r="B26" s="20" t="s">
        <v>90</v>
      </c>
      <c r="C26" s="20"/>
      <c r="D26" s="20"/>
      <c r="E26" s="20"/>
      <c r="H26" s="2"/>
      <c r="I26" s="9"/>
      <c r="J26" s="9"/>
      <c r="K26" s="9"/>
      <c r="L26" s="9"/>
      <c r="M26" s="9"/>
      <c r="N26" s="9"/>
      <c r="O26" s="2"/>
      <c r="P26" s="3" t="s">
        <v>72</v>
      </c>
      <c r="Q26" s="3">
        <v>11</v>
      </c>
      <c r="R26" s="3">
        <v>2086.59</v>
      </c>
      <c r="S26" s="3"/>
      <c r="T26" s="3">
        <f>AVERAGE(2705.11,2260.18,2460.42)</f>
        <v>2475.2366666666667</v>
      </c>
      <c r="U26" s="3">
        <v>1647.33</v>
      </c>
    </row>
    <row r="27" spans="2:21" x14ac:dyDescent="0.25">
      <c r="B27" s="21" t="s">
        <v>91</v>
      </c>
      <c r="C27" s="21"/>
      <c r="D27" s="21"/>
      <c r="E27" s="21"/>
      <c r="H27" s="2"/>
      <c r="I27" s="9"/>
      <c r="J27" s="9"/>
      <c r="K27" s="9"/>
      <c r="L27" s="9"/>
      <c r="M27" s="9"/>
      <c r="N27" s="9"/>
      <c r="O27" s="2"/>
      <c r="P27" s="9"/>
      <c r="Q27" s="9"/>
      <c r="R27" s="9"/>
      <c r="S27" s="9"/>
      <c r="T27" s="9"/>
      <c r="U27" s="9"/>
    </row>
    <row r="28" spans="2:21" x14ac:dyDescent="0.25">
      <c r="B28" s="21"/>
      <c r="C28" s="21"/>
      <c r="D28" s="21"/>
      <c r="E28" s="21"/>
    </row>
    <row r="29" spans="2:21" x14ac:dyDescent="0.25">
      <c r="B29" s="22" t="s">
        <v>98</v>
      </c>
      <c r="C29" s="22"/>
      <c r="D29" s="22"/>
      <c r="E29" s="22"/>
    </row>
    <row r="30" spans="2:21" x14ac:dyDescent="0.25">
      <c r="B30" s="22"/>
      <c r="C30" s="22"/>
      <c r="D30" s="22"/>
      <c r="E30" s="22"/>
    </row>
    <row r="31" spans="2:21" x14ac:dyDescent="0.25">
      <c r="B31" s="22"/>
      <c r="C31" s="22"/>
      <c r="D31" s="22"/>
      <c r="E31" s="22"/>
    </row>
    <row r="32" spans="2:21" x14ac:dyDescent="0.25">
      <c r="B32" s="22"/>
      <c r="C32" s="22"/>
      <c r="D32" s="22"/>
      <c r="E32" s="22"/>
    </row>
    <row r="33" spans="2:5" x14ac:dyDescent="0.25">
      <c r="B33" s="22"/>
      <c r="C33" s="22"/>
      <c r="D33" s="22"/>
      <c r="E33" s="22"/>
    </row>
    <row r="34" spans="2:5" x14ac:dyDescent="0.25">
      <c r="B34" s="23" t="s">
        <v>92</v>
      </c>
      <c r="C34" s="23"/>
      <c r="D34" s="23" t="s">
        <v>93</v>
      </c>
      <c r="E34" s="23"/>
    </row>
    <row r="35" spans="2:5" x14ac:dyDescent="0.25">
      <c r="B35" s="23" t="s">
        <v>94</v>
      </c>
      <c r="C35" s="23"/>
      <c r="D35" s="23">
        <v>0.15</v>
      </c>
      <c r="E35" s="23"/>
    </row>
    <row r="36" spans="2:5" x14ac:dyDescent="0.25">
      <c r="B36" s="23" t="s">
        <v>95</v>
      </c>
      <c r="C36" s="23"/>
      <c r="D36" s="23">
        <v>0.1</v>
      </c>
      <c r="E36" s="23"/>
    </row>
    <row r="37" spans="2:5" x14ac:dyDescent="0.25">
      <c r="B37" s="23" t="s">
        <v>96</v>
      </c>
      <c r="C37" s="23"/>
      <c r="D37" s="23">
        <v>0.05</v>
      </c>
      <c r="E37" s="23"/>
    </row>
    <row r="38" spans="2:5" x14ac:dyDescent="0.25">
      <c r="B38" s="23" t="s">
        <v>97</v>
      </c>
      <c r="C38" s="23"/>
      <c r="D38" s="23">
        <v>0.01</v>
      </c>
      <c r="E38" s="23"/>
    </row>
  </sheetData>
  <mergeCells count="16">
    <mergeCell ref="B37:C37"/>
    <mergeCell ref="D37:E37"/>
    <mergeCell ref="B38:C38"/>
    <mergeCell ref="D38:E38"/>
    <mergeCell ref="B35:C35"/>
    <mergeCell ref="D35:E35"/>
    <mergeCell ref="B36:C36"/>
    <mergeCell ref="D36:E36"/>
    <mergeCell ref="B29:E33"/>
    <mergeCell ref="B34:C34"/>
    <mergeCell ref="D34:E34"/>
    <mergeCell ref="D1:G1"/>
    <mergeCell ref="K1:N1"/>
    <mergeCell ref="R1:U1"/>
    <mergeCell ref="B26:E26"/>
    <mergeCell ref="B27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tabSelected="1" topLeftCell="A11" workbookViewId="0">
      <selection activeCell="G32" sqref="G32"/>
    </sheetView>
  </sheetViews>
  <sheetFormatPr defaultRowHeight="15" x14ac:dyDescent="0.25"/>
  <cols>
    <col min="2" max="2" width="9.7109375" bestFit="1" customWidth="1"/>
    <col min="3" max="3" width="17.85546875" bestFit="1" customWidth="1"/>
    <col min="9" max="9" width="9.7109375" bestFit="1" customWidth="1"/>
    <col min="10" max="10" width="17.85546875" bestFit="1" customWidth="1"/>
    <col min="16" max="16" width="9.7109375" bestFit="1" customWidth="1"/>
    <col min="17" max="17" width="17.85546875" bestFit="1" customWidth="1"/>
  </cols>
  <sheetData>
    <row r="1" spans="2:21" x14ac:dyDescent="0.25">
      <c r="B1" s="1"/>
      <c r="C1" s="1" t="s">
        <v>75</v>
      </c>
      <c r="D1" s="16" t="s">
        <v>1</v>
      </c>
      <c r="E1" s="17"/>
      <c r="F1" s="17"/>
      <c r="G1" s="18"/>
      <c r="H1" s="2"/>
      <c r="I1" s="1"/>
      <c r="J1" s="1" t="s">
        <v>75</v>
      </c>
      <c r="K1" s="19" t="s">
        <v>1</v>
      </c>
      <c r="L1" s="19"/>
      <c r="M1" s="19"/>
      <c r="N1" s="19"/>
      <c r="O1" s="2"/>
      <c r="P1" s="1"/>
      <c r="Q1" s="1" t="s">
        <v>75</v>
      </c>
      <c r="R1" s="19" t="s">
        <v>1</v>
      </c>
      <c r="S1" s="19"/>
      <c r="T1" s="19"/>
      <c r="U1" s="19"/>
    </row>
    <row r="2" spans="2:21" x14ac:dyDescent="0.25">
      <c r="B2" s="1" t="s">
        <v>0</v>
      </c>
      <c r="C2" s="1" t="s">
        <v>22</v>
      </c>
      <c r="D2" s="1" t="s">
        <v>2</v>
      </c>
      <c r="E2" s="1" t="s">
        <v>3</v>
      </c>
      <c r="F2" s="1" t="s">
        <v>73</v>
      </c>
      <c r="G2" s="1" t="s">
        <v>4</v>
      </c>
      <c r="H2" s="2"/>
      <c r="I2" s="1" t="s">
        <v>0</v>
      </c>
      <c r="J2" s="1" t="s">
        <v>22</v>
      </c>
      <c r="K2" s="1" t="s">
        <v>2</v>
      </c>
      <c r="L2" s="1" t="s">
        <v>3</v>
      </c>
      <c r="M2" s="1" t="s">
        <v>73</v>
      </c>
      <c r="N2" s="1" t="s">
        <v>4</v>
      </c>
      <c r="O2" s="2"/>
      <c r="P2" s="1" t="s">
        <v>0</v>
      </c>
      <c r="Q2" s="1" t="s">
        <v>22</v>
      </c>
      <c r="R2" s="1" t="s">
        <v>2</v>
      </c>
      <c r="S2" s="1" t="s">
        <v>3</v>
      </c>
      <c r="T2" s="1" t="s">
        <v>73</v>
      </c>
      <c r="U2" s="1" t="s">
        <v>4</v>
      </c>
    </row>
    <row r="3" spans="2:21" x14ac:dyDescent="0.25">
      <c r="B3" s="1" t="s">
        <v>5</v>
      </c>
      <c r="C3" s="1">
        <v>210</v>
      </c>
      <c r="D3" s="1" t="s">
        <v>81</v>
      </c>
      <c r="E3" s="1"/>
      <c r="F3" s="1">
        <f>(2900.39+2844.97+2808.75)/3</f>
        <v>2851.3700000000003</v>
      </c>
      <c r="G3" s="1"/>
      <c r="H3" s="2"/>
      <c r="I3" s="1" t="s">
        <v>28</v>
      </c>
      <c r="J3" s="1">
        <v>36</v>
      </c>
      <c r="K3" s="1">
        <v>3478</v>
      </c>
      <c r="L3" s="1"/>
      <c r="M3" s="1">
        <f>AVERAGE(3932,4239,3904)</f>
        <v>4025</v>
      </c>
      <c r="N3" s="1"/>
      <c r="O3" s="2"/>
      <c r="P3" s="1" t="s">
        <v>49</v>
      </c>
      <c r="Q3" s="1">
        <v>57</v>
      </c>
      <c r="R3" s="1">
        <v>63830.12</v>
      </c>
      <c r="S3" s="1"/>
      <c r="T3" s="1">
        <f>AVERAGE(107449.05,113860.34,107227.44)</f>
        <v>109512.27666666667</v>
      </c>
      <c r="U3" s="1"/>
    </row>
    <row r="4" spans="2:21" x14ac:dyDescent="0.25">
      <c r="B4" s="1" t="s">
        <v>6</v>
      </c>
      <c r="C4" s="1">
        <v>401</v>
      </c>
      <c r="D4" s="1"/>
      <c r="E4" s="1"/>
      <c r="F4" s="1">
        <f>AVERAGE(1)</f>
        <v>1</v>
      </c>
      <c r="G4" s="1"/>
      <c r="H4" s="2"/>
      <c r="I4" s="1" t="s">
        <v>29</v>
      </c>
      <c r="J4" s="1">
        <v>72</v>
      </c>
      <c r="K4" s="1">
        <v>41093.300000000003</v>
      </c>
      <c r="L4" s="1"/>
      <c r="M4" s="7">
        <f>AVERAGE(78742.99,71967.61,74214)</f>
        <v>74974.866666666669</v>
      </c>
      <c r="N4" s="1"/>
      <c r="O4" s="2"/>
      <c r="P4" s="1" t="s">
        <v>50</v>
      </c>
      <c r="Q4" s="1">
        <v>80</v>
      </c>
      <c r="R4" s="1">
        <v>33252.04</v>
      </c>
      <c r="S4" s="1"/>
      <c r="T4" s="7">
        <f>AVERAGE(57979.95,57213.86,67915.15)</f>
        <v>61036.32</v>
      </c>
      <c r="U4" s="1"/>
    </row>
    <row r="5" spans="2:21" x14ac:dyDescent="0.25">
      <c r="B5" s="3" t="s">
        <v>7</v>
      </c>
      <c r="C5" s="3">
        <v>36</v>
      </c>
      <c r="D5" s="3">
        <v>7089</v>
      </c>
      <c r="E5" s="3"/>
      <c r="F5" s="3">
        <f>AVERAGE(8190,9087,10211)</f>
        <v>9162.6666666666661</v>
      </c>
      <c r="G5" s="3" t="s">
        <v>78</v>
      </c>
      <c r="H5" s="2"/>
      <c r="I5" s="1" t="s">
        <v>30</v>
      </c>
      <c r="J5" s="1">
        <v>90</v>
      </c>
      <c r="K5" s="1">
        <v>4749</v>
      </c>
      <c r="L5" s="1"/>
      <c r="M5" s="7">
        <f>AVERAGE(9229,8480,9906)</f>
        <v>9205</v>
      </c>
      <c r="N5" s="1"/>
      <c r="O5" s="2"/>
      <c r="P5" s="1" t="s">
        <v>51</v>
      </c>
      <c r="Q5" s="1">
        <v>93</v>
      </c>
      <c r="R5" s="1">
        <v>40795.86</v>
      </c>
      <c r="S5" s="1"/>
      <c r="T5" s="7">
        <f>AVERAGE(95883.82,105801.07,93625.3)</f>
        <v>98436.73</v>
      </c>
      <c r="U5" s="1"/>
    </row>
    <row r="6" spans="2:21" x14ac:dyDescent="0.25">
      <c r="B6" s="1" t="s">
        <v>8</v>
      </c>
      <c r="C6" s="1">
        <v>399</v>
      </c>
      <c r="D6" s="14">
        <v>23269</v>
      </c>
      <c r="E6" s="1"/>
      <c r="F6" s="7">
        <f>AVERAGE(34921,37030,33058)</f>
        <v>35003</v>
      </c>
      <c r="G6" s="1"/>
      <c r="H6" s="2"/>
      <c r="I6" s="1" t="s">
        <v>31</v>
      </c>
      <c r="J6" s="1">
        <v>102</v>
      </c>
      <c r="K6" s="1"/>
      <c r="L6" s="1"/>
      <c r="M6" s="7">
        <f t="shared" ref="M6:M11" si="0">AVERAGE(1)</f>
        <v>1</v>
      </c>
      <c r="N6" s="1"/>
      <c r="O6" s="2"/>
      <c r="P6" s="1" t="s">
        <v>52</v>
      </c>
      <c r="Q6" s="1">
        <v>102</v>
      </c>
      <c r="R6" s="1">
        <v>84256.72</v>
      </c>
      <c r="S6" s="1"/>
      <c r="T6" s="7">
        <f>AVERAGE(131023.35,145694.45,144356.14)</f>
        <v>140357.98000000001</v>
      </c>
      <c r="U6" s="1"/>
    </row>
    <row r="7" spans="2:21" x14ac:dyDescent="0.25">
      <c r="B7" s="3" t="s">
        <v>9</v>
      </c>
      <c r="C7" s="3">
        <v>21</v>
      </c>
      <c r="D7" s="3">
        <v>1065</v>
      </c>
      <c r="E7" s="3"/>
      <c r="F7" s="3">
        <f>AVERAGE(1438,1403,1365)</f>
        <v>1402</v>
      </c>
      <c r="G7" s="3" t="s">
        <v>83</v>
      </c>
      <c r="H7" s="2"/>
      <c r="I7" s="1" t="s">
        <v>32</v>
      </c>
      <c r="J7" s="1">
        <v>151</v>
      </c>
      <c r="K7" s="1"/>
      <c r="L7" s="1"/>
      <c r="M7" s="7">
        <f t="shared" si="0"/>
        <v>1</v>
      </c>
      <c r="N7" s="1"/>
      <c r="O7" s="2"/>
      <c r="P7" s="1" t="s">
        <v>53</v>
      </c>
      <c r="Q7" s="1">
        <v>108</v>
      </c>
      <c r="R7" s="1">
        <v>41326.949999999997</v>
      </c>
      <c r="S7" s="1"/>
      <c r="T7" s="7">
        <f>AVERAGE(110980.86,115396.52,100993.51)</f>
        <v>109123.63</v>
      </c>
      <c r="U7" s="1"/>
    </row>
    <row r="8" spans="2:21" x14ac:dyDescent="0.25">
      <c r="B8" s="3" t="s">
        <v>10</v>
      </c>
      <c r="C8" s="3">
        <v>21</v>
      </c>
      <c r="D8" s="3">
        <v>1237</v>
      </c>
      <c r="E8" s="3"/>
      <c r="F8" s="3">
        <f>AVERAGE(1465,1717,1790)</f>
        <v>1657.3333333333333</v>
      </c>
      <c r="G8" s="3" t="s">
        <v>85</v>
      </c>
      <c r="H8" s="2"/>
      <c r="I8" s="1" t="s">
        <v>33</v>
      </c>
      <c r="J8" s="1">
        <v>171</v>
      </c>
      <c r="K8" s="1"/>
      <c r="L8" s="1"/>
      <c r="M8" s="7">
        <f t="shared" si="0"/>
        <v>1</v>
      </c>
      <c r="N8" s="1"/>
      <c r="O8" s="2"/>
      <c r="P8" s="1" t="s">
        <v>54</v>
      </c>
      <c r="Q8" s="1">
        <v>114</v>
      </c>
      <c r="R8" s="1">
        <v>51636.7</v>
      </c>
      <c r="S8" s="1"/>
      <c r="T8" s="7">
        <f>AVERAGE(138253.58,160701.77,150321.12)</f>
        <v>149758.82333333333</v>
      </c>
      <c r="U8" s="1"/>
    </row>
    <row r="9" spans="2:21" x14ac:dyDescent="0.25">
      <c r="B9" s="3" t="s">
        <v>11</v>
      </c>
      <c r="C9" s="3">
        <v>39</v>
      </c>
      <c r="D9" s="3">
        <v>4429.84</v>
      </c>
      <c r="E9" s="3"/>
      <c r="F9" s="3">
        <f>AVERAGE(6399.8,5749.53,6466.68)</f>
        <v>6205.336666666667</v>
      </c>
      <c r="G9" s="6">
        <v>7619.8989577796901</v>
      </c>
      <c r="H9" s="2"/>
      <c r="I9" s="1" t="s">
        <v>34</v>
      </c>
      <c r="J9" s="1">
        <v>323</v>
      </c>
      <c r="K9" s="1"/>
      <c r="L9" s="1"/>
      <c r="M9" s="7">
        <f t="shared" si="0"/>
        <v>1</v>
      </c>
      <c r="N9" s="1"/>
      <c r="O9" s="2"/>
      <c r="P9" s="1" t="s">
        <v>55</v>
      </c>
      <c r="Q9" s="1">
        <v>169</v>
      </c>
      <c r="R9" s="1">
        <v>67272.25</v>
      </c>
      <c r="S9" s="1"/>
      <c r="T9" s="7">
        <f>AVERAGE(93518.77,72093.7,75843.63)</f>
        <v>80485.366666666669</v>
      </c>
      <c r="U9" s="1"/>
    </row>
    <row r="10" spans="2:21" x14ac:dyDescent="0.25">
      <c r="B10" s="1" t="s">
        <v>12</v>
      </c>
      <c r="C10" s="1">
        <v>95</v>
      </c>
      <c r="D10" s="1">
        <v>56582.89</v>
      </c>
      <c r="E10" s="1"/>
      <c r="F10" s="7">
        <f>AVERAGE(111458.89,117239.65,116871.42)</f>
        <v>115189.98666666665</v>
      </c>
      <c r="G10" s="1"/>
      <c r="H10" s="2"/>
      <c r="I10" s="1" t="s">
        <v>35</v>
      </c>
      <c r="J10" s="1">
        <v>499</v>
      </c>
      <c r="K10" s="1"/>
      <c r="L10" s="1"/>
      <c r="M10" s="7">
        <f t="shared" si="0"/>
        <v>1</v>
      </c>
      <c r="N10" s="1"/>
      <c r="O10" s="2"/>
      <c r="P10" s="1" t="s">
        <v>56</v>
      </c>
      <c r="Q10" s="1">
        <v>198</v>
      </c>
      <c r="R10" s="1">
        <v>36877.03</v>
      </c>
      <c r="S10" s="1"/>
      <c r="T10" s="7">
        <f>AVERAGE(64343.81,63697.72,61550.96)</f>
        <v>63197.496666666666</v>
      </c>
      <c r="U10" s="1"/>
    </row>
    <row r="11" spans="2:21" x14ac:dyDescent="0.25">
      <c r="B11" s="1" t="s">
        <v>13</v>
      </c>
      <c r="C11" s="1">
        <v>43</v>
      </c>
      <c r="D11" s="1">
        <v>13172</v>
      </c>
      <c r="E11" s="1"/>
      <c r="F11" s="7">
        <f>AVERAGE(17784,18157,18323)</f>
        <v>18088</v>
      </c>
      <c r="G11" s="1"/>
      <c r="H11" s="2"/>
      <c r="I11" s="1" t="s">
        <v>89</v>
      </c>
      <c r="J11" s="1">
        <v>36</v>
      </c>
      <c r="K11" s="1"/>
      <c r="L11" s="1"/>
      <c r="M11" s="7">
        <f t="shared" si="0"/>
        <v>1</v>
      </c>
      <c r="N11" s="1"/>
      <c r="O11" s="2"/>
      <c r="P11" s="1" t="s">
        <v>57</v>
      </c>
      <c r="Q11" s="1">
        <v>224</v>
      </c>
      <c r="R11" s="1">
        <v>38943.230000000003</v>
      </c>
      <c r="S11" s="1"/>
      <c r="T11" s="7">
        <f>AVERAGE(53895.83,53067.18,61053.65)</f>
        <v>56005.553333333337</v>
      </c>
      <c r="U11" s="1"/>
    </row>
    <row r="12" spans="2:21" x14ac:dyDescent="0.25">
      <c r="B12" s="1" t="s">
        <v>14</v>
      </c>
      <c r="C12" s="1">
        <v>135</v>
      </c>
      <c r="D12" s="1">
        <v>92250</v>
      </c>
      <c r="E12" s="1"/>
      <c r="F12" s="7">
        <f>AVERAGE(130680,208790,220270)</f>
        <v>186580</v>
      </c>
      <c r="G12" s="1"/>
      <c r="H12" s="2"/>
      <c r="I12" s="1" t="s">
        <v>36</v>
      </c>
      <c r="J12" s="1">
        <v>75</v>
      </c>
      <c r="K12" s="1">
        <v>19476.54</v>
      </c>
      <c r="L12" s="1"/>
      <c r="M12" s="7">
        <f>AVERAGE(28881.19,27528.9,29483.67)</f>
        <v>28631.25333333333</v>
      </c>
      <c r="N12" s="1"/>
      <c r="O12" s="2"/>
      <c r="P12" s="1" t="s">
        <v>58</v>
      </c>
      <c r="Q12" s="1">
        <v>329</v>
      </c>
      <c r="R12" s="1">
        <v>66131.56</v>
      </c>
      <c r="S12" s="1"/>
      <c r="T12" s="7">
        <f>AVERAGE(125152.8,124619.23,129723.95)</f>
        <v>126498.65999999999</v>
      </c>
      <c r="U12" s="1"/>
    </row>
    <row r="13" spans="2:21" x14ac:dyDescent="0.25">
      <c r="B13" s="3" t="s">
        <v>15</v>
      </c>
      <c r="C13" s="3">
        <v>10</v>
      </c>
      <c r="D13" s="3">
        <v>1943.98</v>
      </c>
      <c r="E13" s="3"/>
      <c r="F13" s="3">
        <f>AVERAGE(2241.85,2599.07,2398.36)</f>
        <v>2413.0933333333337</v>
      </c>
      <c r="G13" s="3">
        <v>1690.16</v>
      </c>
      <c r="H13" s="2"/>
      <c r="I13" s="1" t="s">
        <v>37</v>
      </c>
      <c r="J13" s="1">
        <v>112</v>
      </c>
      <c r="K13" s="1">
        <v>22938.36</v>
      </c>
      <c r="L13" s="1"/>
      <c r="M13" s="7">
        <f>AVERAGE(43375.67,43390.67,39978.9)</f>
        <v>42248.41333333333</v>
      </c>
      <c r="N13" s="1"/>
      <c r="O13" s="2"/>
      <c r="P13" s="1" t="s">
        <v>59</v>
      </c>
      <c r="Q13" s="1">
        <v>751</v>
      </c>
      <c r="R13" s="1">
        <v>209167.52</v>
      </c>
      <c r="S13" s="1"/>
      <c r="T13" s="7">
        <f>AVERAGE(453918.64,476614.29,448629.23)</f>
        <v>459720.72</v>
      </c>
      <c r="U13" s="1"/>
    </row>
    <row r="14" spans="2:21" x14ac:dyDescent="0.25">
      <c r="B14" s="1" t="s">
        <v>16</v>
      </c>
      <c r="C14" s="1">
        <v>97</v>
      </c>
      <c r="D14" s="1">
        <v>4148.87</v>
      </c>
      <c r="E14" s="1"/>
      <c r="F14" s="7">
        <f>AVERAGE(8211.34,7967.26,8045.47)</f>
        <v>8074.69</v>
      </c>
      <c r="G14" s="1"/>
      <c r="H14" s="2"/>
      <c r="I14" s="1" t="s">
        <v>38</v>
      </c>
      <c r="J14" s="1">
        <v>150</v>
      </c>
      <c r="K14" s="1">
        <v>21433.16</v>
      </c>
      <c r="L14" s="1"/>
      <c r="M14" s="7">
        <f>AVERAGE(29274,27396.86,30342.54)</f>
        <v>29004.466666666664</v>
      </c>
      <c r="N14" s="1"/>
      <c r="O14" s="2"/>
      <c r="P14" s="1" t="s">
        <v>60</v>
      </c>
      <c r="Q14" s="1">
        <v>74</v>
      </c>
      <c r="R14" s="1">
        <v>925.25</v>
      </c>
      <c r="S14" s="1"/>
      <c r="T14" s="7">
        <f>AVERAGE(1455.05,1513.33,1510.61)</f>
        <v>1492.9966666666667</v>
      </c>
      <c r="U14" s="1"/>
    </row>
    <row r="15" spans="2:21" x14ac:dyDescent="0.25">
      <c r="B15" s="1" t="s">
        <v>17</v>
      </c>
      <c r="C15" s="1">
        <v>112</v>
      </c>
      <c r="D15" s="1">
        <v>4938.62</v>
      </c>
      <c r="E15" s="1"/>
      <c r="F15" s="7">
        <f>AVERAGE(10404.88,9643.76,10005.58)</f>
        <v>10018.073333333334</v>
      </c>
      <c r="G15" s="1"/>
      <c r="H15" s="2"/>
      <c r="I15" s="1" t="s">
        <v>39</v>
      </c>
      <c r="J15" s="1">
        <v>75</v>
      </c>
      <c r="K15" s="1">
        <v>17465.62</v>
      </c>
      <c r="L15" s="1"/>
      <c r="M15" s="7">
        <f>AVERAGE(30281.92,28979.04,28049.37)</f>
        <v>29103.443333333333</v>
      </c>
      <c r="N15" s="1"/>
      <c r="O15" s="2"/>
      <c r="P15" s="1" t="s">
        <v>61</v>
      </c>
      <c r="Q15" s="1">
        <v>146</v>
      </c>
      <c r="R15" s="1">
        <v>1695.61</v>
      </c>
      <c r="S15" s="1"/>
      <c r="T15" s="7">
        <f>AVERAGE(3819.17,3898.73,3842,83)</f>
        <v>2910.7249999999999</v>
      </c>
      <c r="U15" s="1"/>
    </row>
    <row r="16" spans="2:21" x14ac:dyDescent="0.25">
      <c r="B16" s="3" t="s">
        <v>18</v>
      </c>
      <c r="C16" s="3">
        <v>31</v>
      </c>
      <c r="D16" s="3">
        <v>517</v>
      </c>
      <c r="E16" s="3"/>
      <c r="F16" s="3">
        <f>AVERAGE(502,594,710)</f>
        <v>602</v>
      </c>
      <c r="G16" s="3"/>
      <c r="H16" s="2"/>
      <c r="I16" s="1" t="s">
        <v>40</v>
      </c>
      <c r="J16" s="1">
        <v>112</v>
      </c>
      <c r="K16" s="1">
        <v>17814.47</v>
      </c>
      <c r="L16" s="1"/>
      <c r="M16" s="7">
        <f>AVERAGE(44492.79,39387.89,43228.17)</f>
        <v>42369.616666666661</v>
      </c>
      <c r="N16" s="1"/>
      <c r="O16" s="2"/>
      <c r="P16" s="1" t="s">
        <v>62</v>
      </c>
      <c r="Q16" s="1">
        <v>431</v>
      </c>
      <c r="R16" s="1">
        <v>5946.93</v>
      </c>
      <c r="S16" s="1"/>
      <c r="T16" s="7">
        <f>AVERAGE(10002.45,9071.2,9094.9)</f>
        <v>9389.5166666666682</v>
      </c>
      <c r="U16" s="1"/>
    </row>
    <row r="17" spans="2:21" x14ac:dyDescent="0.25">
      <c r="B17" s="3" t="s">
        <v>19</v>
      </c>
      <c r="C17" s="3">
        <v>38</v>
      </c>
      <c r="D17" s="3">
        <v>291.58999999999997</v>
      </c>
      <c r="E17" s="3"/>
      <c r="F17" s="3">
        <f>AVERAGE(385.88,387.65,432.01)</f>
        <v>401.84666666666664</v>
      </c>
      <c r="G17" s="3">
        <v>414.92</v>
      </c>
      <c r="H17" s="2"/>
      <c r="I17" s="1" t="s">
        <v>41</v>
      </c>
      <c r="J17" s="1">
        <v>150</v>
      </c>
      <c r="K17" s="1">
        <v>24691.06</v>
      </c>
      <c r="L17" s="1"/>
      <c r="M17" s="7">
        <f>AVERAGE(27229.81,30672.21,26333.08)</f>
        <v>28078.366666666669</v>
      </c>
      <c r="N17" s="1"/>
      <c r="O17" s="2"/>
      <c r="P17" s="1" t="s">
        <v>63</v>
      </c>
      <c r="Q17" s="1">
        <v>587</v>
      </c>
      <c r="R17" s="1">
        <v>7364.99</v>
      </c>
      <c r="S17" s="1"/>
      <c r="T17" s="7">
        <f>AVERAGE(14246.91,14184.86,14148.87)</f>
        <v>14193.546666666667</v>
      </c>
      <c r="U17" s="1"/>
    </row>
    <row r="18" spans="2:21" x14ac:dyDescent="0.25">
      <c r="B18" s="1" t="s">
        <v>20</v>
      </c>
      <c r="C18" s="1">
        <v>57</v>
      </c>
      <c r="D18" s="1">
        <v>356.71</v>
      </c>
      <c r="E18" s="1"/>
      <c r="F18" s="7">
        <f>AVERAGE(546.11,582.33,571.44)</f>
        <v>566.62666666666667</v>
      </c>
      <c r="G18" s="1"/>
      <c r="H18" s="2"/>
      <c r="I18" s="1" t="s">
        <v>42</v>
      </c>
      <c r="J18" s="1">
        <v>75</v>
      </c>
      <c r="K18" s="1">
        <v>14926.51</v>
      </c>
      <c r="L18" s="1"/>
      <c r="M18" s="7">
        <f>AVERAGE(27041.8,27614.09,28565.53)</f>
        <v>27740.473333333332</v>
      </c>
      <c r="N18" s="1"/>
      <c r="O18" s="2"/>
      <c r="P18" s="1" t="s">
        <v>64</v>
      </c>
      <c r="Q18" s="1">
        <v>131</v>
      </c>
      <c r="R18" s="1">
        <v>16096</v>
      </c>
      <c r="S18" s="1"/>
      <c r="T18" s="7">
        <f>AVERAGE(20225,20160,20920)</f>
        <v>20435</v>
      </c>
      <c r="U18" s="1"/>
    </row>
    <row r="19" spans="2:21" x14ac:dyDescent="0.25">
      <c r="B19" s="1" t="s">
        <v>21</v>
      </c>
      <c r="C19" s="1">
        <v>75</v>
      </c>
      <c r="D19" s="1">
        <v>492.25</v>
      </c>
      <c r="E19" s="1"/>
      <c r="F19" s="7">
        <f>AVERAGE(684.15,700.78,639.11)</f>
        <v>674.68</v>
      </c>
      <c r="G19" s="1"/>
      <c r="H19" s="2"/>
      <c r="I19" s="1" t="s">
        <v>43</v>
      </c>
      <c r="J19" s="1">
        <v>75</v>
      </c>
      <c r="K19" s="1">
        <v>16252.61</v>
      </c>
      <c r="L19" s="1"/>
      <c r="M19" s="7">
        <f>AVERAGE(30625.28,29864.57,30674.17)</f>
        <v>30388.006666666664</v>
      </c>
      <c r="N19" s="1"/>
      <c r="O19" s="2"/>
      <c r="P19" s="1" t="s">
        <v>65</v>
      </c>
      <c r="Q19" s="1">
        <v>401</v>
      </c>
      <c r="R19" s="1">
        <v>36872</v>
      </c>
      <c r="S19" s="1"/>
      <c r="T19" s="7">
        <f>AVERAGE(43591,43249,42621)</f>
        <v>43153.666666666664</v>
      </c>
      <c r="U19" s="1"/>
    </row>
    <row r="20" spans="2:21" x14ac:dyDescent="0.25">
      <c r="B20" s="3" t="s">
        <v>23</v>
      </c>
      <c r="C20" s="3">
        <v>19</v>
      </c>
      <c r="D20" s="3">
        <v>744</v>
      </c>
      <c r="E20" s="3"/>
      <c r="F20" s="3">
        <f>AVERAGE(714,676,708)</f>
        <v>699.33333333333337</v>
      </c>
      <c r="G20" s="3">
        <v>492</v>
      </c>
      <c r="H20" s="2"/>
      <c r="I20" s="1" t="s">
        <v>44</v>
      </c>
      <c r="J20" s="1">
        <v>75</v>
      </c>
      <c r="K20" s="1">
        <v>16441.939999999999</v>
      </c>
      <c r="L20" s="1"/>
      <c r="M20" s="7">
        <f>AVERAGE(31303.7,28642.92,28454.29)</f>
        <v>29466.97</v>
      </c>
      <c r="N20" s="1"/>
      <c r="O20" s="2"/>
      <c r="P20" s="1" t="s">
        <v>66</v>
      </c>
      <c r="Q20" s="1">
        <v>774</v>
      </c>
      <c r="R20" s="1">
        <v>70582</v>
      </c>
      <c r="S20" s="1"/>
      <c r="T20" s="7">
        <f>AVERAGE(92805,94199,94058)</f>
        <v>93687.333333333328</v>
      </c>
      <c r="U20" s="1"/>
    </row>
    <row r="21" spans="2:21" x14ac:dyDescent="0.25">
      <c r="B21" s="1" t="s">
        <v>24</v>
      </c>
      <c r="C21" s="1">
        <v>196</v>
      </c>
      <c r="D21" s="1">
        <v>1741.09</v>
      </c>
      <c r="E21" s="1"/>
      <c r="F21" s="7">
        <f>AVERAGE(2374.68,2603.39,2532.73)</f>
        <v>2503.6</v>
      </c>
      <c r="G21" s="1"/>
      <c r="H21" s="2"/>
      <c r="I21" s="1" t="s">
        <v>45</v>
      </c>
      <c r="J21" s="1">
        <v>78</v>
      </c>
      <c r="K21" s="1">
        <v>9054.34</v>
      </c>
      <c r="L21" s="1"/>
      <c r="M21" s="7">
        <f>AVERAGE(17428.12,17867.53,17153.5)</f>
        <v>17483.05</v>
      </c>
      <c r="N21" s="1"/>
      <c r="O21" s="2"/>
      <c r="P21" s="15" t="s">
        <v>67</v>
      </c>
      <c r="Q21" s="15">
        <v>52</v>
      </c>
      <c r="R21" s="15">
        <v>543.95000000000005</v>
      </c>
      <c r="S21" s="15"/>
      <c r="T21" s="15">
        <f>AVERAGE(711.87,776.2,759.16)</f>
        <v>749.07666666666671</v>
      </c>
      <c r="U21" s="15"/>
    </row>
    <row r="22" spans="2:21" x14ac:dyDescent="0.25">
      <c r="B22" s="3" t="s">
        <v>25</v>
      </c>
      <c r="C22" s="3">
        <v>12</v>
      </c>
      <c r="D22" s="3">
        <v>661</v>
      </c>
      <c r="E22" s="3"/>
      <c r="F22" s="3">
        <f>AVERAGE(1049,1086,1061)</f>
        <v>1065.3333333333333</v>
      </c>
      <c r="G22" s="3">
        <v>810</v>
      </c>
      <c r="H22" s="2"/>
      <c r="I22" s="1" t="s">
        <v>46</v>
      </c>
      <c r="J22" s="1">
        <v>238</v>
      </c>
      <c r="K22" s="1">
        <v>33307.81</v>
      </c>
      <c r="L22" s="1"/>
      <c r="M22" s="7">
        <f>AVERAGE(46999.66,42966.33,41366.03)</f>
        <v>43777.340000000004</v>
      </c>
      <c r="N22" s="1"/>
      <c r="O22" s="2"/>
      <c r="P22" s="1" t="s">
        <v>68</v>
      </c>
      <c r="Q22" s="1">
        <v>31</v>
      </c>
      <c r="R22" s="1">
        <v>770</v>
      </c>
      <c r="S22" s="1"/>
      <c r="T22" s="7">
        <f>AVERAGE(995,1161,948)</f>
        <v>1034.6666666666667</v>
      </c>
      <c r="U22" s="1"/>
    </row>
    <row r="23" spans="2:21" x14ac:dyDescent="0.25">
      <c r="B23" s="3" t="s">
        <v>26</v>
      </c>
      <c r="C23" s="3">
        <v>15</v>
      </c>
      <c r="D23" s="3">
        <v>1733</v>
      </c>
      <c r="E23" s="3"/>
      <c r="F23" s="3">
        <f>AVERAGE(1635,1717,2113)</f>
        <v>1821.6666666666667</v>
      </c>
      <c r="G23" s="3">
        <v>1377</v>
      </c>
      <c r="H23" s="2"/>
      <c r="I23" s="1" t="s">
        <v>47</v>
      </c>
      <c r="J23" s="1">
        <v>1034</v>
      </c>
      <c r="K23" s="1">
        <v>47140.73</v>
      </c>
      <c r="L23" s="1"/>
      <c r="M23" s="7">
        <f>AVERAGE(110181.25,116030.53,106532.4)</f>
        <v>110914.72666666667</v>
      </c>
      <c r="N23" s="1"/>
      <c r="O23" s="2"/>
      <c r="P23" s="1" t="s">
        <v>69</v>
      </c>
      <c r="Q23" s="1">
        <v>168</v>
      </c>
      <c r="R23" s="1">
        <v>89500</v>
      </c>
      <c r="S23" s="1"/>
      <c r="T23" s="7">
        <f>AVERAGE(128382.76,135122.11,147297.71)</f>
        <v>136934.19333333333</v>
      </c>
      <c r="U23" s="1"/>
    </row>
    <row r="24" spans="2:21" x14ac:dyDescent="0.25">
      <c r="B24" s="3" t="s">
        <v>27</v>
      </c>
      <c r="C24" s="3">
        <v>18</v>
      </c>
      <c r="D24" s="3">
        <v>794</v>
      </c>
      <c r="E24" s="3"/>
      <c r="F24" s="3">
        <f>AVERAGE(918,1173,804)</f>
        <v>965</v>
      </c>
      <c r="G24" s="3">
        <v>764</v>
      </c>
      <c r="H24" s="2"/>
      <c r="I24" s="7" t="s">
        <v>48</v>
      </c>
      <c r="J24" s="7">
        <v>420</v>
      </c>
      <c r="K24" s="7">
        <v>2332</v>
      </c>
      <c r="L24" s="7"/>
      <c r="M24" s="7">
        <f>AVERAGE(3711,3685,3753)</f>
        <v>3716.3333333333335</v>
      </c>
      <c r="N24" s="7"/>
      <c r="O24" s="2"/>
      <c r="P24" s="1" t="s">
        <v>70</v>
      </c>
      <c r="Q24" s="1">
        <v>168</v>
      </c>
      <c r="R24" s="1">
        <v>2917.62</v>
      </c>
      <c r="S24" s="1"/>
      <c r="T24" s="7">
        <f>AVERAGE(3606.67,3857.31,3478.05)</f>
        <v>3647.3433333333328</v>
      </c>
      <c r="U24" s="1"/>
    </row>
    <row r="25" spans="2:21" x14ac:dyDescent="0.25">
      <c r="H25" s="2"/>
      <c r="I25" s="9"/>
      <c r="J25" s="9"/>
      <c r="K25" s="9"/>
      <c r="L25" s="9"/>
      <c r="M25" s="9"/>
      <c r="N25" s="9"/>
      <c r="O25" s="2"/>
      <c r="P25" s="3" t="s">
        <v>71</v>
      </c>
      <c r="Q25" s="3">
        <v>12</v>
      </c>
      <c r="R25" s="3">
        <v>2785.62</v>
      </c>
      <c r="S25" s="3"/>
      <c r="T25" s="3">
        <f>AVERAGE(3655,3992.81,4370.13)</f>
        <v>4005.9799999999996</v>
      </c>
      <c r="U25" s="3">
        <v>2980.94</v>
      </c>
    </row>
    <row r="26" spans="2:21" x14ac:dyDescent="0.25">
      <c r="B26" s="20" t="s">
        <v>90</v>
      </c>
      <c r="C26" s="20"/>
      <c r="D26" s="20"/>
      <c r="E26" s="20"/>
      <c r="H26" s="2"/>
      <c r="I26" s="9"/>
      <c r="J26" s="9"/>
      <c r="K26" s="9"/>
      <c r="L26" s="9"/>
      <c r="M26" s="9"/>
      <c r="N26" s="9"/>
      <c r="O26" s="2"/>
      <c r="P26" s="3" t="s">
        <v>72</v>
      </c>
      <c r="Q26" s="3">
        <v>16</v>
      </c>
      <c r="R26" s="3">
        <v>3118.04</v>
      </c>
      <c r="S26" s="3"/>
      <c r="T26" s="3">
        <f>AVERAGE(3656.32,3331.96,3869.63)</f>
        <v>3619.3033333333333</v>
      </c>
      <c r="U26" s="3">
        <v>2806.25</v>
      </c>
    </row>
    <row r="27" spans="2:21" x14ac:dyDescent="0.25">
      <c r="B27" s="21" t="s">
        <v>91</v>
      </c>
      <c r="C27" s="21"/>
      <c r="D27" s="21"/>
      <c r="E27" s="21"/>
      <c r="H27" s="2"/>
      <c r="I27" s="9"/>
      <c r="J27" s="9"/>
      <c r="K27" s="9"/>
      <c r="L27" s="9"/>
      <c r="M27" s="9"/>
      <c r="N27" s="9"/>
      <c r="O27" s="2"/>
      <c r="P27" s="9"/>
      <c r="Q27" s="9"/>
      <c r="R27" s="9"/>
      <c r="S27" s="9"/>
      <c r="T27" s="9"/>
      <c r="U27" s="9"/>
    </row>
    <row r="28" spans="2:21" x14ac:dyDescent="0.25">
      <c r="B28" s="21"/>
      <c r="C28" s="21"/>
      <c r="D28" s="21"/>
      <c r="E28" s="21"/>
    </row>
    <row r="29" spans="2:21" x14ac:dyDescent="0.25">
      <c r="B29" s="22" t="s">
        <v>98</v>
      </c>
      <c r="C29" s="22"/>
      <c r="D29" s="22"/>
      <c r="E29" s="22"/>
    </row>
    <row r="30" spans="2:21" x14ac:dyDescent="0.25">
      <c r="B30" s="22"/>
      <c r="C30" s="22"/>
      <c r="D30" s="22"/>
      <c r="E30" s="22"/>
    </row>
    <row r="31" spans="2:21" x14ac:dyDescent="0.25">
      <c r="B31" s="22"/>
      <c r="C31" s="22"/>
      <c r="D31" s="22"/>
      <c r="E31" s="22"/>
    </row>
    <row r="32" spans="2:21" x14ac:dyDescent="0.25">
      <c r="B32" s="22"/>
      <c r="C32" s="22"/>
      <c r="D32" s="22"/>
      <c r="E32" s="22"/>
    </row>
    <row r="33" spans="2:5" x14ac:dyDescent="0.25">
      <c r="B33" s="22"/>
      <c r="C33" s="22"/>
      <c r="D33" s="22"/>
      <c r="E33" s="22"/>
    </row>
    <row r="34" spans="2:5" x14ac:dyDescent="0.25">
      <c r="B34" s="23" t="s">
        <v>92</v>
      </c>
      <c r="C34" s="23"/>
      <c r="D34" s="23" t="s">
        <v>93</v>
      </c>
      <c r="E34" s="23"/>
    </row>
    <row r="35" spans="2:5" x14ac:dyDescent="0.25">
      <c r="B35" s="23" t="s">
        <v>94</v>
      </c>
      <c r="C35" s="23"/>
      <c r="D35" s="23">
        <v>0.15</v>
      </c>
      <c r="E35" s="23"/>
    </row>
    <row r="36" spans="2:5" x14ac:dyDescent="0.25">
      <c r="B36" s="23" t="s">
        <v>95</v>
      </c>
      <c r="C36" s="23"/>
      <c r="D36" s="23">
        <v>0.1</v>
      </c>
      <c r="E36" s="23"/>
    </row>
    <row r="37" spans="2:5" x14ac:dyDescent="0.25">
      <c r="B37" s="23" t="s">
        <v>96</v>
      </c>
      <c r="C37" s="23"/>
      <c r="D37" s="23">
        <v>0.05</v>
      </c>
      <c r="E37" s="23"/>
    </row>
    <row r="38" spans="2:5" x14ac:dyDescent="0.25">
      <c r="B38" s="23" t="s">
        <v>97</v>
      </c>
      <c r="C38" s="23"/>
      <c r="D38" s="23">
        <v>0.01</v>
      </c>
      <c r="E38" s="23"/>
    </row>
  </sheetData>
  <mergeCells count="16">
    <mergeCell ref="B37:C37"/>
    <mergeCell ref="D37:E37"/>
    <mergeCell ref="B38:C38"/>
    <mergeCell ref="D38:E38"/>
    <mergeCell ref="B35:C35"/>
    <mergeCell ref="D35:E35"/>
    <mergeCell ref="B36:C36"/>
    <mergeCell ref="D36:E36"/>
    <mergeCell ref="B29:E33"/>
    <mergeCell ref="B34:C34"/>
    <mergeCell ref="D34:E34"/>
    <mergeCell ref="D1:G1"/>
    <mergeCell ref="K1:N1"/>
    <mergeCell ref="R1:U1"/>
    <mergeCell ref="B26:E26"/>
    <mergeCell ref="B27:E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K = n|4</vt:lpstr>
      <vt:lpstr>K = n|2</vt:lpstr>
      <vt:lpstr>K = 3n|4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2021-11-03T20:36:57Z</dcterms:modified>
</cp:coreProperties>
</file>