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9" i="2"/>
  <c r="G10" i="2"/>
  <c r="G11" i="2"/>
  <c r="G12" i="2"/>
  <c r="G14" i="2"/>
  <c r="G15" i="2"/>
  <c r="G16" i="2"/>
  <c r="G17" i="2"/>
  <c r="G18" i="2"/>
  <c r="G19" i="2"/>
  <c r="G21" i="2"/>
  <c r="X23" i="3" l="1"/>
  <c r="AM13" i="3"/>
  <c r="AM20" i="3" l="1"/>
  <c r="AM26" i="3"/>
  <c r="AM26" i="2"/>
  <c r="AM26" i="1"/>
  <c r="AM25" i="1"/>
  <c r="AM25" i="2"/>
  <c r="AM25" i="3"/>
  <c r="AM24" i="3"/>
  <c r="AM24" i="2"/>
  <c r="AM24" i="1"/>
  <c r="AM23" i="1"/>
  <c r="AM23" i="2"/>
  <c r="AM23" i="3"/>
  <c r="AM22" i="3"/>
  <c r="AM22" i="2"/>
  <c r="AM22" i="1"/>
  <c r="AM21" i="1"/>
  <c r="AM21" i="2"/>
  <c r="AM21" i="3"/>
  <c r="AM20" i="2"/>
  <c r="AM20" i="1"/>
  <c r="AM19" i="3"/>
  <c r="AM19" i="2"/>
  <c r="AM19" i="1"/>
  <c r="AM18" i="1"/>
  <c r="AM18" i="2"/>
  <c r="AM18" i="3"/>
  <c r="AM17" i="3"/>
  <c r="AM17" i="2"/>
  <c r="AM17" i="1"/>
  <c r="AM16" i="1"/>
  <c r="AM16" i="2"/>
  <c r="AM16" i="3"/>
  <c r="AM15" i="3"/>
  <c r="AM15" i="2"/>
  <c r="AM15" i="1"/>
  <c r="AM14" i="1"/>
  <c r="AM14" i="2"/>
  <c r="AM14" i="3"/>
  <c r="AM13" i="2"/>
  <c r="AM13" i="1"/>
  <c r="AM12" i="1"/>
  <c r="AM12" i="2"/>
  <c r="AM12" i="3"/>
  <c r="AM11" i="3"/>
  <c r="AM11" i="2"/>
  <c r="AM11" i="1"/>
  <c r="AM10" i="1"/>
  <c r="AM10" i="2"/>
  <c r="AM10" i="3"/>
  <c r="AM9" i="3"/>
  <c r="AM9" i="2"/>
  <c r="AM9" i="1"/>
  <c r="AM8" i="1"/>
  <c r="AM8" i="2"/>
  <c r="AM8" i="3"/>
  <c r="AM7" i="3"/>
  <c r="AM7" i="2"/>
  <c r="AM7" i="1"/>
  <c r="AM6" i="1"/>
  <c r="AM6" i="2"/>
  <c r="AM6" i="3"/>
  <c r="AM5" i="3"/>
  <c r="AM5" i="2"/>
  <c r="AM5" i="1"/>
  <c r="AM4" i="1"/>
  <c r="AM4" i="2"/>
  <c r="AM4" i="3"/>
  <c r="AM3" i="3"/>
  <c r="AM3" i="2"/>
  <c r="AM3" i="1"/>
  <c r="X24" i="1"/>
  <c r="X24" i="2"/>
  <c r="X24" i="3"/>
  <c r="X23" i="2"/>
  <c r="X23" i="1"/>
  <c r="X22" i="1"/>
  <c r="X22" i="2"/>
  <c r="X22" i="3"/>
  <c r="X21" i="3"/>
  <c r="X21" i="2"/>
  <c r="X21" i="1"/>
  <c r="X20" i="1"/>
  <c r="X20" i="2"/>
  <c r="X20" i="3"/>
  <c r="X19" i="3"/>
  <c r="X19" i="2"/>
  <c r="X19" i="1"/>
  <c r="X18" i="1"/>
  <c r="X18" i="2"/>
  <c r="X18" i="3"/>
  <c r="X17" i="3"/>
  <c r="X17" i="2"/>
  <c r="X17" i="1"/>
  <c r="X16" i="1"/>
  <c r="X16" i="2"/>
  <c r="X16" i="3"/>
  <c r="X15" i="3"/>
  <c r="X15" i="2"/>
  <c r="X15" i="1"/>
  <c r="X14" i="1"/>
  <c r="X14" i="2"/>
  <c r="X14" i="3"/>
  <c r="X13" i="3"/>
  <c r="X13" i="2"/>
  <c r="X13" i="1"/>
  <c r="X12" i="1"/>
  <c r="X12" i="2"/>
  <c r="X12" i="3"/>
  <c r="X11" i="3"/>
  <c r="X11" i="2"/>
  <c r="X11" i="1"/>
  <c r="X5" i="1"/>
  <c r="X5" i="2"/>
  <c r="X5" i="3"/>
  <c r="X4" i="3"/>
  <c r="X4" i="2"/>
  <c r="X4" i="1"/>
  <c r="X3" i="1"/>
  <c r="X3" i="2"/>
  <c r="X3" i="3"/>
  <c r="I24" i="3"/>
  <c r="I24" i="2"/>
  <c r="I24" i="1"/>
  <c r="I23" i="1"/>
  <c r="I23" i="2"/>
  <c r="I23" i="3"/>
  <c r="I22" i="3"/>
  <c r="I22" i="2"/>
  <c r="I22" i="1"/>
  <c r="I21" i="1"/>
  <c r="I21" i="2"/>
  <c r="I21" i="3"/>
  <c r="I20" i="3"/>
  <c r="I20" i="2"/>
  <c r="I20" i="1"/>
  <c r="I19" i="1"/>
  <c r="I19" i="2"/>
  <c r="I19" i="3"/>
  <c r="I18" i="3"/>
  <c r="I18" i="2"/>
  <c r="I18" i="1"/>
  <c r="I17" i="1"/>
  <c r="I17" i="2"/>
  <c r="I17" i="3"/>
  <c r="I16" i="3"/>
  <c r="I16" i="2"/>
  <c r="I16" i="1"/>
  <c r="I15" i="1"/>
  <c r="I15" i="2"/>
  <c r="I15" i="3"/>
  <c r="I14" i="3"/>
  <c r="I14" i="2"/>
  <c r="I14" i="1"/>
  <c r="I13" i="1"/>
  <c r="I13" i="2"/>
  <c r="I13" i="3"/>
  <c r="I12" i="3"/>
  <c r="I12" i="2"/>
  <c r="I12" i="1"/>
  <c r="I11" i="1"/>
  <c r="I11" i="2"/>
  <c r="I11" i="3"/>
  <c r="I10" i="3"/>
  <c r="I10" i="2"/>
  <c r="I10" i="1"/>
  <c r="I9" i="1"/>
  <c r="I9" i="2"/>
  <c r="I9" i="3"/>
  <c r="I8" i="3"/>
  <c r="I8" i="2"/>
  <c r="I8" i="1"/>
  <c r="I7" i="1"/>
  <c r="I7" i="2"/>
  <c r="I7" i="3"/>
  <c r="I6" i="3"/>
  <c r="I6" i="2"/>
  <c r="I6" i="1"/>
  <c r="I5" i="1"/>
  <c r="I5" i="2"/>
  <c r="I4" i="2"/>
  <c r="I5" i="3"/>
  <c r="I3" i="3"/>
  <c r="I3" i="2"/>
  <c r="I3" i="1"/>
  <c r="AL26" i="3" l="1"/>
  <c r="AL26" i="2"/>
  <c r="AL26" i="1"/>
  <c r="AL25" i="1"/>
  <c r="AL25" i="2"/>
  <c r="AL25" i="3"/>
  <c r="AL24" i="3"/>
  <c r="AL24" i="2"/>
  <c r="AL24" i="1"/>
  <c r="AL23" i="1"/>
  <c r="AL23" i="2"/>
  <c r="AL23" i="3"/>
  <c r="AL22" i="3"/>
  <c r="AL22" i="2"/>
  <c r="AL22" i="1"/>
  <c r="AL21" i="1"/>
  <c r="AL21" i="2"/>
  <c r="AL21" i="3"/>
  <c r="AL20" i="3"/>
  <c r="AL20" i="2"/>
  <c r="AL20" i="1"/>
  <c r="AL19" i="1"/>
  <c r="AL19" i="2"/>
  <c r="AL19" i="3"/>
  <c r="AL18" i="3"/>
  <c r="AL18" i="2"/>
  <c r="AL18" i="1"/>
  <c r="AL17" i="3"/>
  <c r="AL17" i="2"/>
  <c r="AL17" i="1"/>
  <c r="AL16" i="1"/>
  <c r="AL16" i="2"/>
  <c r="AL16" i="3"/>
  <c r="AL15" i="3"/>
  <c r="AL15" i="2"/>
  <c r="AL15" i="1"/>
  <c r="AL14" i="1"/>
  <c r="AL14" i="2"/>
  <c r="AL14" i="3"/>
  <c r="AL13" i="3"/>
  <c r="AL13" i="2"/>
  <c r="AL13" i="1"/>
  <c r="AL12" i="1"/>
  <c r="AL12" i="2"/>
  <c r="AL12" i="3"/>
  <c r="AL11" i="3"/>
  <c r="AL11" i="2"/>
  <c r="AL11" i="1"/>
  <c r="AL10" i="1"/>
  <c r="AL10" i="2"/>
  <c r="AL10" i="3"/>
  <c r="AL9" i="3"/>
  <c r="AL9" i="2"/>
  <c r="AL9" i="1"/>
  <c r="AL8" i="1"/>
  <c r="AL8" i="2"/>
  <c r="AL8" i="3"/>
  <c r="AL7" i="3"/>
  <c r="AL7" i="2"/>
  <c r="AL7" i="1"/>
  <c r="AL6" i="1"/>
  <c r="AL6" i="2"/>
  <c r="AL6" i="3"/>
  <c r="AL5" i="3"/>
  <c r="AL5" i="2"/>
  <c r="AL5" i="1"/>
  <c r="AL4" i="1"/>
  <c r="AL4" i="2"/>
  <c r="AL4" i="3"/>
  <c r="AL3" i="3"/>
  <c r="AL3" i="2"/>
  <c r="AL3" i="1"/>
  <c r="W24" i="1"/>
  <c r="W24" i="2"/>
  <c r="W24" i="3"/>
  <c r="W23" i="3"/>
  <c r="W23" i="2"/>
  <c r="W23" i="1"/>
  <c r="W22" i="1"/>
  <c r="W22" i="2"/>
  <c r="W22" i="3"/>
  <c r="W21" i="3"/>
  <c r="W21" i="2"/>
  <c r="W21" i="1"/>
  <c r="W20" i="1"/>
  <c r="W20" i="2"/>
  <c r="W20" i="3"/>
  <c r="W19" i="3"/>
  <c r="W19" i="2"/>
  <c r="W19" i="1"/>
  <c r="W18" i="1"/>
  <c r="W18" i="2"/>
  <c r="W18" i="3"/>
  <c r="W17" i="3"/>
  <c r="W17" i="2"/>
  <c r="W17" i="1"/>
  <c r="W16" i="1"/>
  <c r="W16" i="2"/>
  <c r="W16" i="3"/>
  <c r="W15" i="3"/>
  <c r="W15" i="2"/>
  <c r="W15" i="1"/>
  <c r="W14" i="1"/>
  <c r="W14" i="2"/>
  <c r="W14" i="3"/>
  <c r="W13" i="3"/>
  <c r="W13" i="2"/>
  <c r="W13" i="1"/>
  <c r="W12" i="1"/>
  <c r="W12" i="2"/>
  <c r="W12" i="3"/>
  <c r="W11" i="3"/>
  <c r="W11" i="2"/>
  <c r="W11" i="1"/>
  <c r="W5" i="1"/>
  <c r="W5" i="2"/>
  <c r="W5" i="3"/>
  <c r="W4" i="3"/>
  <c r="W4" i="2"/>
  <c r="W4" i="1"/>
  <c r="W3" i="1"/>
  <c r="W3" i="2"/>
  <c r="W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5" i="3"/>
  <c r="H3" i="3"/>
  <c r="H3" i="2"/>
  <c r="H3" i="1"/>
  <c r="AK24" i="1"/>
  <c r="AK24" i="2"/>
  <c r="AK24" i="3"/>
  <c r="AK23" i="3"/>
  <c r="AK23" i="2"/>
  <c r="AK23" i="1"/>
  <c r="AK22" i="1"/>
  <c r="AK22" i="2"/>
  <c r="AK22" i="3"/>
  <c r="AK21" i="3"/>
  <c r="AK21" i="2"/>
  <c r="AK21" i="1"/>
  <c r="AK20" i="1"/>
  <c r="AK20" i="2"/>
  <c r="AK20" i="3"/>
  <c r="AK19" i="3"/>
  <c r="AK19" i="2"/>
  <c r="AK19" i="1"/>
  <c r="AK18" i="1"/>
  <c r="AK18" i="2"/>
  <c r="AK17" i="2"/>
  <c r="AK17" i="1"/>
  <c r="AK16" i="1"/>
  <c r="AK16" i="2"/>
  <c r="AK18" i="3"/>
  <c r="AK17" i="3"/>
  <c r="AK16" i="3"/>
  <c r="AK15" i="3"/>
  <c r="AK15" i="2"/>
  <c r="AK15" i="1"/>
  <c r="AK14" i="1"/>
  <c r="AK14" i="2"/>
  <c r="AK14" i="3"/>
  <c r="AK13" i="3"/>
  <c r="AK13" i="2"/>
  <c r="AK13" i="1"/>
  <c r="AK12" i="1"/>
  <c r="AK12" i="2"/>
  <c r="AK12" i="3"/>
  <c r="AK11" i="3"/>
  <c r="AK11" i="2"/>
  <c r="AK11" i="1"/>
  <c r="AK10" i="1"/>
  <c r="AK10" i="2"/>
  <c r="AK10" i="3"/>
  <c r="AK9" i="3"/>
  <c r="AK9" i="2"/>
  <c r="AK9" i="1"/>
  <c r="AK8" i="1"/>
  <c r="AK8" i="2"/>
  <c r="AK8" i="3"/>
  <c r="AK7" i="3"/>
  <c r="AK7" i="2"/>
  <c r="AK7" i="1"/>
  <c r="AK6" i="1"/>
  <c r="AK6" i="2"/>
  <c r="AK6" i="3"/>
  <c r="AK5" i="3"/>
  <c r="AK5" i="2"/>
  <c r="AK5" i="1"/>
  <c r="AK4" i="1"/>
  <c r="AK4" i="2"/>
  <c r="AK4" i="3"/>
  <c r="AK3" i="3"/>
  <c r="AK3" i="2"/>
  <c r="AK3" i="1"/>
  <c r="V24" i="1"/>
  <c r="V24" i="2"/>
  <c r="V24" i="3"/>
  <c r="V23" i="3"/>
  <c r="V23" i="2"/>
  <c r="V23" i="1"/>
  <c r="V22" i="1"/>
  <c r="V22" i="2"/>
  <c r="V22" i="3"/>
  <c r="V21" i="3"/>
  <c r="V21" i="2"/>
  <c r="V21" i="1"/>
  <c r="V20" i="1"/>
  <c r="V20" i="2"/>
  <c r="V20" i="3"/>
  <c r="V19" i="3" l="1"/>
  <c r="V19" i="2"/>
  <c r="V19" i="1"/>
  <c r="V18" i="1"/>
  <c r="V18" i="2"/>
  <c r="V18" i="3"/>
  <c r="V17" i="3"/>
  <c r="V17" i="2"/>
  <c r="V17" i="1"/>
  <c r="V16" i="1"/>
  <c r="V16" i="2"/>
  <c r="V16" i="3"/>
  <c r="V15" i="3"/>
  <c r="V15" i="2"/>
  <c r="V15" i="1"/>
  <c r="V14" i="1"/>
  <c r="V14" i="2"/>
  <c r="V14" i="3"/>
  <c r="V13" i="3"/>
  <c r="V13" i="2"/>
  <c r="V13" i="1"/>
  <c r="V12" i="1"/>
  <c r="V12" i="2"/>
  <c r="V12" i="3"/>
  <c r="V11" i="3"/>
  <c r="V11" i="2"/>
  <c r="V11" i="1"/>
  <c r="V5" i="1"/>
  <c r="V5" i="2"/>
  <c r="V5" i="3"/>
  <c r="V4" i="3"/>
  <c r="V4" i="2"/>
  <c r="V4" i="1"/>
  <c r="V3" i="1"/>
  <c r="V3" i="2"/>
  <c r="V3" i="3"/>
  <c r="G21" i="3"/>
  <c r="G21" i="1"/>
  <c r="G19" i="1"/>
  <c r="G19" i="3"/>
  <c r="G18" i="3"/>
  <c r="G18" i="1"/>
  <c r="G17" i="1"/>
  <c r="G17" i="3"/>
  <c r="G16" i="3"/>
  <c r="G16" i="1"/>
  <c r="G15" i="1"/>
  <c r="G15" i="3"/>
  <c r="G14" i="3"/>
  <c r="G14" i="1"/>
  <c r="G12" i="3" l="1"/>
  <c r="G12" i="1"/>
  <c r="G11" i="1"/>
  <c r="G11" i="3"/>
  <c r="G10" i="3"/>
  <c r="G10" i="1"/>
  <c r="G9" i="1"/>
  <c r="G9" i="3"/>
  <c r="G6" i="3"/>
  <c r="G6" i="1"/>
  <c r="G5" i="3"/>
  <c r="G5" i="1"/>
  <c r="G3" i="3"/>
  <c r="G4" i="1"/>
  <c r="G3" i="1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G4" i="3"/>
  <c r="H4" i="3"/>
  <c r="I4" i="3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H4" i="2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H4" i="1"/>
  <c r="I4" i="1"/>
</calcChain>
</file>

<file path=xl/sharedStrings.xml><?xml version="1.0" encoding="utf-8"?>
<sst xmlns="http://schemas.openxmlformats.org/spreadsheetml/2006/main" count="367" uniqueCount="104">
  <si>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</si>
  <si>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</si>
  <si>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</si>
  <si>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</si>
  <si>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</si>
  <si>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</si>
  <si>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</si>
  <si>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</si>
  <si>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</si>
  <si>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</si>
  <si>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</si>
  <si>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</si>
  <si>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</si>
  <si>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</si>
  <si>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</si>
  <si>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</si>
  <si>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</si>
  <si>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</si>
  <si>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</si>
  <si>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</si>
  <si>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</si>
  <si>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</si>
  <si>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</si>
  <si>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</si>
  <si>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</si>
  <si>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</si>
  <si>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</si>
  <si>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</si>
  <si>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</si>
  <si>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</si>
  <si>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</si>
  <si>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</si>
  <si>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</si>
  <si>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</si>
  <si>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</si>
  <si>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</si>
  <si>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</si>
  <si>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</si>
  <si>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</si>
  <si>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</si>
  <si>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</si>
  <si>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</si>
  <si>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</si>
  <si>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</si>
  <si>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</si>
  <si>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</si>
  <si>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</si>
  <si>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</si>
  <si>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</si>
  <si>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</si>
  <si>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</si>
  <si>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</si>
  <si>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</si>
  <si>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</si>
  <si>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</si>
  <si>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</si>
  <si>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</si>
  <si>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</si>
  <si>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</si>
  <si>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</si>
  <si>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</si>
  <si>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</si>
  <si>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</si>
  <si>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</si>
  <si>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</si>
  <si>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</si>
  <si>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</si>
  <si>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</si>
  <si>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</si>
  <si>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</si>
  <si>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</si>
  <si>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</si>
  <si>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</si>
  <si>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</si>
  <si>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</si>
  <si>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</si>
  <si>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</si>
  <si>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</si>
  <si>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</si>
  <si>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</si>
  <si>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</si>
  <si>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</si>
  <si>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</si>
  <si>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</si>
  <si>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</si>
  <si>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</si>
  <si>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</si>
  <si>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</si>
  <si>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</si>
  <si>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</si>
  <si>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</si>
  <si>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HVMPA_5%</t>
  </si>
  <si>
    <t>HVMPA_10%</t>
  </si>
  <si>
    <t>HMVPA_20%</t>
  </si>
  <si>
    <t>HVMPA_20%</t>
  </si>
  <si>
    <t>Best found</t>
  </si>
  <si>
    <t>Best known</t>
  </si>
  <si>
    <t>Best Known</t>
  </si>
  <si>
    <t>HVMPA_3</t>
  </si>
  <si>
    <t>HVMP_3</t>
  </si>
  <si>
    <t>BL Troca</t>
  </si>
  <si>
    <t>BL Inserção</t>
  </si>
  <si>
    <t>BL 2-OPT</t>
  </si>
  <si>
    <t>6789.91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</si>
</sst>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opLeftCell="AF1" zoomScale="70" zoomScaleNormal="70" workbookViewId="0">
      <selection activeCell="AP26" sqref="AP26"/>
    </sheetView>
  </sheetViews>
  <sheetFormatPr defaultRowHeight="15" x14ac:dyDescent="0.25"/>
  <cols>
    <col min="2" max="2" width="9.7109375" bestFit="1" customWidth="1"/>
    <col min="3" max="3" width="17.85546875" bestFit="1" customWidth="1"/>
    <col min="7" max="7" width="12" bestFit="1" customWidth="1"/>
    <col min="8" max="8" width="12.28515625" bestFit="1" customWidth="1"/>
    <col min="9" max="12" width="12.28515625" customWidth="1"/>
    <col min="14" max="14" width="11.42578125" bestFit="1" customWidth="1"/>
    <col min="15" max="15" width="10.5703125" bestFit="1" customWidth="1"/>
    <col min="16" max="16" width="5.85546875" customWidth="1"/>
    <col min="18" max="18" width="17.85546875" bestFit="1" customWidth="1"/>
    <col min="19" max="19" width="12" bestFit="1" customWidth="1"/>
    <col min="20" max="20" width="12.28515625" bestFit="1" customWidth="1"/>
    <col min="21" max="21" width="9.7109375" bestFit="1" customWidth="1"/>
    <col min="22" max="22" width="12.28515625" bestFit="1" customWidth="1"/>
    <col min="23" max="23" width="10" customWidth="1"/>
    <col min="24" max="24" width="8.42578125" customWidth="1"/>
    <col min="25" max="27" width="12.28515625" customWidth="1"/>
    <col min="28" max="28" width="9.7109375" bestFit="1" customWidth="1"/>
    <col min="29" max="29" width="11.42578125" bestFit="1" customWidth="1"/>
    <col min="30" max="30" width="10.5703125" bestFit="1" customWidth="1"/>
    <col min="31" max="31" width="3.42578125" customWidth="1"/>
    <col min="32" max="32" width="12" bestFit="1" customWidth="1"/>
    <col min="33" max="33" width="17.85546875" bestFit="1" customWidth="1"/>
    <col min="34" max="34" width="12" bestFit="1" customWidth="1"/>
    <col min="35" max="35" width="12.28515625" bestFit="1" customWidth="1"/>
    <col min="36" max="36" width="9.7109375" bestFit="1" customWidth="1"/>
    <col min="37" max="37" width="8.5703125" customWidth="1"/>
    <col min="38" max="38" width="8.42578125" customWidth="1"/>
    <col min="39" max="39" width="12.28515625" bestFit="1" customWidth="1"/>
    <col min="40" max="42" width="12.28515625" customWidth="1"/>
    <col min="44" max="44" width="11.42578125" bestFit="1" customWidth="1"/>
    <col min="45" max="45" width="10.5703125" bestFit="1" customWidth="1"/>
  </cols>
  <sheetData>
    <row r="1" spans="2:45" x14ac:dyDescent="0.25">
      <c r="B1" s="18"/>
      <c r="C1" s="18" t="s">
        <v>75</v>
      </c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Q1" s="18"/>
      <c r="R1" s="18" t="s">
        <v>75</v>
      </c>
      <c r="S1" s="28" t="s">
        <v>1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F1" s="1"/>
      <c r="AG1" s="1" t="s">
        <v>75</v>
      </c>
      <c r="AH1" s="28" t="s">
        <v>1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2:45" x14ac:dyDescent="0.25">
      <c r="B2" s="18" t="s">
        <v>0</v>
      </c>
      <c r="C2" s="18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93</v>
      </c>
      <c r="J2" s="25" t="s">
        <v>100</v>
      </c>
      <c r="K2" s="25" t="s">
        <v>101</v>
      </c>
      <c r="L2" s="25" t="s">
        <v>102</v>
      </c>
      <c r="M2" s="18" t="s">
        <v>4</v>
      </c>
      <c r="N2" s="18" t="s">
        <v>97</v>
      </c>
      <c r="O2" s="19" t="s">
        <v>95</v>
      </c>
      <c r="Q2" s="18" t="s">
        <v>0</v>
      </c>
      <c r="R2" s="18" t="s">
        <v>22</v>
      </c>
      <c r="S2" s="18" t="s">
        <v>2</v>
      </c>
      <c r="T2" s="18" t="s">
        <v>3</v>
      </c>
      <c r="U2" s="20" t="s">
        <v>98</v>
      </c>
      <c r="V2" s="18" t="s">
        <v>91</v>
      </c>
      <c r="W2" s="18" t="s">
        <v>92</v>
      </c>
      <c r="X2" s="18" t="s">
        <v>93</v>
      </c>
      <c r="Y2" s="25" t="s">
        <v>100</v>
      </c>
      <c r="Z2" s="25" t="s">
        <v>101</v>
      </c>
      <c r="AA2" s="25" t="s">
        <v>102</v>
      </c>
      <c r="AB2" s="18" t="s">
        <v>4</v>
      </c>
      <c r="AC2" s="19" t="s">
        <v>97</v>
      </c>
      <c r="AD2" s="19" t="s">
        <v>95</v>
      </c>
      <c r="AF2" s="1" t="s">
        <v>0</v>
      </c>
      <c r="AG2" s="1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8" t="s">
        <v>5</v>
      </c>
      <c r="C3" s="18">
        <v>70</v>
      </c>
      <c r="D3" s="18" t="s">
        <v>78</v>
      </c>
      <c r="E3" s="18">
        <v>746.64</v>
      </c>
      <c r="F3" s="20">
        <v>906.12</v>
      </c>
      <c r="G3" s="18">
        <f xml:space="preserve"> AVERAGE(1505.1,1632.26,1696.96)</f>
        <v>1611.4399999999998</v>
      </c>
      <c r="H3" s="18">
        <f xml:space="preserve"> AVERAGE(2027.61,1928.2,2403.43)</f>
        <v>2119.7466666666664</v>
      </c>
      <c r="I3" s="18">
        <f xml:space="preserve"> AVERAGE(3175.05,3284.1,3320.17)</f>
        <v>3259.7733333333331</v>
      </c>
      <c r="J3" s="25">
        <v>625.97</v>
      </c>
      <c r="K3" s="25">
        <v>625.97</v>
      </c>
      <c r="L3" s="25">
        <v>625.97</v>
      </c>
      <c r="M3" s="18"/>
      <c r="N3" s="18">
        <v>670</v>
      </c>
      <c r="O3" s="17">
        <v>686</v>
      </c>
      <c r="Q3" s="18" t="s">
        <v>28</v>
      </c>
      <c r="R3" s="18">
        <v>12</v>
      </c>
      <c r="S3" s="18">
        <v>668</v>
      </c>
      <c r="T3" s="18">
        <v>558</v>
      </c>
      <c r="U3" s="20">
        <v>894</v>
      </c>
      <c r="V3" s="18">
        <f>AVERAGE(883,650,909)</f>
        <v>814</v>
      </c>
      <c r="W3" s="18">
        <f>AVERAGE(1282,1108,934)</f>
        <v>1108</v>
      </c>
      <c r="X3" s="18">
        <f>AVERAGE(2101,2244,1582)</f>
        <v>1975.6666666666667</v>
      </c>
      <c r="Y3" s="25">
        <v>668</v>
      </c>
      <c r="Z3" s="25">
        <v>668</v>
      </c>
      <c r="AA3" s="25">
        <v>668</v>
      </c>
      <c r="AB3" s="18"/>
      <c r="AC3" s="17">
        <v>874</v>
      </c>
      <c r="AD3" s="17">
        <v>874</v>
      </c>
      <c r="AF3" s="1" t="s">
        <v>49</v>
      </c>
      <c r="AG3" s="1">
        <v>19</v>
      </c>
      <c r="AH3" s="18">
        <v>25126.84</v>
      </c>
      <c r="AI3" s="18">
        <v>25126.84</v>
      </c>
      <c r="AJ3" s="20">
        <v>27060.18</v>
      </c>
      <c r="AK3" s="18">
        <f>AVERAGE(34231.94,35331.27,35580.93)</f>
        <v>35048.046666666662</v>
      </c>
      <c r="AL3" s="18">
        <f>AVERAGE(43328.75,41421.5,38555.79)</f>
        <v>41102.013333333336</v>
      </c>
      <c r="AM3" s="18">
        <f>AVERAGE(46680.19,51937.8,54674.06)</f>
        <v>51097.35</v>
      </c>
      <c r="AN3" s="25">
        <v>25126.84</v>
      </c>
      <c r="AO3" s="25">
        <v>25126.84</v>
      </c>
      <c r="AP3" s="25">
        <v>25126.84</v>
      </c>
      <c r="AQ3" s="18"/>
      <c r="AR3" s="17">
        <v>23450</v>
      </c>
      <c r="AS3" s="17">
        <v>23450</v>
      </c>
    </row>
    <row r="4" spans="2:45" x14ac:dyDescent="0.25">
      <c r="B4" s="18" t="s">
        <v>6</v>
      </c>
      <c r="C4" s="18">
        <v>133</v>
      </c>
      <c r="D4" s="18"/>
      <c r="E4" s="18"/>
      <c r="F4" s="20"/>
      <c r="G4" s="18">
        <f>AVERAGE(1)</f>
        <v>1</v>
      </c>
      <c r="H4" s="18">
        <f xml:space="preserve"> AVERAGE(1)</f>
        <v>1</v>
      </c>
      <c r="I4" s="18">
        <f xml:space="preserve"> AVERAGE(1)</f>
        <v>1</v>
      </c>
      <c r="J4" s="25"/>
      <c r="K4" s="25"/>
      <c r="L4" s="25"/>
      <c r="M4" s="18"/>
      <c r="N4" s="18"/>
      <c r="O4" s="17"/>
      <c r="Q4" s="18" t="s">
        <v>29</v>
      </c>
      <c r="R4" s="18">
        <v>24</v>
      </c>
      <c r="S4" s="18">
        <v>11086.43</v>
      </c>
      <c r="T4" s="18">
        <v>9934.0499999999993</v>
      </c>
      <c r="U4" s="20">
        <v>16705.45</v>
      </c>
      <c r="V4" s="18">
        <f>AVERAGE(20093,23146.55,19097.46)</f>
        <v>20779.003333333334</v>
      </c>
      <c r="W4" s="18">
        <f>AVERAGE(23860.74,23986.37,23918.43)</f>
        <v>23921.846666666668</v>
      </c>
      <c r="X4" s="18">
        <f>AVERAGE(40325.7,39806.4,37967.84)</f>
        <v>39366.646666666667</v>
      </c>
      <c r="Y4" s="25">
        <v>10630.39</v>
      </c>
      <c r="Z4" s="25">
        <v>10068.39</v>
      </c>
      <c r="AA4" s="25">
        <v>10660.31</v>
      </c>
      <c r="AB4" s="18"/>
      <c r="AC4" s="17">
        <v>10460</v>
      </c>
      <c r="AD4" s="17">
        <v>9543</v>
      </c>
      <c r="AF4" s="1" t="s">
        <v>50</v>
      </c>
      <c r="AG4" s="1">
        <v>26</v>
      </c>
      <c r="AH4" s="18" t="s">
        <v>86</v>
      </c>
      <c r="AI4" s="18">
        <v>7486.75</v>
      </c>
      <c r="AJ4" s="20">
        <v>10176.65</v>
      </c>
      <c r="AK4" s="18">
        <f>AVERAGE(11787.58,13221.13,11889.39)</f>
        <v>12299.366666666667</v>
      </c>
      <c r="AL4" s="18">
        <f>AVERAGE(26236.66,21389.02,16226.9)</f>
        <v>21284.193333333333</v>
      </c>
      <c r="AM4" s="18">
        <f>AVERAGE(30635.8,20645.57,26540.59)</f>
        <v>25940.653333333332</v>
      </c>
      <c r="AN4" s="25">
        <v>7769.74</v>
      </c>
      <c r="AO4" s="25">
        <v>7564.94</v>
      </c>
      <c r="AP4" s="25">
        <v>7359.17</v>
      </c>
      <c r="AQ4" s="18"/>
      <c r="AR4" s="17">
        <v>8443</v>
      </c>
      <c r="AS4" s="17">
        <v>8443</v>
      </c>
    </row>
    <row r="5" spans="2:45" x14ac:dyDescent="0.25">
      <c r="B5" s="3" t="s">
        <v>7</v>
      </c>
      <c r="C5" s="3">
        <v>12</v>
      </c>
      <c r="D5" s="3">
        <v>1409</v>
      </c>
      <c r="E5" s="3">
        <v>1409</v>
      </c>
      <c r="F5" s="3">
        <v>2566</v>
      </c>
      <c r="G5" s="3">
        <f xml:space="preserve"> AVERAGE(1564,1845,2288)</f>
        <v>1899</v>
      </c>
      <c r="H5" s="3">
        <f xml:space="preserve"> AVERAGE(2235,3242,3149)</f>
        <v>2875.3333333333335</v>
      </c>
      <c r="I5" s="3">
        <f xml:space="preserve"> AVERAGE(3795,3928,4574)</f>
        <v>4099</v>
      </c>
      <c r="J5" s="3">
        <v>1373</v>
      </c>
      <c r="K5" s="3">
        <v>1373</v>
      </c>
      <c r="L5" s="3">
        <v>1373</v>
      </c>
      <c r="M5" s="3">
        <v>1239</v>
      </c>
      <c r="N5" s="3"/>
      <c r="O5" s="24"/>
      <c r="Q5" s="18" t="s">
        <v>30</v>
      </c>
      <c r="R5" s="18">
        <v>30</v>
      </c>
      <c r="S5" s="18">
        <v>1411</v>
      </c>
      <c r="T5" s="18">
        <v>1422</v>
      </c>
      <c r="U5" s="20">
        <v>1740</v>
      </c>
      <c r="V5" s="18">
        <f>AVERAGE(2200,2636,2649)</f>
        <v>2495</v>
      </c>
      <c r="W5" s="18">
        <f>AVERAGE(3332,3136,3512)</f>
        <v>3326.6666666666665</v>
      </c>
      <c r="X5" s="18">
        <f>AVERAGE(5188,5237,4688)</f>
        <v>5037.666666666667</v>
      </c>
      <c r="Y5" s="25">
        <v>1376</v>
      </c>
      <c r="Z5" s="25">
        <v>1376</v>
      </c>
      <c r="AA5" s="25">
        <v>1376</v>
      </c>
      <c r="AB5" s="18"/>
      <c r="AC5" s="17"/>
      <c r="AD5" s="17"/>
      <c r="AF5" s="1" t="s">
        <v>51</v>
      </c>
      <c r="AG5" s="1">
        <v>31</v>
      </c>
      <c r="AH5" s="18">
        <v>10765.78</v>
      </c>
      <c r="AI5" s="18">
        <v>14065.44</v>
      </c>
      <c r="AJ5" s="20">
        <v>26231.94</v>
      </c>
      <c r="AK5" s="18">
        <f>AVERAGE(28708.52,23641.97,28071.05)</f>
        <v>26807.180000000004</v>
      </c>
      <c r="AL5" s="18">
        <f>AVERAGE(36094.43,41557.16,36682.08)</f>
        <v>38111.223333333335</v>
      </c>
      <c r="AM5" s="18">
        <f>AVERAGE(53723.37,52942.14,42720.1)</f>
        <v>49795.203333333338</v>
      </c>
      <c r="AN5" s="25">
        <v>10765.78</v>
      </c>
      <c r="AO5" s="25">
        <v>10765.78</v>
      </c>
      <c r="AP5" s="25">
        <v>10765.78</v>
      </c>
      <c r="AQ5" s="18"/>
      <c r="AR5" s="17">
        <v>14640</v>
      </c>
      <c r="AS5" s="17">
        <v>14325</v>
      </c>
    </row>
    <row r="6" spans="2:45" x14ac:dyDescent="0.25">
      <c r="B6" s="18" t="s">
        <v>8</v>
      </c>
      <c r="C6" s="18">
        <v>133</v>
      </c>
      <c r="D6" s="18">
        <v>5712</v>
      </c>
      <c r="E6" s="18">
        <v>4475</v>
      </c>
      <c r="F6" s="20">
        <v>5949</v>
      </c>
      <c r="G6" s="18">
        <f xml:space="preserve"> AVERAGE(14321,17859,14830)</f>
        <v>15670</v>
      </c>
      <c r="H6" s="18">
        <f xml:space="preserve"> AVERAGE(20903,21351,21298)</f>
        <v>21184</v>
      </c>
      <c r="I6" s="18">
        <f xml:space="preserve"> AVERAGE(32813,31904,30501)</f>
        <v>31739.333333333332</v>
      </c>
      <c r="J6" s="25">
        <v>5619</v>
      </c>
      <c r="K6" s="25">
        <v>5553</v>
      </c>
      <c r="L6" s="25">
        <v>5550</v>
      </c>
      <c r="M6" s="18"/>
      <c r="N6" s="18"/>
      <c r="O6" s="17"/>
      <c r="Q6" s="18" t="s">
        <v>31</v>
      </c>
      <c r="R6" s="18">
        <v>34</v>
      </c>
      <c r="S6" s="18"/>
      <c r="T6" s="18"/>
      <c r="U6" s="20"/>
      <c r="V6" s="18">
        <f>AVERAGE(1)</f>
        <v>1</v>
      </c>
      <c r="W6" s="18">
        <f t="shared" ref="W6:X10" si="0">AVERAGE(1)</f>
        <v>1</v>
      </c>
      <c r="X6" s="18">
        <f t="shared" si="0"/>
        <v>1</v>
      </c>
      <c r="Y6" s="25"/>
      <c r="Z6" s="25"/>
      <c r="AA6" s="25"/>
      <c r="AB6" s="18"/>
      <c r="AC6" s="17">
        <v>17399</v>
      </c>
      <c r="AD6" s="17">
        <v>17399</v>
      </c>
      <c r="AF6" s="1" t="s">
        <v>52</v>
      </c>
      <c r="AG6" s="1">
        <v>34</v>
      </c>
      <c r="AH6" s="18">
        <v>22828.74</v>
      </c>
      <c r="AI6" s="18">
        <v>23907.89</v>
      </c>
      <c r="AJ6" s="20">
        <v>31943.96</v>
      </c>
      <c r="AK6" s="18">
        <f>AVERAGE(37011.37,39208.49,33323.61)</f>
        <v>36514.49</v>
      </c>
      <c r="AL6" s="18">
        <f>AVERAGE(50005.65,54819.57,52088.07)</f>
        <v>52304.43</v>
      </c>
      <c r="AM6" s="18">
        <f>AVERAGE(59482.64,74324.22,76315)</f>
        <v>70040.62</v>
      </c>
      <c r="AN6" s="25">
        <v>22828.74</v>
      </c>
      <c r="AO6" s="25">
        <v>22109.3</v>
      </c>
      <c r="AP6" s="25">
        <v>21887.32</v>
      </c>
      <c r="AQ6" s="18"/>
      <c r="AR6" s="17">
        <v>21116</v>
      </c>
      <c r="AS6" s="17">
        <v>21116</v>
      </c>
    </row>
    <row r="7" spans="2:45" x14ac:dyDescent="0.25">
      <c r="B7" s="3" t="s">
        <v>9</v>
      </c>
      <c r="C7" s="3">
        <v>7</v>
      </c>
      <c r="D7" s="3">
        <v>292</v>
      </c>
      <c r="E7" s="3">
        <v>292</v>
      </c>
      <c r="F7" s="3">
        <v>283</v>
      </c>
      <c r="G7" s="14">
        <v>292</v>
      </c>
      <c r="H7" s="3">
        <f xml:space="preserve"> AVERAGE(326,359,371)</f>
        <v>352</v>
      </c>
      <c r="I7" s="3">
        <f xml:space="preserve"> AVERAGE(438,359,505)</f>
        <v>434</v>
      </c>
      <c r="J7" s="3">
        <v>292</v>
      </c>
      <c r="K7" s="3">
        <v>292</v>
      </c>
      <c r="L7" s="3">
        <v>292</v>
      </c>
      <c r="M7" s="3">
        <v>246</v>
      </c>
      <c r="N7" s="3">
        <v>332</v>
      </c>
      <c r="O7" s="24">
        <v>332</v>
      </c>
      <c r="Q7" s="18" t="s">
        <v>32</v>
      </c>
      <c r="R7" s="18">
        <v>50</v>
      </c>
      <c r="S7" s="18"/>
      <c r="T7" s="18"/>
      <c r="U7" s="20"/>
      <c r="V7" s="18">
        <f>AVERAGE(1)</f>
        <v>1</v>
      </c>
      <c r="W7" s="18">
        <f t="shared" si="0"/>
        <v>1</v>
      </c>
      <c r="X7" s="18">
        <f t="shared" si="0"/>
        <v>1</v>
      </c>
      <c r="Y7" s="25"/>
      <c r="Z7" s="25"/>
      <c r="AA7" s="25"/>
      <c r="AB7" s="18"/>
      <c r="AC7" s="17">
        <v>8142</v>
      </c>
      <c r="AD7" s="17">
        <v>8142</v>
      </c>
      <c r="AF7" s="1" t="s">
        <v>53</v>
      </c>
      <c r="AG7" s="1">
        <v>36</v>
      </c>
      <c r="AH7" s="18">
        <v>10893.75</v>
      </c>
      <c r="AI7" s="18">
        <v>12001.03</v>
      </c>
      <c r="AJ7" s="20">
        <v>24093.39</v>
      </c>
      <c r="AK7" s="18">
        <f>AVERAGE(34465.92,32737.24,31541.07)</f>
        <v>32914.743333333339</v>
      </c>
      <c r="AL7" s="18">
        <f>AVERAGE(50770.88,48412.88,50766.97)</f>
        <v>49983.57666666666</v>
      </c>
      <c r="AM7" s="18">
        <f>AVERAGE(70949.67,67430.23,67142.69)</f>
        <v>68507.53</v>
      </c>
      <c r="AN7" s="25">
        <v>10778.34</v>
      </c>
      <c r="AO7" s="25">
        <v>10742.86</v>
      </c>
      <c r="AP7" s="25">
        <v>10778.43</v>
      </c>
      <c r="AQ7" s="18"/>
      <c r="AR7" s="17">
        <v>14327</v>
      </c>
      <c r="AS7" s="17">
        <v>14327</v>
      </c>
    </row>
    <row r="8" spans="2:45" x14ac:dyDescent="0.25">
      <c r="B8" s="3" t="s">
        <v>10</v>
      </c>
      <c r="C8" s="3">
        <v>7</v>
      </c>
      <c r="D8" s="3">
        <v>352</v>
      </c>
      <c r="E8" s="3">
        <v>352</v>
      </c>
      <c r="F8" s="3">
        <v>380</v>
      </c>
      <c r="G8" s="14">
        <v>352</v>
      </c>
      <c r="H8" s="3">
        <f xml:space="preserve"> AVERAGE(382,460,437)</f>
        <v>426.33333333333331</v>
      </c>
      <c r="I8" s="3">
        <f xml:space="preserve"> AVERAGE(671,522,530)</f>
        <v>574.33333333333337</v>
      </c>
      <c r="J8" s="3">
        <v>352</v>
      </c>
      <c r="K8" s="3">
        <v>352</v>
      </c>
      <c r="L8" s="3">
        <v>352</v>
      </c>
      <c r="M8" s="4">
        <v>282</v>
      </c>
      <c r="N8" s="3">
        <v>400</v>
      </c>
      <c r="O8" s="24">
        <v>400</v>
      </c>
      <c r="Q8" s="18" t="s">
        <v>33</v>
      </c>
      <c r="R8" s="18">
        <v>57</v>
      </c>
      <c r="S8" s="18"/>
      <c r="T8" s="18"/>
      <c r="U8" s="20"/>
      <c r="V8" s="18">
        <f>AVERAGE(1)</f>
        <v>1</v>
      </c>
      <c r="W8" s="18">
        <f t="shared" si="0"/>
        <v>1</v>
      </c>
      <c r="X8" s="18">
        <f t="shared" si="0"/>
        <v>1</v>
      </c>
      <c r="Y8" s="25"/>
      <c r="Z8" s="25"/>
      <c r="AA8" s="25"/>
      <c r="AB8" s="18"/>
      <c r="AC8" s="17">
        <v>18555</v>
      </c>
      <c r="AD8" s="17">
        <v>18555</v>
      </c>
      <c r="AF8" s="1" t="s">
        <v>54</v>
      </c>
      <c r="AG8" s="1">
        <v>38</v>
      </c>
      <c r="AH8" s="18">
        <v>17072</v>
      </c>
      <c r="AI8" s="18">
        <v>17072</v>
      </c>
      <c r="AJ8" s="20">
        <v>28867.94</v>
      </c>
      <c r="AK8" s="18">
        <f>AVERAGE(37722.49,35121.04,52458.35)</f>
        <v>41767.293333333335</v>
      </c>
      <c r="AL8" s="18">
        <f>AVERAGE(65029.81,72456.52,68871.05)</f>
        <v>68785.793333333335</v>
      </c>
      <c r="AM8" s="18">
        <f>AVERAGE(76385.41,82378.46,77170.24)</f>
        <v>78644.703333333324</v>
      </c>
      <c r="AN8" s="25">
        <v>15403.26</v>
      </c>
      <c r="AO8" s="25">
        <v>15403.26</v>
      </c>
      <c r="AP8" s="25">
        <v>15403.26</v>
      </c>
      <c r="AQ8" s="18"/>
      <c r="AR8" s="17">
        <v>23195</v>
      </c>
      <c r="AS8" s="17">
        <v>20029</v>
      </c>
    </row>
    <row r="9" spans="2:45" x14ac:dyDescent="0.25">
      <c r="B9" s="3" t="s">
        <v>11</v>
      </c>
      <c r="C9" s="3">
        <v>13</v>
      </c>
      <c r="D9" s="3">
        <v>604.66</v>
      </c>
      <c r="E9" s="3">
        <v>604.66</v>
      </c>
      <c r="F9" s="3">
        <v>763.23</v>
      </c>
      <c r="G9" s="3">
        <f xml:space="preserve"> AVERAGE(715.59,640.05,1766.47)</f>
        <v>1040.7033333333331</v>
      </c>
      <c r="H9" s="3">
        <f xml:space="preserve"> AVERAGE(941.06,1305.67,1128.16)</f>
        <v>1124.9633333333334</v>
      </c>
      <c r="I9" s="3">
        <f xml:space="preserve"> AVERAGE(2129.76,1845.66,2285.66)</f>
        <v>2087.0266666666666</v>
      </c>
      <c r="J9" s="3">
        <v>556.80999999999995</v>
      </c>
      <c r="K9" s="3">
        <v>556.80999999999995</v>
      </c>
      <c r="L9" s="3">
        <v>556.80999999999995</v>
      </c>
      <c r="M9" s="5">
        <v>480.48033445701299</v>
      </c>
      <c r="N9" s="3">
        <v>679</v>
      </c>
      <c r="O9" s="24">
        <v>679</v>
      </c>
      <c r="Q9" s="18" t="s">
        <v>34</v>
      </c>
      <c r="R9" s="18">
        <v>107</v>
      </c>
      <c r="S9" s="18"/>
      <c r="T9" s="18"/>
      <c r="U9" s="20"/>
      <c r="V9" s="18">
        <f>AVERAGE(1)</f>
        <v>1</v>
      </c>
      <c r="W9" s="18">
        <f t="shared" si="0"/>
        <v>1</v>
      </c>
      <c r="X9" s="18">
        <f t="shared" si="0"/>
        <v>1</v>
      </c>
      <c r="Y9" s="25"/>
      <c r="Z9" s="25"/>
      <c r="AA9" s="25"/>
      <c r="AB9" s="18"/>
      <c r="AC9" s="17"/>
      <c r="AD9" s="17"/>
      <c r="AF9" s="1" t="s">
        <v>55</v>
      </c>
      <c r="AG9" s="1">
        <v>56</v>
      </c>
      <c r="AH9" s="18">
        <v>22868.63</v>
      </c>
      <c r="AI9" s="18">
        <v>23494.84</v>
      </c>
      <c r="AJ9" s="20">
        <v>35217.61</v>
      </c>
      <c r="AK9" s="18">
        <f>AVERAGE(53850.22,59959.36,63479.72)</f>
        <v>59096.433333333327</v>
      </c>
      <c r="AL9" s="18">
        <f>AVERAGE(91631.77,91376.43,92567.05)</f>
        <v>91858.416666666672</v>
      </c>
      <c r="AM9" s="18">
        <f>AVERAGE(126146.31,162403.28,152947.62)</f>
        <v>147165.73666666666</v>
      </c>
      <c r="AN9" s="25">
        <v>22868.63</v>
      </c>
      <c r="AO9" s="25">
        <v>22375.1</v>
      </c>
      <c r="AP9" s="25">
        <v>21631.43</v>
      </c>
      <c r="AQ9" s="18"/>
      <c r="AR9" s="17">
        <v>20033</v>
      </c>
      <c r="AS9" s="17">
        <v>20033</v>
      </c>
    </row>
    <row r="10" spans="2:45" x14ac:dyDescent="0.25">
      <c r="B10" s="18" t="s">
        <v>12</v>
      </c>
      <c r="C10" s="18">
        <v>31</v>
      </c>
      <c r="D10" s="18">
        <v>14342.78</v>
      </c>
      <c r="E10" s="18">
        <v>11706.58</v>
      </c>
      <c r="F10" s="20">
        <v>16380.1</v>
      </c>
      <c r="G10" s="18">
        <f xml:space="preserve"> AVERAGE(22801.5,24988.75,19031.39)</f>
        <v>22273.88</v>
      </c>
      <c r="H10" s="18">
        <f xml:space="preserve"> AVERAGE(29850.6,28526.96,30742.84)</f>
        <v>29706.799999999999</v>
      </c>
      <c r="I10" s="18">
        <f xml:space="preserve"> AVERAGE(36608.9,43524.74,36759.37)</f>
        <v>38964.33666666667</v>
      </c>
      <c r="J10" s="25">
        <v>14272</v>
      </c>
      <c r="K10" s="25">
        <v>14272.3</v>
      </c>
      <c r="L10" s="25">
        <v>14272.3</v>
      </c>
      <c r="M10" s="18"/>
      <c r="N10" s="18">
        <v>10619</v>
      </c>
      <c r="O10" s="17">
        <v>10619</v>
      </c>
      <c r="Q10" s="18" t="s">
        <v>35</v>
      </c>
      <c r="R10" s="18">
        <v>166</v>
      </c>
      <c r="S10" s="18"/>
      <c r="T10" s="18"/>
      <c r="U10" s="20"/>
      <c r="V10" s="18">
        <f>AVERAGE(1)</f>
        <v>1</v>
      </c>
      <c r="W10" s="18">
        <f t="shared" si="0"/>
        <v>1</v>
      </c>
      <c r="X10" s="18">
        <f t="shared" si="0"/>
        <v>1</v>
      </c>
      <c r="Y10" s="25"/>
      <c r="Z10" s="25"/>
      <c r="AA10" s="25"/>
      <c r="AB10" s="18"/>
      <c r="AC10" s="17"/>
      <c r="AD10" s="17"/>
      <c r="AF10" s="1" t="s">
        <v>56</v>
      </c>
      <c r="AG10" s="1">
        <v>66</v>
      </c>
      <c r="AH10" s="18">
        <v>8100</v>
      </c>
      <c r="AI10" s="18">
        <v>8100</v>
      </c>
      <c r="AJ10" s="20">
        <v>12506.01</v>
      </c>
      <c r="AK10" s="18">
        <f>AVERAGE(21851.94,25401.1,21951.12)</f>
        <v>23068.05333333333</v>
      </c>
      <c r="AL10" s="18">
        <f>AVERAGE(33780.11,36151.91,37710.08)</f>
        <v>35880.700000000004</v>
      </c>
      <c r="AM10" s="18">
        <f>AVERAGE(57908.8,58660.78,66068.58)</f>
        <v>60879.386666666665</v>
      </c>
      <c r="AN10" s="25">
        <v>8023.61</v>
      </c>
      <c r="AO10" s="25">
        <v>8023.61</v>
      </c>
      <c r="AP10" s="25">
        <v>8023.61</v>
      </c>
      <c r="AQ10" s="18"/>
      <c r="AR10" s="17"/>
      <c r="AS10" s="17"/>
    </row>
    <row r="11" spans="2:45" x14ac:dyDescent="0.25">
      <c r="B11" s="18" t="s">
        <v>13</v>
      </c>
      <c r="C11" s="18">
        <v>14</v>
      </c>
      <c r="D11" s="18">
        <v>6116</v>
      </c>
      <c r="E11" s="18">
        <v>4607</v>
      </c>
      <c r="F11" s="20">
        <v>4638</v>
      </c>
      <c r="G11" s="18">
        <f xml:space="preserve"> AVERAGE(4339,4610,6809)</f>
        <v>5252.666666666667</v>
      </c>
      <c r="H11" s="18">
        <f xml:space="preserve"> AVERAGE(5821,7073,8275)</f>
        <v>7056.333333333333</v>
      </c>
      <c r="I11" s="18">
        <f xml:space="preserve"> AVERAGE(6358,8875,5894)</f>
        <v>7042.333333333333</v>
      </c>
      <c r="J11" s="25">
        <v>6116</v>
      </c>
      <c r="K11" s="25">
        <v>6116</v>
      </c>
      <c r="L11" s="25">
        <v>6116</v>
      </c>
      <c r="M11" s="18"/>
      <c r="N11" s="18"/>
      <c r="O11" s="17"/>
      <c r="Q11" s="18" t="s">
        <v>88</v>
      </c>
      <c r="R11" s="18">
        <v>12</v>
      </c>
      <c r="S11" s="18">
        <v>3454</v>
      </c>
      <c r="T11" s="18">
        <v>3155</v>
      </c>
      <c r="U11" s="20">
        <v>3892</v>
      </c>
      <c r="V11" s="18">
        <f>AVERAGE(2188,2341,3487)</f>
        <v>2672</v>
      </c>
      <c r="W11" s="18">
        <f>AVERAGE(2539,4299,4533)</f>
        <v>3790.3333333333335</v>
      </c>
      <c r="X11" s="18">
        <f>AVERAGE(3785,4788,5280)</f>
        <v>4617.666666666667</v>
      </c>
      <c r="Y11" s="25">
        <v>3454</v>
      </c>
      <c r="Z11" s="25">
        <v>3454</v>
      </c>
      <c r="AA11" s="25">
        <v>3454</v>
      </c>
      <c r="AB11" s="18"/>
      <c r="AC11" s="17">
        <v>2827</v>
      </c>
      <c r="AD11" s="17">
        <v>2827</v>
      </c>
      <c r="AF11" s="1" t="s">
        <v>57</v>
      </c>
      <c r="AG11" s="1">
        <v>74</v>
      </c>
      <c r="AH11" s="18">
        <v>12369.29</v>
      </c>
      <c r="AI11" s="18">
        <v>12312.57</v>
      </c>
      <c r="AJ11" s="20">
        <v>13941.34</v>
      </c>
      <c r="AK11" s="18">
        <f>AVERAGE(33103.09,29152.95,27824.8)</f>
        <v>30026.946666666667</v>
      </c>
      <c r="AL11" s="18">
        <f>AVERAGE(37827.3,42908.23,38416.71)</f>
        <v>39717.41333333333</v>
      </c>
      <c r="AM11" s="18">
        <f>AVERAGE(64460.2,59763.13,58130.32)</f>
        <v>60784.549999999996</v>
      </c>
      <c r="AN11" s="25">
        <v>12311.53</v>
      </c>
      <c r="AO11" s="25">
        <v>12311.53</v>
      </c>
      <c r="AP11" s="25">
        <v>11960.02</v>
      </c>
      <c r="AQ11" s="18"/>
      <c r="AR11" s="17"/>
      <c r="AS11" s="17"/>
    </row>
    <row r="12" spans="2:45" x14ac:dyDescent="0.25">
      <c r="B12" s="12" t="s">
        <v>14</v>
      </c>
      <c r="C12" s="12">
        <v>45</v>
      </c>
      <c r="D12" s="12">
        <v>21120</v>
      </c>
      <c r="E12" s="12">
        <v>480</v>
      </c>
      <c r="F12" s="12">
        <v>60490</v>
      </c>
      <c r="G12" s="18">
        <f xml:space="preserve"> AVERAGE(82770,71970,84330)</f>
        <v>79690</v>
      </c>
      <c r="H12" s="18">
        <f xml:space="preserve"> AVERAGE(85320,77810,86300)</f>
        <v>83143.333333333328</v>
      </c>
      <c r="I12" s="18">
        <f xml:space="preserve"> AVERAGE(106300,131110,117130)</f>
        <v>118180</v>
      </c>
      <c r="J12" s="25">
        <v>16600</v>
      </c>
      <c r="K12" s="25">
        <v>11050</v>
      </c>
      <c r="L12" s="25">
        <v>11010</v>
      </c>
      <c r="M12" s="12"/>
      <c r="N12" s="18"/>
      <c r="O12" s="17"/>
      <c r="Q12" s="18" t="s">
        <v>36</v>
      </c>
      <c r="R12" s="18">
        <v>25</v>
      </c>
      <c r="S12" s="18">
        <v>5157.68</v>
      </c>
      <c r="T12" s="18">
        <v>4872.0200000000004</v>
      </c>
      <c r="U12" s="20">
        <v>7952</v>
      </c>
      <c r="V12" s="18">
        <f>AVERAGE(7584.43,8374.97,8015.42)</f>
        <v>7991.6066666666666</v>
      </c>
      <c r="W12" s="18">
        <f>AVERAGE(11463.86,10363.54,12428.78)</f>
        <v>11418.726666666667</v>
      </c>
      <c r="X12" s="18">
        <f>AVERAGE(14382.34,16991.44,13189.81)</f>
        <v>14854.529999999999</v>
      </c>
      <c r="Y12" s="25">
        <v>5015.0200000000004</v>
      </c>
      <c r="Z12" s="25">
        <v>5015.0200000000004</v>
      </c>
      <c r="AA12" s="25">
        <v>5015.0200000000004</v>
      </c>
      <c r="AB12" s="18"/>
      <c r="AC12" s="17">
        <v>4970</v>
      </c>
      <c r="AD12" s="17">
        <v>5203</v>
      </c>
      <c r="AF12" s="1" t="s">
        <v>58</v>
      </c>
      <c r="AG12" s="1">
        <v>109</v>
      </c>
      <c r="AH12" s="18">
        <v>22600.959999999999</v>
      </c>
      <c r="AI12" s="18">
        <v>23714.23</v>
      </c>
      <c r="AJ12" s="20">
        <v>32935.050000000003</v>
      </c>
      <c r="AK12" s="18">
        <f>AVERAGE(58160.33,51748.26,59422.06)</f>
        <v>56443.549999999996</v>
      </c>
      <c r="AL12" s="18">
        <f>AVERAGE(85259.99,82766.89,79049.55)</f>
        <v>82358.81</v>
      </c>
      <c r="AM12" s="18">
        <f>AVERAGE(118071.64,131028.91,110885.44)</f>
        <v>119995.33</v>
      </c>
      <c r="AN12" s="25">
        <v>22324.31</v>
      </c>
      <c r="AO12" s="25">
        <v>22074.32</v>
      </c>
      <c r="AP12" s="25">
        <v>21798.44</v>
      </c>
      <c r="AQ12" s="18"/>
      <c r="AR12" s="17"/>
      <c r="AS12" s="17"/>
    </row>
    <row r="13" spans="2:45" x14ac:dyDescent="0.25">
      <c r="B13" s="3" t="s">
        <v>15</v>
      </c>
      <c r="C13" s="3">
        <v>3</v>
      </c>
      <c r="D13" s="3">
        <v>249.88</v>
      </c>
      <c r="E13" s="3">
        <v>249.88</v>
      </c>
      <c r="F13" s="3">
        <v>249.88</v>
      </c>
      <c r="G13" s="14">
        <v>249.88</v>
      </c>
      <c r="H13" s="16">
        <v>249.88</v>
      </c>
      <c r="I13" s="3">
        <f xml:space="preserve"> AVERAGE(268.63,418.94,472.26)</f>
        <v>386.60999999999996</v>
      </c>
      <c r="J13" s="3">
        <v>249.88</v>
      </c>
      <c r="K13" s="3">
        <v>249.88</v>
      </c>
      <c r="L13" s="3">
        <v>249.88</v>
      </c>
      <c r="M13" s="3">
        <v>224.88</v>
      </c>
      <c r="N13" s="3">
        <v>359</v>
      </c>
      <c r="O13" s="24">
        <v>280</v>
      </c>
      <c r="Q13" s="18" t="s">
        <v>37</v>
      </c>
      <c r="R13" s="18">
        <v>37</v>
      </c>
      <c r="S13" s="18">
        <v>6644.96</v>
      </c>
      <c r="T13" s="18">
        <v>7646.9</v>
      </c>
      <c r="U13" s="20">
        <v>8065.9</v>
      </c>
      <c r="V13" s="18">
        <f>AVERAGE(14537.19,11181.93,12864.92)</f>
        <v>12861.346666666666</v>
      </c>
      <c r="W13" s="18">
        <f>AVERAGE(16166.74,14699.79,15110.07)</f>
        <v>15325.533333333333</v>
      </c>
      <c r="X13" s="18">
        <f>AVERAGE(23067.53,23561.28,22385.07)</f>
        <v>23004.626666666667</v>
      </c>
      <c r="Y13" s="25">
        <v>6632.55</v>
      </c>
      <c r="Z13" s="25">
        <v>6632.55</v>
      </c>
      <c r="AA13" s="25">
        <v>6632.55</v>
      </c>
      <c r="AB13" s="18"/>
      <c r="AC13" s="17">
        <v>5690</v>
      </c>
      <c r="AD13" s="17">
        <v>5690</v>
      </c>
      <c r="AF13" s="1" t="s">
        <v>59</v>
      </c>
      <c r="AG13" s="1">
        <v>250</v>
      </c>
      <c r="AH13" s="18">
        <v>68337.149999999994</v>
      </c>
      <c r="AI13" s="18">
        <v>66904.56</v>
      </c>
      <c r="AJ13" s="20">
        <v>90173.79</v>
      </c>
      <c r="AK13" s="18">
        <f>AVERAGE(274864.87,269718.4,278424.19)</f>
        <v>274335.82</v>
      </c>
      <c r="AL13" s="18">
        <f>AVERAGE(415867.69,383763.29,394937.1)</f>
        <v>398189.36000000004</v>
      </c>
      <c r="AM13" s="18">
        <f>AVERAGE(583762.16)</f>
        <v>583762.16</v>
      </c>
      <c r="AN13" s="25">
        <v>67085.41</v>
      </c>
      <c r="AO13" s="25">
        <v>66266.210000000006</v>
      </c>
      <c r="AP13" s="25">
        <v>66267.63</v>
      </c>
      <c r="AQ13" s="18"/>
      <c r="AR13" s="17"/>
      <c r="AS13" s="17"/>
    </row>
    <row r="14" spans="2:45" x14ac:dyDescent="0.25">
      <c r="B14" s="18" t="s">
        <v>16</v>
      </c>
      <c r="C14" s="18">
        <v>32</v>
      </c>
      <c r="D14" s="18">
        <v>1211.5899999999999</v>
      </c>
      <c r="E14" s="18">
        <v>1230.99</v>
      </c>
      <c r="F14" s="20">
        <v>1506.83</v>
      </c>
      <c r="G14" s="18">
        <f xml:space="preserve"> AVERAGE(2543.27,2264.22,2236.15)</f>
        <v>2347.8799999999997</v>
      </c>
      <c r="H14" s="18">
        <f xml:space="preserve"> AVERAGE(3165.36,3868.57,3238.48)</f>
        <v>3424.1366666666668</v>
      </c>
      <c r="I14" s="18">
        <f xml:space="preserve"> AVERAGE(4001.77,4149.66,4420.31)</f>
        <v>4190.5800000000008</v>
      </c>
      <c r="J14" s="25">
        <v>1207.1500000000001</v>
      </c>
      <c r="K14" s="25">
        <v>1205.2</v>
      </c>
      <c r="L14" s="25">
        <v>1207.1500000000001</v>
      </c>
      <c r="M14" s="18"/>
      <c r="N14" s="18">
        <v>1130</v>
      </c>
      <c r="O14" s="17">
        <v>1130</v>
      </c>
      <c r="Q14" s="18" t="s">
        <v>38</v>
      </c>
      <c r="R14" s="18">
        <v>50</v>
      </c>
      <c r="S14" s="18">
        <v>6870.92</v>
      </c>
      <c r="T14" s="18">
        <v>6899.46</v>
      </c>
      <c r="U14" s="20">
        <v>9903.2900000000009</v>
      </c>
      <c r="V14" s="18">
        <f>AVERAGE(16197.94,15917.45,15432.47)</f>
        <v>15849.286666666667</v>
      </c>
      <c r="W14" s="18">
        <f>AVERAGE(21574.05,19979.71,21821.14)</f>
        <v>21124.966666666664</v>
      </c>
      <c r="X14" s="18">
        <f>AVERAGE(27173.31,30193.71,28065.88)</f>
        <v>28477.633333333335</v>
      </c>
      <c r="Y14" s="25">
        <v>6767.07</v>
      </c>
      <c r="Z14" s="25">
        <v>6767.07</v>
      </c>
      <c r="AA14" s="25">
        <v>6767.07</v>
      </c>
      <c r="AB14" s="18"/>
      <c r="AC14" s="17">
        <v>6202</v>
      </c>
      <c r="AD14" s="17">
        <v>6202</v>
      </c>
      <c r="AF14" s="1" t="s">
        <v>60</v>
      </c>
      <c r="AG14" s="1">
        <v>24</v>
      </c>
      <c r="AH14" s="18">
        <v>277.23</v>
      </c>
      <c r="AI14" s="18">
        <v>359.69</v>
      </c>
      <c r="AJ14" s="20">
        <v>336.7</v>
      </c>
      <c r="AK14" s="18">
        <f>AVERAGE(434.6,422.28,429.06)</f>
        <v>428.6466666666667</v>
      </c>
      <c r="AL14" s="18">
        <f>AVERAGE(521.18,570.78,521.8)</f>
        <v>537.91999999999996</v>
      </c>
      <c r="AM14" s="18">
        <f>AVERAGE(595.04,690.79,809.66)</f>
        <v>698.49666666666656</v>
      </c>
      <c r="AN14" s="25">
        <v>266.87</v>
      </c>
      <c r="AO14" s="25">
        <v>263.3</v>
      </c>
      <c r="AP14" s="25">
        <v>266.87</v>
      </c>
      <c r="AQ14" s="18"/>
      <c r="AR14" s="17">
        <v>284</v>
      </c>
      <c r="AS14" s="17">
        <v>291</v>
      </c>
    </row>
    <row r="15" spans="2:45" x14ac:dyDescent="0.25">
      <c r="B15" s="18" t="s">
        <v>17</v>
      </c>
      <c r="C15" s="18">
        <v>37</v>
      </c>
      <c r="D15" s="18">
        <v>1304.57</v>
      </c>
      <c r="E15" s="18">
        <v>1400.68</v>
      </c>
      <c r="F15" s="20">
        <v>1766.69</v>
      </c>
      <c r="G15" s="18">
        <f xml:space="preserve"> AVERAGE(2748.74,2857.69,2722.18)</f>
        <v>2776.2033333333334</v>
      </c>
      <c r="H15" s="18">
        <f xml:space="preserve"> AVERAGE(3524.71,3922.15,3386.62)</f>
        <v>3611.16</v>
      </c>
      <c r="I15" s="18">
        <f xml:space="preserve"> AVERAGE(5047.64,4751.28,5356.29)</f>
        <v>5051.7366666666667</v>
      </c>
      <c r="J15" s="25">
        <v>1304.57</v>
      </c>
      <c r="K15" s="25">
        <v>1304.57</v>
      </c>
      <c r="L15" s="25">
        <v>1304.57</v>
      </c>
      <c r="M15" s="18"/>
      <c r="N15" s="18">
        <v>1276</v>
      </c>
      <c r="O15" s="17">
        <v>1294</v>
      </c>
      <c r="Q15" s="18" t="s">
        <v>39</v>
      </c>
      <c r="R15" s="18">
        <v>25</v>
      </c>
      <c r="S15" s="18">
        <v>5552.01</v>
      </c>
      <c r="T15" s="18">
        <v>4469.8100000000004</v>
      </c>
      <c r="U15" s="20">
        <v>6675.42</v>
      </c>
      <c r="V15" s="18">
        <f>AVERAGE(8243.9,7828.62,9343.42)</f>
        <v>8471.9800000000014</v>
      </c>
      <c r="W15" s="18">
        <f>AVERAGE(9848.73,9639.87,10668.16)</f>
        <v>10052.253333333332</v>
      </c>
      <c r="X15" s="18">
        <f>AVERAGE(16064.09,13760.81,15612.94)</f>
        <v>15145.946666666669</v>
      </c>
      <c r="Y15" s="25">
        <v>5507.89</v>
      </c>
      <c r="Z15" s="25">
        <v>5507.89</v>
      </c>
      <c r="AA15" s="25">
        <v>5507.89</v>
      </c>
      <c r="AB15" s="18"/>
      <c r="AC15" s="17">
        <v>4305</v>
      </c>
      <c r="AD15" s="17">
        <v>4303</v>
      </c>
      <c r="AF15" s="1" t="s">
        <v>61</v>
      </c>
      <c r="AG15" s="1">
        <v>48</v>
      </c>
      <c r="AH15" s="18">
        <v>560.07000000000005</v>
      </c>
      <c r="AI15" s="18">
        <v>606.24</v>
      </c>
      <c r="AJ15" s="20">
        <v>783.32</v>
      </c>
      <c r="AK15" s="18">
        <f>AVERAGE(1004.91,1040.98,1126.33)</f>
        <v>1057.4066666666665</v>
      </c>
      <c r="AL15" s="18">
        <f>AVERAGE(1325.44,1292.92,1401.37)</f>
        <v>1339.91</v>
      </c>
      <c r="AM15" s="18">
        <f>AVERAGE(2060.36,1887.69,1987.72)</f>
        <v>1978.5900000000001</v>
      </c>
      <c r="AN15" s="25">
        <v>560.07000000000005</v>
      </c>
      <c r="AO15" s="25">
        <v>558.64</v>
      </c>
      <c r="AP15" s="25">
        <v>553.95000000000005</v>
      </c>
      <c r="AQ15" s="18"/>
      <c r="AR15" s="17">
        <v>557</v>
      </c>
      <c r="AS15" s="17">
        <v>565</v>
      </c>
    </row>
    <row r="16" spans="2:45" x14ac:dyDescent="0.25">
      <c r="B16" s="3" t="s">
        <v>18</v>
      </c>
      <c r="C16" s="3">
        <v>10</v>
      </c>
      <c r="D16" s="3">
        <v>103</v>
      </c>
      <c r="E16" s="3">
        <v>103</v>
      </c>
      <c r="F16" s="3">
        <v>150</v>
      </c>
      <c r="G16" s="3">
        <f xml:space="preserve"> AVERAGE(120,128,115)</f>
        <v>121</v>
      </c>
      <c r="H16" s="3">
        <f xml:space="preserve"> AVERAGE(167,181,157)</f>
        <v>168.33333333333334</v>
      </c>
      <c r="I16" s="3">
        <f xml:space="preserve"> AVERAGE(222,237,260)</f>
        <v>239.66666666666666</v>
      </c>
      <c r="J16" s="3">
        <v>100</v>
      </c>
      <c r="K16" s="3">
        <v>100</v>
      </c>
      <c r="L16" s="3">
        <v>100</v>
      </c>
      <c r="M16" s="3">
        <v>99</v>
      </c>
      <c r="N16" s="3">
        <v>145</v>
      </c>
      <c r="O16" s="24">
        <v>145</v>
      </c>
      <c r="Q16" s="18" t="s">
        <v>40</v>
      </c>
      <c r="R16" s="18">
        <v>37</v>
      </c>
      <c r="S16" s="18">
        <v>5199.62</v>
      </c>
      <c r="T16" s="18">
        <v>5533.11</v>
      </c>
      <c r="U16" s="20">
        <v>8807.33</v>
      </c>
      <c r="V16" s="18">
        <f>AVERAGE(12214.44,11244.59,12231.11)</f>
        <v>11896.713333333333</v>
      </c>
      <c r="W16" s="18">
        <f>AVERAGE(16585.26,15072.95,16028.16)</f>
        <v>15895.456666666665</v>
      </c>
      <c r="X16" s="18">
        <f>AVERAGE(22922.75,19946.71,21479.03)</f>
        <v>21449.496666666666</v>
      </c>
      <c r="Y16" s="25">
        <v>5119.54</v>
      </c>
      <c r="Z16" s="25">
        <v>5119.54</v>
      </c>
      <c r="AA16" s="25">
        <v>5119.54</v>
      </c>
      <c r="AB16" s="18"/>
      <c r="AC16" s="17">
        <v>5812</v>
      </c>
      <c r="AD16" s="17">
        <v>5812</v>
      </c>
      <c r="AF16" s="1" t="s">
        <v>62</v>
      </c>
      <c r="AG16" s="1">
        <v>143</v>
      </c>
      <c r="AH16" s="18">
        <v>1745</v>
      </c>
      <c r="AI16" s="18">
        <v>1764.02</v>
      </c>
      <c r="AJ16" s="20">
        <v>2135.11</v>
      </c>
      <c r="AK16" s="18">
        <f>AVERAGE(4825.39,4941.65,5123.81)</f>
        <v>4963.6166666666677</v>
      </c>
      <c r="AL16" s="18">
        <f>AVERAGE(6845.89,7462.35,7073.22)</f>
        <v>7127.1533333333346</v>
      </c>
      <c r="AM16" s="18">
        <f>AVERAGE(10248.79)</f>
        <v>10248.790000000001</v>
      </c>
      <c r="AN16" s="25">
        <v>1733.54</v>
      </c>
      <c r="AO16" s="25">
        <v>1724.97</v>
      </c>
      <c r="AP16" s="25">
        <v>1670.87</v>
      </c>
      <c r="AQ16" s="18"/>
      <c r="AR16" s="17"/>
      <c r="AS16" s="17"/>
    </row>
    <row r="17" spans="2:45" x14ac:dyDescent="0.25">
      <c r="B17" s="3" t="s">
        <v>19</v>
      </c>
      <c r="C17" s="3">
        <v>12</v>
      </c>
      <c r="D17" s="3">
        <v>77.040000000000006</v>
      </c>
      <c r="E17" s="3">
        <v>77.040000000000006</v>
      </c>
      <c r="F17" s="3">
        <v>94.65</v>
      </c>
      <c r="G17" s="3">
        <f xml:space="preserve"> AVERAGE(97.58,112.27,95.39)</f>
        <v>101.74666666666667</v>
      </c>
      <c r="H17" s="3">
        <f xml:space="preserve"> AVERAGE(145.1,145.92,146.38)</f>
        <v>145.79999999999998</v>
      </c>
      <c r="I17" s="3">
        <f xml:space="preserve"> AVERAGE(144.88,182.05,165.82)</f>
        <v>164.25</v>
      </c>
      <c r="J17" s="3">
        <v>77.040000000000006</v>
      </c>
      <c r="K17" s="3">
        <v>77.040000000000006</v>
      </c>
      <c r="L17" s="3">
        <v>77.040000000000006</v>
      </c>
      <c r="M17" s="3">
        <v>76.72</v>
      </c>
      <c r="N17" s="3">
        <v>82</v>
      </c>
      <c r="O17" s="24">
        <v>82</v>
      </c>
      <c r="Q17" s="18" t="s">
        <v>41</v>
      </c>
      <c r="R17" s="18">
        <v>50</v>
      </c>
      <c r="S17" s="18">
        <v>6907.12</v>
      </c>
      <c r="T17" s="18">
        <v>8397.4500000000007</v>
      </c>
      <c r="U17" s="20">
        <v>9561.31</v>
      </c>
      <c r="V17" s="18">
        <f>AVERAGE(15900.56,15542.01,15610.06)</f>
        <v>15684.21</v>
      </c>
      <c r="W17" s="18">
        <f>AVERAGE(20360.53,20407.07,21616.14)</f>
        <v>20794.579999999998</v>
      </c>
      <c r="X17" s="18">
        <f>AVERAGE(29350.75,30485.02,31815.19)</f>
        <v>30550.320000000003</v>
      </c>
      <c r="Y17" s="25" t="s">
        <v>103</v>
      </c>
      <c r="Z17" s="25">
        <v>6789.91</v>
      </c>
      <c r="AA17" s="25">
        <v>6789.91</v>
      </c>
      <c r="AB17" s="18"/>
      <c r="AC17" s="17">
        <v>6368</v>
      </c>
      <c r="AD17" s="17">
        <v>6100</v>
      </c>
      <c r="AF17" s="1" t="s">
        <v>63</v>
      </c>
      <c r="AG17" s="1">
        <v>195</v>
      </c>
      <c r="AH17" s="18">
        <v>2382.5</v>
      </c>
      <c r="AI17" s="18">
        <v>2466.0500000000002</v>
      </c>
      <c r="AJ17" s="20">
        <v>2978.84</v>
      </c>
      <c r="AK17" s="18">
        <f>AVERAGE(7666.21,7493.21,8008.9)</f>
        <v>7722.7733333333335</v>
      </c>
      <c r="AL17" s="18">
        <f>AVERAGE(10539.71,10735.2,10997.27)</f>
        <v>10757.393333333333</v>
      </c>
      <c r="AM17" s="18">
        <f>AVERAGE(16118.68)</f>
        <v>16118.68</v>
      </c>
      <c r="AN17" s="25">
        <v>2260.06</v>
      </c>
      <c r="AO17" s="25">
        <v>2280.65</v>
      </c>
      <c r="AP17" s="25">
        <v>2236.9899999999998</v>
      </c>
      <c r="AQ17" s="18"/>
      <c r="AR17" s="17"/>
      <c r="AS17" s="17"/>
    </row>
    <row r="18" spans="2:45" x14ac:dyDescent="0.25">
      <c r="B18" s="18" t="s">
        <v>20</v>
      </c>
      <c r="C18" s="18">
        <v>19</v>
      </c>
      <c r="D18" s="18">
        <v>97.38</v>
      </c>
      <c r="E18" s="18">
        <v>99.45</v>
      </c>
      <c r="F18" s="20">
        <v>126.36</v>
      </c>
      <c r="G18" s="18">
        <f xml:space="preserve"> AVERAGE(154.43,150.12,136.69)</f>
        <v>147.08000000000001</v>
      </c>
      <c r="H18" s="18">
        <f xml:space="preserve"> AVERAGE(210.28,192.92,168.17)</f>
        <v>190.45666666666668</v>
      </c>
      <c r="I18" s="18">
        <f xml:space="preserve"> AVERAGE(257.09,234.8,233.35)</f>
        <v>241.74666666666667</v>
      </c>
      <c r="J18" s="25">
        <v>97.38</v>
      </c>
      <c r="K18" s="25">
        <v>97.38</v>
      </c>
      <c r="L18" s="25">
        <v>97.38</v>
      </c>
      <c r="M18" s="18"/>
      <c r="N18" s="18">
        <v>102</v>
      </c>
      <c r="O18" s="17">
        <v>102</v>
      </c>
      <c r="Q18" s="18" t="s">
        <v>42</v>
      </c>
      <c r="R18" s="18">
        <v>25</v>
      </c>
      <c r="S18" s="18">
        <v>4346.5200000000004</v>
      </c>
      <c r="T18" s="18">
        <v>6123.26</v>
      </c>
      <c r="U18" s="20">
        <v>6364.51</v>
      </c>
      <c r="V18" s="18">
        <f>AVERAGE(7644.11,8352.1,7110.64)</f>
        <v>7702.2833333333328</v>
      </c>
      <c r="W18" s="18">
        <f>AVERAGE(10280.44,9790.16,10174.13)</f>
        <v>10081.576666666666</v>
      </c>
      <c r="X18" s="18">
        <f>AVERAGE(16162.87,14166.38,13364.58)</f>
        <v>14564.61</v>
      </c>
      <c r="Y18" s="25">
        <v>4293.0200000000004</v>
      </c>
      <c r="Z18" s="25">
        <v>4293.0200000000004</v>
      </c>
      <c r="AA18" s="25">
        <v>4293.0200000000004</v>
      </c>
      <c r="AB18" s="18"/>
      <c r="AC18" s="17">
        <v>4964</v>
      </c>
      <c r="AD18" s="17">
        <v>4967</v>
      </c>
      <c r="AF18" s="1" t="s">
        <v>64</v>
      </c>
      <c r="AG18" s="1">
        <v>43</v>
      </c>
      <c r="AH18" s="18">
        <v>5243</v>
      </c>
      <c r="AI18" s="18">
        <v>5478</v>
      </c>
      <c r="AJ18" s="20">
        <v>5456</v>
      </c>
      <c r="AK18" s="18">
        <f>AVERAGE(5942,6221,6355)</f>
        <v>6172.666666666667</v>
      </c>
      <c r="AL18" s="18">
        <f>AVERAGE(6262,7161,6712)</f>
        <v>6711.666666666667</v>
      </c>
      <c r="AM18" s="18">
        <f>AVERAGE(7764,7898,7576)</f>
        <v>7746</v>
      </c>
      <c r="AN18" s="25">
        <v>5243</v>
      </c>
      <c r="AO18" s="25">
        <v>5238</v>
      </c>
      <c r="AP18" s="25">
        <v>5225</v>
      </c>
      <c r="AQ18" s="18"/>
      <c r="AR18" s="17"/>
      <c r="AS18" s="17"/>
    </row>
    <row r="19" spans="2:45" x14ac:dyDescent="0.25">
      <c r="B19" s="18" t="s">
        <v>21</v>
      </c>
      <c r="C19" s="18">
        <v>25</v>
      </c>
      <c r="D19" s="18">
        <v>150.96</v>
      </c>
      <c r="E19" s="18">
        <v>132.75</v>
      </c>
      <c r="F19" s="20">
        <v>180.93</v>
      </c>
      <c r="G19" s="18">
        <f xml:space="preserve"> AVERAGE(151.73,211.47,242.02)</f>
        <v>201.74</v>
      </c>
      <c r="H19" s="18">
        <f xml:space="preserve"> AVERAGE(231.68,189.76,204.44)</f>
        <v>208.62666666666667</v>
      </c>
      <c r="I19" s="18">
        <f xml:space="preserve"> AVERAGE(329.18,321.93,302.8)</f>
        <v>317.97000000000003</v>
      </c>
      <c r="J19" s="25">
        <v>150.4</v>
      </c>
      <c r="K19" s="25">
        <v>150.4</v>
      </c>
      <c r="L19" s="25">
        <v>150.4</v>
      </c>
      <c r="M19" s="18"/>
      <c r="N19" s="18">
        <v>107</v>
      </c>
      <c r="O19" s="17">
        <v>107</v>
      </c>
      <c r="Q19" s="18" t="s">
        <v>43</v>
      </c>
      <c r="R19" s="18">
        <v>25</v>
      </c>
      <c r="S19" s="18">
        <v>5246.28</v>
      </c>
      <c r="T19" s="18">
        <v>5246.28</v>
      </c>
      <c r="U19" s="20">
        <v>6283.52</v>
      </c>
      <c r="V19" s="18">
        <f>AVERAGE(7915.81,9560.27,9212.85)</f>
        <v>8896.31</v>
      </c>
      <c r="W19" s="18">
        <f>AVERAGE(8891.67,10877.16,9352.88)</f>
        <v>9707.2366666666658</v>
      </c>
      <c r="X19" s="18">
        <f>AVERAGE(14030.91,15308.79,13097.6)</f>
        <v>14145.766666666668</v>
      </c>
      <c r="Y19" s="25">
        <v>5246.28</v>
      </c>
      <c r="Z19" s="25">
        <v>5246.28</v>
      </c>
      <c r="AA19" s="25">
        <v>5246.28</v>
      </c>
      <c r="AB19" s="18"/>
      <c r="AC19" s="17">
        <v>4762</v>
      </c>
      <c r="AD19" s="17">
        <v>4762</v>
      </c>
      <c r="AF19" s="1" t="s">
        <v>65</v>
      </c>
      <c r="AG19" s="1">
        <v>133</v>
      </c>
      <c r="AH19" s="18">
        <v>12360</v>
      </c>
      <c r="AI19" s="18">
        <v>12196</v>
      </c>
      <c r="AJ19" s="20">
        <v>12847</v>
      </c>
      <c r="AK19" s="18">
        <f>AVERAGE(16179,15753,15546)</f>
        <v>15826</v>
      </c>
      <c r="AL19" s="18">
        <f>AVERAGE(18106,17964,18328)</f>
        <v>18132.666666666668</v>
      </c>
      <c r="AM19" s="18">
        <f>AVERAGE(21295,22108,21131)</f>
        <v>21511.333333333332</v>
      </c>
      <c r="AN19" s="25">
        <v>12275</v>
      </c>
      <c r="AO19" s="25">
        <v>12252</v>
      </c>
      <c r="AP19" s="25">
        <v>12083</v>
      </c>
      <c r="AQ19" s="18"/>
      <c r="AR19" s="17"/>
      <c r="AS19" s="17"/>
    </row>
    <row r="20" spans="2:45" x14ac:dyDescent="0.25">
      <c r="B20" s="3" t="s">
        <v>23</v>
      </c>
      <c r="C20" s="3">
        <v>6</v>
      </c>
      <c r="D20" s="3">
        <v>147</v>
      </c>
      <c r="E20" s="3">
        <v>147</v>
      </c>
      <c r="F20" s="3">
        <v>169</v>
      </c>
      <c r="G20" s="14">
        <v>147</v>
      </c>
      <c r="H20" s="3">
        <f xml:space="preserve"> AVERAGE(208,212,184)</f>
        <v>201.33333333333334</v>
      </c>
      <c r="I20" s="3">
        <f xml:space="preserve"> AVERAGE(228,271,228)</f>
        <v>242.33333333333334</v>
      </c>
      <c r="J20" s="3">
        <v>147</v>
      </c>
      <c r="K20" s="3">
        <v>147</v>
      </c>
      <c r="L20" s="3">
        <v>147</v>
      </c>
      <c r="M20" s="3">
        <v>145</v>
      </c>
      <c r="N20" s="3">
        <v>243</v>
      </c>
      <c r="O20" s="24">
        <v>243</v>
      </c>
      <c r="Q20" s="18" t="s">
        <v>44</v>
      </c>
      <c r="R20" s="18">
        <v>25</v>
      </c>
      <c r="S20" s="18">
        <v>4123.3500000000004</v>
      </c>
      <c r="T20" s="18">
        <v>3842.76</v>
      </c>
      <c r="U20" s="20">
        <v>6277.68</v>
      </c>
      <c r="V20" s="18">
        <f>AVERAGE(8471.76,7370.09,6547.6)</f>
        <v>7463.1500000000005</v>
      </c>
      <c r="W20" s="18">
        <f>AVERAGE(10926.41,9270.4,9458.38)</f>
        <v>9885.0633333333317</v>
      </c>
      <c r="X20" s="18">
        <f>AVERAGE(16450.56,14608.83,13150.71)</f>
        <v>14736.699999999999</v>
      </c>
      <c r="Y20" s="25">
        <v>4087.21</v>
      </c>
      <c r="Z20" s="25">
        <v>4087.21</v>
      </c>
      <c r="AA20" s="25">
        <v>4087.21</v>
      </c>
      <c r="AB20" s="18"/>
      <c r="AC20" s="17">
        <v>3905</v>
      </c>
      <c r="AD20" s="17">
        <v>3905</v>
      </c>
      <c r="AF20" s="1" t="s">
        <v>66</v>
      </c>
      <c r="AG20" s="1">
        <v>258</v>
      </c>
      <c r="AH20" s="18">
        <v>22289</v>
      </c>
      <c r="AI20" s="18">
        <v>22414</v>
      </c>
      <c r="AJ20" s="20">
        <v>26555</v>
      </c>
      <c r="AK20" s="18">
        <f>AVERAGE(37635,36780,38408)</f>
        <v>37607.666666666664</v>
      </c>
      <c r="AL20" s="18">
        <f>AVERAGE(40435)</f>
        <v>40435</v>
      </c>
      <c r="AM20" s="18">
        <f>AVERAGE(44192)</f>
        <v>44192</v>
      </c>
      <c r="AN20" s="25">
        <v>22289</v>
      </c>
      <c r="AO20" s="25">
        <v>22289</v>
      </c>
      <c r="AP20" s="25">
        <v>22289</v>
      </c>
      <c r="AQ20" s="18"/>
      <c r="AR20" s="17"/>
      <c r="AS20" s="17"/>
    </row>
    <row r="21" spans="2:45" x14ac:dyDescent="0.25">
      <c r="B21" s="18" t="s">
        <v>24</v>
      </c>
      <c r="C21" s="18">
        <v>65</v>
      </c>
      <c r="D21" s="18">
        <v>562.04</v>
      </c>
      <c r="E21" s="18">
        <v>666.2</v>
      </c>
      <c r="F21" s="20">
        <v>813.43</v>
      </c>
      <c r="G21" s="18">
        <f xml:space="preserve"> AVERAGE(1394.04,1547.92,1338.26)</f>
        <v>1426.74</v>
      </c>
      <c r="H21" s="18">
        <f xml:space="preserve"> AVERAGE(1740.18,1747.66,1836.41)</f>
        <v>1774.75</v>
      </c>
      <c r="I21" s="18">
        <f xml:space="preserve"> AVERAGE(2369.16,2484.33,2674.2)</f>
        <v>2509.23</v>
      </c>
      <c r="J21" s="25">
        <v>559.01</v>
      </c>
      <c r="K21" s="25">
        <v>559.01</v>
      </c>
      <c r="L21" s="25">
        <v>559.01</v>
      </c>
      <c r="M21" s="18"/>
      <c r="N21" s="18">
        <v>540</v>
      </c>
      <c r="O21" s="17">
        <v>540</v>
      </c>
      <c r="Q21" s="18" t="s">
        <v>45</v>
      </c>
      <c r="R21" s="18">
        <v>26</v>
      </c>
      <c r="S21" s="18">
        <v>2149.8200000000002</v>
      </c>
      <c r="T21" s="18">
        <v>2067.87</v>
      </c>
      <c r="U21" s="20">
        <v>4270.6499999999996</v>
      </c>
      <c r="V21" s="18">
        <f>AVERAGE(3890.65,4784.86,4636.22)</f>
        <v>4437.2433333333329</v>
      </c>
      <c r="W21" s="18">
        <f>AVERAGE(6322.12,5842.62,6388.32)</f>
        <v>6184.3533333333326</v>
      </c>
      <c r="X21" s="18">
        <f>AVERAGE(9008.72,9224.55,9411.86)</f>
        <v>9215.0433333333331</v>
      </c>
      <c r="Y21" s="25">
        <v>2109.4299999999998</v>
      </c>
      <c r="Z21" s="25">
        <v>2109.4299999999998</v>
      </c>
      <c r="AA21" s="25">
        <v>2109.4299999999998</v>
      </c>
      <c r="AB21" s="18"/>
      <c r="AC21" s="17">
        <v>2606</v>
      </c>
      <c r="AD21" s="17">
        <v>2606</v>
      </c>
      <c r="AF21" s="12" t="s">
        <v>67</v>
      </c>
      <c r="AG21" s="12">
        <v>17</v>
      </c>
      <c r="AH21" s="12">
        <v>130.04</v>
      </c>
      <c r="AI21" s="12">
        <v>128.07</v>
      </c>
      <c r="AJ21" s="12">
        <v>177.42</v>
      </c>
      <c r="AK21" s="18">
        <f>AVERAGE(182.12,212.39,172.41)</f>
        <v>188.97333333333333</v>
      </c>
      <c r="AL21" s="18">
        <f>AVERAGE(261,245.52,226.95)</f>
        <v>244.49</v>
      </c>
      <c r="AM21" s="18">
        <f>AVERAGE(331.15,316.08,337.74)</f>
        <v>328.32333333333332</v>
      </c>
      <c r="AN21" s="25">
        <v>129.15</v>
      </c>
      <c r="AO21" s="25">
        <v>129.15</v>
      </c>
      <c r="AP21" s="25">
        <v>129.15</v>
      </c>
      <c r="AQ21" s="12"/>
      <c r="AR21" s="17">
        <v>120</v>
      </c>
      <c r="AS21" s="17">
        <v>120</v>
      </c>
    </row>
    <row r="22" spans="2:45" x14ac:dyDescent="0.25">
      <c r="B22" s="3" t="s">
        <v>25</v>
      </c>
      <c r="C22" s="3">
        <v>4</v>
      </c>
      <c r="D22" s="3">
        <v>174</v>
      </c>
      <c r="E22" s="3">
        <v>154</v>
      </c>
      <c r="F22" s="3">
        <v>144</v>
      </c>
      <c r="G22" s="14">
        <v>174</v>
      </c>
      <c r="H22" s="3">
        <f xml:space="preserve"> AVERAGE(181,143,145)</f>
        <v>156.33333333333334</v>
      </c>
      <c r="I22" s="3">
        <f xml:space="preserve"> AVERAGE(146,146,154)</f>
        <v>148.66666666666666</v>
      </c>
      <c r="J22" s="3">
        <v>154</v>
      </c>
      <c r="K22" s="3">
        <v>165</v>
      </c>
      <c r="L22" s="3">
        <v>154</v>
      </c>
      <c r="M22" s="3">
        <v>143</v>
      </c>
      <c r="N22" s="3">
        <v>234</v>
      </c>
      <c r="O22" s="24">
        <v>234</v>
      </c>
      <c r="Q22" s="18" t="s">
        <v>46</v>
      </c>
      <c r="R22" s="18">
        <v>79</v>
      </c>
      <c r="S22" s="18">
        <v>9156.66</v>
      </c>
      <c r="T22" s="18">
        <v>9230.75</v>
      </c>
      <c r="U22" s="20">
        <v>14274.48</v>
      </c>
      <c r="V22" s="18">
        <f>AVERAGE(25401.97,25448.92,26352.32)</f>
        <v>25734.403333333332</v>
      </c>
      <c r="W22" s="18">
        <f>AVERAGE(39256.55,36669.92,41416.82)</f>
        <v>39114.43</v>
      </c>
      <c r="X22" s="18">
        <f>AVERAGE(53807.48,58556.73,54436.29)</f>
        <v>55600.166666666664</v>
      </c>
      <c r="Y22" s="25">
        <v>9035.18</v>
      </c>
      <c r="Z22" s="25">
        <v>8860.4699999999993</v>
      </c>
      <c r="AA22" s="25">
        <v>8865.39</v>
      </c>
      <c r="AB22" s="18"/>
      <c r="AC22" s="17">
        <v>8901</v>
      </c>
      <c r="AD22" s="17">
        <v>8901</v>
      </c>
      <c r="AF22" s="1" t="s">
        <v>68</v>
      </c>
      <c r="AG22" s="1">
        <v>10</v>
      </c>
      <c r="AH22" s="18">
        <v>146</v>
      </c>
      <c r="AI22" s="18">
        <v>146</v>
      </c>
      <c r="AJ22" s="20">
        <v>268</v>
      </c>
      <c r="AK22" s="18">
        <f>AVERAGE(185,182,195)</f>
        <v>187.33333333333334</v>
      </c>
      <c r="AL22" s="18">
        <f>AVERAGE(252,246,272)</f>
        <v>256.66666666666669</v>
      </c>
      <c r="AM22" s="18">
        <f>AVERAGE(326,416,290)</f>
        <v>344</v>
      </c>
      <c r="AN22" s="25">
        <v>146</v>
      </c>
      <c r="AO22" s="25">
        <v>146</v>
      </c>
      <c r="AP22" s="25">
        <v>146</v>
      </c>
      <c r="AQ22" s="18"/>
      <c r="AR22" s="17">
        <v>192</v>
      </c>
      <c r="AS22" s="17">
        <v>100</v>
      </c>
    </row>
    <row r="23" spans="2:45" x14ac:dyDescent="0.25">
      <c r="B23" s="3" t="s">
        <v>26</v>
      </c>
      <c r="C23" s="3">
        <v>5</v>
      </c>
      <c r="D23" s="3">
        <v>258</v>
      </c>
      <c r="E23" s="3">
        <v>248</v>
      </c>
      <c r="F23" s="3">
        <v>363</v>
      </c>
      <c r="G23" s="14">
        <v>258</v>
      </c>
      <c r="H23" s="3">
        <f xml:space="preserve"> AVERAGE(291,311,283)</f>
        <v>295</v>
      </c>
      <c r="I23" s="3">
        <f xml:space="preserve"> AVERAGE(346,362,367)</f>
        <v>358.33333333333331</v>
      </c>
      <c r="J23" s="3">
        <v>258</v>
      </c>
      <c r="K23" s="3">
        <v>258</v>
      </c>
      <c r="L23" s="3">
        <v>258</v>
      </c>
      <c r="M23" s="3">
        <v>181</v>
      </c>
      <c r="N23" s="3">
        <v>324</v>
      </c>
      <c r="O23" s="24">
        <v>324</v>
      </c>
      <c r="Q23" s="18" t="s">
        <v>47</v>
      </c>
      <c r="R23" s="18">
        <v>344</v>
      </c>
      <c r="S23" s="18">
        <v>13388.78</v>
      </c>
      <c r="T23" s="18">
        <v>13074.68</v>
      </c>
      <c r="U23" s="20">
        <v>17414.240000000002</v>
      </c>
      <c r="V23" s="18">
        <f>AVERAGE(59275.29,58450.29,59315.09)</f>
        <v>59013.556666666664</v>
      </c>
      <c r="W23" s="18">
        <f>AVERAGE(85535.08,84406.33,83926.87)</f>
        <v>84622.76</v>
      </c>
      <c r="X23" s="18">
        <f>AVERAGE(126181.16)</f>
        <v>126181.16</v>
      </c>
      <c r="Y23" s="25">
        <v>13172.65</v>
      </c>
      <c r="Z23" s="25">
        <v>13194.03</v>
      </c>
      <c r="AA23" s="25">
        <v>13100.47</v>
      </c>
      <c r="AB23" s="18"/>
      <c r="AC23" s="17"/>
      <c r="AD23" s="17"/>
      <c r="AF23" s="1" t="s">
        <v>69</v>
      </c>
      <c r="AG23" s="1">
        <v>56</v>
      </c>
      <c r="AH23" s="18">
        <v>27500</v>
      </c>
      <c r="AI23" s="18">
        <v>27500</v>
      </c>
      <c r="AJ23" s="20">
        <v>44543.199999999997</v>
      </c>
      <c r="AK23" s="18">
        <f>AVERAGE(85382.67,73888.73,78761.91)</f>
        <v>79344.436666666661</v>
      </c>
      <c r="AL23" s="18">
        <f>AVERAGE(112768.26,121830.06,103849.9)</f>
        <v>112816.07333333332</v>
      </c>
      <c r="AM23" s="18">
        <f>AVERAGE(158513.07,160145.27,154202.11)</f>
        <v>157620.15</v>
      </c>
      <c r="AN23" s="25">
        <v>27500</v>
      </c>
      <c r="AO23" s="25">
        <v>27500</v>
      </c>
      <c r="AP23" s="25">
        <v>27500</v>
      </c>
      <c r="AQ23" s="18"/>
      <c r="AR23" s="17"/>
      <c r="AS23" s="17"/>
    </row>
    <row r="24" spans="2:45" x14ac:dyDescent="0.25">
      <c r="B24" s="3" t="s">
        <v>27</v>
      </c>
      <c r="C24" s="3">
        <v>6</v>
      </c>
      <c r="D24" s="3">
        <v>162</v>
      </c>
      <c r="E24" s="3">
        <v>162</v>
      </c>
      <c r="F24" s="3">
        <v>183</v>
      </c>
      <c r="G24" s="14">
        <v>162</v>
      </c>
      <c r="H24" s="3">
        <f xml:space="preserve"> AVERAGE(185,204,244)</f>
        <v>211</v>
      </c>
      <c r="I24" s="3">
        <f xml:space="preserve"> AVERAGE(353,228,244)</f>
        <v>275</v>
      </c>
      <c r="J24" s="3">
        <v>162</v>
      </c>
      <c r="K24" s="3">
        <v>162</v>
      </c>
      <c r="L24" s="3">
        <v>162</v>
      </c>
      <c r="M24" s="3">
        <v>162</v>
      </c>
      <c r="N24" s="3">
        <v>264</v>
      </c>
      <c r="O24" s="24">
        <v>264</v>
      </c>
      <c r="P24" s="23"/>
      <c r="Q24" s="18" t="s">
        <v>48</v>
      </c>
      <c r="R24" s="18">
        <v>140</v>
      </c>
      <c r="S24" s="18">
        <v>728</v>
      </c>
      <c r="T24" s="18">
        <v>566</v>
      </c>
      <c r="U24" s="20">
        <v>782</v>
      </c>
      <c r="V24" s="18">
        <f>AVERAGE(1781,1645,2083)</f>
        <v>1836.3333333333333</v>
      </c>
      <c r="W24" s="18">
        <f>AVERAGE(2433,2270,2358)</f>
        <v>2353.6666666666665</v>
      </c>
      <c r="X24" s="18">
        <f>AVERAGE(3482)</f>
        <v>3482</v>
      </c>
      <c r="Y24" s="25">
        <v>726</v>
      </c>
      <c r="Z24" s="25">
        <v>720</v>
      </c>
      <c r="AA24" s="25">
        <v>718</v>
      </c>
      <c r="AB24" s="18"/>
      <c r="AC24" s="17"/>
      <c r="AD24" s="17"/>
      <c r="AF24" s="1" t="s">
        <v>70</v>
      </c>
      <c r="AG24" s="1">
        <v>56</v>
      </c>
      <c r="AH24" s="18">
        <v>1036.02</v>
      </c>
      <c r="AI24" s="18">
        <v>1056.72</v>
      </c>
      <c r="AJ24" s="20">
        <v>1100.3800000000001</v>
      </c>
      <c r="AK24" s="18">
        <f>AVERAGE(1900.37,1955.94,1523.17)</f>
        <v>1793.1599999999999</v>
      </c>
      <c r="AL24" s="18">
        <f>AVERAGE(2339.51,2442.57,2648.4)</f>
        <v>2476.8266666666664</v>
      </c>
      <c r="AM24" s="18">
        <f>AVERAGE(3743.26,3441.56,3992.71)</f>
        <v>3725.8433333333328</v>
      </c>
      <c r="AN24" s="25">
        <v>964.26</v>
      </c>
      <c r="AO24" s="25">
        <v>964.26</v>
      </c>
      <c r="AP24" s="25">
        <v>996.51</v>
      </c>
      <c r="AQ24" s="18"/>
      <c r="AR24" s="17"/>
      <c r="AS24" s="17"/>
    </row>
    <row r="25" spans="2:45" x14ac:dyDescent="0.25">
      <c r="N25" s="2"/>
      <c r="O25" s="7"/>
      <c r="P25" s="7"/>
      <c r="AF25" s="3" t="s">
        <v>71</v>
      </c>
      <c r="AG25" s="3">
        <v>4</v>
      </c>
      <c r="AH25" s="3">
        <v>826.08</v>
      </c>
      <c r="AI25" s="3">
        <v>751.06</v>
      </c>
      <c r="AJ25" s="3">
        <v>902.27</v>
      </c>
      <c r="AK25" s="14">
        <v>826.08</v>
      </c>
      <c r="AL25" s="3">
        <f>AVERAGE(826.29,826.29,1004.13)</f>
        <v>885.57</v>
      </c>
      <c r="AM25" s="3">
        <f>AVERAGE(1119.4,874.94,751.06)</f>
        <v>915.13333333333333</v>
      </c>
      <c r="AN25" s="3">
        <v>826.08</v>
      </c>
      <c r="AO25" s="3">
        <v>826.08</v>
      </c>
      <c r="AP25" s="3">
        <v>826.08</v>
      </c>
      <c r="AQ25" s="3">
        <v>714.33</v>
      </c>
      <c r="AR25" s="24">
        <v>935</v>
      </c>
      <c r="AS25" s="24">
        <v>935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B26" s="23"/>
      <c r="AC26" s="23"/>
      <c r="AD26" s="23"/>
      <c r="AE26" s="23"/>
      <c r="AF26" s="3" t="s">
        <v>72</v>
      </c>
      <c r="AG26" s="9">
        <v>5</v>
      </c>
      <c r="AH26" s="3">
        <v>456.58</v>
      </c>
      <c r="AI26" s="3">
        <v>456.58</v>
      </c>
      <c r="AJ26" s="3">
        <v>643.88</v>
      </c>
      <c r="AK26" s="14">
        <v>456.58</v>
      </c>
      <c r="AL26" s="3">
        <f>AVERAGE(776.37,870.7,559.22)</f>
        <v>735.43</v>
      </c>
      <c r="AM26" s="3">
        <f>AVERAGE(1273.79,860.7,956.16)</f>
        <v>1030.2166666666665</v>
      </c>
      <c r="AN26" s="3">
        <v>456.58</v>
      </c>
      <c r="AO26" s="3">
        <v>456.58</v>
      </c>
      <c r="AP26" s="3">
        <v>456.58</v>
      </c>
      <c r="AQ26" s="3">
        <v>662.17</v>
      </c>
      <c r="AR26" s="24">
        <v>747</v>
      </c>
      <c r="AS26" s="24">
        <v>747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8"/>
      <c r="AG27" s="8"/>
      <c r="AH27" s="7"/>
      <c r="AI27" s="7"/>
      <c r="AJ27" s="7"/>
    </row>
    <row r="28" spans="2:45" x14ac:dyDescent="0.25">
      <c r="B28" s="32"/>
      <c r="C28" s="32"/>
      <c r="D28" s="32"/>
      <c r="E28" s="32"/>
      <c r="F28" s="26"/>
    </row>
    <row r="29" spans="2:45" ht="15" customHeight="1" x14ac:dyDescent="0.25">
      <c r="B29" s="30"/>
      <c r="C29" s="30"/>
      <c r="D29" s="30"/>
      <c r="E29" s="30"/>
      <c r="F29" s="21"/>
      <c r="G29" s="10"/>
      <c r="H29" s="10"/>
      <c r="I29" s="10"/>
      <c r="J29" s="10"/>
      <c r="K29" s="10"/>
      <c r="L29" s="10"/>
    </row>
    <row r="30" spans="2:45" x14ac:dyDescent="0.25">
      <c r="B30" s="30"/>
      <c r="C30" s="30"/>
      <c r="D30" s="30"/>
      <c r="E30" s="30"/>
      <c r="F30" s="21"/>
      <c r="G30" s="10"/>
      <c r="H30" s="10"/>
      <c r="I30" s="10"/>
      <c r="J30" s="10"/>
      <c r="K30" s="10"/>
      <c r="L30" s="10"/>
    </row>
    <row r="31" spans="2:45" x14ac:dyDescent="0.25">
      <c r="B31" s="30"/>
      <c r="C31" s="30"/>
      <c r="D31" s="30"/>
      <c r="E31" s="30"/>
      <c r="F31" s="21"/>
      <c r="G31" s="10"/>
      <c r="H31" s="10"/>
      <c r="I31" s="10"/>
      <c r="J31" s="10"/>
      <c r="K31" s="10"/>
      <c r="L31" s="10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D1:O1"/>
    <mergeCell ref="S1:AD1"/>
    <mergeCell ref="AH1:AS1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opLeftCell="B1" zoomScale="70" zoomScaleNormal="70" workbookViewId="0">
      <selection activeCell="AP26" sqref="AP26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0" max="12" width="12.28515625" customWidth="1"/>
    <col min="14" max="14" width="11.42578125" bestFit="1" customWidth="1"/>
    <col min="15" max="15" width="10.5703125" bestFit="1" customWidth="1"/>
    <col min="16" max="16" width="3.140625" customWidth="1"/>
    <col min="17" max="17" width="11" bestFit="1" customWidth="1"/>
    <col min="18" max="18" width="17.85546875" bestFit="1" customWidth="1"/>
    <col min="19" max="19" width="12" bestFit="1" customWidth="1"/>
    <col min="20" max="20" width="12.28515625" bestFit="1" customWidth="1"/>
    <col min="21" max="21" width="9.7109375" bestFit="1" customWidth="1"/>
    <col min="22" max="22" width="12.28515625" bestFit="1" customWidth="1"/>
    <col min="23" max="23" width="9.42578125" customWidth="1"/>
    <col min="24" max="24" width="9.28515625" customWidth="1"/>
    <col min="25" max="27" width="12.28515625" customWidth="1"/>
    <col min="28" max="28" width="9.7109375" bestFit="1" customWidth="1"/>
    <col min="29" max="29" width="11.42578125" bestFit="1" customWidth="1"/>
    <col min="30" max="30" width="10.5703125" bestFit="1" customWidth="1"/>
    <col min="31" max="31" width="2.7109375" customWidth="1"/>
    <col min="32" max="32" width="12" bestFit="1" customWidth="1"/>
    <col min="33" max="33" width="17.85546875" bestFit="1" customWidth="1"/>
    <col min="34" max="35" width="12.28515625" bestFit="1" customWidth="1"/>
    <col min="36" max="36" width="10.28515625" customWidth="1"/>
    <col min="37" max="38" width="7.7109375" customWidth="1"/>
    <col min="39" max="39" width="10.42578125" customWidth="1"/>
    <col min="40" max="42" width="12.28515625" customWidth="1"/>
    <col min="43" max="43" width="8" bestFit="1" customWidth="1"/>
    <col min="44" max="44" width="11.42578125" bestFit="1" customWidth="1"/>
    <col min="45" max="45" width="10.5703125" bestFit="1" customWidth="1"/>
  </cols>
  <sheetData>
    <row r="1" spans="2:45" x14ac:dyDescent="0.25">
      <c r="B1" s="1"/>
      <c r="C1" s="1" t="s">
        <v>73</v>
      </c>
      <c r="D1" s="33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Q1" s="18"/>
      <c r="R1" s="18" t="s">
        <v>73</v>
      </c>
      <c r="S1" s="33" t="s">
        <v>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F1" s="18"/>
      <c r="AG1" s="18" t="s">
        <v>73</v>
      </c>
      <c r="AH1" s="33" t="s">
        <v>1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</row>
    <row r="2" spans="2:45" x14ac:dyDescent="0.25">
      <c r="B2" s="1" t="s">
        <v>0</v>
      </c>
      <c r="C2" s="1" t="s">
        <v>22</v>
      </c>
      <c r="D2" s="1" t="s">
        <v>2</v>
      </c>
      <c r="E2" s="1" t="s">
        <v>3</v>
      </c>
      <c r="F2" s="20" t="s">
        <v>98</v>
      </c>
      <c r="G2" s="1" t="s">
        <v>91</v>
      </c>
      <c r="H2" s="13" t="s">
        <v>92</v>
      </c>
      <c r="I2" s="13" t="s">
        <v>93</v>
      </c>
      <c r="J2" s="25" t="s">
        <v>100</v>
      </c>
      <c r="K2" s="25" t="s">
        <v>101</v>
      </c>
      <c r="L2" s="25" t="s">
        <v>102</v>
      </c>
      <c r="M2" s="1" t="s">
        <v>4</v>
      </c>
      <c r="N2" s="18" t="s">
        <v>97</v>
      </c>
      <c r="O2" s="19" t="s">
        <v>95</v>
      </c>
      <c r="Q2" s="18" t="s">
        <v>0</v>
      </c>
      <c r="R2" s="18" t="s">
        <v>22</v>
      </c>
      <c r="S2" s="18" t="s">
        <v>2</v>
      </c>
      <c r="T2" s="18" t="s">
        <v>3</v>
      </c>
      <c r="U2" s="20" t="s">
        <v>98</v>
      </c>
      <c r="V2" s="18" t="s">
        <v>91</v>
      </c>
      <c r="W2" s="18" t="s">
        <v>92</v>
      </c>
      <c r="X2" s="18" t="s">
        <v>93</v>
      </c>
      <c r="Y2" s="25" t="s">
        <v>100</v>
      </c>
      <c r="Z2" s="25" t="s">
        <v>101</v>
      </c>
      <c r="AA2" s="25" t="s">
        <v>102</v>
      </c>
      <c r="AB2" s="18" t="s">
        <v>4</v>
      </c>
      <c r="AC2" s="18" t="s">
        <v>97</v>
      </c>
      <c r="AD2" s="19" t="s">
        <v>95</v>
      </c>
      <c r="AF2" s="18" t="s">
        <v>0</v>
      </c>
      <c r="AG2" s="18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" t="s">
        <v>5</v>
      </c>
      <c r="C3" s="1">
        <v>140</v>
      </c>
      <c r="D3" s="1" t="s">
        <v>79</v>
      </c>
      <c r="E3" s="1">
        <v>1551.66</v>
      </c>
      <c r="F3" s="20">
        <v>1886.74</v>
      </c>
      <c r="G3" s="1">
        <f>AVERAGE(3647.07,3269.08,3255.4)</f>
        <v>3390.5166666666664</v>
      </c>
      <c r="H3" s="13">
        <f>AVERAGE(4871.84,4760.1,4823.42)</f>
        <v>4818.4533333333338</v>
      </c>
      <c r="I3" s="13">
        <f>AVERAGE(7003.18,6708.75,7070.15)</f>
        <v>6927.3600000000006</v>
      </c>
      <c r="J3" s="25">
        <v>1322.11</v>
      </c>
      <c r="K3" s="25">
        <v>1318.03</v>
      </c>
      <c r="L3" s="25">
        <v>1309.68</v>
      </c>
      <c r="M3" s="1"/>
      <c r="N3" s="18">
        <v>1314</v>
      </c>
      <c r="O3" s="17">
        <v>1358</v>
      </c>
      <c r="Q3" s="18" t="s">
        <v>28</v>
      </c>
      <c r="R3" s="18">
        <v>24</v>
      </c>
      <c r="S3" s="18">
        <v>2139</v>
      </c>
      <c r="T3" s="18">
        <v>1691</v>
      </c>
      <c r="U3" s="20">
        <v>2752</v>
      </c>
      <c r="V3" s="18">
        <f>AVERAGE(2847,2862,2525)</f>
        <v>2744.6666666666665</v>
      </c>
      <c r="W3" s="18">
        <f>AVERAGE(2877,3021,3207)</f>
        <v>3035</v>
      </c>
      <c r="X3" s="18">
        <f>AVERAGE(4796,4876,8514)</f>
        <v>6062</v>
      </c>
      <c r="Y3" s="25">
        <v>2139</v>
      </c>
      <c r="Z3" s="25">
        <v>2122</v>
      </c>
      <c r="AA3" s="25">
        <v>2011</v>
      </c>
      <c r="AB3" s="18"/>
      <c r="AC3" s="18">
        <v>1819</v>
      </c>
      <c r="AD3" s="17">
        <v>1819</v>
      </c>
      <c r="AF3" s="18" t="s">
        <v>49</v>
      </c>
      <c r="AG3" s="18">
        <v>38</v>
      </c>
      <c r="AH3" s="18">
        <v>42676.77</v>
      </c>
      <c r="AI3" s="18">
        <v>44191.56</v>
      </c>
      <c r="AJ3" s="20">
        <v>50551.3</v>
      </c>
      <c r="AK3" s="18">
        <f>AVERAGE(67671.02,71552.62,67721.63)</f>
        <v>68981.756666666668</v>
      </c>
      <c r="AL3" s="18">
        <f>AVERAGE(94649.81,88157.51,90167.11)</f>
        <v>90991.476666666669</v>
      </c>
      <c r="AM3" s="18">
        <f>AVERAGE(115393.42,111909.71,108736.61)</f>
        <v>112013.24666666666</v>
      </c>
      <c r="AN3" s="25">
        <v>42676.77</v>
      </c>
      <c r="AO3" s="25">
        <v>42676.77</v>
      </c>
      <c r="AP3" s="25">
        <v>42676.77</v>
      </c>
      <c r="AQ3" s="18"/>
      <c r="AR3" s="17">
        <v>41248</v>
      </c>
      <c r="AS3" s="17">
        <v>42638</v>
      </c>
    </row>
    <row r="4" spans="2:45" x14ac:dyDescent="0.25">
      <c r="B4" s="1" t="s">
        <v>6</v>
      </c>
      <c r="C4" s="1">
        <v>267</v>
      </c>
      <c r="D4" s="1"/>
      <c r="E4" s="1"/>
      <c r="F4" s="20"/>
      <c r="G4" s="13">
        <f>AVERAGE(1)</f>
        <v>1</v>
      </c>
      <c r="H4" s="13">
        <f>AVERAGE(1)</f>
        <v>1</v>
      </c>
      <c r="I4" s="13">
        <f>AVERAGE(1)</f>
        <v>1</v>
      </c>
      <c r="J4" s="25"/>
      <c r="K4" s="25"/>
      <c r="L4" s="25"/>
      <c r="M4" s="1"/>
      <c r="N4" s="18"/>
      <c r="O4" s="17"/>
      <c r="Q4" s="18" t="s">
        <v>29</v>
      </c>
      <c r="R4" s="18">
        <v>48</v>
      </c>
      <c r="S4" s="18">
        <v>22073.5</v>
      </c>
      <c r="T4" s="18">
        <v>23897.19</v>
      </c>
      <c r="U4" s="20">
        <v>33537.83</v>
      </c>
      <c r="V4" s="18">
        <f>AVERAGE(43002.43,42126.39,45047.13)</f>
        <v>43391.983333333337</v>
      </c>
      <c r="W4" s="18">
        <f>AVERAGE(56604.77,59612.96,61636.42)</f>
        <v>59284.716666666667</v>
      </c>
      <c r="X4" s="18">
        <f>AVERAGE(81017.35,79446.65,88081.2)</f>
        <v>82848.400000000009</v>
      </c>
      <c r="Y4" s="25">
        <v>21617.45</v>
      </c>
      <c r="Z4" s="25">
        <v>21055.45</v>
      </c>
      <c r="AA4" s="25">
        <v>21657.37</v>
      </c>
      <c r="AB4" s="18"/>
      <c r="AC4" s="18">
        <v>20688</v>
      </c>
      <c r="AD4" s="17">
        <v>19876</v>
      </c>
      <c r="AF4" s="18" t="s">
        <v>50</v>
      </c>
      <c r="AG4" s="18">
        <v>52</v>
      </c>
      <c r="AH4" s="18">
        <v>17103.07</v>
      </c>
      <c r="AI4" s="18">
        <v>15595.35</v>
      </c>
      <c r="AJ4" s="20">
        <v>25998.98</v>
      </c>
      <c r="AK4" s="18">
        <f>AVERAGE(43965.63,41638.47,55019.8)</f>
        <v>46874.633333333339</v>
      </c>
      <c r="AL4" s="18">
        <f>AVERAGE(67679.21,73086.24,61048.1)</f>
        <v>67271.183333333334</v>
      </c>
      <c r="AM4" s="18">
        <f>AVERAGE(8707.29,86044.23,86981.12)</f>
        <v>60577.546666666662</v>
      </c>
      <c r="AN4" s="25">
        <v>16472.98</v>
      </c>
      <c r="AO4" s="25">
        <v>15960.98</v>
      </c>
      <c r="AP4" s="25">
        <v>15262.35</v>
      </c>
      <c r="AQ4" s="18"/>
      <c r="AR4" s="17">
        <v>18028</v>
      </c>
      <c r="AS4" s="17">
        <v>18028</v>
      </c>
    </row>
    <row r="5" spans="2:45" x14ac:dyDescent="0.25">
      <c r="B5" s="3" t="s">
        <v>7</v>
      </c>
      <c r="C5" s="3">
        <v>24</v>
      </c>
      <c r="D5" s="3">
        <v>3574</v>
      </c>
      <c r="E5" s="3">
        <v>3710</v>
      </c>
      <c r="F5" s="3">
        <v>4838</v>
      </c>
      <c r="G5" s="3">
        <f>AVERAGE(6095,4382,4205)</f>
        <v>4894</v>
      </c>
      <c r="H5" s="3">
        <f>AVERAGE(7414,5540,5189)</f>
        <v>6047.666666666667</v>
      </c>
      <c r="I5" s="3">
        <f>AVERAGE(10645,9493,9505)</f>
        <v>9881</v>
      </c>
      <c r="J5" s="3">
        <v>3447</v>
      </c>
      <c r="K5" s="3">
        <v>3231</v>
      </c>
      <c r="L5" s="3">
        <v>3231</v>
      </c>
      <c r="M5" s="3" t="s">
        <v>76</v>
      </c>
      <c r="N5" s="3"/>
      <c r="O5" s="24"/>
      <c r="Q5" s="18" t="s">
        <v>30</v>
      </c>
      <c r="R5" s="18">
        <v>60</v>
      </c>
      <c r="S5" s="18">
        <v>3174</v>
      </c>
      <c r="T5" s="18">
        <v>3062</v>
      </c>
      <c r="U5" s="20">
        <v>4147</v>
      </c>
      <c r="V5" s="18">
        <f>AVERAGE(5034,5155,5513)</f>
        <v>5234</v>
      </c>
      <c r="W5" s="18">
        <f>AVERAGE(6747,6436,7004)</f>
        <v>6729</v>
      </c>
      <c r="X5" s="18">
        <f>AVERAGE(9514,9995,10627)</f>
        <v>10045.333333333334</v>
      </c>
      <c r="Y5" s="25">
        <v>3120</v>
      </c>
      <c r="Z5" s="25">
        <v>3120</v>
      </c>
      <c r="AA5" s="25">
        <v>3120</v>
      </c>
      <c r="AB5" s="18"/>
      <c r="AC5" s="18"/>
      <c r="AD5" s="17"/>
      <c r="AF5" s="18" t="s">
        <v>51</v>
      </c>
      <c r="AG5" s="18">
        <v>62</v>
      </c>
      <c r="AH5" s="18">
        <v>26214.19</v>
      </c>
      <c r="AI5" s="18">
        <v>22543.29</v>
      </c>
      <c r="AJ5" s="20">
        <v>45272.02</v>
      </c>
      <c r="AK5" s="18">
        <f>AVERAGE(57354.29,64630.46,70897.19)</f>
        <v>64293.98</v>
      </c>
      <c r="AL5" s="18">
        <f>AVERAGE(81871.21,77591.71,67122.83)</f>
        <v>75528.583333333328</v>
      </c>
      <c r="AM5" s="18">
        <f>AVERAGE(137258.53,132466.16,118834.53)</f>
        <v>129519.73999999999</v>
      </c>
      <c r="AN5" s="25">
        <v>24187.51</v>
      </c>
      <c r="AO5" s="25">
        <v>25633.65</v>
      </c>
      <c r="AP5" s="25">
        <v>23691.5</v>
      </c>
      <c r="AQ5" s="18"/>
      <c r="AR5" s="17">
        <v>22998</v>
      </c>
      <c r="AS5" s="17">
        <v>22998</v>
      </c>
    </row>
    <row r="6" spans="2:45" x14ac:dyDescent="0.25">
      <c r="B6" s="1" t="s">
        <v>8</v>
      </c>
      <c r="C6" s="1">
        <v>266</v>
      </c>
      <c r="D6" s="1">
        <v>14421</v>
      </c>
      <c r="E6" s="1">
        <v>10405</v>
      </c>
      <c r="F6" s="20">
        <v>13419</v>
      </c>
      <c r="G6" s="13">
        <f>AVERAGE(36633,36410,36332)</f>
        <v>36458.333333333336</v>
      </c>
      <c r="H6" s="13">
        <f>AVERAGE(59476,55583,52888)</f>
        <v>55982.333333333336</v>
      </c>
      <c r="I6" s="13">
        <f>AVERAGE(86605,88268,85729)</f>
        <v>86867.333333333328</v>
      </c>
      <c r="J6" s="25">
        <v>14250</v>
      </c>
      <c r="K6" s="25">
        <v>14128</v>
      </c>
      <c r="L6" s="25">
        <v>14036</v>
      </c>
      <c r="M6" s="1"/>
      <c r="N6" s="18"/>
      <c r="O6" s="17"/>
      <c r="Q6" s="18" t="s">
        <v>31</v>
      </c>
      <c r="R6" s="18">
        <v>68</v>
      </c>
      <c r="S6" s="18"/>
      <c r="T6" s="18"/>
      <c r="U6" s="20"/>
      <c r="V6" s="18">
        <f>AVERAGE(1)</f>
        <v>1</v>
      </c>
      <c r="W6" s="18">
        <f t="shared" ref="W6:X10" si="0">AVERAGE(1)</f>
        <v>1</v>
      </c>
      <c r="X6" s="18">
        <f t="shared" si="0"/>
        <v>1</v>
      </c>
      <c r="Y6" s="25"/>
      <c r="Z6" s="25"/>
      <c r="AA6" s="25"/>
      <c r="AB6" s="18"/>
      <c r="AC6" s="18">
        <v>29363</v>
      </c>
      <c r="AD6" s="17">
        <v>31784</v>
      </c>
      <c r="AF6" s="18" t="s">
        <v>52</v>
      </c>
      <c r="AG6" s="18">
        <v>68</v>
      </c>
      <c r="AH6" s="18">
        <v>53346.76</v>
      </c>
      <c r="AI6" s="18">
        <v>51047.96</v>
      </c>
      <c r="AJ6" s="20">
        <v>64601.760000000002</v>
      </c>
      <c r="AK6" s="18">
        <f>AVERAGE(94718.25,98201.9,84465.24)</f>
        <v>92461.796666666676</v>
      </c>
      <c r="AL6" s="18">
        <f>AVERAGE(122250.16,119394.38,127078.23)</f>
        <v>122907.59000000001</v>
      </c>
      <c r="AM6" s="18">
        <f>AVERAGE(148276.98,173293.49,169617.71)</f>
        <v>163729.39333333331</v>
      </c>
      <c r="AN6" s="25">
        <v>53346.76</v>
      </c>
      <c r="AO6" s="25">
        <v>46726.91</v>
      </c>
      <c r="AP6" s="25">
        <v>50028.99</v>
      </c>
      <c r="AQ6" s="18"/>
      <c r="AR6" s="17">
        <v>46890</v>
      </c>
      <c r="AS6" s="17">
        <v>46909</v>
      </c>
    </row>
    <row r="7" spans="2:45" x14ac:dyDescent="0.25">
      <c r="B7" s="3" t="s">
        <v>9</v>
      </c>
      <c r="C7" s="3">
        <v>14</v>
      </c>
      <c r="D7" s="3">
        <v>581</v>
      </c>
      <c r="E7" s="3">
        <v>581</v>
      </c>
      <c r="F7" s="3">
        <v>873</v>
      </c>
      <c r="G7" s="14">
        <v>581</v>
      </c>
      <c r="H7" s="3">
        <f>AVERAGE(765,825,793)</f>
        <v>794.33333333333337</v>
      </c>
      <c r="I7" s="3">
        <f>AVERAGE(1000,1103,1011)</f>
        <v>1038</v>
      </c>
      <c r="J7" s="3">
        <v>581</v>
      </c>
      <c r="K7" s="3">
        <v>581</v>
      </c>
      <c r="L7" s="3">
        <v>581</v>
      </c>
      <c r="M7" s="3" t="s">
        <v>81</v>
      </c>
      <c r="N7" s="3">
        <v>626</v>
      </c>
      <c r="O7" s="24">
        <v>626</v>
      </c>
      <c r="Q7" s="18" t="s">
        <v>32</v>
      </c>
      <c r="R7" s="18">
        <v>101</v>
      </c>
      <c r="S7" s="18"/>
      <c r="T7" s="18"/>
      <c r="U7" s="20"/>
      <c r="V7" s="18">
        <f>AVERAGE(1)</f>
        <v>1</v>
      </c>
      <c r="W7" s="18">
        <f t="shared" si="0"/>
        <v>1</v>
      </c>
      <c r="X7" s="18">
        <f t="shared" si="0"/>
        <v>1</v>
      </c>
      <c r="Y7" s="25"/>
      <c r="Z7" s="25"/>
      <c r="AA7" s="25"/>
      <c r="AB7" s="18"/>
      <c r="AC7" s="18">
        <v>14181</v>
      </c>
      <c r="AD7" s="17">
        <v>14181</v>
      </c>
      <c r="AF7" s="18" t="s">
        <v>53</v>
      </c>
      <c r="AG7" s="18">
        <v>72</v>
      </c>
      <c r="AH7" s="18">
        <v>26457.22</v>
      </c>
      <c r="AI7" s="18">
        <v>28471</v>
      </c>
      <c r="AJ7" s="20">
        <v>44396.63</v>
      </c>
      <c r="AK7" s="18">
        <f>AVERAGE(62535.57,67602.32,64349.75)</f>
        <v>64829.21333333334</v>
      </c>
      <c r="AL7" s="18">
        <f>AVERAGE(102228.3,110315.73,100851.64)</f>
        <v>104465.22333333333</v>
      </c>
      <c r="AM7" s="18">
        <f>AVERAGE(173980.05,168318.31,169090.17)</f>
        <v>170462.84333333335</v>
      </c>
      <c r="AN7" s="25">
        <v>26341.82</v>
      </c>
      <c r="AO7" s="25">
        <v>26306.34</v>
      </c>
      <c r="AP7" s="25">
        <v>26331.47</v>
      </c>
      <c r="AQ7" s="18"/>
      <c r="AR7" s="17">
        <v>28402</v>
      </c>
      <c r="AS7" s="17">
        <v>28059</v>
      </c>
    </row>
    <row r="8" spans="2:45" x14ac:dyDescent="0.25">
      <c r="B8" s="3" t="s">
        <v>10</v>
      </c>
      <c r="C8" s="3">
        <v>14</v>
      </c>
      <c r="D8" s="3">
        <v>816</v>
      </c>
      <c r="E8" s="3">
        <v>818</v>
      </c>
      <c r="F8" s="3">
        <v>1115</v>
      </c>
      <c r="G8" s="14">
        <v>816</v>
      </c>
      <c r="H8" s="3">
        <f>AVERAGE(990,1126,1127)</f>
        <v>1081</v>
      </c>
      <c r="I8" s="3">
        <f>AVERAGE(1244,1312,1463)</f>
        <v>1339.6666666666667</v>
      </c>
      <c r="J8" s="3">
        <v>816</v>
      </c>
      <c r="K8" s="3">
        <v>816</v>
      </c>
      <c r="L8" s="3">
        <v>816</v>
      </c>
      <c r="M8" s="3" t="s">
        <v>83</v>
      </c>
      <c r="N8" s="3">
        <v>733</v>
      </c>
      <c r="O8" s="24">
        <v>733</v>
      </c>
      <c r="Q8" s="18" t="s">
        <v>33</v>
      </c>
      <c r="R8" s="18">
        <v>114</v>
      </c>
      <c r="S8" s="18"/>
      <c r="T8" s="18"/>
      <c r="U8" s="20"/>
      <c r="V8" s="18">
        <f>AVERAGE(1)</f>
        <v>1</v>
      </c>
      <c r="W8" s="18">
        <f t="shared" si="0"/>
        <v>1</v>
      </c>
      <c r="X8" s="18">
        <f t="shared" si="0"/>
        <v>1</v>
      </c>
      <c r="Y8" s="25"/>
      <c r="Z8" s="25"/>
      <c r="AA8" s="25"/>
      <c r="AB8" s="18"/>
      <c r="AC8" s="18">
        <v>41005</v>
      </c>
      <c r="AD8" s="17">
        <v>41005</v>
      </c>
      <c r="AF8" s="18" t="s">
        <v>54</v>
      </c>
      <c r="AG8" s="18">
        <v>76</v>
      </c>
      <c r="AH8" s="18">
        <v>35032.6</v>
      </c>
      <c r="AI8" s="18">
        <v>35705.47</v>
      </c>
      <c r="AJ8" s="20">
        <v>57394.59</v>
      </c>
      <c r="AK8" s="18">
        <f>AVERAGE(92260.55,75101.11,80997.32)</f>
        <v>82786.326666666675</v>
      </c>
      <c r="AL8" s="18">
        <f>AVERAGE(118521.41,107632.89,119739.37)</f>
        <v>115297.89</v>
      </c>
      <c r="AM8" s="18">
        <f>AVERAGE(200109.29,183817.21,179421.67)</f>
        <v>187782.72333333336</v>
      </c>
      <c r="AN8" s="25">
        <v>33363.86</v>
      </c>
      <c r="AO8" s="25">
        <v>32745.67</v>
      </c>
      <c r="AP8" s="25">
        <v>32794.53</v>
      </c>
      <c r="AQ8" s="18"/>
      <c r="AR8" s="17">
        <v>36637</v>
      </c>
      <c r="AS8" s="17">
        <v>38863</v>
      </c>
    </row>
    <row r="9" spans="2:45" x14ac:dyDescent="0.25">
      <c r="B9" s="3" t="s">
        <v>11</v>
      </c>
      <c r="C9" s="3">
        <v>26</v>
      </c>
      <c r="D9" s="3">
        <v>1809.58</v>
      </c>
      <c r="E9" s="3">
        <v>1857.02</v>
      </c>
      <c r="F9" s="3">
        <v>2849.17</v>
      </c>
      <c r="G9" s="3">
        <f>AVERAGE(2651.31,3294.21,2833.02)</f>
        <v>2926.1800000000003</v>
      </c>
      <c r="H9" s="3">
        <f>AVERAGE(3297.3,4088.31,3040.49)</f>
        <v>3475.3666666666668</v>
      </c>
      <c r="I9" s="3">
        <f>AVERAGE(5796.77,5450.13,5975.41)</f>
        <v>5740.77</v>
      </c>
      <c r="J9" s="3">
        <v>1766.5</v>
      </c>
      <c r="K9" s="3">
        <v>1766.5</v>
      </c>
      <c r="L9" s="3">
        <v>1766.5</v>
      </c>
      <c r="M9" s="5">
        <v>3303.71452420693</v>
      </c>
      <c r="N9" s="3">
        <v>1874</v>
      </c>
      <c r="O9" s="24">
        <v>1874</v>
      </c>
      <c r="Q9" s="18" t="s">
        <v>34</v>
      </c>
      <c r="R9" s="18">
        <v>215</v>
      </c>
      <c r="S9" s="18"/>
      <c r="T9" s="18"/>
      <c r="U9" s="20"/>
      <c r="V9" s="18">
        <f>AVERAGE(1)</f>
        <v>1</v>
      </c>
      <c r="W9" s="18">
        <f t="shared" si="0"/>
        <v>1</v>
      </c>
      <c r="X9" s="18">
        <f t="shared" si="0"/>
        <v>1</v>
      </c>
      <c r="Y9" s="25"/>
      <c r="Z9" s="25"/>
      <c r="AA9" s="25"/>
      <c r="AB9" s="18"/>
      <c r="AC9" s="18"/>
      <c r="AD9" s="17"/>
      <c r="AF9" s="18" t="s">
        <v>55</v>
      </c>
      <c r="AG9" s="18">
        <v>113</v>
      </c>
      <c r="AH9" s="18">
        <v>51597.94</v>
      </c>
      <c r="AI9" s="18">
        <v>53661.61</v>
      </c>
      <c r="AJ9" s="20">
        <v>69425.490000000005</v>
      </c>
      <c r="AK9" s="18">
        <f>AVERAGE(125277.77,124544.19,117939.53)</f>
        <v>122587.16333333333</v>
      </c>
      <c r="AL9" s="18">
        <f>AVERAGE(187903.06,202714.89,201206)</f>
        <v>197274.65</v>
      </c>
      <c r="AM9" s="18">
        <f>AVERAGE(318764.04,308039.97,329299.51)</f>
        <v>318701.17333333334</v>
      </c>
      <c r="AN9" s="25">
        <v>49141.62</v>
      </c>
      <c r="AO9" s="25">
        <v>48156.03</v>
      </c>
      <c r="AP9" s="25">
        <v>47039.29</v>
      </c>
      <c r="AQ9" s="18"/>
      <c r="AR9" s="17">
        <v>38718</v>
      </c>
      <c r="AS9" s="17">
        <v>39597</v>
      </c>
    </row>
    <row r="10" spans="2:45" x14ac:dyDescent="0.25">
      <c r="B10" s="1" t="s">
        <v>12</v>
      </c>
      <c r="C10" s="1">
        <v>63</v>
      </c>
      <c r="D10" s="1">
        <v>29446.799999999999</v>
      </c>
      <c r="E10" s="1">
        <v>30074.639999999999</v>
      </c>
      <c r="F10" s="20">
        <v>44332.08</v>
      </c>
      <c r="G10" s="13">
        <f>AVERAGE(56780.47,53043,50702.91)</f>
        <v>53508.793333333335</v>
      </c>
      <c r="H10" s="13">
        <f>AVERAGE(79613.02,78420.73,88103.95)</f>
        <v>82045.900000000009</v>
      </c>
      <c r="I10" s="13">
        <f>AVERAGE(110312.62,112767.63,104428.25)</f>
        <v>109169.5</v>
      </c>
      <c r="J10" s="25">
        <v>29120.17</v>
      </c>
      <c r="K10" s="25">
        <v>28429.05</v>
      </c>
      <c r="L10" s="25">
        <v>27862.639999999999</v>
      </c>
      <c r="M10" s="1"/>
      <c r="N10" s="18">
        <v>26062</v>
      </c>
      <c r="O10" s="17">
        <v>26107</v>
      </c>
      <c r="Q10" s="18" t="s">
        <v>35</v>
      </c>
      <c r="R10" s="18">
        <v>333</v>
      </c>
      <c r="S10" s="18"/>
      <c r="T10" s="18"/>
      <c r="U10" s="20"/>
      <c r="V10" s="18">
        <f>AVERAGE(1)</f>
        <v>1</v>
      </c>
      <c r="W10" s="18">
        <f t="shared" si="0"/>
        <v>1</v>
      </c>
      <c r="X10" s="18">
        <f t="shared" si="0"/>
        <v>1</v>
      </c>
      <c r="Y10" s="25"/>
      <c r="Z10" s="25"/>
      <c r="AA10" s="25"/>
      <c r="AB10" s="18"/>
      <c r="AC10" s="18"/>
      <c r="AD10" s="17"/>
      <c r="AF10" s="18" t="s">
        <v>56</v>
      </c>
      <c r="AG10" s="18">
        <v>132</v>
      </c>
      <c r="AH10" s="18">
        <v>23011.19</v>
      </c>
      <c r="AI10" s="18">
        <v>21708.66</v>
      </c>
      <c r="AJ10" s="20">
        <v>52120.72</v>
      </c>
      <c r="AK10" s="18">
        <f>AVERAGE(97573.93,76410.8,87873.39)</f>
        <v>87286.04</v>
      </c>
      <c r="AL10" s="18">
        <f>AVERAGE(114065.38,102538.87,120372.14)</f>
        <v>112325.46333333333</v>
      </c>
      <c r="AM10" s="18">
        <f>AVERAGE(127026.43,152095.31,153062.88)</f>
        <v>144061.54</v>
      </c>
      <c r="AN10" s="25">
        <v>22934.79</v>
      </c>
      <c r="AO10" s="25">
        <v>21889.15</v>
      </c>
      <c r="AP10" s="25">
        <v>22363.5</v>
      </c>
      <c r="AQ10" s="18"/>
      <c r="AR10" s="17"/>
      <c r="AS10" s="17"/>
    </row>
    <row r="11" spans="2:45" x14ac:dyDescent="0.25">
      <c r="B11" s="1" t="s">
        <v>13</v>
      </c>
      <c r="C11" s="1">
        <v>29</v>
      </c>
      <c r="D11" s="1">
        <v>10296</v>
      </c>
      <c r="E11" s="1">
        <v>9828</v>
      </c>
      <c r="F11" s="20">
        <v>9346</v>
      </c>
      <c r="G11" s="15">
        <f>AVERAGE(8182,8938,10118)</f>
        <v>9079.3333333333339</v>
      </c>
      <c r="H11" s="13">
        <f>AVERAGE(11522,11450,15779)</f>
        <v>12917</v>
      </c>
      <c r="I11" s="13">
        <f>AVERAGE(18467,18430,19788)</f>
        <v>18895</v>
      </c>
      <c r="J11" s="25">
        <v>10262</v>
      </c>
      <c r="K11" s="25">
        <v>10262</v>
      </c>
      <c r="L11" s="25">
        <v>10262</v>
      </c>
      <c r="M11" s="1"/>
      <c r="N11" s="18"/>
      <c r="O11" s="17"/>
      <c r="Q11" s="18" t="s">
        <v>88</v>
      </c>
      <c r="R11" s="18">
        <v>24</v>
      </c>
      <c r="S11" s="18">
        <v>6476</v>
      </c>
      <c r="T11" s="18">
        <v>5474</v>
      </c>
      <c r="U11" s="20">
        <v>6420</v>
      </c>
      <c r="V11" s="18">
        <f>AVERAGE(8023,4994,8974)</f>
        <v>7330.333333333333</v>
      </c>
      <c r="W11" s="18">
        <f>AVERAGE(9382,6256,8383)</f>
        <v>8007</v>
      </c>
      <c r="X11" s="18">
        <f>AVERAGE(9244,11326,10599)</f>
        <v>10389.666666666666</v>
      </c>
      <c r="Y11" s="25">
        <v>6284</v>
      </c>
      <c r="Z11" s="25">
        <v>6284</v>
      </c>
      <c r="AA11" s="25">
        <v>6284</v>
      </c>
      <c r="AB11" s="18"/>
      <c r="AC11" s="18">
        <v>4701</v>
      </c>
      <c r="AD11" s="17">
        <v>4701</v>
      </c>
      <c r="AF11" s="18" t="s">
        <v>57</v>
      </c>
      <c r="AG11" s="18">
        <v>149</v>
      </c>
      <c r="AH11" s="18">
        <v>27476.07</v>
      </c>
      <c r="AI11" s="18">
        <v>26159.06</v>
      </c>
      <c r="AJ11" s="20">
        <v>31750.9</v>
      </c>
      <c r="AK11" s="18">
        <f>AVERAGE(68765.2,64902.05,60570.51)</f>
        <v>64745.920000000006</v>
      </c>
      <c r="AL11" s="18">
        <f>AVERAGE(92835.42,95277.04,97412.87)</f>
        <v>95175.109999999986</v>
      </c>
      <c r="AM11" s="18">
        <f>AVERAGE(134003.72,146075.95,135907.26)</f>
        <v>138662.31000000003</v>
      </c>
      <c r="AN11" s="25">
        <v>26442.77</v>
      </c>
      <c r="AO11" s="25">
        <v>25630.01</v>
      </c>
      <c r="AP11" s="25">
        <v>24829.1</v>
      </c>
      <c r="AQ11" s="18"/>
      <c r="AR11" s="17"/>
      <c r="AS11" s="17"/>
    </row>
    <row r="12" spans="2:45" x14ac:dyDescent="0.25">
      <c r="B12" s="1" t="s">
        <v>14</v>
      </c>
      <c r="C12" s="1">
        <v>90</v>
      </c>
      <c r="D12" s="1">
        <v>57910</v>
      </c>
      <c r="E12" s="1">
        <v>980</v>
      </c>
      <c r="F12" s="20">
        <v>118910</v>
      </c>
      <c r="G12" s="13">
        <f>AVERAGE(119890,130840,141420)</f>
        <v>130716.66666666667</v>
      </c>
      <c r="H12" s="13">
        <f>AVERAGE(118430,142290,136370)</f>
        <v>132363.33333333334</v>
      </c>
      <c r="I12" s="13">
        <f>AVERAGE(203920,208790,187390)</f>
        <v>200033.33333333334</v>
      </c>
      <c r="J12" s="25">
        <v>22550</v>
      </c>
      <c r="K12" s="25">
        <v>25610</v>
      </c>
      <c r="L12" s="25">
        <v>4770</v>
      </c>
      <c r="M12" s="1"/>
      <c r="N12" s="18"/>
      <c r="O12" s="17"/>
      <c r="Q12" s="18" t="s">
        <v>36</v>
      </c>
      <c r="R12" s="18">
        <v>50</v>
      </c>
      <c r="S12" s="18">
        <v>11572.88</v>
      </c>
      <c r="T12" s="18">
        <v>10270.1</v>
      </c>
      <c r="U12" s="20">
        <v>15505.5</v>
      </c>
      <c r="V12" s="18">
        <f>AVERAGE(18246.01,15636.11,15860.69)</f>
        <v>16580.936666666665</v>
      </c>
      <c r="W12" s="18">
        <f>AVERAGE(26830.68,26540.21,22916.1)</f>
        <v>25428.996666666662</v>
      </c>
      <c r="X12" s="18">
        <f>AVERAGE(33083.1,33124.75,33580.06)</f>
        <v>33262.636666666665</v>
      </c>
      <c r="Y12" s="25">
        <v>11430.22</v>
      </c>
      <c r="Z12" s="25">
        <v>10638.41</v>
      </c>
      <c r="AA12" s="25">
        <v>10809.47</v>
      </c>
      <c r="AB12" s="18"/>
      <c r="AC12" s="18">
        <v>9184</v>
      </c>
      <c r="AD12" s="17">
        <v>10050</v>
      </c>
      <c r="AF12" s="18" t="s">
        <v>58</v>
      </c>
      <c r="AG12" s="18">
        <v>219</v>
      </c>
      <c r="AH12" s="18">
        <v>41333.97</v>
      </c>
      <c r="AI12" s="18">
        <v>43929.8</v>
      </c>
      <c r="AJ12" s="20">
        <v>65880.3</v>
      </c>
      <c r="AK12" s="18">
        <f>AVERAGE(130468.43,132240.97,139718.17)</f>
        <v>134142.52333333335</v>
      </c>
      <c r="AL12" s="18">
        <f>AVERAGE(188512.53,195437.63,204661.72)</f>
        <v>196203.96</v>
      </c>
      <c r="AM12" s="18">
        <f>AVERAGE(324205.78,338475.11,321814.62)</f>
        <v>328165.17</v>
      </c>
      <c r="AN12" s="25">
        <v>40759.29</v>
      </c>
      <c r="AO12" s="25">
        <v>40496.9</v>
      </c>
      <c r="AP12" s="25">
        <v>39951.51</v>
      </c>
      <c r="AQ12" s="18"/>
      <c r="AR12" s="17"/>
      <c r="AS12" s="17"/>
    </row>
    <row r="13" spans="2:45" x14ac:dyDescent="0.25">
      <c r="B13" s="3" t="s">
        <v>15</v>
      </c>
      <c r="C13" s="3">
        <v>7</v>
      </c>
      <c r="D13" s="3">
        <v>1454.84</v>
      </c>
      <c r="E13" s="3">
        <v>1339.12</v>
      </c>
      <c r="F13" s="3">
        <v>1602.94</v>
      </c>
      <c r="G13" s="14">
        <v>1454.84</v>
      </c>
      <c r="H13" s="14">
        <v>1454.84</v>
      </c>
      <c r="I13" s="3">
        <f>AVERAGE(1628.18,1528.04,2026.48)</f>
        <v>1727.5666666666668</v>
      </c>
      <c r="J13" s="3">
        <v>1454.84</v>
      </c>
      <c r="K13" s="3">
        <v>1454.84</v>
      </c>
      <c r="L13" s="3">
        <v>1454.84</v>
      </c>
      <c r="M13" s="3">
        <v>966.37</v>
      </c>
      <c r="N13" s="3">
        <v>1272</v>
      </c>
      <c r="O13" s="24">
        <v>1236</v>
      </c>
      <c r="Q13" s="18" t="s">
        <v>37</v>
      </c>
      <c r="R13" s="18">
        <v>75</v>
      </c>
      <c r="S13" s="18">
        <v>15643.51</v>
      </c>
      <c r="T13" s="18">
        <v>50807.89</v>
      </c>
      <c r="U13" s="20">
        <v>17195.66</v>
      </c>
      <c r="V13" s="18">
        <f>AVERAGE(31530.67,28819.06,27007.27)</f>
        <v>29119</v>
      </c>
      <c r="W13" s="18">
        <f>AVERAGE(38280.9,34510.19,36585.65)</f>
        <v>36458.91333333333</v>
      </c>
      <c r="X13" s="18">
        <f>AVERAGE(50386.26,49337.28,51054.94)</f>
        <v>50259.493333333339</v>
      </c>
      <c r="Y13" s="25">
        <v>15430.01</v>
      </c>
      <c r="Z13" s="25">
        <v>14772.08</v>
      </c>
      <c r="AA13" s="25">
        <v>14026.18</v>
      </c>
      <c r="AB13" s="18"/>
      <c r="AC13" s="18">
        <v>11625</v>
      </c>
      <c r="AD13" s="17">
        <v>11625</v>
      </c>
      <c r="AF13" s="18" t="s">
        <v>59</v>
      </c>
      <c r="AG13" s="18">
        <v>501</v>
      </c>
      <c r="AH13" s="18">
        <v>133670.14000000001</v>
      </c>
      <c r="AI13" s="18">
        <v>143817.03</v>
      </c>
      <c r="AJ13" s="20">
        <v>182271.52</v>
      </c>
      <c r="AK13" s="18">
        <f>AVERAGE(611099.29,611721.92,615676.98)</f>
        <v>612832.73</v>
      </c>
      <c r="AL13" s="18">
        <f>AVERAGE(889049.69)</f>
        <v>889049.69</v>
      </c>
      <c r="AM13" s="18">
        <f>AVERAGE(1362513.23)</f>
        <v>1362513.23</v>
      </c>
      <c r="AN13" s="25">
        <v>131441.76</v>
      </c>
      <c r="AO13" s="25">
        <v>129086.31</v>
      </c>
      <c r="AP13" s="25">
        <v>128728.12</v>
      </c>
      <c r="AQ13" s="18"/>
      <c r="AR13" s="17"/>
      <c r="AS13" s="17"/>
    </row>
    <row r="14" spans="2:45" x14ac:dyDescent="0.25">
      <c r="B14" s="1" t="s">
        <v>16</v>
      </c>
      <c r="C14" s="1">
        <v>65</v>
      </c>
      <c r="D14" s="1">
        <v>2717.27</v>
      </c>
      <c r="E14" s="1">
        <v>2792.21</v>
      </c>
      <c r="F14" s="20">
        <v>3502.04</v>
      </c>
      <c r="G14" s="13">
        <f>AVERAGE(5109.97,5065.25,4645.03)</f>
        <v>4940.083333333333</v>
      </c>
      <c r="H14" s="13">
        <f>AVERAGE(6386.37,7020.45,6917.08)</f>
        <v>6774.6333333333341</v>
      </c>
      <c r="I14" s="13">
        <f>AVERAGE(10196.89,9130.25,10126)</f>
        <v>9817.7133333333331</v>
      </c>
      <c r="J14" s="25">
        <v>2710.19</v>
      </c>
      <c r="K14" s="25">
        <v>2708.24</v>
      </c>
      <c r="L14" s="25">
        <v>2710.19</v>
      </c>
      <c r="M14" s="1"/>
      <c r="N14" s="18">
        <v>2408</v>
      </c>
      <c r="O14" s="17">
        <v>2408</v>
      </c>
      <c r="Q14" s="18" t="s">
        <v>38</v>
      </c>
      <c r="R14" s="18">
        <v>100</v>
      </c>
      <c r="S14" s="18">
        <v>13623.44</v>
      </c>
      <c r="T14" s="18">
        <v>16093.09</v>
      </c>
      <c r="U14" s="20">
        <v>21322.240000000002</v>
      </c>
      <c r="V14" s="18">
        <f>AVERAGE(33860.82,35440.32,32829.69)</f>
        <v>34043.61</v>
      </c>
      <c r="W14" s="18">
        <f>AVERAGE(44726.44,50695.11,48151.51)</f>
        <v>47857.686666666668</v>
      </c>
      <c r="X14" s="18">
        <f>AVERAGE(64930.12,70854.77,68582.01)</f>
        <v>68122.3</v>
      </c>
      <c r="Y14" s="25">
        <v>13485.45</v>
      </c>
      <c r="Z14" s="25">
        <v>13485.45</v>
      </c>
      <c r="AA14" s="25">
        <v>13485.45</v>
      </c>
      <c r="AB14" s="18"/>
      <c r="AC14" s="18">
        <v>12753</v>
      </c>
      <c r="AD14" s="17">
        <v>12753</v>
      </c>
      <c r="AF14" s="18" t="s">
        <v>60</v>
      </c>
      <c r="AG14" s="18">
        <v>49</v>
      </c>
      <c r="AH14" s="18">
        <v>600.15</v>
      </c>
      <c r="AI14" s="18">
        <v>695.56</v>
      </c>
      <c r="AJ14" s="20">
        <v>784.24</v>
      </c>
      <c r="AK14" s="18">
        <f>AVERAGE(915.58,965.96,857.74)</f>
        <v>913.09333333333325</v>
      </c>
      <c r="AL14" s="18">
        <f>AVERAGE(1259.58,1191.97,1197.49)</f>
        <v>1216.3466666666666</v>
      </c>
      <c r="AM14" s="18">
        <f>AVERAGE(1705.72,1573.21,1822.44)</f>
        <v>1700.4566666666669</v>
      </c>
      <c r="AN14" s="25">
        <v>584.59</v>
      </c>
      <c r="AO14" s="25">
        <v>578.70000000000005</v>
      </c>
      <c r="AP14" s="25">
        <v>571.6</v>
      </c>
      <c r="AQ14" s="18"/>
      <c r="AR14" s="17">
        <v>574</v>
      </c>
      <c r="AS14" s="17">
        <v>574</v>
      </c>
    </row>
    <row r="15" spans="2:45" x14ac:dyDescent="0.25">
      <c r="B15" s="1" t="s">
        <v>17</v>
      </c>
      <c r="C15" s="1">
        <v>75</v>
      </c>
      <c r="D15" s="1">
        <v>3194.43</v>
      </c>
      <c r="E15" s="1">
        <v>3621.33</v>
      </c>
      <c r="F15" s="20">
        <v>4822.46</v>
      </c>
      <c r="G15" s="13">
        <f>AVERAGE(5931.11,6725.71,6492.31)</f>
        <v>6383.043333333334</v>
      </c>
      <c r="H15" s="13">
        <f>AVERAGE(8509.21,8110.02,8267.59)</f>
        <v>8295.6066666666666</v>
      </c>
      <c r="I15" s="13">
        <f>AVERAGE(11545.91,11573.41,11991.17)</f>
        <v>11703.496666666666</v>
      </c>
      <c r="J15" s="25">
        <v>3169.82</v>
      </c>
      <c r="K15" s="25">
        <v>3082.54</v>
      </c>
      <c r="L15" s="25">
        <v>3087.18</v>
      </c>
      <c r="M15" s="1"/>
      <c r="N15" s="18">
        <v>2761</v>
      </c>
      <c r="O15" s="17">
        <v>2761</v>
      </c>
      <c r="Q15" s="18" t="s">
        <v>39</v>
      </c>
      <c r="R15" s="18">
        <v>50</v>
      </c>
      <c r="S15" s="18">
        <v>11462.54</v>
      </c>
      <c r="T15" s="18">
        <v>11768</v>
      </c>
      <c r="U15" s="20">
        <v>13554.58</v>
      </c>
      <c r="V15" s="18">
        <f>AVERAGE(17548.83,18031.67,17132.19)</f>
        <v>17570.896666666667</v>
      </c>
      <c r="W15" s="18">
        <f>AVERAGE(25155.69,23030.8,23820.96)</f>
        <v>24002.483333333334</v>
      </c>
      <c r="X15" s="18">
        <f>AVERAGE(32066.58,37114.645,31461.15)</f>
        <v>33547.458333333336</v>
      </c>
      <c r="Y15" s="25">
        <v>11418.42</v>
      </c>
      <c r="Z15" s="25">
        <v>11366.47</v>
      </c>
      <c r="AA15" s="25">
        <v>11184.6</v>
      </c>
      <c r="AB15" s="18"/>
      <c r="AC15" s="18">
        <v>9096</v>
      </c>
      <c r="AD15" s="17">
        <v>9096</v>
      </c>
      <c r="AF15" s="18" t="s">
        <v>61</v>
      </c>
      <c r="AG15" s="18">
        <v>97</v>
      </c>
      <c r="AH15" s="18">
        <v>1135.3800000000001</v>
      </c>
      <c r="AI15" s="18">
        <v>1293.71</v>
      </c>
      <c r="AJ15" s="20">
        <v>1548.43</v>
      </c>
      <c r="AK15" s="18">
        <f>AVERAGE(2172,2292.37,2366.69)</f>
        <v>2277.02</v>
      </c>
      <c r="AL15" s="18">
        <f>AVERAGE(3267.68,3080.11,3213.25)</f>
        <v>3187.0133333333338</v>
      </c>
      <c r="AM15" s="18">
        <f>AVERAGE(4335.33,4738.44,4561.91)</f>
        <v>4545.2266666666665</v>
      </c>
      <c r="AN15" s="25">
        <v>1135.3800000000001</v>
      </c>
      <c r="AO15" s="25">
        <v>1133.95</v>
      </c>
      <c r="AP15" s="25">
        <v>1125.23</v>
      </c>
      <c r="AQ15" s="18"/>
      <c r="AR15" s="17">
        <v>1140</v>
      </c>
      <c r="AS15" s="17">
        <v>1160</v>
      </c>
    </row>
    <row r="16" spans="2:45" x14ac:dyDescent="0.25">
      <c r="B16" s="3" t="s">
        <v>18</v>
      </c>
      <c r="C16" s="3">
        <v>21</v>
      </c>
      <c r="D16" s="3">
        <v>255</v>
      </c>
      <c r="E16" s="3">
        <v>251</v>
      </c>
      <c r="F16" s="3">
        <v>322</v>
      </c>
      <c r="G16" s="3">
        <f>AVERAGE(275,256,347)</f>
        <v>292.66666666666669</v>
      </c>
      <c r="H16" s="3">
        <f>AVERAGE(390,405,379)</f>
        <v>391.33333333333331</v>
      </c>
      <c r="I16" s="3">
        <f>AVERAGE(582,583,565)</f>
        <v>576.66666666666663</v>
      </c>
      <c r="J16" s="3">
        <v>239</v>
      </c>
      <c r="K16" s="3">
        <v>239</v>
      </c>
      <c r="L16" s="3">
        <v>239</v>
      </c>
      <c r="M16" s="3">
        <v>230</v>
      </c>
      <c r="N16" s="3">
        <v>260</v>
      </c>
      <c r="O16" s="24">
        <v>260</v>
      </c>
      <c r="Q16" s="18" t="s">
        <v>40</v>
      </c>
      <c r="R16" s="18">
        <v>75</v>
      </c>
      <c r="S16" s="18">
        <v>12323.13</v>
      </c>
      <c r="T16" s="18">
        <v>13509.84</v>
      </c>
      <c r="U16" s="20">
        <v>19102.689999999999</v>
      </c>
      <c r="V16" s="18">
        <f>AVERAGE(25882.97,25132.64,26685.26)</f>
        <v>25900.289999999997</v>
      </c>
      <c r="W16" s="18">
        <f>AVERAGE(33795.5,35005.18,33114.48)</f>
        <v>33971.72</v>
      </c>
      <c r="X16" s="18">
        <f>AVERAGE(51497.18,51233.59)</f>
        <v>51365.384999999995</v>
      </c>
      <c r="Y16" s="25">
        <v>12099.43</v>
      </c>
      <c r="Z16" s="25">
        <v>11909.87</v>
      </c>
      <c r="AA16" s="25">
        <v>12016.93</v>
      </c>
      <c r="AB16" s="18"/>
      <c r="AC16" s="18">
        <v>11535</v>
      </c>
      <c r="AD16" s="17">
        <v>11535</v>
      </c>
      <c r="AF16" s="18" t="s">
        <v>62</v>
      </c>
      <c r="AG16" s="18">
        <v>287</v>
      </c>
      <c r="AH16" s="18" t="s">
        <v>87</v>
      </c>
      <c r="AI16" s="18">
        <v>3690.24</v>
      </c>
      <c r="AJ16" s="20">
        <v>4553.4799999999996</v>
      </c>
      <c r="AK16" s="18">
        <f>AVERAGE(11399.38,10366.03,10813.15)</f>
        <v>10859.519999999999</v>
      </c>
      <c r="AL16" s="18">
        <f>AVERAGE(15369.12,15382.28,15396.45)</f>
        <v>15382.616666666669</v>
      </c>
      <c r="AM16" s="18">
        <f>AVERAGE(22534.66)</f>
        <v>22534.66</v>
      </c>
      <c r="AN16" s="25">
        <v>3448.29</v>
      </c>
      <c r="AO16" s="25">
        <v>3407.23</v>
      </c>
      <c r="AP16" s="25">
        <v>3354.21</v>
      </c>
      <c r="AQ16" s="18"/>
      <c r="AR16" s="17"/>
      <c r="AS16" s="17"/>
    </row>
    <row r="17" spans="2:45" x14ac:dyDescent="0.25">
      <c r="B17" s="3" t="s">
        <v>19</v>
      </c>
      <c r="C17" s="3">
        <v>25</v>
      </c>
      <c r="D17" s="3">
        <v>181.41</v>
      </c>
      <c r="E17" s="3">
        <v>190.34</v>
      </c>
      <c r="F17" s="3">
        <v>241.03</v>
      </c>
      <c r="G17" s="3">
        <f>AVERAGE(279.26,215.78,239.33)</f>
        <v>244.79</v>
      </c>
      <c r="H17" s="3">
        <f>AVERAGE(289.19,295.09,306.2)</f>
        <v>296.82666666666665</v>
      </c>
      <c r="I17" s="3">
        <f>AVERAGE(396.94,391.92,315.52)</f>
        <v>368.12666666666672</v>
      </c>
      <c r="J17" s="3">
        <v>181.41</v>
      </c>
      <c r="K17" s="3">
        <v>181.41</v>
      </c>
      <c r="L17" s="3">
        <v>181.41</v>
      </c>
      <c r="M17" s="3" t="s">
        <v>85</v>
      </c>
      <c r="N17" s="3">
        <v>175</v>
      </c>
      <c r="O17" s="24">
        <v>175</v>
      </c>
      <c r="Q17" s="18" t="s">
        <v>41</v>
      </c>
      <c r="R17" s="18">
        <v>100</v>
      </c>
      <c r="S17" s="18">
        <v>17281.75</v>
      </c>
      <c r="T17" s="18">
        <v>17169.62</v>
      </c>
      <c r="U17" s="20">
        <v>18193.43</v>
      </c>
      <c r="V17" s="18">
        <f>AVERAGE(34360.88,33605.76,33152.24)</f>
        <v>33706.293333333335</v>
      </c>
      <c r="W17" s="18">
        <f>AVERAGE(44214.58,44950.36,45855.11)</f>
        <v>45006.683333333327</v>
      </c>
      <c r="X17" s="18">
        <f>AVERAGE(64491.16,67046.36,68723.77)</f>
        <v>66753.763333333351</v>
      </c>
      <c r="Y17" s="25">
        <v>17110.47</v>
      </c>
      <c r="Z17" s="25">
        <v>16276.03</v>
      </c>
      <c r="AA17" s="25">
        <v>15963.66</v>
      </c>
      <c r="AB17" s="18"/>
      <c r="AC17" s="18">
        <v>13080</v>
      </c>
      <c r="AD17" s="17">
        <v>13113</v>
      </c>
      <c r="AF17" s="18" t="s">
        <v>63</v>
      </c>
      <c r="AG17" s="18">
        <v>391</v>
      </c>
      <c r="AH17" s="18">
        <v>4697.63</v>
      </c>
      <c r="AI17" s="18">
        <v>4979.6899999999996</v>
      </c>
      <c r="AJ17" s="20">
        <v>6459.6</v>
      </c>
      <c r="AK17" s="18">
        <f>AVERAGE(17169.52,18058.97,17036.8)</f>
        <v>17421.763333333336</v>
      </c>
      <c r="AL17" s="18">
        <f>AVERAGE(24068.68,23466.05,23762.72)</f>
        <v>23765.816666666666</v>
      </c>
      <c r="AM17" s="18">
        <f>AVERAGE(36080.24)</f>
        <v>36080.239999999998</v>
      </c>
      <c r="AN17" s="25">
        <v>4617.92</v>
      </c>
      <c r="AO17" s="25">
        <v>4535.42</v>
      </c>
      <c r="AP17" s="25">
        <v>4472.01</v>
      </c>
      <c r="AQ17" s="18"/>
      <c r="AR17" s="17"/>
      <c r="AS17" s="17"/>
    </row>
    <row r="18" spans="2:45" x14ac:dyDescent="0.25">
      <c r="B18" s="1" t="s">
        <v>20</v>
      </c>
      <c r="C18" s="1">
        <v>38</v>
      </c>
      <c r="D18" s="1">
        <v>232.79</v>
      </c>
      <c r="E18" s="1">
        <v>240.5</v>
      </c>
      <c r="F18" s="20">
        <v>314.88</v>
      </c>
      <c r="G18" s="13">
        <f>AVERAGE(347.21,387.79,356.93)</f>
        <v>363.97666666666669</v>
      </c>
      <c r="H18" s="13">
        <f>AVERAGE(491.52,407.7,451.44)</f>
        <v>450.22</v>
      </c>
      <c r="I18" s="13">
        <f>AVERAGE(621.54,535.5,546.48)</f>
        <v>567.84</v>
      </c>
      <c r="J18" s="25">
        <v>229.64</v>
      </c>
      <c r="K18" s="25">
        <v>229.64</v>
      </c>
      <c r="L18" s="25">
        <v>229.64</v>
      </c>
      <c r="M18" s="1"/>
      <c r="N18" s="18">
        <v>216</v>
      </c>
      <c r="O18" s="17">
        <v>219</v>
      </c>
      <c r="Q18" s="18" t="s">
        <v>42</v>
      </c>
      <c r="R18" s="18">
        <v>50</v>
      </c>
      <c r="S18" s="18">
        <v>9617.35</v>
      </c>
      <c r="T18" s="18">
        <v>12165.37</v>
      </c>
      <c r="U18" s="20">
        <v>16459.990000000002</v>
      </c>
      <c r="V18" s="18">
        <f>AVERAGE(20744.35,18030.82,16756.05)</f>
        <v>18510.406666666666</v>
      </c>
      <c r="W18" s="18">
        <f>AVERAGE(23815.13,24531.22,24007.45)</f>
        <v>24117.933333333334</v>
      </c>
      <c r="X18" s="18">
        <f>AVERAGE(34791.69,32516.12,31108.13)</f>
        <v>32805.313333333332</v>
      </c>
      <c r="Y18" s="25">
        <v>9555.73</v>
      </c>
      <c r="Z18" s="25">
        <v>9555.73</v>
      </c>
      <c r="AA18" s="25">
        <v>9555.73</v>
      </c>
      <c r="AB18" s="18"/>
      <c r="AC18" s="18">
        <v>9457</v>
      </c>
      <c r="AD18" s="17">
        <v>9457</v>
      </c>
      <c r="AF18" s="18" t="s">
        <v>64</v>
      </c>
      <c r="AG18" s="18">
        <v>87</v>
      </c>
      <c r="AH18" s="18">
        <v>10581</v>
      </c>
      <c r="AI18" s="18">
        <v>10638</v>
      </c>
      <c r="AJ18" s="20">
        <v>11725</v>
      </c>
      <c r="AK18" s="18">
        <f>AVERAGE(12976,12872,13402)</f>
        <v>13083.333333333334</v>
      </c>
      <c r="AL18" s="18">
        <f>AVERAGE(14243,14666,)</f>
        <v>9636.3333333333339</v>
      </c>
      <c r="AM18" s="18">
        <f>AVERAGE(16191,16360,16312)</f>
        <v>16287.666666666666</v>
      </c>
      <c r="AN18" s="25">
        <v>10537</v>
      </c>
      <c r="AO18" s="25">
        <v>10528</v>
      </c>
      <c r="AP18" s="25">
        <v>10498</v>
      </c>
      <c r="AQ18" s="18"/>
      <c r="AR18" s="17"/>
      <c r="AS18" s="17"/>
    </row>
    <row r="19" spans="2:45" x14ac:dyDescent="0.25">
      <c r="B19" s="1" t="s">
        <v>21</v>
      </c>
      <c r="C19" s="1">
        <v>50</v>
      </c>
      <c r="D19" s="1">
        <v>322.75</v>
      </c>
      <c r="E19" s="1">
        <v>269.56</v>
      </c>
      <c r="F19" s="20">
        <v>344.86</v>
      </c>
      <c r="G19" s="13">
        <f>AVERAGE(429.85,402.52,396.58)</f>
        <v>409.65000000000003</v>
      </c>
      <c r="H19" s="13">
        <f>AVERAGE(523.79,538.21,528.27)</f>
        <v>530.09</v>
      </c>
      <c r="I19" s="13">
        <f>AVERAGE(749.8,739.32,729.88)</f>
        <v>739.66666666666663</v>
      </c>
      <c r="J19" s="25">
        <v>314.43</v>
      </c>
      <c r="K19" s="25">
        <v>314.43</v>
      </c>
      <c r="L19" s="25">
        <v>314.43</v>
      </c>
      <c r="M19" s="1"/>
      <c r="N19" s="18">
        <v>227</v>
      </c>
      <c r="O19" s="17">
        <v>227</v>
      </c>
      <c r="Q19" s="18" t="s">
        <v>43</v>
      </c>
      <c r="R19" s="18">
        <v>50</v>
      </c>
      <c r="S19" s="18">
        <v>10720.17</v>
      </c>
      <c r="T19" s="18">
        <v>11235.04</v>
      </c>
      <c r="U19" s="20">
        <v>15408.3</v>
      </c>
      <c r="V19" s="18">
        <f>AVERAGE(17595.39,18311.99,19771.19)</f>
        <v>18559.523333333334</v>
      </c>
      <c r="W19" s="18">
        <f>AVERAGE(22872.45,23298.59,23919.04)</f>
        <v>23363.360000000001</v>
      </c>
      <c r="X19" s="18">
        <f>AVERAGE(35360.64,32832.18,34677.44)</f>
        <v>34290.08666666667</v>
      </c>
      <c r="Y19" s="25">
        <v>10636.85</v>
      </c>
      <c r="Z19" s="25">
        <v>10587.17</v>
      </c>
      <c r="AA19" s="25">
        <v>10205.07</v>
      </c>
      <c r="AB19" s="18"/>
      <c r="AC19" s="18">
        <v>8719</v>
      </c>
      <c r="AD19" s="17">
        <v>8719</v>
      </c>
      <c r="AF19" s="18" t="s">
        <v>65</v>
      </c>
      <c r="AG19" s="18">
        <v>267</v>
      </c>
      <c r="AH19" s="18">
        <v>23690</v>
      </c>
      <c r="AI19" s="18">
        <v>23530</v>
      </c>
      <c r="AJ19" s="20">
        <v>26122</v>
      </c>
      <c r="AK19" s="18">
        <f>AVERAGE(36396,36800,33279)</f>
        <v>35491.666666666664</v>
      </c>
      <c r="AL19" s="18">
        <f>AVERAGE(42276,39271,43257)</f>
        <v>41601.333333333336</v>
      </c>
      <c r="AM19" s="18">
        <f>AVERAGE(46149,45242,46637)</f>
        <v>46009.333333333336</v>
      </c>
      <c r="AN19" s="25">
        <v>23558</v>
      </c>
      <c r="AO19" s="25">
        <v>23495</v>
      </c>
      <c r="AP19" s="25">
        <v>23164</v>
      </c>
      <c r="AQ19" s="18"/>
      <c r="AR19" s="17"/>
      <c r="AS19" s="17"/>
    </row>
    <row r="20" spans="2:45" x14ac:dyDescent="0.25">
      <c r="B20" s="3" t="s">
        <v>23</v>
      </c>
      <c r="C20" s="3">
        <v>13</v>
      </c>
      <c r="D20" s="3">
        <v>334</v>
      </c>
      <c r="E20" s="3">
        <v>391</v>
      </c>
      <c r="F20" s="3">
        <v>410</v>
      </c>
      <c r="G20" s="14">
        <v>334</v>
      </c>
      <c r="H20" s="3">
        <f>AVERAGE(449,446,385)</f>
        <v>426.66666666666669</v>
      </c>
      <c r="I20" s="3">
        <f>AVERAGE(608,500,517)</f>
        <v>541.66666666666663</v>
      </c>
      <c r="J20" s="3">
        <v>334</v>
      </c>
      <c r="K20" s="3">
        <v>331</v>
      </c>
      <c r="L20" s="3">
        <v>334</v>
      </c>
      <c r="M20" s="3">
        <v>308</v>
      </c>
      <c r="N20" s="3">
        <v>414</v>
      </c>
      <c r="O20" s="24">
        <v>414</v>
      </c>
      <c r="Q20" s="18" t="s">
        <v>44</v>
      </c>
      <c r="R20" s="18">
        <v>50</v>
      </c>
      <c r="S20" s="18">
        <v>10228.68</v>
      </c>
      <c r="T20" s="18">
        <v>10160.41</v>
      </c>
      <c r="U20" s="20">
        <v>15558.59</v>
      </c>
      <c r="V20" s="18">
        <f>AVERAGE(17133.65,16940.88,17970.63)</f>
        <v>17348.386666666669</v>
      </c>
      <c r="W20" s="18">
        <f>AVERAGE(24512.7,26946.41,24433.85)</f>
        <v>25297.653333333332</v>
      </c>
      <c r="X20" s="18">
        <f>AVERAGE(31769.07,35334.31,35646.85)</f>
        <v>34250.076666666668</v>
      </c>
      <c r="Y20" s="25">
        <v>10167.799999999999</v>
      </c>
      <c r="Z20" s="25">
        <v>9911.8700000000008</v>
      </c>
      <c r="AA20" s="25">
        <v>9424.1</v>
      </c>
      <c r="AB20" s="18"/>
      <c r="AC20" s="18">
        <v>9102</v>
      </c>
      <c r="AD20" s="17">
        <v>9176</v>
      </c>
      <c r="AF20" s="18" t="s">
        <v>66</v>
      </c>
      <c r="AG20" s="18">
        <v>516</v>
      </c>
      <c r="AH20" s="18">
        <v>46820</v>
      </c>
      <c r="AI20" s="18">
        <v>46810</v>
      </c>
      <c r="AJ20" s="20">
        <v>53714</v>
      </c>
      <c r="AK20" s="18">
        <f>AVERAGE(72588,76165,72797)</f>
        <v>73850</v>
      </c>
      <c r="AL20" s="18">
        <f>AVERAGE(81396)</f>
        <v>81396</v>
      </c>
      <c r="AM20" s="18">
        <f>AVERAGE(95245)</f>
        <v>95245</v>
      </c>
      <c r="AN20" s="25">
        <v>46817</v>
      </c>
      <c r="AO20" s="25">
        <v>46817</v>
      </c>
      <c r="AP20" s="25">
        <v>46591</v>
      </c>
      <c r="AQ20" s="18"/>
      <c r="AR20" s="17"/>
      <c r="AS20" s="17"/>
    </row>
    <row r="21" spans="2:45" x14ac:dyDescent="0.25">
      <c r="B21" s="1" t="s">
        <v>24</v>
      </c>
      <c r="C21" s="1">
        <v>131</v>
      </c>
      <c r="D21" s="1">
        <v>1179.57</v>
      </c>
      <c r="E21" s="1">
        <v>1397.39</v>
      </c>
      <c r="F21" s="20">
        <v>1688.92</v>
      </c>
      <c r="G21" s="13">
        <f>AVERAGE(3178.66,2821.46,2883.3)</f>
        <v>2961.14</v>
      </c>
      <c r="H21" s="13">
        <f>AVERAGE(4156.47,4188.69,3991.59)</f>
        <v>4112.25</v>
      </c>
      <c r="I21" s="13">
        <f>AVERAGE(5927.63,5968.23,5877.42)</f>
        <v>5924.4266666666663</v>
      </c>
      <c r="J21" s="25">
        <v>1176.3699999999999</v>
      </c>
      <c r="K21" s="25">
        <v>1176.3699999999999</v>
      </c>
      <c r="L21" s="25">
        <v>1169.1600000000001</v>
      </c>
      <c r="M21" s="1"/>
      <c r="N21" s="18">
        <v>1042</v>
      </c>
      <c r="O21" s="17">
        <v>1042</v>
      </c>
      <c r="Q21" s="18" t="s">
        <v>45</v>
      </c>
      <c r="R21" s="18">
        <v>52</v>
      </c>
      <c r="S21" s="18">
        <v>5888.85</v>
      </c>
      <c r="T21" s="18">
        <v>5350.1</v>
      </c>
      <c r="U21" s="20">
        <v>9105.5499999999993</v>
      </c>
      <c r="V21" s="18">
        <f>AVERAGE(9493.61,12161.74,10876.06)</f>
        <v>10843.803333333331</v>
      </c>
      <c r="W21" s="18">
        <f>AVERAGE(16893.86,12402.04,16626.62)</f>
        <v>15307.506666666668</v>
      </c>
      <c r="X21" s="18">
        <f>AVERAGE(23747.26,22768.53,22012.56)</f>
        <v>22842.783333333329</v>
      </c>
      <c r="Y21" s="25">
        <v>5848.46</v>
      </c>
      <c r="Z21" s="25">
        <v>5673.74</v>
      </c>
      <c r="AA21" s="25">
        <v>5691.96</v>
      </c>
      <c r="AB21" s="18"/>
      <c r="AC21" s="18">
        <v>5848</v>
      </c>
      <c r="AD21" s="17">
        <v>5954</v>
      </c>
      <c r="AF21" s="12" t="s">
        <v>67</v>
      </c>
      <c r="AG21" s="12">
        <v>35</v>
      </c>
      <c r="AH21" s="12">
        <v>347.28</v>
      </c>
      <c r="AI21" s="12">
        <v>250.24</v>
      </c>
      <c r="AJ21" s="12">
        <v>357.06</v>
      </c>
      <c r="AK21" s="18">
        <f>AVERAGE(444.2,462.22,453.49)</f>
        <v>453.30333333333334</v>
      </c>
      <c r="AL21" s="18">
        <f>AVERAGE(617.86,585.21,529.8)</f>
        <v>577.62333333333333</v>
      </c>
      <c r="AM21" s="18">
        <f>AVERAGE(720.06,720.15,737.56)</f>
        <v>725.92333333333329</v>
      </c>
      <c r="AN21" s="25">
        <v>320.01</v>
      </c>
      <c r="AO21" s="25">
        <v>323.07</v>
      </c>
      <c r="AP21" s="25">
        <v>308.25</v>
      </c>
      <c r="AQ21" s="12"/>
      <c r="AR21" s="17">
        <v>260</v>
      </c>
      <c r="AS21" s="17">
        <v>260</v>
      </c>
    </row>
    <row r="22" spans="2:45" x14ac:dyDescent="0.25">
      <c r="B22" s="3" t="s">
        <v>25</v>
      </c>
      <c r="C22" s="3">
        <v>8</v>
      </c>
      <c r="D22" s="3">
        <v>380</v>
      </c>
      <c r="E22" s="3">
        <v>426</v>
      </c>
      <c r="F22" s="3">
        <v>557</v>
      </c>
      <c r="G22" s="16">
        <v>380</v>
      </c>
      <c r="H22" s="3">
        <f>AVERAGE(461,502,412)</f>
        <v>458.33333333333331</v>
      </c>
      <c r="I22" s="3">
        <f>AVERAGE(746,396,526)</f>
        <v>556</v>
      </c>
      <c r="J22" s="3">
        <v>359</v>
      </c>
      <c r="K22" s="3">
        <v>359</v>
      </c>
      <c r="L22" s="3">
        <v>359</v>
      </c>
      <c r="M22" s="3">
        <v>380</v>
      </c>
      <c r="N22" s="3">
        <v>517</v>
      </c>
      <c r="O22" s="24">
        <v>517</v>
      </c>
      <c r="Q22" s="18" t="s">
        <v>46</v>
      </c>
      <c r="R22" s="18">
        <v>159</v>
      </c>
      <c r="S22" s="18">
        <v>22878.82</v>
      </c>
      <c r="T22" s="18">
        <v>20965.099999999999</v>
      </c>
      <c r="U22" s="20">
        <v>32794.699999999997</v>
      </c>
      <c r="V22" s="18">
        <f>AVERAGE(56954.6,54865.21,60437.12)</f>
        <v>57418.976666666662</v>
      </c>
      <c r="W22" s="18">
        <f>AVERAGE(83582.35,85867.47,80577.52)</f>
        <v>83342.44666666667</v>
      </c>
      <c r="X22" s="18">
        <f>AVERAGE(130864.4,125572.94,129608.16)</f>
        <v>128681.83333333333</v>
      </c>
      <c r="Y22" s="25">
        <v>22464.99</v>
      </c>
      <c r="Z22" s="25">
        <v>21495.02</v>
      </c>
      <c r="AA22" s="25">
        <v>20813.25</v>
      </c>
      <c r="AB22" s="18"/>
      <c r="AC22" s="18">
        <v>18600</v>
      </c>
      <c r="AD22" s="17">
        <v>19114</v>
      </c>
      <c r="AF22" s="18" t="s">
        <v>68</v>
      </c>
      <c r="AG22" s="18">
        <v>21</v>
      </c>
      <c r="AH22" s="18">
        <v>441</v>
      </c>
      <c r="AI22" s="18">
        <v>448</v>
      </c>
      <c r="AJ22" s="20">
        <v>852</v>
      </c>
      <c r="AK22" s="18">
        <f>AVERAGE(616,625,606)</f>
        <v>615.66666666666663</v>
      </c>
      <c r="AL22" s="18">
        <f>AVERAGE(825,689,715)</f>
        <v>743</v>
      </c>
      <c r="AM22" s="18">
        <f>AVERAGE(930,1137,1053)</f>
        <v>1040</v>
      </c>
      <c r="AN22" s="25">
        <v>425</v>
      </c>
      <c r="AO22" s="25">
        <v>425</v>
      </c>
      <c r="AP22" s="25">
        <v>425</v>
      </c>
      <c r="AQ22" s="18"/>
      <c r="AR22" s="17">
        <v>458</v>
      </c>
      <c r="AS22" s="17">
        <v>186</v>
      </c>
    </row>
    <row r="23" spans="2:45" x14ac:dyDescent="0.25">
      <c r="B23" s="3" t="s">
        <v>26</v>
      </c>
      <c r="C23" s="3">
        <v>10</v>
      </c>
      <c r="D23" s="3">
        <v>1019</v>
      </c>
      <c r="E23" s="3">
        <v>683</v>
      </c>
      <c r="F23" s="3">
        <v>1340</v>
      </c>
      <c r="G23" s="16">
        <v>1019</v>
      </c>
      <c r="H23" s="3">
        <f>AVERAGE(1096,1031,1100)</f>
        <v>1075.6666666666667</v>
      </c>
      <c r="I23" s="3">
        <f>AVERAGE(1243,1406,1534)</f>
        <v>1394.3333333333333</v>
      </c>
      <c r="J23" s="3">
        <v>989</v>
      </c>
      <c r="K23" s="3">
        <v>989</v>
      </c>
      <c r="L23" s="3">
        <v>989</v>
      </c>
      <c r="M23" s="3">
        <v>683</v>
      </c>
      <c r="N23" s="3">
        <v>918</v>
      </c>
      <c r="O23" s="24">
        <v>918</v>
      </c>
      <c r="Q23" s="18" t="s">
        <v>47</v>
      </c>
      <c r="R23" s="18">
        <v>689</v>
      </c>
      <c r="S23" s="18">
        <v>28892.080000000002</v>
      </c>
      <c r="T23" s="18">
        <v>28532.55</v>
      </c>
      <c r="U23" s="20">
        <v>38616.910000000003</v>
      </c>
      <c r="V23" s="18">
        <f>AVERAGE(133425.62,129861.81,136169.48)</f>
        <v>133152.30333333334</v>
      </c>
      <c r="W23" s="18">
        <f>AVERAGE(189141.98,195861.74,1944909.08)</f>
        <v>776637.6</v>
      </c>
      <c r="X23" s="18">
        <f>AVERAGE(286706.06)</f>
        <v>286706.06</v>
      </c>
      <c r="Y23" s="25">
        <v>28386.639999999999</v>
      </c>
      <c r="Z23" s="25">
        <v>28189.25</v>
      </c>
      <c r="AA23" s="25">
        <v>28110.73</v>
      </c>
      <c r="AB23" s="18"/>
      <c r="AC23" s="18"/>
      <c r="AD23" s="17"/>
      <c r="AF23" s="18" t="s">
        <v>69</v>
      </c>
      <c r="AG23" s="18">
        <v>112</v>
      </c>
      <c r="AH23" s="18">
        <v>55500</v>
      </c>
      <c r="AI23" s="18">
        <v>73643.86</v>
      </c>
      <c r="AJ23" s="20">
        <v>106595.2</v>
      </c>
      <c r="AK23" s="18">
        <f>AVERAGE(164561.21,166644.63,173340.26)</f>
        <v>168182.03333333333</v>
      </c>
      <c r="AL23" s="18">
        <f>AVERAGE(245262.86,239804.79,249477.34)</f>
        <v>244848.33</v>
      </c>
      <c r="AM23" s="18">
        <f>AVERAGE(326909.52,342698.61,358371.85)</f>
        <v>342659.99333333335</v>
      </c>
      <c r="AN23" s="25">
        <v>55500</v>
      </c>
      <c r="AO23" s="25">
        <v>55500</v>
      </c>
      <c r="AP23" s="25">
        <v>55500</v>
      </c>
      <c r="AQ23" s="18"/>
      <c r="AR23" s="17"/>
      <c r="AS23" s="17"/>
    </row>
    <row r="24" spans="2:45" x14ac:dyDescent="0.25">
      <c r="B24" s="3" t="s">
        <v>27</v>
      </c>
      <c r="C24" s="3">
        <v>12</v>
      </c>
      <c r="D24" s="3">
        <v>490</v>
      </c>
      <c r="E24" s="3">
        <v>413</v>
      </c>
      <c r="F24" s="3">
        <v>538</v>
      </c>
      <c r="G24" s="16">
        <v>490</v>
      </c>
      <c r="H24" s="3">
        <f>AVERAGE(463,541,554)</f>
        <v>519.33333333333337</v>
      </c>
      <c r="I24" s="3">
        <f>AVERAGE(675,733,839)</f>
        <v>749</v>
      </c>
      <c r="J24" s="3">
        <v>490</v>
      </c>
      <c r="K24" s="3">
        <v>490</v>
      </c>
      <c r="L24" s="3">
        <v>490</v>
      </c>
      <c r="M24" s="3">
        <v>409</v>
      </c>
      <c r="N24" s="3">
        <v>504</v>
      </c>
      <c r="O24" s="24">
        <v>504</v>
      </c>
      <c r="Q24" s="18" t="s">
        <v>48</v>
      </c>
      <c r="R24" s="18">
        <v>280</v>
      </c>
      <c r="S24" s="18">
        <v>1370</v>
      </c>
      <c r="T24" s="18">
        <v>1242</v>
      </c>
      <c r="U24" s="20">
        <v>1748</v>
      </c>
      <c r="V24" s="18">
        <f>AVERAGE(3980,4416,3964)</f>
        <v>4120</v>
      </c>
      <c r="W24" s="18">
        <f>AVERAGE(5647,5689,5398)</f>
        <v>5578</v>
      </c>
      <c r="X24" s="18">
        <f>AVERAGE(7825)</f>
        <v>7825</v>
      </c>
      <c r="Y24" s="25">
        <v>1356</v>
      </c>
      <c r="Z24" s="25">
        <v>1341</v>
      </c>
      <c r="AA24" s="25">
        <v>1336</v>
      </c>
      <c r="AB24" s="18"/>
      <c r="AC24" s="18"/>
      <c r="AD24" s="17"/>
      <c r="AF24" s="18" t="s">
        <v>70</v>
      </c>
      <c r="AG24" s="18">
        <v>112</v>
      </c>
      <c r="AH24" s="18">
        <v>1875.65</v>
      </c>
      <c r="AI24" s="18">
        <v>2155.5100000000002</v>
      </c>
      <c r="AJ24" s="20">
        <v>2316.31</v>
      </c>
      <c r="AK24" s="18">
        <f>AVERAGE(4154.65,3907.26,4018.22)</f>
        <v>4026.7099999999996</v>
      </c>
      <c r="AL24" s="18">
        <f>AVERAGE(5629.55,5861.67,5842.27)</f>
        <v>5777.8300000000008</v>
      </c>
      <c r="AM24" s="18">
        <f>AVERAGE(8243.58,8223.48,8602.1)</f>
        <v>8356.3866666666654</v>
      </c>
      <c r="AN24" s="25">
        <v>1803.89</v>
      </c>
      <c r="AO24" s="25">
        <v>1803.89</v>
      </c>
      <c r="AP24" s="25">
        <v>1836.14</v>
      </c>
      <c r="AQ24" s="18"/>
      <c r="AR24" s="17"/>
      <c r="AS24" s="17"/>
    </row>
    <row r="25" spans="2:45" x14ac:dyDescent="0.25">
      <c r="N25" s="2"/>
      <c r="O25" s="7"/>
      <c r="P25" s="7"/>
      <c r="Q25" s="7"/>
      <c r="R25" s="7"/>
      <c r="S25" s="7"/>
      <c r="T25" s="7"/>
      <c r="U25" s="7"/>
      <c r="V25" s="7"/>
      <c r="W25" s="7"/>
      <c r="X25" s="2"/>
      <c r="Y25" s="2"/>
      <c r="Z25" s="2"/>
      <c r="AA25" s="2"/>
      <c r="AF25" s="3" t="s">
        <v>71</v>
      </c>
      <c r="AG25" s="3">
        <v>8</v>
      </c>
      <c r="AH25" s="3">
        <v>1981.71</v>
      </c>
      <c r="AI25" s="3">
        <v>1981.15</v>
      </c>
      <c r="AJ25" s="3">
        <v>2471.14</v>
      </c>
      <c r="AK25" s="14">
        <v>1981.71</v>
      </c>
      <c r="AL25" s="3">
        <f>AVERAGE(2101.87,2264.54,1760.9)</f>
        <v>2042.4366666666665</v>
      </c>
      <c r="AM25" s="3">
        <f>AVERAGE(2147.38,2193.28,2001.4)</f>
        <v>2114.02</v>
      </c>
      <c r="AN25" s="3">
        <v>1981.71</v>
      </c>
      <c r="AO25" s="3">
        <v>1981.71</v>
      </c>
      <c r="AP25" s="3">
        <v>1981.71</v>
      </c>
      <c r="AQ25" s="3">
        <v>1505.95</v>
      </c>
      <c r="AR25" s="24">
        <v>1685</v>
      </c>
      <c r="AS25" s="24">
        <v>1685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F26" s="3" t="s">
        <v>72</v>
      </c>
      <c r="AG26" s="3">
        <v>11</v>
      </c>
      <c r="AH26" s="3">
        <v>2086.59</v>
      </c>
      <c r="AI26" s="3">
        <v>2006.03</v>
      </c>
      <c r="AJ26" s="3">
        <v>2729.39</v>
      </c>
      <c r="AK26" s="14">
        <v>2086.59</v>
      </c>
      <c r="AL26" s="3">
        <f>AVERAGE(2164.26,3200.72,2791.14)</f>
        <v>2718.7066666666665</v>
      </c>
      <c r="AM26" s="3">
        <f>AVERAGE(2960.13,2523.79,3064.61)</f>
        <v>2849.51</v>
      </c>
      <c r="AN26" s="3">
        <v>2062.92</v>
      </c>
      <c r="AO26" s="3">
        <v>2062.92</v>
      </c>
      <c r="AP26" s="3">
        <v>2062.92</v>
      </c>
      <c r="AQ26" s="3">
        <v>1647.33</v>
      </c>
      <c r="AR26" s="24">
        <v>1902</v>
      </c>
      <c r="AS26" s="24">
        <v>1902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7"/>
      <c r="AG27" s="7"/>
      <c r="AH27" s="7"/>
      <c r="AI27" s="7"/>
      <c r="AJ27" s="7"/>
    </row>
    <row r="28" spans="2:45" x14ac:dyDescent="0.25">
      <c r="B28" s="32"/>
      <c r="C28" s="32"/>
      <c r="D28" s="32"/>
      <c r="E28" s="32"/>
      <c r="F28" s="26"/>
    </row>
    <row r="29" spans="2:45" x14ac:dyDescent="0.25">
      <c r="B29" s="30"/>
      <c r="C29" s="30"/>
      <c r="D29" s="30"/>
      <c r="E29" s="30"/>
      <c r="F29" s="21"/>
    </row>
    <row r="30" spans="2:45" x14ac:dyDescent="0.25">
      <c r="B30" s="30"/>
      <c r="C30" s="30"/>
      <c r="D30" s="30"/>
      <c r="E30" s="30"/>
      <c r="F30" s="21"/>
    </row>
    <row r="31" spans="2:45" x14ac:dyDescent="0.25">
      <c r="B31" s="30"/>
      <c r="C31" s="30"/>
      <c r="D31" s="30"/>
      <c r="E31" s="30"/>
      <c r="F31" s="21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B38:C38"/>
    <mergeCell ref="D38:E38"/>
    <mergeCell ref="B35:C35"/>
    <mergeCell ref="D35:E35"/>
    <mergeCell ref="B36:C36"/>
    <mergeCell ref="D36:E36"/>
    <mergeCell ref="B29:E33"/>
    <mergeCell ref="B34:C34"/>
    <mergeCell ref="D34:E34"/>
    <mergeCell ref="B37:C37"/>
    <mergeCell ref="D37:E37"/>
    <mergeCell ref="AH1:AS1"/>
    <mergeCell ref="S1:AD1"/>
    <mergeCell ref="D1:O1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abSelected="1" topLeftCell="AF1" zoomScale="70" zoomScaleNormal="70" workbookViewId="0">
      <selection activeCell="AP17" sqref="AP1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0" max="12" width="12.28515625" customWidth="1"/>
    <col min="14" max="14" width="11.28515625" bestFit="1" customWidth="1"/>
    <col min="15" max="15" width="10.5703125" bestFit="1" customWidth="1"/>
    <col min="16" max="16" width="5.28515625" customWidth="1"/>
    <col min="18" max="18" width="17.85546875" bestFit="1" customWidth="1"/>
    <col min="19" max="19" width="11.28515625" bestFit="1" customWidth="1"/>
    <col min="20" max="20" width="12.28515625" bestFit="1" customWidth="1"/>
    <col min="21" max="21" width="8.42578125" bestFit="1" customWidth="1"/>
    <col min="22" max="22" width="12.28515625" bestFit="1" customWidth="1"/>
    <col min="23" max="23" width="8.5703125" customWidth="1"/>
    <col min="24" max="24" width="10.85546875" customWidth="1"/>
    <col min="25" max="27" width="12.28515625" customWidth="1"/>
    <col min="28" max="28" width="9.7109375" bestFit="1" customWidth="1"/>
    <col min="29" max="29" width="11.28515625" bestFit="1" customWidth="1"/>
    <col min="30" max="30" width="10.5703125" bestFit="1" customWidth="1"/>
    <col min="31" max="31" width="6.28515625" customWidth="1"/>
    <col min="32" max="32" width="11.28515625" bestFit="1" customWidth="1"/>
    <col min="33" max="33" width="17.85546875" bestFit="1" customWidth="1"/>
    <col min="34" max="34" width="12.28515625" bestFit="1" customWidth="1"/>
    <col min="37" max="37" width="12" bestFit="1" customWidth="1"/>
    <col min="38" max="39" width="10.7109375" customWidth="1"/>
    <col min="40" max="42" width="12.28515625" customWidth="1"/>
    <col min="44" max="44" width="11.42578125" bestFit="1" customWidth="1"/>
    <col min="45" max="45" width="10.5703125" bestFit="1" customWidth="1"/>
  </cols>
  <sheetData>
    <row r="1" spans="2:45" x14ac:dyDescent="0.25">
      <c r="B1" s="1"/>
      <c r="C1" s="1" t="s">
        <v>74</v>
      </c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Q1" s="1"/>
      <c r="R1" s="1" t="s">
        <v>74</v>
      </c>
      <c r="S1" s="28" t="s">
        <v>1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F1" s="18"/>
      <c r="AG1" s="18" t="s">
        <v>74</v>
      </c>
      <c r="AH1" s="28" t="s">
        <v>1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2:45" x14ac:dyDescent="0.25">
      <c r="B2" s="1" t="s">
        <v>0</v>
      </c>
      <c r="C2" s="1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94</v>
      </c>
      <c r="J2" s="25" t="s">
        <v>100</v>
      </c>
      <c r="K2" s="25" t="s">
        <v>101</v>
      </c>
      <c r="L2" s="25" t="s">
        <v>102</v>
      </c>
      <c r="M2" s="18" t="s">
        <v>4</v>
      </c>
      <c r="N2" s="18" t="s">
        <v>96</v>
      </c>
      <c r="O2" s="19" t="s">
        <v>95</v>
      </c>
      <c r="Q2" s="1" t="s">
        <v>0</v>
      </c>
      <c r="R2" s="1" t="s">
        <v>22</v>
      </c>
      <c r="S2" s="18" t="s">
        <v>2</v>
      </c>
      <c r="T2" s="18" t="s">
        <v>3</v>
      </c>
      <c r="U2" s="20" t="s">
        <v>99</v>
      </c>
      <c r="V2" s="18" t="s">
        <v>91</v>
      </c>
      <c r="W2" s="18" t="s">
        <v>92</v>
      </c>
      <c r="X2" s="18" t="s">
        <v>94</v>
      </c>
      <c r="Y2" s="25" t="s">
        <v>100</v>
      </c>
      <c r="Z2" s="25" t="s">
        <v>101</v>
      </c>
      <c r="AA2" s="25" t="s">
        <v>102</v>
      </c>
      <c r="AB2" s="18" t="s">
        <v>4</v>
      </c>
      <c r="AC2" s="19" t="s">
        <v>96</v>
      </c>
      <c r="AD2" s="19" t="s">
        <v>95</v>
      </c>
      <c r="AF2" s="18" t="s">
        <v>0</v>
      </c>
      <c r="AG2" s="18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" t="s">
        <v>5</v>
      </c>
      <c r="C3" s="1">
        <v>210</v>
      </c>
      <c r="D3" s="18" t="s">
        <v>80</v>
      </c>
      <c r="E3" s="18">
        <v>2333.29</v>
      </c>
      <c r="F3" s="20">
        <v>3439.61</v>
      </c>
      <c r="G3" s="18">
        <f>AVERAGE(5498.19,5752.9,5622.22)</f>
        <v>5624.4366666666674</v>
      </c>
      <c r="H3" s="18">
        <f>AVERAGE(8314.87,8087.08,8003.63)</f>
        <v>8135.1933333333336</v>
      </c>
      <c r="I3" s="18">
        <f>AVERAGE(12579.96,13108.39,12230.54)</f>
        <v>12639.63</v>
      </c>
      <c r="J3" s="25">
        <v>2071.5700000000002</v>
      </c>
      <c r="K3" s="25">
        <v>2055.2600000000002</v>
      </c>
      <c r="L3" s="25">
        <v>2024.94</v>
      </c>
      <c r="M3" s="18"/>
      <c r="N3" s="18">
        <v>2066</v>
      </c>
      <c r="O3" s="17">
        <v>2094</v>
      </c>
      <c r="Q3" s="1" t="s">
        <v>28</v>
      </c>
      <c r="R3" s="1">
        <v>36</v>
      </c>
      <c r="S3" s="18">
        <v>3478</v>
      </c>
      <c r="T3" s="18">
        <v>3475</v>
      </c>
      <c r="U3" s="20">
        <v>4542</v>
      </c>
      <c r="V3" s="18">
        <f>AVERAGE(4113,4382,3925)</f>
        <v>4140</v>
      </c>
      <c r="W3" s="18">
        <f>AVERAGE(5758,6187,5901)</f>
        <v>5948.666666666667</v>
      </c>
      <c r="X3" s="18">
        <f>AVERAGE(8514,8579,9582)</f>
        <v>8891.6666666666661</v>
      </c>
      <c r="Y3" s="25">
        <v>3456</v>
      </c>
      <c r="Z3" s="25">
        <v>3340</v>
      </c>
      <c r="AA3" s="25">
        <v>3164</v>
      </c>
      <c r="AB3" s="18"/>
      <c r="AC3" s="17">
        <v>3104</v>
      </c>
      <c r="AD3" s="17">
        <v>3104</v>
      </c>
      <c r="AF3" s="18" t="s">
        <v>49</v>
      </c>
      <c r="AG3" s="18">
        <v>57</v>
      </c>
      <c r="AH3" s="18">
        <v>63830.12</v>
      </c>
      <c r="AI3" s="18">
        <v>69764.62</v>
      </c>
      <c r="AJ3" s="20">
        <v>92496.2</v>
      </c>
      <c r="AK3" s="18">
        <f>AVERAGE(117447.11,116929.81,134420.93)</f>
        <v>122932.61666666665</v>
      </c>
      <c r="AL3" s="18">
        <f>AVERAGE(163025.64,173319.76,161225.34)</f>
        <v>165856.91333333333</v>
      </c>
      <c r="AM3" s="18">
        <f>AVERAGE(231407.65,210640.9,231124.13)</f>
        <v>224390.89333333331</v>
      </c>
      <c r="AN3" s="25">
        <v>63830.12</v>
      </c>
      <c r="AO3" s="25">
        <v>63719.25</v>
      </c>
      <c r="AP3" s="25">
        <v>62471.59</v>
      </c>
      <c r="AQ3" s="18"/>
      <c r="AR3" s="17">
        <v>64142</v>
      </c>
      <c r="AS3" s="17">
        <v>64918</v>
      </c>
    </row>
    <row r="4" spans="2:45" x14ac:dyDescent="0.25">
      <c r="B4" s="1" t="s">
        <v>6</v>
      </c>
      <c r="C4" s="1">
        <v>401</v>
      </c>
      <c r="D4" s="18"/>
      <c r="E4" s="18"/>
      <c r="F4" s="20"/>
      <c r="G4" s="18">
        <f>AVERAGE(1)</f>
        <v>1</v>
      </c>
      <c r="H4" s="18">
        <f>AVERAGE(1)</f>
        <v>1</v>
      </c>
      <c r="I4" s="18">
        <f>AVERAGE(1)</f>
        <v>1</v>
      </c>
      <c r="J4" s="25"/>
      <c r="K4" s="25"/>
      <c r="L4" s="25"/>
      <c r="M4" s="18"/>
      <c r="N4" s="18"/>
      <c r="O4" s="17"/>
      <c r="Q4" s="1" t="s">
        <v>29</v>
      </c>
      <c r="R4" s="1">
        <v>72</v>
      </c>
      <c r="S4" s="18">
        <v>41093.300000000003</v>
      </c>
      <c r="T4" s="18">
        <v>38395.919999999998</v>
      </c>
      <c r="U4" s="20">
        <v>52593.8</v>
      </c>
      <c r="V4" s="18">
        <f>AVERAGE(71504.94,77227.03,67640)</f>
        <v>72123.990000000005</v>
      </c>
      <c r="W4" s="18">
        <f>AVERAGE(106653.62,102932.99,108946.04)</f>
        <v>106177.54999999999</v>
      </c>
      <c r="X4" s="18">
        <f>AVERAGE(157132.11,152398.44,143124.67)</f>
        <v>150885.07333333333</v>
      </c>
      <c r="Y4" s="25">
        <v>40637.25</v>
      </c>
      <c r="Z4" s="25">
        <v>39556.93</v>
      </c>
      <c r="AA4" s="25">
        <v>40066.080000000002</v>
      </c>
      <c r="AB4" s="18"/>
      <c r="AC4" s="17">
        <v>31437</v>
      </c>
      <c r="AD4" s="17">
        <v>31095</v>
      </c>
      <c r="AF4" s="18" t="s">
        <v>50</v>
      </c>
      <c r="AG4" s="18">
        <v>80</v>
      </c>
      <c r="AH4" s="18">
        <v>33252.04</v>
      </c>
      <c r="AI4" s="18">
        <v>32109.37</v>
      </c>
      <c r="AJ4" s="20">
        <v>48668.9</v>
      </c>
      <c r="AK4" s="18">
        <f>AVERAGE(72879.96,64236.39,61493.96)</f>
        <v>66203.436666666661</v>
      </c>
      <c r="AL4" s="18">
        <f>AVERAGE(89723.02,84184.01,91378.26)</f>
        <v>88428.43</v>
      </c>
      <c r="AM4" s="18">
        <f>AVERAGE(165224.48,131981.08,142110.87)</f>
        <v>146438.81</v>
      </c>
      <c r="AN4" s="25">
        <v>32157.040000000001</v>
      </c>
      <c r="AO4" s="25">
        <v>31557.54</v>
      </c>
      <c r="AP4" s="25">
        <v>30370.62</v>
      </c>
      <c r="AQ4" s="18"/>
      <c r="AR4" s="17">
        <v>36468</v>
      </c>
      <c r="AS4" s="17">
        <v>37605</v>
      </c>
    </row>
    <row r="5" spans="2:45" x14ac:dyDescent="0.25">
      <c r="B5" s="3" t="s">
        <v>7</v>
      </c>
      <c r="C5" s="3">
        <v>36</v>
      </c>
      <c r="D5" s="3">
        <v>7089</v>
      </c>
      <c r="E5" s="3">
        <v>6671</v>
      </c>
      <c r="F5" s="3">
        <v>12173</v>
      </c>
      <c r="G5" s="3">
        <f>AVERAGE(7838,9402,8578)</f>
        <v>8606</v>
      </c>
      <c r="H5" s="3">
        <f>AVERAGE(11606,11671,13144)</f>
        <v>12140.333333333334</v>
      </c>
      <c r="I5" s="3">
        <f>AVERAGE(18314,18811,18355)</f>
        <v>18493.333333333332</v>
      </c>
      <c r="J5" s="3">
        <v>6962</v>
      </c>
      <c r="K5" s="3">
        <v>6649</v>
      </c>
      <c r="L5" s="3">
        <v>6505</v>
      </c>
      <c r="M5" s="3" t="s">
        <v>77</v>
      </c>
      <c r="N5" s="3"/>
      <c r="O5" s="24"/>
      <c r="Q5" s="1" t="s">
        <v>30</v>
      </c>
      <c r="R5" s="1">
        <v>90</v>
      </c>
      <c r="S5" s="18">
        <v>4749</v>
      </c>
      <c r="T5" s="18">
        <v>4888</v>
      </c>
      <c r="U5" s="20">
        <v>6524</v>
      </c>
      <c r="V5" s="18">
        <f>AVERAGE(8377,8984,9359)</f>
        <v>8906.6666666666661</v>
      </c>
      <c r="W5" s="18">
        <f>AVERAGE(13253,12362,12569)</f>
        <v>12728</v>
      </c>
      <c r="X5" s="18">
        <f>AVERAGE(20146,16997,18839)</f>
        <v>18660.666666666668</v>
      </c>
      <c r="Y5" s="25">
        <v>4673</v>
      </c>
      <c r="Z5" s="25">
        <v>4643</v>
      </c>
      <c r="AA5" s="25">
        <v>4635</v>
      </c>
      <c r="AB5" s="18"/>
      <c r="AC5" s="17"/>
      <c r="AD5" s="17"/>
      <c r="AF5" s="18" t="s">
        <v>51</v>
      </c>
      <c r="AG5" s="18">
        <v>93</v>
      </c>
      <c r="AH5" s="18">
        <v>40795.86</v>
      </c>
      <c r="AI5" s="18">
        <v>41639.79</v>
      </c>
      <c r="AJ5" s="20">
        <v>74199.789999999994</v>
      </c>
      <c r="AK5" s="18">
        <f>AVERAGE(93776.89,96997.87,89510.79)</f>
        <v>93428.516666666663</v>
      </c>
      <c r="AL5" s="18">
        <f>AVERAGE(149341.73,141017.62,142122.68)</f>
        <v>144160.67666666667</v>
      </c>
      <c r="AM5" s="18">
        <f>AVERAGE(260615.53,258111.07,253198.06)</f>
        <v>257308.21999999997</v>
      </c>
      <c r="AN5" s="25">
        <v>38002.1</v>
      </c>
      <c r="AO5" s="25">
        <v>39424.629999999997</v>
      </c>
      <c r="AP5" s="25">
        <v>37725.64</v>
      </c>
      <c r="AQ5" s="18"/>
      <c r="AR5" s="17">
        <v>39174</v>
      </c>
      <c r="AS5" s="17">
        <v>39174</v>
      </c>
    </row>
    <row r="6" spans="2:45" x14ac:dyDescent="0.25">
      <c r="B6" s="1" t="s">
        <v>8</v>
      </c>
      <c r="C6" s="1">
        <v>399</v>
      </c>
      <c r="D6" s="11">
        <v>23269</v>
      </c>
      <c r="E6" s="18">
        <v>18984</v>
      </c>
      <c r="F6" s="20">
        <v>27039</v>
      </c>
      <c r="G6" s="18">
        <f>AVERAGE(76704,73524,78156)</f>
        <v>76128</v>
      </c>
      <c r="H6" s="18">
        <f>AVERAGE(112853,111980,113660)</f>
        <v>112831</v>
      </c>
      <c r="I6" s="18">
        <f>AVERAGE(171873,180273)</f>
        <v>176073</v>
      </c>
      <c r="J6" s="25">
        <v>22861</v>
      </c>
      <c r="K6" s="25">
        <v>22317</v>
      </c>
      <c r="L6" s="25">
        <v>21862</v>
      </c>
      <c r="M6" s="18"/>
      <c r="N6" s="18"/>
      <c r="O6" s="17"/>
      <c r="Q6" s="1" t="s">
        <v>31</v>
      </c>
      <c r="R6" s="1">
        <v>102</v>
      </c>
      <c r="S6" s="18"/>
      <c r="T6" s="18"/>
      <c r="U6" s="20"/>
      <c r="V6" s="18">
        <f>AVERAGE(1)</f>
        <v>1</v>
      </c>
      <c r="W6" s="18">
        <f t="shared" ref="W6:X10" si="0">AVERAGE(1)</f>
        <v>1</v>
      </c>
      <c r="X6" s="18">
        <f t="shared" si="0"/>
        <v>1</v>
      </c>
      <c r="Y6" s="25"/>
      <c r="Z6" s="25"/>
      <c r="AA6" s="25"/>
      <c r="AB6" s="18"/>
      <c r="AC6" s="17">
        <v>43912</v>
      </c>
      <c r="AD6" s="17">
        <v>48623</v>
      </c>
      <c r="AF6" s="18" t="s">
        <v>52</v>
      </c>
      <c r="AG6" s="18">
        <v>102</v>
      </c>
      <c r="AH6" s="18">
        <v>84256.72</v>
      </c>
      <c r="AI6" s="18">
        <v>81838.740000000005</v>
      </c>
      <c r="AJ6" s="20">
        <v>115414.18</v>
      </c>
      <c r="AK6" s="18">
        <f>AVERAGE(132266.71,133094,25,136977.14)</f>
        <v>100590.71249999999</v>
      </c>
      <c r="AL6" s="18">
        <f>AVERAGE(214591.88,211267.39,204427.9)</f>
        <v>210095.72333333336</v>
      </c>
      <c r="AM6" s="18">
        <f>AVERAGE(313120.47,316139.42,298893.52)</f>
        <v>309384.46999999997</v>
      </c>
      <c r="AN6" s="25">
        <v>83744.61</v>
      </c>
      <c r="AO6" s="25">
        <v>77379.09</v>
      </c>
      <c r="AP6" s="25">
        <v>76340.25</v>
      </c>
      <c r="AQ6" s="18"/>
      <c r="AR6" s="17">
        <v>69690</v>
      </c>
      <c r="AS6" s="17">
        <v>70790</v>
      </c>
    </row>
    <row r="7" spans="2:45" x14ac:dyDescent="0.25">
      <c r="B7" s="3" t="s">
        <v>9</v>
      </c>
      <c r="C7" s="3">
        <v>21</v>
      </c>
      <c r="D7" s="3">
        <v>1065</v>
      </c>
      <c r="E7" s="3">
        <v>1068</v>
      </c>
      <c r="F7" s="3">
        <v>1475</v>
      </c>
      <c r="G7" s="14">
        <v>1065</v>
      </c>
      <c r="H7" s="3">
        <f>AVERAGE(1369,1306,1259)</f>
        <v>1311.3333333333333</v>
      </c>
      <c r="I7" s="3">
        <f>AVERAGE(2039,2101,1743)</f>
        <v>1961</v>
      </c>
      <c r="J7" s="3">
        <v>1035</v>
      </c>
      <c r="K7" s="3">
        <v>1035</v>
      </c>
      <c r="L7" s="3">
        <v>1035</v>
      </c>
      <c r="M7" s="3" t="s">
        <v>82</v>
      </c>
      <c r="N7" s="3">
        <v>999</v>
      </c>
      <c r="O7" s="24">
        <v>999</v>
      </c>
      <c r="Q7" s="1" t="s">
        <v>32</v>
      </c>
      <c r="R7" s="1">
        <v>151</v>
      </c>
      <c r="S7" s="18"/>
      <c r="T7" s="18"/>
      <c r="U7" s="20"/>
      <c r="V7" s="18">
        <f>AVERAGE(1)</f>
        <v>1</v>
      </c>
      <c r="W7" s="18">
        <f t="shared" si="0"/>
        <v>1</v>
      </c>
      <c r="X7" s="18">
        <f t="shared" si="0"/>
        <v>1</v>
      </c>
      <c r="Y7" s="25"/>
      <c r="Z7" s="25"/>
      <c r="AA7" s="25"/>
      <c r="AB7" s="18"/>
      <c r="AC7" s="17">
        <v>21563</v>
      </c>
      <c r="AD7" s="17">
        <v>21954</v>
      </c>
      <c r="AF7" s="18" t="s">
        <v>53</v>
      </c>
      <c r="AG7" s="18">
        <v>108</v>
      </c>
      <c r="AH7" s="18">
        <v>41326.949999999997</v>
      </c>
      <c r="AI7" s="18">
        <v>43036.45</v>
      </c>
      <c r="AJ7" s="20">
        <v>65018.06</v>
      </c>
      <c r="AK7" s="18">
        <f>AVERAGE(113604.96,122890.51,110266.69)</f>
        <v>115587.38666666667</v>
      </c>
      <c r="AL7" s="18">
        <f>AVERAGE(187735.77,199526.57,181847.76)</f>
        <v>189703.36666666667</v>
      </c>
      <c r="AM7" s="18">
        <f>AVERAGE(298415.55,292635.24,309534.92)</f>
        <v>300195.23666666663</v>
      </c>
      <c r="AN7" s="25">
        <v>41096.15</v>
      </c>
      <c r="AO7" s="25">
        <v>40842.559999999998</v>
      </c>
      <c r="AP7" s="25">
        <v>41085.79</v>
      </c>
      <c r="AQ7" s="18"/>
      <c r="AR7" s="17">
        <v>41452</v>
      </c>
      <c r="AS7" s="17">
        <v>41703</v>
      </c>
    </row>
    <row r="8" spans="2:45" x14ac:dyDescent="0.25">
      <c r="B8" s="3" t="s">
        <v>10</v>
      </c>
      <c r="C8" s="3">
        <v>21</v>
      </c>
      <c r="D8" s="3">
        <v>1237</v>
      </c>
      <c r="E8" s="3">
        <v>1174</v>
      </c>
      <c r="F8" s="3">
        <v>1543</v>
      </c>
      <c r="G8" s="14">
        <v>1237</v>
      </c>
      <c r="H8" s="3">
        <f>AVERAGE(1699,1464,1751)</f>
        <v>1638</v>
      </c>
      <c r="I8" s="3">
        <f>AVERAGE(2241,2424,2318)</f>
        <v>2327.6666666666665</v>
      </c>
      <c r="J8" s="3">
        <v>1218</v>
      </c>
      <c r="K8" s="3">
        <v>1218</v>
      </c>
      <c r="L8" s="3">
        <v>1218</v>
      </c>
      <c r="M8" s="3" t="s">
        <v>84</v>
      </c>
      <c r="N8" s="3">
        <v>1194</v>
      </c>
      <c r="O8" s="24">
        <v>1194</v>
      </c>
      <c r="Q8" s="1" t="s">
        <v>33</v>
      </c>
      <c r="R8" s="1">
        <v>171</v>
      </c>
      <c r="S8" s="18"/>
      <c r="T8" s="18"/>
      <c r="U8" s="20"/>
      <c r="V8" s="18">
        <f>AVERAGE(1)</f>
        <v>1</v>
      </c>
      <c r="W8" s="18">
        <f t="shared" si="0"/>
        <v>1</v>
      </c>
      <c r="X8" s="18">
        <f t="shared" si="0"/>
        <v>1</v>
      </c>
      <c r="Y8" s="25"/>
      <c r="Z8" s="25"/>
      <c r="AA8" s="25"/>
      <c r="AB8" s="18"/>
      <c r="AC8" s="17">
        <v>69201</v>
      </c>
      <c r="AD8" s="17">
        <v>67848</v>
      </c>
      <c r="AF8" s="18" t="s">
        <v>54</v>
      </c>
      <c r="AG8" s="18">
        <v>114</v>
      </c>
      <c r="AH8" s="18">
        <v>51636.7</v>
      </c>
      <c r="AI8" s="18">
        <v>52270.61</v>
      </c>
      <c r="AJ8" s="20">
        <v>90926.58</v>
      </c>
      <c r="AK8" s="18">
        <f>AVERAGE(150030.4,142468.98,133929.33)</f>
        <v>142142.90333333332</v>
      </c>
      <c r="AL8" s="18">
        <f>AVERAGE(222464.27,214131.8,208836.57)</f>
        <v>215144.21333333329</v>
      </c>
      <c r="AM8" s="18">
        <f>AVERAGE(389303.09,363304.45,366739.51)</f>
        <v>373115.68333333335</v>
      </c>
      <c r="AN8" s="25">
        <v>49580.44</v>
      </c>
      <c r="AO8" s="25">
        <v>46572.18</v>
      </c>
      <c r="AP8" s="25">
        <v>46589.23</v>
      </c>
      <c r="AQ8" s="18"/>
      <c r="AR8" s="17">
        <v>57431</v>
      </c>
      <c r="AS8" s="17">
        <v>52393</v>
      </c>
    </row>
    <row r="9" spans="2:45" x14ac:dyDescent="0.25">
      <c r="B9" s="3" t="s">
        <v>11</v>
      </c>
      <c r="C9" s="3">
        <v>39</v>
      </c>
      <c r="D9" s="3">
        <v>4429.84</v>
      </c>
      <c r="E9" s="3">
        <v>4629.4799999999996</v>
      </c>
      <c r="F9" s="3">
        <v>5944.03</v>
      </c>
      <c r="G9" s="3">
        <f>AVERAGE(6644.97,6506.27,6688.28)</f>
        <v>6613.1733333333332</v>
      </c>
      <c r="H9" s="3">
        <f>AVERAGE(8271.39,7958.12,8513.73)</f>
        <v>8247.746666666666</v>
      </c>
      <c r="I9" s="3">
        <f>AVERAGE(12974.41,11777.55,11022.59)</f>
        <v>11924.85</v>
      </c>
      <c r="J9" s="3">
        <v>4246.84</v>
      </c>
      <c r="K9" s="3">
        <v>4246.84</v>
      </c>
      <c r="L9" s="3">
        <v>4246.84</v>
      </c>
      <c r="M9" s="5">
        <v>7619.8989577796901</v>
      </c>
      <c r="N9" s="3">
        <v>4174</v>
      </c>
      <c r="O9" s="24">
        <v>4174</v>
      </c>
      <c r="Q9" s="1" t="s">
        <v>34</v>
      </c>
      <c r="R9" s="1">
        <v>323</v>
      </c>
      <c r="S9" s="18"/>
      <c r="T9" s="18"/>
      <c r="U9" s="20"/>
      <c r="V9" s="18">
        <f>AVERAGE(1)</f>
        <v>1</v>
      </c>
      <c r="W9" s="18">
        <f t="shared" si="0"/>
        <v>1</v>
      </c>
      <c r="X9" s="18">
        <f t="shared" si="0"/>
        <v>1</v>
      </c>
      <c r="Y9" s="25"/>
      <c r="Z9" s="25"/>
      <c r="AA9" s="25"/>
      <c r="AB9" s="18"/>
      <c r="AC9" s="17"/>
      <c r="AD9" s="17"/>
      <c r="AF9" s="18" t="s">
        <v>55</v>
      </c>
      <c r="AG9" s="18">
        <v>169</v>
      </c>
      <c r="AH9" s="18">
        <v>67272.25</v>
      </c>
      <c r="AI9" s="18">
        <v>71036.73</v>
      </c>
      <c r="AJ9" s="20">
        <v>111073.35</v>
      </c>
      <c r="AK9" s="18">
        <f>AVERAGE(178097.34,176328.93,180314.66)</f>
        <v>178246.97666666668</v>
      </c>
      <c r="AL9" s="18">
        <f>AVERAGE(350581.44,357429.61,309027.66)</f>
        <v>339012.90333333332</v>
      </c>
      <c r="AM9" s="18">
        <f>AVERAGE(581297.93,577214.26,614941.59)</f>
        <v>591151.25999999989</v>
      </c>
      <c r="AN9" s="25">
        <v>64612.26</v>
      </c>
      <c r="AO9" s="25">
        <v>63619.98</v>
      </c>
      <c r="AP9" s="25">
        <v>62428.38</v>
      </c>
      <c r="AQ9" s="18"/>
      <c r="AR9" s="17">
        <v>47516</v>
      </c>
      <c r="AS9" s="17">
        <v>49198</v>
      </c>
    </row>
    <row r="10" spans="2:45" x14ac:dyDescent="0.25">
      <c r="B10" s="1" t="s">
        <v>12</v>
      </c>
      <c r="C10" s="1">
        <v>95</v>
      </c>
      <c r="D10" s="18">
        <v>56582.89</v>
      </c>
      <c r="E10" s="18">
        <v>53625.85</v>
      </c>
      <c r="F10" s="20">
        <v>76089.16</v>
      </c>
      <c r="G10" s="18">
        <f>AVERAGE(137748.6,120237.26,117651.98)</f>
        <v>125212.61333333333</v>
      </c>
      <c r="H10" s="18">
        <f>AVERAGE(169704.54,161051.99,169775.23)</f>
        <v>166843.92000000001</v>
      </c>
      <c r="I10" s="18">
        <f>AVERAGE(243168.64,219081.66,215888.04)</f>
        <v>226046.11333333337</v>
      </c>
      <c r="J10" s="25">
        <v>55846.91</v>
      </c>
      <c r="K10" s="25">
        <v>54985.65</v>
      </c>
      <c r="L10" s="25">
        <v>54589.39</v>
      </c>
      <c r="M10" s="18"/>
      <c r="N10" s="18">
        <v>50324</v>
      </c>
      <c r="O10" s="17">
        <v>50764</v>
      </c>
      <c r="Q10" s="1" t="s">
        <v>35</v>
      </c>
      <c r="R10" s="1">
        <v>499</v>
      </c>
      <c r="S10" s="18"/>
      <c r="T10" s="18"/>
      <c r="U10" s="20"/>
      <c r="V10" s="18">
        <f>AVERAGE(1)</f>
        <v>1</v>
      </c>
      <c r="W10" s="18">
        <f t="shared" si="0"/>
        <v>1</v>
      </c>
      <c r="X10" s="18">
        <f t="shared" si="0"/>
        <v>1</v>
      </c>
      <c r="Y10" s="25"/>
      <c r="Z10" s="25"/>
      <c r="AA10" s="25"/>
      <c r="AB10" s="18"/>
      <c r="AC10" s="17"/>
      <c r="AD10" s="17"/>
      <c r="AF10" s="18" t="s">
        <v>56</v>
      </c>
      <c r="AG10" s="18">
        <v>198</v>
      </c>
      <c r="AH10" s="18">
        <v>36877.03</v>
      </c>
      <c r="AI10" s="18">
        <v>35720.79</v>
      </c>
      <c r="AJ10" s="20">
        <v>61890.51</v>
      </c>
      <c r="AK10" s="18">
        <f>AVERAGE(119999.79,117003.94,106132.19)</f>
        <v>114378.64</v>
      </c>
      <c r="AL10" s="18">
        <f>AVERAGE(170213.44,143980.5,163685.95)</f>
        <v>159293.29666666666</v>
      </c>
      <c r="AM10" s="18">
        <f>AVERAGE(306524.32,286757.21,275274.66)</f>
        <v>289518.73</v>
      </c>
      <c r="AN10" s="25">
        <v>36678.97</v>
      </c>
      <c r="AO10" s="25">
        <v>35636.33</v>
      </c>
      <c r="AP10" s="25">
        <v>36106.68</v>
      </c>
      <c r="AQ10" s="18"/>
      <c r="AR10" s="17"/>
      <c r="AS10" s="17"/>
    </row>
    <row r="11" spans="2:45" x14ac:dyDescent="0.25">
      <c r="B11" s="1" t="s">
        <v>13</v>
      </c>
      <c r="C11" s="1">
        <v>43</v>
      </c>
      <c r="D11" s="18">
        <v>13172</v>
      </c>
      <c r="E11" s="18">
        <v>13353</v>
      </c>
      <c r="F11" s="20">
        <v>22240</v>
      </c>
      <c r="G11" s="18">
        <f>AVERAGE(19497,15890,17174)</f>
        <v>17520.333333333332</v>
      </c>
      <c r="H11" s="18">
        <f>AVERAGE(27625,25146,24688)</f>
        <v>25819.666666666668</v>
      </c>
      <c r="I11" s="18">
        <f>AVERAGE(42471,45169,34305)</f>
        <v>40648.333333333336</v>
      </c>
      <c r="J11" s="25">
        <v>13127</v>
      </c>
      <c r="K11" s="25">
        <v>13072</v>
      </c>
      <c r="L11" s="25">
        <v>13109</v>
      </c>
      <c r="M11" s="18"/>
      <c r="N11" s="18"/>
      <c r="O11" s="17"/>
      <c r="Q11" s="1" t="s">
        <v>88</v>
      </c>
      <c r="R11" s="1">
        <v>36</v>
      </c>
      <c r="S11" s="18">
        <v>8651</v>
      </c>
      <c r="T11" s="18">
        <v>7988</v>
      </c>
      <c r="U11" s="20">
        <v>10562</v>
      </c>
      <c r="V11" s="18">
        <f>AVERAGE(8745,12149,9449)</f>
        <v>10114.333333333334</v>
      </c>
      <c r="W11" s="18">
        <f>AVERAGE(12541,14158,13224)</f>
        <v>13307.666666666666</v>
      </c>
      <c r="X11" s="18">
        <f>AVERAGE(21571,19009,20749)</f>
        <v>20443</v>
      </c>
      <c r="Y11" s="25">
        <v>8459</v>
      </c>
      <c r="Z11" s="25">
        <v>8459</v>
      </c>
      <c r="AA11" s="25">
        <v>8308</v>
      </c>
      <c r="AB11" s="18"/>
      <c r="AC11" s="17">
        <v>7278</v>
      </c>
      <c r="AD11" s="17">
        <v>7278</v>
      </c>
      <c r="AF11" s="18" t="s">
        <v>57</v>
      </c>
      <c r="AG11" s="18">
        <v>224</v>
      </c>
      <c r="AH11" s="18">
        <v>38943.230000000003</v>
      </c>
      <c r="AI11" s="18">
        <v>40552.269999999997</v>
      </c>
      <c r="AJ11" s="20">
        <v>49097.59</v>
      </c>
      <c r="AK11" s="18">
        <f>AVERAGE(121048.8,115030.75,104405.22)</f>
        <v>113494.92333333334</v>
      </c>
      <c r="AL11" s="18">
        <f>AVERAGE(167530.93,170905.23,161324.14)</f>
        <v>166586.76666666669</v>
      </c>
      <c r="AM11" s="18">
        <f>AVERAGE(259588.85,265952.01,259413.77)</f>
        <v>261651.54333333333</v>
      </c>
      <c r="AN11" s="25">
        <v>37664.620000000003</v>
      </c>
      <c r="AO11" s="25">
        <v>36725.06</v>
      </c>
      <c r="AP11" s="25">
        <v>36050.949999999997</v>
      </c>
      <c r="AQ11" s="18"/>
      <c r="AR11" s="17"/>
      <c r="AS11" s="17"/>
    </row>
    <row r="12" spans="2:45" x14ac:dyDescent="0.25">
      <c r="B12" s="1" t="s">
        <v>14</v>
      </c>
      <c r="C12" s="1">
        <v>135</v>
      </c>
      <c r="D12" s="18">
        <v>92250</v>
      </c>
      <c r="E12" s="18">
        <v>1490</v>
      </c>
      <c r="F12" s="20">
        <v>163350</v>
      </c>
      <c r="G12" s="18">
        <f>AVERAGE(192260,178990,179380)</f>
        <v>183543.33333333334</v>
      </c>
      <c r="H12" s="18">
        <f>AVERAGE(221170,235560,178330)</f>
        <v>211686.66666666666</v>
      </c>
      <c r="I12" s="18">
        <f>AVERAGE(335850,316390,345760)</f>
        <v>332666.66666666669</v>
      </c>
      <c r="J12" s="25">
        <v>9360</v>
      </c>
      <c r="K12" s="25">
        <v>26510</v>
      </c>
      <c r="L12" s="25">
        <v>1830</v>
      </c>
      <c r="M12" s="18"/>
      <c r="N12" s="18"/>
      <c r="O12" s="17"/>
      <c r="Q12" s="1" t="s">
        <v>36</v>
      </c>
      <c r="R12" s="1">
        <v>75</v>
      </c>
      <c r="S12" s="18">
        <v>19476.54</v>
      </c>
      <c r="T12" s="18">
        <v>17516.66</v>
      </c>
      <c r="U12" s="20">
        <v>22857.56</v>
      </c>
      <c r="V12" s="18">
        <f>AVERAGE(27525.22,27247,27153.45)</f>
        <v>27308.556666666667</v>
      </c>
      <c r="W12" s="18">
        <f>AVERAGE(45516.62,42411,43956.76)</f>
        <v>43961.46</v>
      </c>
      <c r="X12" s="18">
        <f>AVERAGE(61934.81,58688.49,64762.94)</f>
        <v>61795.41333333333</v>
      </c>
      <c r="Y12" s="25">
        <v>17585.830000000002</v>
      </c>
      <c r="Z12" s="25">
        <v>15968.78</v>
      </c>
      <c r="AA12" s="25">
        <v>15544.88</v>
      </c>
      <c r="AB12" s="18"/>
      <c r="AC12" s="17">
        <v>14492</v>
      </c>
      <c r="AD12" s="17">
        <v>14492</v>
      </c>
      <c r="AF12" s="18" t="s">
        <v>58</v>
      </c>
      <c r="AG12" s="18">
        <v>329</v>
      </c>
      <c r="AH12" s="18">
        <v>66131.56</v>
      </c>
      <c r="AI12" s="18">
        <v>70952.95</v>
      </c>
      <c r="AJ12" s="20">
        <v>112296.69</v>
      </c>
      <c r="AK12" s="18">
        <f>AVERAGE(274261.1,263443.34,271059.75)</f>
        <v>269588.0633333333</v>
      </c>
      <c r="AL12" s="18">
        <f>AVERAGE(417570.76,430602.38,420066.24)</f>
        <v>422746.45999999996</v>
      </c>
      <c r="AM12" s="18">
        <f>AVERAGE(659669.88,677643.97,713537.73)</f>
        <v>683617.19333333336</v>
      </c>
      <c r="AN12" s="25">
        <v>65334.95</v>
      </c>
      <c r="AO12" s="25">
        <v>64446.87</v>
      </c>
      <c r="AP12" s="25">
        <v>64127.51</v>
      </c>
      <c r="AQ12" s="18"/>
      <c r="AR12" s="17"/>
      <c r="AS12" s="17"/>
    </row>
    <row r="13" spans="2:45" x14ac:dyDescent="0.25">
      <c r="B13" s="3" t="s">
        <v>15</v>
      </c>
      <c r="C13" s="3">
        <v>10</v>
      </c>
      <c r="D13" s="3">
        <v>1943.98</v>
      </c>
      <c r="E13" s="3">
        <v>1953.16</v>
      </c>
      <c r="F13" s="3">
        <v>2030.86</v>
      </c>
      <c r="G13" s="14">
        <v>1943.98</v>
      </c>
      <c r="H13" s="14">
        <v>1943.98</v>
      </c>
      <c r="I13" s="3">
        <f>AVERAGE(2336.66,2412.29,3127.7)</f>
        <v>2625.5499999999997</v>
      </c>
      <c r="J13" s="3">
        <v>1943.98</v>
      </c>
      <c r="K13" s="3">
        <v>1943.98</v>
      </c>
      <c r="L13" s="3">
        <v>1943.98</v>
      </c>
      <c r="M13" s="3">
        <v>1690.16</v>
      </c>
      <c r="N13" s="3">
        <v>1642</v>
      </c>
      <c r="O13" s="24">
        <v>1575</v>
      </c>
      <c r="Q13" s="1" t="s">
        <v>37</v>
      </c>
      <c r="R13" s="1">
        <v>112</v>
      </c>
      <c r="S13" s="18">
        <v>22938.36</v>
      </c>
      <c r="T13" s="18">
        <v>21753.58</v>
      </c>
      <c r="U13" s="20">
        <v>27558.11</v>
      </c>
      <c r="V13" s="18">
        <f>AVERAGE(45731.91,39676.2,42516.11)</f>
        <v>42641.406666666669</v>
      </c>
      <c r="W13" s="18">
        <f>AVERAGE(58598.48,64748.09,61421.73)</f>
        <v>61589.433333333342</v>
      </c>
      <c r="X13" s="18">
        <f>AVERAGE(89260.26,85241.59,94124.75)</f>
        <v>89542.2</v>
      </c>
      <c r="Y13" s="25">
        <v>22681.11</v>
      </c>
      <c r="Z13" s="25">
        <v>21220.720000000001</v>
      </c>
      <c r="AA13" s="25">
        <v>20322.55</v>
      </c>
      <c r="AB13" s="18"/>
      <c r="AC13" s="17">
        <v>18210</v>
      </c>
      <c r="AD13" s="17">
        <v>18295</v>
      </c>
      <c r="AF13" s="18" t="s">
        <v>59</v>
      </c>
      <c r="AG13" s="18">
        <v>751</v>
      </c>
      <c r="AH13" s="18">
        <v>209167.52</v>
      </c>
      <c r="AI13" s="18">
        <v>218655.55</v>
      </c>
      <c r="AJ13" s="20">
        <v>288086.71999999997</v>
      </c>
      <c r="AK13" s="18">
        <f>AVERAGE(1044777.76,1050611.75,1058082.78)</f>
        <v>1051157.43</v>
      </c>
      <c r="AL13" s="18">
        <f>AVERAGE(1539456.21)</f>
        <v>1539456.21</v>
      </c>
      <c r="AM13" s="18">
        <f>AVERAGE(2445090.61)</f>
        <v>2445090.61</v>
      </c>
      <c r="AN13" s="25">
        <v>205376.77</v>
      </c>
      <c r="AO13" s="25">
        <v>201207.83</v>
      </c>
      <c r="AP13" s="25">
        <v>197692.25</v>
      </c>
      <c r="AQ13" s="18"/>
      <c r="AR13" s="17"/>
      <c r="AS13" s="17"/>
    </row>
    <row r="14" spans="2:45" x14ac:dyDescent="0.25">
      <c r="B14" s="1" t="s">
        <v>16</v>
      </c>
      <c r="C14" s="1">
        <v>97</v>
      </c>
      <c r="D14" s="12">
        <v>4184.87</v>
      </c>
      <c r="E14" s="18">
        <v>4786.0600000000004</v>
      </c>
      <c r="F14" s="20">
        <v>5958.21</v>
      </c>
      <c r="G14" s="18">
        <f>AVERAGE(8413.89,9053.43,8139.43)</f>
        <v>8535.5833333333339</v>
      </c>
      <c r="H14" s="18">
        <f>AVERAGE(12291.75,12697.91,13562.68)</f>
        <v>12850.779999999999</v>
      </c>
      <c r="I14" s="18">
        <f>AVERAGE(18204.79,18067.5,18316.84)</f>
        <v>18196.376666666667</v>
      </c>
      <c r="J14" s="25">
        <v>4152.75</v>
      </c>
      <c r="K14" s="25">
        <v>4150.8</v>
      </c>
      <c r="L14" s="25">
        <v>4141.5</v>
      </c>
      <c r="M14" s="18"/>
      <c r="N14" s="18">
        <v>3907</v>
      </c>
      <c r="O14" s="17">
        <v>4158</v>
      </c>
      <c r="Q14" s="1" t="s">
        <v>38</v>
      </c>
      <c r="R14" s="1">
        <v>150</v>
      </c>
      <c r="S14" s="18">
        <v>21433.16</v>
      </c>
      <c r="T14" s="18">
        <v>24404.94</v>
      </c>
      <c r="U14" s="20">
        <v>34218.199999999997</v>
      </c>
      <c r="V14" s="18">
        <f>AVERAGE(50639.03,52773.37,53019.09)</f>
        <v>52143.829999999994</v>
      </c>
      <c r="W14" s="18">
        <f>AVERAGE(76395.39,78782.09,77629.81)</f>
        <v>77602.429999999993</v>
      </c>
      <c r="X14" s="18">
        <f>AVERAGE(120482.97,127877.85,125025.01)</f>
        <v>124461.94333333334</v>
      </c>
      <c r="Y14" s="25">
        <v>20952.57</v>
      </c>
      <c r="Z14" s="25">
        <v>21135.27</v>
      </c>
      <c r="AA14" s="25">
        <v>20907.740000000002</v>
      </c>
      <c r="AB14" s="18"/>
      <c r="AC14" s="17">
        <v>20723</v>
      </c>
      <c r="AD14" s="17">
        <v>20135</v>
      </c>
      <c r="AF14" s="18" t="s">
        <v>60</v>
      </c>
      <c r="AG14" s="18">
        <v>74</v>
      </c>
      <c r="AH14" s="18">
        <v>925.25</v>
      </c>
      <c r="AI14" s="18">
        <v>1047.43</v>
      </c>
      <c r="AJ14" s="20">
        <v>1276</v>
      </c>
      <c r="AK14" s="18">
        <f>AVERAGE(1580.3,1556.26,1531.77)</f>
        <v>1556.11</v>
      </c>
      <c r="AL14" s="18">
        <f>AVERAGE(2027.98,2217.78,2058.83)</f>
        <v>2101.5300000000002</v>
      </c>
      <c r="AM14" s="18">
        <f>AVERAGE(2885.77,2913.33,2689.71)</f>
        <v>2829.6033333333339</v>
      </c>
      <c r="AN14" s="27">
        <v>900.63</v>
      </c>
      <c r="AO14" s="25">
        <v>894.74</v>
      </c>
      <c r="AP14" s="25">
        <v>887.64</v>
      </c>
      <c r="AQ14" s="18"/>
      <c r="AR14" s="17">
        <v>861</v>
      </c>
      <c r="AS14" s="17">
        <v>870</v>
      </c>
    </row>
    <row r="15" spans="2:45" x14ac:dyDescent="0.25">
      <c r="B15" s="1" t="s">
        <v>17</v>
      </c>
      <c r="C15" s="1">
        <v>112</v>
      </c>
      <c r="D15" s="18">
        <v>4938.62</v>
      </c>
      <c r="E15" s="18">
        <v>5392.18</v>
      </c>
      <c r="F15" s="20">
        <v>7065.49</v>
      </c>
      <c r="G15" s="18">
        <f>AVERAGE(10436.2,10515.28,10764.03)</f>
        <v>10571.836666666668</v>
      </c>
      <c r="H15" s="18">
        <f>AVERAGE(14474.29,13931.59,14409.94)</f>
        <v>14271.94</v>
      </c>
      <c r="I15" s="18">
        <f>AVERAGE(21598.37,19957.54,22687.24)</f>
        <v>21414.383333333335</v>
      </c>
      <c r="J15" s="25">
        <v>4898.32</v>
      </c>
      <c r="K15" s="25">
        <v>4802.63</v>
      </c>
      <c r="L15" s="25">
        <v>4751.72</v>
      </c>
      <c r="M15" s="18"/>
      <c r="N15" s="18">
        <v>4499</v>
      </c>
      <c r="O15" s="17">
        <v>4720</v>
      </c>
      <c r="Q15" s="1" t="s">
        <v>39</v>
      </c>
      <c r="R15" s="1">
        <v>75</v>
      </c>
      <c r="S15" s="18">
        <v>17465.62</v>
      </c>
      <c r="T15" s="18">
        <v>18768.060000000001</v>
      </c>
      <c r="U15" s="20">
        <v>24412.98</v>
      </c>
      <c r="V15" s="18">
        <f>AVERAGE(30281.7,28948.48,27864.93)</f>
        <v>29031.703333333335</v>
      </c>
      <c r="W15" s="18">
        <f>AVERAGE(44501.41,42232.29,42586.87)</f>
        <v>43106.856666666667</v>
      </c>
      <c r="X15" s="18">
        <f>AVERAGE(60141.52,67201.92,60065.23)</f>
        <v>62469.556666666671</v>
      </c>
      <c r="Y15" s="25">
        <v>17195.84</v>
      </c>
      <c r="Z15" s="25">
        <v>17065.96</v>
      </c>
      <c r="AA15" s="25">
        <v>16962.009999999998</v>
      </c>
      <c r="AB15" s="18"/>
      <c r="AC15" s="17">
        <v>14744</v>
      </c>
      <c r="AD15" s="17">
        <v>14744</v>
      </c>
      <c r="AF15" s="18" t="s">
        <v>61</v>
      </c>
      <c r="AG15" s="18">
        <v>146</v>
      </c>
      <c r="AH15" s="18">
        <v>1695.61</v>
      </c>
      <c r="AI15" s="18">
        <v>1944.15</v>
      </c>
      <c r="AJ15" s="20">
        <v>2468.79</v>
      </c>
      <c r="AK15" s="18">
        <f>AVERAGE(4322.14,3865.43,4106.19)</f>
        <v>4097.9199999999992</v>
      </c>
      <c r="AL15" s="18">
        <f>AVERAGE(5557.8,5273.78,5536.67)</f>
        <v>5456.083333333333</v>
      </c>
      <c r="AM15" s="18">
        <f>AVERAGE(8521.71,8657.58,8360.26)</f>
        <v>8513.1833333333343</v>
      </c>
      <c r="AN15" s="25">
        <v>1695.61</v>
      </c>
      <c r="AO15" s="25">
        <v>1694.18</v>
      </c>
      <c r="AP15" s="25">
        <v>1685.46</v>
      </c>
      <c r="AQ15" s="18"/>
      <c r="AR15" s="17">
        <v>1753</v>
      </c>
      <c r="AS15" s="17">
        <v>1713</v>
      </c>
    </row>
    <row r="16" spans="2:45" x14ac:dyDescent="0.25">
      <c r="B16" s="3" t="s">
        <v>18</v>
      </c>
      <c r="C16" s="3">
        <v>31</v>
      </c>
      <c r="D16" s="3">
        <v>517</v>
      </c>
      <c r="E16" s="3">
        <v>393</v>
      </c>
      <c r="F16" s="3">
        <v>728</v>
      </c>
      <c r="G16" s="3">
        <f>AVERAGE(523,694,586)</f>
        <v>601</v>
      </c>
      <c r="H16" s="3">
        <f>AVERAGE(669,778,764)</f>
        <v>737</v>
      </c>
      <c r="I16" s="3">
        <f>AVERAGE(1154,1101,855)</f>
        <v>1036.6666666666667</v>
      </c>
      <c r="J16" s="3">
        <v>486</v>
      </c>
      <c r="K16" s="3">
        <v>438</v>
      </c>
      <c r="L16" s="3">
        <v>441</v>
      </c>
      <c r="M16" s="3"/>
      <c r="N16" s="3">
        <v>427</v>
      </c>
      <c r="O16" s="24">
        <v>427</v>
      </c>
      <c r="Q16" s="1" t="s">
        <v>40</v>
      </c>
      <c r="R16" s="1">
        <v>112</v>
      </c>
      <c r="S16" s="18">
        <v>17814.47</v>
      </c>
      <c r="T16" s="18">
        <v>20307.55</v>
      </c>
      <c r="U16" s="20">
        <v>27481.71</v>
      </c>
      <c r="V16" s="18">
        <f>AVERAGE(39494.51,43021.33,43619.02)</f>
        <v>42044.953333333331</v>
      </c>
      <c r="W16" s="18">
        <f>AVERAGE(55705.58,56846.77,62861.81)</f>
        <v>58471.386666666665</v>
      </c>
      <c r="X16" s="18">
        <f>AVERAGE(86487.19,83523.69,93097.67)</f>
        <v>87702.849999999991</v>
      </c>
      <c r="Y16" s="25">
        <v>17422.93</v>
      </c>
      <c r="Z16" s="25">
        <v>17327.34</v>
      </c>
      <c r="AA16" s="25">
        <v>17311.439999999999</v>
      </c>
      <c r="AB16" s="18"/>
      <c r="AC16" s="17">
        <v>17501</v>
      </c>
      <c r="AD16" s="17">
        <v>17349</v>
      </c>
      <c r="AF16" s="18" t="s">
        <v>62</v>
      </c>
      <c r="AG16" s="18">
        <v>431</v>
      </c>
      <c r="AH16" s="18">
        <v>5946.93</v>
      </c>
      <c r="AI16" s="18">
        <v>5694.36</v>
      </c>
      <c r="AJ16" s="20">
        <v>7538.39</v>
      </c>
      <c r="AK16" s="18">
        <f>AVERAGE(19012.37,18638.86,18931.57)</f>
        <v>18860.933333333331</v>
      </c>
      <c r="AL16" s="18">
        <f>AVERAGE(27418.94,27229.57,27137.69)</f>
        <v>27262.066666666666</v>
      </c>
      <c r="AM16" s="18">
        <f>AVERAGE(40546.4)</f>
        <v>40546.400000000001</v>
      </c>
      <c r="AN16" s="25">
        <v>5770.28</v>
      </c>
      <c r="AO16" s="25">
        <v>5518.62</v>
      </c>
      <c r="AP16" s="25">
        <v>5282.69</v>
      </c>
      <c r="AQ16" s="18"/>
      <c r="AR16" s="17"/>
      <c r="AS16" s="17"/>
    </row>
    <row r="17" spans="2:45" x14ac:dyDescent="0.25">
      <c r="B17" s="3" t="s">
        <v>19</v>
      </c>
      <c r="C17" s="3">
        <v>38</v>
      </c>
      <c r="D17" s="3">
        <v>291.58999999999997</v>
      </c>
      <c r="E17" s="3">
        <v>323.66000000000003</v>
      </c>
      <c r="F17" s="3">
        <v>394.42</v>
      </c>
      <c r="G17" s="3">
        <f>AVERAGE(431.16,418.32,422.52)</f>
        <v>424</v>
      </c>
      <c r="H17" s="3">
        <f>AVERAGE(461.69,455.72,460.88)</f>
        <v>459.43</v>
      </c>
      <c r="I17" s="3">
        <f>AVERAGE(642.81,712.89,636.98)</f>
        <v>664.22666666666657</v>
      </c>
      <c r="J17" s="3">
        <v>291.58999999999997</v>
      </c>
      <c r="K17" s="3">
        <v>291.58999999999997</v>
      </c>
      <c r="L17" s="3">
        <v>291.58999999999997</v>
      </c>
      <c r="M17" s="3">
        <v>414.92</v>
      </c>
      <c r="N17" s="3">
        <v>289</v>
      </c>
      <c r="O17" s="24">
        <v>287</v>
      </c>
      <c r="Q17" s="1" t="s">
        <v>41</v>
      </c>
      <c r="R17" s="1">
        <v>150</v>
      </c>
      <c r="S17" s="18">
        <v>24691.06</v>
      </c>
      <c r="T17" s="18">
        <v>24802.49</v>
      </c>
      <c r="U17" s="20">
        <v>33962.28</v>
      </c>
      <c r="V17" s="18">
        <f>AVERAGE(57761.37,55503.47,57973.66)</f>
        <v>57079.5</v>
      </c>
      <c r="W17" s="18">
        <f>AVERAGE(78824.48,82616.61,82014.72)</f>
        <v>81151.936666666661</v>
      </c>
      <c r="X17" s="18">
        <f>AVERAGE(116751.06,116303.51,120225.98)</f>
        <v>117760.18333333333</v>
      </c>
      <c r="Y17" s="25">
        <v>24207.55</v>
      </c>
      <c r="Z17" s="25">
        <v>23373.11</v>
      </c>
      <c r="AA17" s="25">
        <v>23060.74</v>
      </c>
      <c r="AB17" s="18"/>
      <c r="AC17" s="17">
        <v>20508</v>
      </c>
      <c r="AD17" s="17">
        <v>21266</v>
      </c>
      <c r="AF17" s="18" t="s">
        <v>63</v>
      </c>
      <c r="AG17" s="18">
        <v>587</v>
      </c>
      <c r="AH17" s="18">
        <v>7364.99</v>
      </c>
      <c r="AI17" s="18">
        <v>7408.05</v>
      </c>
      <c r="AJ17" s="20">
        <v>10144.67</v>
      </c>
      <c r="AK17" s="18">
        <f>AVERAGE(29654.31,28805.35,29660.73)</f>
        <v>29373.463333333333</v>
      </c>
      <c r="AL17" s="18">
        <f>AVERAGE(42472.74,43217.07,42257.84)</f>
        <v>42649.216666666667</v>
      </c>
      <c r="AM17" s="18">
        <f>AVERAGE(65810.51)</f>
        <v>65810.509999999995</v>
      </c>
      <c r="AN17" s="25">
        <v>7263.55</v>
      </c>
      <c r="AO17" s="25">
        <v>6992.53</v>
      </c>
      <c r="AP17" s="25">
        <v>6847.53</v>
      </c>
      <c r="AQ17" s="18"/>
      <c r="AR17" s="17"/>
      <c r="AS17" s="17"/>
    </row>
    <row r="18" spans="2:45" x14ac:dyDescent="0.25">
      <c r="B18" s="1" t="s">
        <v>20</v>
      </c>
      <c r="C18" s="1">
        <v>57</v>
      </c>
      <c r="D18" s="18">
        <v>356.71</v>
      </c>
      <c r="E18" s="18">
        <v>373.07</v>
      </c>
      <c r="F18" s="20">
        <v>470.95</v>
      </c>
      <c r="G18" s="18">
        <f>AVERAGE(573.88,576.15,503.95)</f>
        <v>551.32666666666671</v>
      </c>
      <c r="H18" s="18">
        <f>AVERAGE(694.88,730.45,728)</f>
        <v>717.77666666666664</v>
      </c>
      <c r="I18" s="18">
        <f>AVERAGE(960.07,1108.95,1019.51)</f>
        <v>1029.51</v>
      </c>
      <c r="J18" s="25">
        <v>353.56</v>
      </c>
      <c r="K18" s="25">
        <v>353.56</v>
      </c>
      <c r="L18" s="25">
        <v>350.84</v>
      </c>
      <c r="M18" s="18"/>
      <c r="N18" s="18">
        <v>336</v>
      </c>
      <c r="O18" s="17">
        <v>336</v>
      </c>
      <c r="Q18" s="1" t="s">
        <v>42</v>
      </c>
      <c r="R18" s="1">
        <v>75</v>
      </c>
      <c r="S18" s="18">
        <v>14926.51</v>
      </c>
      <c r="T18" s="18">
        <v>18900.41</v>
      </c>
      <c r="U18" s="20">
        <v>24087.26</v>
      </c>
      <c r="V18" s="18">
        <f>AVERAGE(29654.14,29587.48,26846.83)</f>
        <v>28696.149999999998</v>
      </c>
      <c r="W18" s="18">
        <f>AVERAGE(34790.23,43618.71,37235.06)</f>
        <v>38548</v>
      </c>
      <c r="X18" s="18">
        <f>AVERAGE(62097.26,58155.65,68341.07)</f>
        <v>62864.66</v>
      </c>
      <c r="Y18" s="25">
        <v>14510</v>
      </c>
      <c r="Z18" s="25">
        <v>14305.64</v>
      </c>
      <c r="AA18" s="25">
        <v>14510</v>
      </c>
      <c r="AB18" s="18"/>
      <c r="AC18" s="17">
        <v>14067</v>
      </c>
      <c r="AD18" s="17">
        <v>14067</v>
      </c>
      <c r="AF18" s="18" t="s">
        <v>64</v>
      </c>
      <c r="AG18" s="18">
        <v>131</v>
      </c>
      <c r="AH18" s="18">
        <v>16096</v>
      </c>
      <c r="AI18" s="18">
        <v>16373</v>
      </c>
      <c r="AJ18" s="20">
        <v>17756</v>
      </c>
      <c r="AK18" s="18">
        <f>AVERAGE(20712,20221,20516)</f>
        <v>20483</v>
      </c>
      <c r="AL18" s="18">
        <f>AVERAGE(24236,23919,23092)</f>
        <v>23749</v>
      </c>
      <c r="AM18" s="18">
        <f>AVERAGE(26899,27279,27487)</f>
        <v>27221.666666666668</v>
      </c>
      <c r="AN18" s="25">
        <v>15988</v>
      </c>
      <c r="AO18" s="25">
        <v>15995</v>
      </c>
      <c r="AP18" s="25">
        <v>15870</v>
      </c>
      <c r="AQ18" s="18"/>
      <c r="AR18" s="17"/>
      <c r="AS18" s="17"/>
    </row>
    <row r="19" spans="2:45" x14ac:dyDescent="0.25">
      <c r="B19" s="1" t="s">
        <v>21</v>
      </c>
      <c r="C19" s="1">
        <v>75</v>
      </c>
      <c r="D19" s="18">
        <v>492.25</v>
      </c>
      <c r="E19" s="18">
        <v>452.67</v>
      </c>
      <c r="F19" s="20">
        <v>558.46</v>
      </c>
      <c r="G19" s="18">
        <f>AVERAGE(641.15,690.2,671.97)</f>
        <v>667.77333333333331</v>
      </c>
      <c r="H19" s="18">
        <f>AVERAGE(902.19,991.71,946.19)</f>
        <v>946.69666666666672</v>
      </c>
      <c r="I19" s="18">
        <f>AVERAGE(1411.89,1284.17,1363.15)</f>
        <v>1353.0700000000002</v>
      </c>
      <c r="J19" s="25">
        <v>479.74</v>
      </c>
      <c r="K19" s="25">
        <v>461.5</v>
      </c>
      <c r="L19" s="25">
        <v>454.54</v>
      </c>
      <c r="M19" s="18"/>
      <c r="N19" s="18">
        <v>396</v>
      </c>
      <c r="O19" s="17">
        <v>406</v>
      </c>
      <c r="Q19" s="1" t="s">
        <v>43</v>
      </c>
      <c r="R19" s="1">
        <v>75</v>
      </c>
      <c r="S19" s="18">
        <v>16252.61</v>
      </c>
      <c r="T19" s="18">
        <v>17083.72</v>
      </c>
      <c r="U19" s="20">
        <v>22966.69</v>
      </c>
      <c r="V19" s="18">
        <f>AVERAGE(27837.62,28079.33,27372.98)</f>
        <v>27763.309999999998</v>
      </c>
      <c r="W19" s="18">
        <f>AVERAGE(40748.19,36492.27,42150.33)</f>
        <v>39796.93</v>
      </c>
      <c r="X19" s="18">
        <f>AVERAGE(63069.85,56533.57,57377.55)</f>
        <v>58993.656666666669</v>
      </c>
      <c r="Y19" s="25">
        <v>16131.15</v>
      </c>
      <c r="Z19" s="25">
        <v>15374.89</v>
      </c>
      <c r="AA19" s="25">
        <v>15399.66</v>
      </c>
      <c r="AB19" s="18"/>
      <c r="AC19" s="17">
        <v>14171</v>
      </c>
      <c r="AD19" s="17">
        <v>14171</v>
      </c>
      <c r="AF19" s="18" t="s">
        <v>65</v>
      </c>
      <c r="AG19" s="18">
        <v>401</v>
      </c>
      <c r="AH19" s="18">
        <v>36872</v>
      </c>
      <c r="AI19" s="18">
        <v>35948</v>
      </c>
      <c r="AJ19" s="20">
        <v>41360</v>
      </c>
      <c r="AK19" s="18">
        <f>AVERAGE(55395,53710,55185)</f>
        <v>54763.333333333336</v>
      </c>
      <c r="AL19" s="18">
        <f>AVERAGE(62019,62835,64001)</f>
        <v>62951.666666666664</v>
      </c>
      <c r="AM19" s="18">
        <f>AVERAGE(74777,74991,74902)</f>
        <v>74890</v>
      </c>
      <c r="AN19" s="25">
        <v>36577</v>
      </c>
      <c r="AO19" s="25">
        <v>36505</v>
      </c>
      <c r="AP19" s="25">
        <v>35922</v>
      </c>
      <c r="AQ19" s="18"/>
      <c r="AR19" s="17"/>
      <c r="AS19" s="17"/>
    </row>
    <row r="20" spans="2:45" x14ac:dyDescent="0.25">
      <c r="B20" s="3" t="s">
        <v>23</v>
      </c>
      <c r="C20" s="3">
        <v>19</v>
      </c>
      <c r="D20" s="3">
        <v>744</v>
      </c>
      <c r="E20" s="3">
        <v>608</v>
      </c>
      <c r="F20" s="3">
        <v>859</v>
      </c>
      <c r="G20" s="14">
        <v>744</v>
      </c>
      <c r="H20" s="3">
        <f>AVERAGE(832,758,709)</f>
        <v>766.33333333333337</v>
      </c>
      <c r="I20" s="3">
        <f>AVERAGE(960,1073,832)</f>
        <v>955</v>
      </c>
      <c r="J20" s="3">
        <v>684</v>
      </c>
      <c r="K20" s="3">
        <v>672</v>
      </c>
      <c r="L20" s="3">
        <v>602</v>
      </c>
      <c r="M20" s="3">
        <v>492</v>
      </c>
      <c r="N20" s="3">
        <v>601</v>
      </c>
      <c r="O20" s="24">
        <v>601</v>
      </c>
      <c r="Q20" s="1" t="s">
        <v>44</v>
      </c>
      <c r="R20" s="1">
        <v>75</v>
      </c>
      <c r="S20" s="18">
        <v>16441.939999999999</v>
      </c>
      <c r="T20" s="18">
        <v>17078.29</v>
      </c>
      <c r="U20" s="20">
        <v>24971.040000000001</v>
      </c>
      <c r="V20" s="18">
        <f>AVERAGE(28486.61,27900.02,35382.74)</f>
        <v>30589.789999999997</v>
      </c>
      <c r="W20" s="18">
        <f>AVERAGE(42514.99,41903.89,40748.19)</f>
        <v>41722.356666666667</v>
      </c>
      <c r="X20" s="18">
        <f>AVERAGE(60682.58,65266.37,57851.47)</f>
        <v>61266.806666666671</v>
      </c>
      <c r="Y20" s="25">
        <v>16256.53</v>
      </c>
      <c r="Z20" s="25">
        <v>15982.98</v>
      </c>
      <c r="AA20" s="25">
        <v>15400.35</v>
      </c>
      <c r="AB20" s="18"/>
      <c r="AC20" s="17">
        <v>14640</v>
      </c>
      <c r="AD20" s="17">
        <v>14640</v>
      </c>
      <c r="AF20" s="18" t="s">
        <v>66</v>
      </c>
      <c r="AG20" s="18">
        <v>774</v>
      </c>
      <c r="AH20" s="18">
        <v>70582</v>
      </c>
      <c r="AI20" s="18">
        <v>70198</v>
      </c>
      <c r="AJ20" s="20">
        <v>82200</v>
      </c>
      <c r="AK20" s="18">
        <f>AVERAGE(113798,114572,110884)</f>
        <v>113084.66666666667</v>
      </c>
      <c r="AL20" s="18">
        <f>AVERAGE(127643)</f>
        <v>127643</v>
      </c>
      <c r="AM20" s="18">
        <f>AVERAGE(165762)</f>
        <v>165762</v>
      </c>
      <c r="AN20" s="25">
        <v>70571</v>
      </c>
      <c r="AO20" s="25">
        <v>70401</v>
      </c>
      <c r="AP20" s="25">
        <v>70120</v>
      </c>
      <c r="AQ20" s="18"/>
      <c r="AR20" s="17"/>
      <c r="AS20" s="17"/>
    </row>
    <row r="21" spans="2:45" x14ac:dyDescent="0.25">
      <c r="B21" s="1" t="s">
        <v>24</v>
      </c>
      <c r="C21" s="1">
        <v>196</v>
      </c>
      <c r="D21" s="18">
        <v>1741.09</v>
      </c>
      <c r="E21" s="18">
        <v>1967.63</v>
      </c>
      <c r="F21" s="20">
        <v>2692.33</v>
      </c>
      <c r="G21" s="18">
        <f>AVERAGE(4901.96,4962.22,4894.71)</f>
        <v>4919.63</v>
      </c>
      <c r="H21" s="18">
        <f>AVERAGE(6895.63,6726.79,6758.08)</f>
        <v>6793.5</v>
      </c>
      <c r="I21" s="18">
        <f>AVERAGE(10257.43,10704.55,10048.95)</f>
        <v>10336.976666666667</v>
      </c>
      <c r="J21" s="25">
        <v>1733.52</v>
      </c>
      <c r="K21" s="25">
        <v>1721.15</v>
      </c>
      <c r="L21" s="25">
        <v>1707.45</v>
      </c>
      <c r="M21" s="18"/>
      <c r="N21" s="18">
        <v>1672</v>
      </c>
      <c r="O21" s="17">
        <v>1695</v>
      </c>
      <c r="Q21" s="1" t="s">
        <v>45</v>
      </c>
      <c r="R21" s="1">
        <v>78</v>
      </c>
      <c r="S21" s="18">
        <v>9054.34</v>
      </c>
      <c r="T21" s="18">
        <v>9002.3700000000008</v>
      </c>
      <c r="U21" s="20">
        <v>14305.04</v>
      </c>
      <c r="V21" s="18">
        <f>AVERAGE(17572.51,17992.8,21124.48)</f>
        <v>18896.596666666665</v>
      </c>
      <c r="W21" s="18">
        <f>AVERAGE(28081.57,26333.33,26019.79)</f>
        <v>26811.563333333335</v>
      </c>
      <c r="X21" s="18">
        <f>AVERAGE(42812.73,36334.77,40894.03)</f>
        <v>40013.843333333331</v>
      </c>
      <c r="Y21" s="25">
        <v>8932.8700000000008</v>
      </c>
      <c r="Z21" s="25">
        <v>8758.16</v>
      </c>
      <c r="AA21" s="25">
        <v>8763.08</v>
      </c>
      <c r="AB21" s="18"/>
      <c r="AC21" s="17">
        <v>9034</v>
      </c>
      <c r="AD21" s="17">
        <v>8999</v>
      </c>
      <c r="AF21" s="12" t="s">
        <v>67</v>
      </c>
      <c r="AG21" s="12">
        <v>52</v>
      </c>
      <c r="AH21" s="12">
        <v>543.95000000000005</v>
      </c>
      <c r="AI21" s="12">
        <v>437.11</v>
      </c>
      <c r="AJ21" s="12">
        <v>718.56</v>
      </c>
      <c r="AK21" s="18">
        <f>AVERAGE(805.9,739.32,748.97)</f>
        <v>764.73</v>
      </c>
      <c r="AL21" s="18">
        <f>AVERAGE(925.53,872.1,909.71)</f>
        <v>902.44666666666672</v>
      </c>
      <c r="AM21" s="18">
        <f>AVERAGE(1359.26,1387.21,1496.72)</f>
        <v>1414.3966666666668</v>
      </c>
      <c r="AN21" s="25">
        <v>514.70000000000005</v>
      </c>
      <c r="AO21" s="25">
        <v>516.14</v>
      </c>
      <c r="AP21" s="25">
        <v>476.47</v>
      </c>
      <c r="AQ21" s="12"/>
      <c r="AR21" s="17">
        <v>428</v>
      </c>
      <c r="AS21" s="17">
        <v>428</v>
      </c>
    </row>
    <row r="22" spans="2:45" x14ac:dyDescent="0.25">
      <c r="B22" s="3" t="s">
        <v>25</v>
      </c>
      <c r="C22" s="3">
        <v>12</v>
      </c>
      <c r="D22" s="3">
        <v>661</v>
      </c>
      <c r="E22" s="3">
        <v>813</v>
      </c>
      <c r="F22" s="3">
        <v>1037</v>
      </c>
      <c r="G22" s="14">
        <v>661</v>
      </c>
      <c r="H22" s="3">
        <f>AVERAGE(869,1032,942)</f>
        <v>947.66666666666663</v>
      </c>
      <c r="I22" s="3">
        <f>AVERAGE(1316,1554,1410)</f>
        <v>1426.6666666666667</v>
      </c>
      <c r="J22" s="3">
        <v>640</v>
      </c>
      <c r="K22" s="3">
        <v>640</v>
      </c>
      <c r="L22" s="3">
        <v>640</v>
      </c>
      <c r="M22" s="3">
        <v>810</v>
      </c>
      <c r="N22" s="3">
        <v>951</v>
      </c>
      <c r="O22" s="24">
        <v>951</v>
      </c>
      <c r="Q22" s="1" t="s">
        <v>46</v>
      </c>
      <c r="R22" s="1">
        <v>238</v>
      </c>
      <c r="S22" s="18">
        <v>33307.81</v>
      </c>
      <c r="T22" s="18">
        <v>34803.33</v>
      </c>
      <c r="U22" s="20">
        <v>47029.4</v>
      </c>
      <c r="V22" s="18">
        <f>AVERAGE(93802.91,100544.44,98586.28)</f>
        <v>97644.543333333335</v>
      </c>
      <c r="W22" s="18">
        <f>AVERAGE(152678.03,147132.3,152500.21)</f>
        <v>150770.17999999996</v>
      </c>
      <c r="X22" s="18">
        <f>AVERAGE(230036.41,240529.77,227544.75)</f>
        <v>232703.64333333331</v>
      </c>
      <c r="Y22" s="25">
        <v>32712.82</v>
      </c>
      <c r="Z22" s="25">
        <v>31655.11</v>
      </c>
      <c r="AA22" s="25">
        <v>30461.5</v>
      </c>
      <c r="AB22" s="18"/>
      <c r="AC22" s="17">
        <v>29829</v>
      </c>
      <c r="AD22" s="17">
        <v>29829</v>
      </c>
      <c r="AF22" s="18" t="s">
        <v>68</v>
      </c>
      <c r="AG22" s="18">
        <v>31</v>
      </c>
      <c r="AH22" s="18">
        <v>770</v>
      </c>
      <c r="AI22" s="18">
        <v>871</v>
      </c>
      <c r="AJ22" s="20">
        <v>1209</v>
      </c>
      <c r="AK22" s="18">
        <f>AVERAGE(1048,1049,1133)</f>
        <v>1076.6666666666667</v>
      </c>
      <c r="AL22" s="18">
        <f>AVERAGE(1369,1407,1414)</f>
        <v>1396.6666666666667</v>
      </c>
      <c r="AM22" s="18">
        <f>AVERAGE(1558,1984,1783)</f>
        <v>1775</v>
      </c>
      <c r="AN22" s="25">
        <v>732</v>
      </c>
      <c r="AO22" s="25">
        <v>720</v>
      </c>
      <c r="AP22" s="25">
        <v>732</v>
      </c>
      <c r="AQ22" s="18"/>
      <c r="AR22" s="17">
        <v>760</v>
      </c>
      <c r="AS22" s="17">
        <v>333</v>
      </c>
    </row>
    <row r="23" spans="2:45" x14ac:dyDescent="0.25">
      <c r="B23" s="3" t="s">
        <v>26</v>
      </c>
      <c r="C23" s="3">
        <v>15</v>
      </c>
      <c r="D23" s="3">
        <v>1733</v>
      </c>
      <c r="E23" s="3">
        <v>1351</v>
      </c>
      <c r="F23" s="3">
        <v>2139</v>
      </c>
      <c r="G23" s="14">
        <v>1733</v>
      </c>
      <c r="H23" s="3">
        <f>AVERAGE(2008,2280,1667)</f>
        <v>1985</v>
      </c>
      <c r="I23" s="3">
        <f>AVERAGE(2489,2275,2393)</f>
        <v>2385.6666666666665</v>
      </c>
      <c r="J23" s="3">
        <v>1703</v>
      </c>
      <c r="K23" s="3">
        <v>1697</v>
      </c>
      <c r="L23" s="3">
        <v>1573</v>
      </c>
      <c r="M23" s="3">
        <v>1377</v>
      </c>
      <c r="N23" s="3">
        <v>1501</v>
      </c>
      <c r="O23" s="24">
        <v>1501</v>
      </c>
      <c r="Q23" s="1" t="s">
        <v>47</v>
      </c>
      <c r="R23" s="1">
        <v>1034</v>
      </c>
      <c r="S23" s="18">
        <v>47140.73</v>
      </c>
      <c r="T23" s="18">
        <v>45668.23</v>
      </c>
      <c r="U23" s="20">
        <v>62507.11</v>
      </c>
      <c r="V23" s="18">
        <f>AVERAGE(238515.69,230603.7,233199.28)</f>
        <v>234106.22333333336</v>
      </c>
      <c r="W23" s="18">
        <f>AVERAGE(349164.06)</f>
        <v>349164.06</v>
      </c>
      <c r="X23" s="18">
        <f>AVERAGE(526768.5)</f>
        <v>526768.5</v>
      </c>
      <c r="Y23" s="25">
        <v>46167.02</v>
      </c>
      <c r="Z23" s="25">
        <v>45404.9</v>
      </c>
      <c r="AA23" s="25">
        <v>44910.01</v>
      </c>
      <c r="AB23" s="18"/>
      <c r="AC23" s="17"/>
      <c r="AD23" s="17"/>
      <c r="AF23" s="18" t="s">
        <v>69</v>
      </c>
      <c r="AG23" s="18">
        <v>168</v>
      </c>
      <c r="AH23" s="18">
        <v>89500</v>
      </c>
      <c r="AI23" s="18">
        <v>117345.37</v>
      </c>
      <c r="AJ23" s="20">
        <v>145730.51</v>
      </c>
      <c r="AK23" s="18">
        <f>AVERAGE(284355.59,275262.73,290978.44)</f>
        <v>283532.25333333336</v>
      </c>
      <c r="AL23" s="18">
        <f>AVERAGE(430531.44,428706.85,425449.24)</f>
        <v>428229.1766666667</v>
      </c>
      <c r="AM23" s="18">
        <f>AVERAGE(619002.21,618288.93,578606.06)</f>
        <v>605299.06666666677</v>
      </c>
      <c r="AN23" s="25">
        <v>89500</v>
      </c>
      <c r="AO23" s="25">
        <v>88061.21</v>
      </c>
      <c r="AP23" s="25">
        <v>87156.85</v>
      </c>
      <c r="AQ23" s="18"/>
      <c r="AR23" s="17"/>
      <c r="AS23" s="17"/>
    </row>
    <row r="24" spans="2:45" x14ac:dyDescent="0.25">
      <c r="B24" s="3" t="s">
        <v>27</v>
      </c>
      <c r="C24" s="3">
        <v>18</v>
      </c>
      <c r="D24" s="3">
        <v>794</v>
      </c>
      <c r="E24" s="3">
        <v>802</v>
      </c>
      <c r="F24" s="3">
        <v>1114</v>
      </c>
      <c r="G24" s="14">
        <v>794</v>
      </c>
      <c r="H24" s="3">
        <f>AVERAGE(965,862,940)</f>
        <v>922.33333333333337</v>
      </c>
      <c r="I24" s="3">
        <f>AVERAGE(1464,1188,1007)</f>
        <v>1219.6666666666667</v>
      </c>
      <c r="J24" s="3">
        <v>794</v>
      </c>
      <c r="K24" s="3">
        <v>794</v>
      </c>
      <c r="L24" s="3">
        <v>794</v>
      </c>
      <c r="M24" s="3">
        <v>764</v>
      </c>
      <c r="N24" s="3">
        <v>844</v>
      </c>
      <c r="O24" s="24">
        <v>844</v>
      </c>
      <c r="Q24" s="6" t="s">
        <v>48</v>
      </c>
      <c r="R24" s="6">
        <v>420</v>
      </c>
      <c r="S24" s="18">
        <v>2332</v>
      </c>
      <c r="T24" s="18">
        <v>2150</v>
      </c>
      <c r="U24" s="20">
        <v>2890</v>
      </c>
      <c r="V24" s="18">
        <f>AVERAGE(7378,7503,7350)</f>
        <v>7410.333333333333</v>
      </c>
      <c r="W24" s="18">
        <f>AVERAGE(10600,9672,10371)</f>
        <v>10214.333333333334</v>
      </c>
      <c r="X24" s="18">
        <f>AVERAGE(14956)</f>
        <v>14956</v>
      </c>
      <c r="Y24" s="25">
        <v>2300</v>
      </c>
      <c r="Z24" s="25">
        <v>2246</v>
      </c>
      <c r="AA24" s="25">
        <v>2207</v>
      </c>
      <c r="AB24" s="18"/>
      <c r="AC24" s="17"/>
      <c r="AD24" s="17"/>
      <c r="AF24" s="18" t="s">
        <v>70</v>
      </c>
      <c r="AG24" s="18">
        <v>168</v>
      </c>
      <c r="AH24" s="18">
        <v>2917.62</v>
      </c>
      <c r="AI24" s="18">
        <v>3247.49</v>
      </c>
      <c r="AJ24" s="20">
        <v>4336.76</v>
      </c>
      <c r="AK24" s="18">
        <f>AVERAGE(7175.18,7038.94,7174.41)</f>
        <v>7129.5099999999993</v>
      </c>
      <c r="AL24" s="18">
        <f>AVERAGE(10012.3,9914.25,10502.66)</f>
        <v>10143.07</v>
      </c>
      <c r="AM24" s="18">
        <f>AVERAGE(15581.47,16037.14,14934.93)</f>
        <v>15517.846666666666</v>
      </c>
      <c r="AN24" s="25">
        <v>2794.99</v>
      </c>
      <c r="AO24" s="25">
        <v>2751.96</v>
      </c>
      <c r="AP24" s="25">
        <v>2767.74</v>
      </c>
      <c r="AQ24" s="18"/>
      <c r="AR24" s="17"/>
      <c r="AS24" s="17"/>
    </row>
    <row r="25" spans="2:45" x14ac:dyDescent="0.25">
      <c r="N25" s="2"/>
      <c r="O25" s="7"/>
      <c r="P25" s="7"/>
      <c r="Q25" s="7"/>
      <c r="R25" s="7"/>
      <c r="S25" s="7"/>
      <c r="T25" s="7"/>
      <c r="U25" s="7"/>
      <c r="V25" s="7"/>
      <c r="W25" s="7"/>
      <c r="X25" s="2"/>
      <c r="Y25" s="2"/>
      <c r="Z25" s="2"/>
      <c r="AA25" s="2"/>
      <c r="AF25" s="3" t="s">
        <v>71</v>
      </c>
      <c r="AG25" s="3">
        <v>12</v>
      </c>
      <c r="AH25" s="3">
        <v>2785.62</v>
      </c>
      <c r="AI25" s="3">
        <v>3035.89</v>
      </c>
      <c r="AJ25" s="3">
        <v>4294.46</v>
      </c>
      <c r="AK25" s="14">
        <v>2785.62</v>
      </c>
      <c r="AL25" s="3">
        <f>AVERAGE(4302.5,4264.97,3841.59)</f>
        <v>4136.3533333333335</v>
      </c>
      <c r="AM25" s="3">
        <f>AVERAGE(4669.69,4267.19,3955.19)</f>
        <v>4297.3566666666666</v>
      </c>
      <c r="AN25" s="3">
        <v>2741.1</v>
      </c>
      <c r="AO25" s="3">
        <v>2741.1</v>
      </c>
      <c r="AP25" s="3">
        <v>2741.1</v>
      </c>
      <c r="AQ25" s="3">
        <v>2980.94</v>
      </c>
      <c r="AR25" s="24">
        <v>3183</v>
      </c>
      <c r="AS25" s="24">
        <v>3183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F26" s="3" t="s">
        <v>72</v>
      </c>
      <c r="AG26" s="3">
        <v>16</v>
      </c>
      <c r="AH26" s="3">
        <v>3118.04</v>
      </c>
      <c r="AI26" s="3">
        <v>2959.96</v>
      </c>
      <c r="AJ26" s="3">
        <v>4249.3</v>
      </c>
      <c r="AK26" s="14">
        <v>3118.04</v>
      </c>
      <c r="AL26" s="3">
        <f>AVERAGE(3602.35,3709.73,3288.29)</f>
        <v>3533.4566666666665</v>
      </c>
      <c r="AM26" s="3">
        <f>AVERAGE(4203.63,4667.33,5585.14)</f>
        <v>4818.7</v>
      </c>
      <c r="AN26" s="3">
        <v>3049.85</v>
      </c>
      <c r="AO26" s="3">
        <v>3049.85</v>
      </c>
      <c r="AP26" s="3">
        <v>3049.85</v>
      </c>
      <c r="AQ26" s="3">
        <v>2806.25</v>
      </c>
      <c r="AR26" s="24">
        <v>2941</v>
      </c>
      <c r="AS26" s="24">
        <v>2968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7"/>
      <c r="AG27" s="7"/>
      <c r="AH27" s="7"/>
      <c r="AI27" s="7"/>
      <c r="AJ27" s="7"/>
    </row>
    <row r="28" spans="2:45" x14ac:dyDescent="0.25">
      <c r="B28" s="36"/>
      <c r="C28" s="36"/>
      <c r="D28" s="36"/>
      <c r="E28" s="36"/>
      <c r="F28" s="26"/>
    </row>
    <row r="29" spans="2:45" x14ac:dyDescent="0.25">
      <c r="B29" s="37"/>
      <c r="C29" s="37"/>
      <c r="D29" s="37"/>
      <c r="E29" s="37"/>
      <c r="F29" s="21"/>
    </row>
    <row r="30" spans="2:45" x14ac:dyDescent="0.25">
      <c r="B30" s="30"/>
      <c r="C30" s="30"/>
      <c r="D30" s="30"/>
      <c r="E30" s="30"/>
      <c r="F30" s="21"/>
    </row>
    <row r="31" spans="2:45" x14ac:dyDescent="0.25">
      <c r="B31" s="30"/>
      <c r="C31" s="30"/>
      <c r="D31" s="30"/>
      <c r="E31" s="30"/>
      <c r="F31" s="21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B38:C38"/>
    <mergeCell ref="D38:E38"/>
    <mergeCell ref="B35:C35"/>
    <mergeCell ref="D35:E35"/>
    <mergeCell ref="B36:C36"/>
    <mergeCell ref="D36:E36"/>
    <mergeCell ref="B29:E33"/>
    <mergeCell ref="B34:C34"/>
    <mergeCell ref="D34:E34"/>
    <mergeCell ref="B37:C37"/>
    <mergeCell ref="D37:E37"/>
    <mergeCell ref="AH1:AS1"/>
    <mergeCell ref="S1:AD1"/>
    <mergeCell ref="D1:O1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2021-12-07T13:12:43Z</dcterms:modified>
</cp:coreProperties>
</file>