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nmath-spreadsheets\spreadsheets\Curve Calibration\"/>
    </mc:Choice>
  </mc:AlternateContent>
  <bookViews>
    <workbookView xWindow="0" yWindow="0" windowWidth="16380" windowHeight="8196" tabRatio="500" activeTab="2"/>
  </bookViews>
  <sheets>
    <sheet name="Load Libs" sheetId="1" r:id="rId1"/>
    <sheet name="Curves Definition" sheetId="2" r:id="rId2"/>
    <sheet name="Calibration" sheetId="3" r:id="rId3"/>
    <sheet name="Curves View" sheetId="4" r:id="rId4"/>
    <sheet name="Valuation" sheetId="5" r:id="rId5"/>
    <sheet name="Sensitivities" sheetId="6" r:id="rId6"/>
    <sheet name="Sensitivity Vector" sheetId="7" r:id="rId7"/>
  </sheets>
  <externalReferences>
    <externalReference r:id="rId8"/>
  </externalReferences>
  <definedNames>
    <definedName name="obLibs">'Load Libs'!$E$32</definedName>
  </definedNames>
  <calcPr calcId="152511" iterate="1" iterateCount="2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03" i="7" l="1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J22" i="7"/>
  <c r="C16" i="7"/>
  <c r="C9" i="7"/>
  <c r="J53" i="6"/>
  <c r="J52" i="6"/>
  <c r="J40" i="6"/>
  <c r="F40" i="6"/>
  <c r="J35" i="6"/>
  <c r="F34" i="6"/>
  <c r="J29" i="6"/>
  <c r="F28" i="6"/>
  <c r="M20" i="6"/>
  <c r="J20" i="6"/>
  <c r="M19" i="6"/>
  <c r="J19" i="6"/>
  <c r="M18" i="6"/>
  <c r="M17" i="6"/>
  <c r="Q9" i="6"/>
  <c r="P9" i="6"/>
  <c r="C9" i="6"/>
  <c r="J34" i="5"/>
  <c r="F33" i="5"/>
  <c r="M28" i="5"/>
  <c r="J28" i="5"/>
  <c r="M27" i="5"/>
  <c r="F27" i="5"/>
  <c r="M18" i="5"/>
  <c r="J18" i="5"/>
  <c r="M17" i="5"/>
  <c r="M16" i="5"/>
  <c r="P8" i="5"/>
  <c r="Q40" i="4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0" i="4"/>
  <c r="Q31" i="4" s="1"/>
  <c r="Q32" i="4" s="1"/>
  <c r="Q33" i="4" s="1"/>
  <c r="Q34" i="4" s="1"/>
  <c r="Q35" i="4" s="1"/>
  <c r="Q36" i="4" s="1"/>
  <c r="Q37" i="4" s="1"/>
  <c r="Q38" i="4" s="1"/>
  <c r="Q39" i="4" s="1"/>
  <c r="Q26" i="4"/>
  <c r="Q27" i="4" s="1"/>
  <c r="Q28" i="4" s="1"/>
  <c r="Q29" i="4" s="1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Q25" i="4"/>
  <c r="N25" i="4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H25" i="4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B25" i="4"/>
  <c r="K24" i="4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H24" i="4"/>
  <c r="AD110" i="3"/>
  <c r="T110" i="3"/>
  <c r="P110" i="3"/>
  <c r="O110" i="3"/>
  <c r="D110" i="3"/>
  <c r="A110" i="3"/>
  <c r="AD109" i="3"/>
  <c r="T109" i="3"/>
  <c r="P109" i="3"/>
  <c r="O109" i="3"/>
  <c r="D109" i="3"/>
  <c r="A109" i="3" s="1"/>
  <c r="AD108" i="3"/>
  <c r="T108" i="3"/>
  <c r="P108" i="3"/>
  <c r="O108" i="3"/>
  <c r="D108" i="3"/>
  <c r="A108" i="3" s="1"/>
  <c r="AD107" i="3"/>
  <c r="T107" i="3"/>
  <c r="P107" i="3"/>
  <c r="O107" i="3"/>
  <c r="D107" i="3"/>
  <c r="A107" i="3" s="1"/>
  <c r="AD106" i="3"/>
  <c r="T106" i="3"/>
  <c r="P106" i="3"/>
  <c r="O106" i="3"/>
  <c r="D106" i="3"/>
  <c r="A106" i="3" s="1"/>
  <c r="AD105" i="3"/>
  <c r="T105" i="3"/>
  <c r="P105" i="3"/>
  <c r="O105" i="3"/>
  <c r="D105" i="3"/>
  <c r="A105" i="3" s="1"/>
  <c r="AD104" i="3"/>
  <c r="T104" i="3"/>
  <c r="P104" i="3"/>
  <c r="O104" i="3"/>
  <c r="D104" i="3"/>
  <c r="A104" i="3"/>
  <c r="AD103" i="3"/>
  <c r="T103" i="3"/>
  <c r="P103" i="3"/>
  <c r="O103" i="3"/>
  <c r="D103" i="3"/>
  <c r="A103" i="3" s="1"/>
  <c r="AD102" i="3"/>
  <c r="T102" i="3"/>
  <c r="P102" i="3"/>
  <c r="O102" i="3"/>
  <c r="D102" i="3"/>
  <c r="A102" i="3"/>
  <c r="AD101" i="3"/>
  <c r="T101" i="3"/>
  <c r="P101" i="3"/>
  <c r="O101" i="3"/>
  <c r="D101" i="3"/>
  <c r="A101" i="3" s="1"/>
  <c r="AD100" i="3"/>
  <c r="T100" i="3"/>
  <c r="P100" i="3"/>
  <c r="O100" i="3"/>
  <c r="D100" i="3"/>
  <c r="A100" i="3"/>
  <c r="AD99" i="3"/>
  <c r="T99" i="3"/>
  <c r="P99" i="3"/>
  <c r="O99" i="3"/>
  <c r="D99" i="3"/>
  <c r="A99" i="3" s="1"/>
  <c r="AD98" i="3"/>
  <c r="T98" i="3"/>
  <c r="D98" i="3"/>
  <c r="A98" i="3" s="1"/>
  <c r="AD97" i="3"/>
  <c r="T97" i="3"/>
  <c r="D97" i="3"/>
  <c r="A97" i="3" s="1"/>
  <c r="AD96" i="3"/>
  <c r="T96" i="3"/>
  <c r="D96" i="3"/>
  <c r="A96" i="3" s="1"/>
  <c r="AD95" i="3"/>
  <c r="T95" i="3"/>
  <c r="D95" i="3"/>
  <c r="A95" i="3" s="1"/>
  <c r="AD94" i="3"/>
  <c r="T94" i="3"/>
  <c r="D94" i="3"/>
  <c r="A94" i="3" s="1"/>
  <c r="AD93" i="3"/>
  <c r="T93" i="3"/>
  <c r="D93" i="3"/>
  <c r="A93" i="3"/>
  <c r="AD92" i="3"/>
  <c r="T92" i="3"/>
  <c r="D92" i="3"/>
  <c r="A92" i="3" s="1"/>
  <c r="AD91" i="3"/>
  <c r="T91" i="3"/>
  <c r="D91" i="3"/>
  <c r="A91" i="3" s="1"/>
  <c r="AD90" i="3"/>
  <c r="T90" i="3"/>
  <c r="D90" i="3"/>
  <c r="A90" i="3" s="1"/>
  <c r="AD89" i="3"/>
  <c r="T89" i="3"/>
  <c r="D89" i="3"/>
  <c r="A89" i="3" s="1"/>
  <c r="AD88" i="3"/>
  <c r="T88" i="3"/>
  <c r="D88" i="3"/>
  <c r="A88" i="3" s="1"/>
  <c r="AD87" i="3"/>
  <c r="T87" i="3"/>
  <c r="D87" i="3"/>
  <c r="A87" i="3" s="1"/>
  <c r="AD86" i="3"/>
  <c r="T86" i="3"/>
  <c r="D86" i="3"/>
  <c r="A86" i="3" s="1"/>
  <c r="AD85" i="3"/>
  <c r="T85" i="3"/>
  <c r="D85" i="3"/>
  <c r="A85" i="3" s="1"/>
  <c r="AD84" i="3"/>
  <c r="T84" i="3"/>
  <c r="D84" i="3"/>
  <c r="A84" i="3" s="1"/>
  <c r="AD83" i="3"/>
  <c r="T83" i="3"/>
  <c r="D83" i="3"/>
  <c r="A83" i="3" s="1"/>
  <c r="AD82" i="3"/>
  <c r="D82" i="3" s="1"/>
  <c r="A82" i="3" s="1"/>
  <c r="Z82" i="3"/>
  <c r="AD81" i="3"/>
  <c r="D81" i="3" s="1"/>
  <c r="A81" i="3" s="1"/>
  <c r="Z81" i="3"/>
  <c r="AD80" i="3"/>
  <c r="D80" i="3" s="1"/>
  <c r="A80" i="3" s="1"/>
  <c r="Z80" i="3"/>
  <c r="AD79" i="3"/>
  <c r="Z79" i="3"/>
  <c r="D79" i="3"/>
  <c r="A79" i="3" s="1"/>
  <c r="AD78" i="3"/>
  <c r="Z78" i="3"/>
  <c r="D78" i="3"/>
  <c r="A78" i="3" s="1"/>
  <c r="AD77" i="3"/>
  <c r="D77" i="3" s="1"/>
  <c r="A77" i="3" s="1"/>
  <c r="Z77" i="3"/>
  <c r="AD76" i="3"/>
  <c r="D76" i="3" s="1"/>
  <c r="A76" i="3" s="1"/>
  <c r="Z76" i="3"/>
  <c r="AD75" i="3"/>
  <c r="Z75" i="3"/>
  <c r="T75" i="3"/>
  <c r="AD74" i="3"/>
  <c r="Z74" i="3"/>
  <c r="T74" i="3"/>
  <c r="AD73" i="3"/>
  <c r="Z73" i="3"/>
  <c r="T73" i="3"/>
  <c r="D73" i="3"/>
  <c r="A73" i="3" s="1"/>
  <c r="AD72" i="3"/>
  <c r="Z72" i="3"/>
  <c r="T72" i="3"/>
  <c r="D72" i="3"/>
  <c r="A72" i="3"/>
  <c r="AD71" i="3"/>
  <c r="Z71" i="3"/>
  <c r="T71" i="3"/>
  <c r="AD70" i="3"/>
  <c r="Z70" i="3"/>
  <c r="T70" i="3"/>
  <c r="AD69" i="3"/>
  <c r="Z69" i="3"/>
  <c r="T69" i="3"/>
  <c r="D69" i="3"/>
  <c r="A69" i="3" s="1"/>
  <c r="AD68" i="3"/>
  <c r="AA68" i="3"/>
  <c r="Z68" i="3"/>
  <c r="T68" i="3"/>
  <c r="D68" i="3"/>
  <c r="A68" i="3"/>
  <c r="AD67" i="3"/>
  <c r="Z67" i="3"/>
  <c r="T67" i="3"/>
  <c r="AD66" i="3"/>
  <c r="Z66" i="3"/>
  <c r="T66" i="3"/>
  <c r="D66" i="3"/>
  <c r="A66" i="3" s="1"/>
  <c r="AD65" i="3"/>
  <c r="Z65" i="3"/>
  <c r="T65" i="3"/>
  <c r="D65" i="3"/>
  <c r="A65" i="3"/>
  <c r="AD64" i="3"/>
  <c r="AA64" i="3"/>
  <c r="Z64" i="3"/>
  <c r="T64" i="3"/>
  <c r="D64" i="3"/>
  <c r="A64" i="3" s="1"/>
  <c r="AD63" i="3"/>
  <c r="AA63" i="3"/>
  <c r="Z63" i="3"/>
  <c r="T63" i="3"/>
  <c r="D63" i="3"/>
  <c r="A63" i="3"/>
  <c r="AD62" i="3"/>
  <c r="AA62" i="3"/>
  <c r="Z62" i="3"/>
  <c r="T62" i="3"/>
  <c r="D62" i="3"/>
  <c r="A62" i="3" s="1"/>
  <c r="AD61" i="3"/>
  <c r="AA61" i="3"/>
  <c r="Z61" i="3"/>
  <c r="T61" i="3"/>
  <c r="D61" i="3"/>
  <c r="A61" i="3"/>
  <c r="AD60" i="3"/>
  <c r="AA60" i="3"/>
  <c r="Z60" i="3"/>
  <c r="T60" i="3"/>
  <c r="D60" i="3"/>
  <c r="A60" i="3" s="1"/>
  <c r="AD59" i="3"/>
  <c r="Z59" i="3"/>
  <c r="D59" i="3"/>
  <c r="A59" i="3" s="1"/>
  <c r="AD58" i="3"/>
  <c r="Z58" i="3"/>
  <c r="D58" i="3"/>
  <c r="A58" i="3" s="1"/>
  <c r="AD57" i="3"/>
  <c r="Z57" i="3"/>
  <c r="D57" i="3"/>
  <c r="A57" i="3" s="1"/>
  <c r="AD56" i="3"/>
  <c r="Z56" i="3"/>
  <c r="D56" i="3"/>
  <c r="A56" i="3" s="1"/>
  <c r="AD55" i="3"/>
  <c r="Z55" i="3"/>
  <c r="D55" i="3"/>
  <c r="A55" i="3" s="1"/>
  <c r="AD54" i="3"/>
  <c r="Z54" i="3"/>
  <c r="D54" i="3"/>
  <c r="A54" i="3" s="1"/>
  <c r="AD53" i="3"/>
  <c r="Z53" i="3"/>
  <c r="D53" i="3"/>
  <c r="A53" i="3" s="1"/>
  <c r="AD52" i="3"/>
  <c r="Z52" i="3"/>
  <c r="D52" i="3"/>
  <c r="A52" i="3" s="1"/>
  <c r="AD51" i="3"/>
  <c r="Z51" i="3"/>
  <c r="T51" i="3"/>
  <c r="D51" i="3"/>
  <c r="A51" i="3" s="1"/>
  <c r="AD50" i="3"/>
  <c r="Z50" i="3"/>
  <c r="T50" i="3"/>
  <c r="D50" i="3"/>
  <c r="A50" i="3"/>
  <c r="AD49" i="3"/>
  <c r="Z49" i="3"/>
  <c r="T49" i="3"/>
  <c r="AD48" i="3"/>
  <c r="Z48" i="3"/>
  <c r="T48" i="3"/>
  <c r="AD47" i="3"/>
  <c r="Z47" i="3"/>
  <c r="T47" i="3"/>
  <c r="D47" i="3"/>
  <c r="A47" i="3" s="1"/>
  <c r="AD46" i="3"/>
  <c r="Z46" i="3"/>
  <c r="T46" i="3"/>
  <c r="D46" i="3"/>
  <c r="A46" i="3"/>
  <c r="AD45" i="3"/>
  <c r="Z45" i="3"/>
  <c r="T45" i="3"/>
  <c r="AD44" i="3"/>
  <c r="Z44" i="3"/>
  <c r="T44" i="3"/>
  <c r="AD43" i="3"/>
  <c r="Z43" i="3"/>
  <c r="T43" i="3"/>
  <c r="D43" i="3"/>
  <c r="A43" i="3" s="1"/>
  <c r="AD42" i="3"/>
  <c r="Z42" i="3"/>
  <c r="T42" i="3"/>
  <c r="D42" i="3"/>
  <c r="A42" i="3"/>
  <c r="AD41" i="3"/>
  <c r="Z41" i="3"/>
  <c r="T41" i="3"/>
  <c r="AD40" i="3"/>
  <c r="Z40" i="3"/>
  <c r="T40" i="3"/>
  <c r="AD39" i="3"/>
  <c r="Z39" i="3"/>
  <c r="T39" i="3"/>
  <c r="D39" i="3"/>
  <c r="A39" i="3"/>
  <c r="AD38" i="3"/>
  <c r="Z38" i="3"/>
  <c r="T38" i="3"/>
  <c r="D38" i="3"/>
  <c r="A38" i="3"/>
  <c r="AD37" i="3"/>
  <c r="Z37" i="3"/>
  <c r="T37" i="3"/>
  <c r="AD36" i="3"/>
  <c r="Z36" i="3"/>
  <c r="T36" i="3"/>
  <c r="AD35" i="3"/>
  <c r="Z35" i="3"/>
  <c r="T35" i="3"/>
  <c r="D35" i="3"/>
  <c r="A35" i="3" s="1"/>
  <c r="AD34" i="3"/>
  <c r="Z34" i="3"/>
  <c r="D34" i="3"/>
  <c r="A34" i="3"/>
  <c r="AD33" i="3"/>
  <c r="Z33" i="3"/>
  <c r="D33" i="3"/>
  <c r="A33" i="3"/>
  <c r="AD32" i="3"/>
  <c r="Z32" i="3"/>
  <c r="D32" i="3"/>
  <c r="A32" i="3"/>
  <c r="AD31" i="3"/>
  <c r="Z31" i="3"/>
  <c r="O31" i="3"/>
  <c r="D31" i="3"/>
  <c r="A31" i="3"/>
  <c r="AD30" i="3"/>
  <c r="Z30" i="3"/>
  <c r="O30" i="3"/>
  <c r="AD29" i="3"/>
  <c r="Z29" i="3"/>
  <c r="O29" i="3"/>
  <c r="AD28" i="3"/>
  <c r="Z28" i="3"/>
  <c r="O28" i="3"/>
  <c r="D28" i="3"/>
  <c r="A28" i="3" s="1"/>
  <c r="AD27" i="3"/>
  <c r="Z27" i="3"/>
  <c r="O27" i="3"/>
  <c r="AD26" i="3"/>
  <c r="Z26" i="3"/>
  <c r="O26" i="3"/>
  <c r="AD25" i="3"/>
  <c r="Z25" i="3"/>
  <c r="O25" i="3"/>
  <c r="AD24" i="3"/>
  <c r="Z24" i="3"/>
  <c r="O24" i="3"/>
  <c r="AD23" i="3"/>
  <c r="Z23" i="3"/>
  <c r="O23" i="3"/>
  <c r="D23" i="3"/>
  <c r="A23" i="3" s="1"/>
  <c r="AD22" i="3"/>
  <c r="Z22" i="3"/>
  <c r="O22" i="3"/>
  <c r="AD21" i="3"/>
  <c r="Z21" i="3"/>
  <c r="O21" i="3"/>
  <c r="AD20" i="3"/>
  <c r="Z20" i="3"/>
  <c r="O20" i="3"/>
  <c r="AD19" i="3"/>
  <c r="Z19" i="3"/>
  <c r="O19" i="3"/>
  <c r="D19" i="3"/>
  <c r="A19" i="3" s="1"/>
  <c r="AD18" i="3"/>
  <c r="Z18" i="3"/>
  <c r="O18" i="3"/>
  <c r="AD17" i="3"/>
  <c r="Z17" i="3"/>
  <c r="O17" i="3"/>
  <c r="AD16" i="3"/>
  <c r="Z16" i="3"/>
  <c r="O16" i="3"/>
  <c r="D8" i="3"/>
  <c r="O357" i="2"/>
  <c r="K357" i="2"/>
  <c r="C357" i="2"/>
  <c r="O356" i="2"/>
  <c r="K356" i="2"/>
  <c r="C356" i="2"/>
  <c r="O355" i="2"/>
  <c r="K355" i="2"/>
  <c r="C355" i="2"/>
  <c r="O354" i="2"/>
  <c r="K354" i="2"/>
  <c r="C354" i="2"/>
  <c r="O353" i="2"/>
  <c r="K353" i="2"/>
  <c r="C353" i="2"/>
  <c r="O352" i="2"/>
  <c r="K352" i="2"/>
  <c r="C352" i="2"/>
  <c r="O351" i="2"/>
  <c r="K351" i="2"/>
  <c r="C351" i="2"/>
  <c r="O350" i="2"/>
  <c r="K350" i="2"/>
  <c r="C350" i="2"/>
  <c r="O349" i="2"/>
  <c r="K349" i="2"/>
  <c r="C349" i="2"/>
  <c r="O348" i="2"/>
  <c r="K348" i="2"/>
  <c r="C348" i="2"/>
  <c r="O347" i="2"/>
  <c r="K347" i="2"/>
  <c r="C347" i="2"/>
  <c r="O346" i="2"/>
  <c r="K346" i="2"/>
  <c r="C346" i="2"/>
  <c r="O345" i="2"/>
  <c r="K345" i="2"/>
  <c r="C345" i="2"/>
  <c r="O344" i="2"/>
  <c r="K344" i="2"/>
  <c r="C344" i="2"/>
  <c r="O343" i="2"/>
  <c r="K343" i="2"/>
  <c r="C343" i="2"/>
  <c r="O342" i="2"/>
  <c r="K342" i="2"/>
  <c r="C342" i="2"/>
  <c r="O341" i="2"/>
  <c r="K341" i="2"/>
  <c r="C341" i="2"/>
  <c r="O340" i="2"/>
  <c r="K340" i="2"/>
  <c r="C340" i="2"/>
  <c r="O339" i="2"/>
  <c r="K339" i="2"/>
  <c r="C339" i="2"/>
  <c r="O338" i="2"/>
  <c r="K338" i="2"/>
  <c r="C338" i="2"/>
  <c r="O337" i="2"/>
  <c r="K337" i="2"/>
  <c r="C337" i="2"/>
  <c r="O336" i="2"/>
  <c r="K336" i="2"/>
  <c r="C336" i="2"/>
  <c r="O335" i="2"/>
  <c r="K335" i="2"/>
  <c r="C335" i="2"/>
  <c r="O334" i="2"/>
  <c r="K334" i="2"/>
  <c r="C334" i="2"/>
  <c r="O333" i="2"/>
  <c r="K333" i="2"/>
  <c r="C333" i="2"/>
  <c r="O332" i="2"/>
  <c r="K332" i="2"/>
  <c r="C332" i="2"/>
  <c r="O331" i="2"/>
  <c r="K331" i="2"/>
  <c r="C331" i="2"/>
  <c r="O330" i="2"/>
  <c r="K330" i="2"/>
  <c r="C330" i="2"/>
  <c r="O329" i="2"/>
  <c r="K329" i="2"/>
  <c r="C329" i="2"/>
  <c r="O328" i="2"/>
  <c r="K328" i="2"/>
  <c r="C328" i="2"/>
  <c r="O327" i="2"/>
  <c r="K327" i="2"/>
  <c r="C327" i="2"/>
  <c r="O326" i="2"/>
  <c r="K326" i="2"/>
  <c r="C326" i="2"/>
  <c r="O325" i="2"/>
  <c r="K325" i="2"/>
  <c r="C325" i="2"/>
  <c r="O324" i="2"/>
  <c r="K324" i="2"/>
  <c r="C324" i="2"/>
  <c r="O323" i="2"/>
  <c r="K323" i="2"/>
  <c r="C323" i="2"/>
  <c r="O322" i="2"/>
  <c r="K322" i="2"/>
  <c r="C322" i="2"/>
  <c r="O321" i="2"/>
  <c r="K321" i="2"/>
  <c r="C321" i="2"/>
  <c r="O320" i="2"/>
  <c r="K320" i="2"/>
  <c r="C320" i="2"/>
  <c r="O319" i="2"/>
  <c r="K319" i="2"/>
  <c r="C319" i="2"/>
  <c r="O318" i="2"/>
  <c r="K318" i="2"/>
  <c r="C318" i="2"/>
  <c r="O317" i="2"/>
  <c r="K317" i="2"/>
  <c r="C317" i="2"/>
  <c r="O316" i="2"/>
  <c r="K316" i="2"/>
  <c r="C316" i="2"/>
  <c r="O315" i="2"/>
  <c r="K315" i="2"/>
  <c r="C315" i="2"/>
  <c r="O314" i="2"/>
  <c r="K314" i="2"/>
  <c r="C314" i="2"/>
  <c r="O313" i="2"/>
  <c r="K313" i="2"/>
  <c r="C313" i="2"/>
  <c r="O312" i="2"/>
  <c r="K312" i="2"/>
  <c r="C312" i="2"/>
  <c r="O311" i="2"/>
  <c r="K311" i="2"/>
  <c r="C311" i="2"/>
  <c r="O310" i="2"/>
  <c r="K310" i="2"/>
  <c r="C310" i="2"/>
  <c r="O309" i="2"/>
  <c r="K309" i="2"/>
  <c r="C309" i="2"/>
  <c r="O308" i="2"/>
  <c r="K308" i="2"/>
  <c r="C308" i="2"/>
  <c r="O307" i="2"/>
  <c r="K307" i="2"/>
  <c r="C307" i="2"/>
  <c r="O306" i="2"/>
  <c r="K306" i="2"/>
  <c r="C306" i="2"/>
  <c r="O305" i="2"/>
  <c r="K305" i="2"/>
  <c r="C305" i="2"/>
  <c r="O304" i="2"/>
  <c r="K304" i="2"/>
  <c r="C304" i="2"/>
  <c r="O303" i="2"/>
  <c r="K303" i="2"/>
  <c r="C303" i="2"/>
  <c r="O302" i="2"/>
  <c r="K302" i="2"/>
  <c r="C302" i="2"/>
  <c r="O301" i="2"/>
  <c r="K301" i="2"/>
  <c r="C301" i="2"/>
  <c r="O300" i="2"/>
  <c r="K300" i="2"/>
  <c r="C300" i="2"/>
  <c r="O299" i="2"/>
  <c r="K299" i="2"/>
  <c r="C299" i="2"/>
  <c r="O298" i="2"/>
  <c r="K298" i="2"/>
  <c r="C298" i="2"/>
  <c r="O297" i="2"/>
  <c r="K297" i="2"/>
  <c r="C297" i="2"/>
  <c r="O296" i="2"/>
  <c r="K296" i="2"/>
  <c r="C296" i="2"/>
  <c r="O295" i="2"/>
  <c r="K295" i="2"/>
  <c r="C295" i="2"/>
  <c r="O294" i="2"/>
  <c r="K294" i="2"/>
  <c r="C294" i="2"/>
  <c r="O293" i="2"/>
  <c r="K293" i="2"/>
  <c r="C293" i="2"/>
  <c r="O292" i="2"/>
  <c r="K292" i="2"/>
  <c r="C292" i="2"/>
  <c r="O291" i="2"/>
  <c r="K291" i="2"/>
  <c r="C291" i="2"/>
  <c r="O290" i="2"/>
  <c r="K290" i="2"/>
  <c r="C290" i="2"/>
  <c r="O289" i="2"/>
  <c r="K289" i="2"/>
  <c r="C289" i="2"/>
  <c r="O288" i="2"/>
  <c r="K288" i="2"/>
  <c r="C288" i="2"/>
  <c r="O287" i="2"/>
  <c r="K287" i="2"/>
  <c r="C287" i="2"/>
  <c r="O286" i="2"/>
  <c r="K286" i="2"/>
  <c r="C286" i="2"/>
  <c r="O285" i="2"/>
  <c r="K285" i="2"/>
  <c r="C285" i="2"/>
  <c r="O284" i="2"/>
  <c r="K284" i="2"/>
  <c r="C284" i="2"/>
  <c r="O283" i="2"/>
  <c r="K283" i="2"/>
  <c r="C283" i="2"/>
  <c r="O282" i="2"/>
  <c r="K282" i="2"/>
  <c r="C282" i="2"/>
  <c r="O281" i="2"/>
  <c r="K281" i="2"/>
  <c r="C281" i="2"/>
  <c r="O280" i="2"/>
  <c r="K280" i="2"/>
  <c r="C280" i="2"/>
  <c r="O279" i="2"/>
  <c r="K279" i="2"/>
  <c r="C279" i="2"/>
  <c r="O278" i="2"/>
  <c r="K278" i="2"/>
  <c r="C278" i="2"/>
  <c r="O277" i="2"/>
  <c r="K277" i="2"/>
  <c r="C277" i="2"/>
  <c r="O276" i="2"/>
  <c r="K276" i="2"/>
  <c r="C276" i="2"/>
  <c r="O275" i="2"/>
  <c r="K275" i="2"/>
  <c r="C275" i="2"/>
  <c r="O274" i="2"/>
  <c r="K274" i="2"/>
  <c r="C274" i="2"/>
  <c r="O273" i="2"/>
  <c r="K273" i="2"/>
  <c r="C273" i="2"/>
  <c r="O272" i="2"/>
  <c r="K272" i="2"/>
  <c r="C272" i="2"/>
  <c r="O271" i="2"/>
  <c r="K271" i="2"/>
  <c r="C271" i="2"/>
  <c r="O270" i="2"/>
  <c r="K270" i="2"/>
  <c r="C270" i="2"/>
  <c r="O269" i="2"/>
  <c r="K269" i="2"/>
  <c r="C269" i="2"/>
  <c r="O268" i="2"/>
  <c r="K268" i="2"/>
  <c r="C268" i="2"/>
  <c r="O267" i="2"/>
  <c r="K267" i="2"/>
  <c r="C267" i="2"/>
  <c r="O266" i="2"/>
  <c r="K266" i="2"/>
  <c r="C266" i="2"/>
  <c r="O265" i="2"/>
  <c r="K265" i="2"/>
  <c r="C265" i="2"/>
  <c r="O264" i="2"/>
  <c r="K264" i="2"/>
  <c r="C264" i="2"/>
  <c r="O263" i="2"/>
  <c r="K263" i="2"/>
  <c r="C263" i="2"/>
  <c r="O262" i="2"/>
  <c r="K262" i="2"/>
  <c r="C262" i="2"/>
  <c r="O261" i="2"/>
  <c r="K261" i="2"/>
  <c r="C261" i="2"/>
  <c r="O260" i="2"/>
  <c r="K260" i="2"/>
  <c r="C260" i="2"/>
  <c r="O259" i="2"/>
  <c r="K259" i="2"/>
  <c r="C259" i="2"/>
  <c r="O258" i="2"/>
  <c r="K258" i="2"/>
  <c r="C258" i="2"/>
  <c r="O257" i="2"/>
  <c r="K257" i="2"/>
  <c r="C257" i="2"/>
  <c r="O256" i="2"/>
  <c r="K256" i="2"/>
  <c r="C256" i="2"/>
  <c r="O255" i="2"/>
  <c r="K255" i="2"/>
  <c r="C255" i="2"/>
  <c r="O254" i="2"/>
  <c r="K254" i="2"/>
  <c r="C254" i="2"/>
  <c r="O253" i="2"/>
  <c r="K253" i="2"/>
  <c r="C253" i="2"/>
  <c r="O252" i="2"/>
  <c r="K252" i="2"/>
  <c r="C252" i="2"/>
  <c r="O251" i="2"/>
  <c r="K251" i="2"/>
  <c r="C251" i="2"/>
  <c r="O250" i="2"/>
  <c r="K250" i="2"/>
  <c r="C250" i="2"/>
  <c r="O249" i="2"/>
  <c r="K249" i="2"/>
  <c r="C249" i="2"/>
  <c r="O248" i="2"/>
  <c r="K248" i="2"/>
  <c r="C248" i="2"/>
  <c r="O247" i="2"/>
  <c r="K247" i="2"/>
  <c r="C247" i="2"/>
  <c r="O246" i="2"/>
  <c r="K246" i="2"/>
  <c r="C246" i="2"/>
  <c r="O245" i="2"/>
  <c r="K245" i="2"/>
  <c r="C245" i="2"/>
  <c r="O244" i="2"/>
  <c r="K244" i="2"/>
  <c r="C244" i="2"/>
  <c r="O243" i="2"/>
  <c r="K243" i="2"/>
  <c r="C243" i="2"/>
  <c r="O242" i="2"/>
  <c r="K242" i="2"/>
  <c r="C242" i="2"/>
  <c r="O241" i="2"/>
  <c r="K241" i="2"/>
  <c r="C241" i="2"/>
  <c r="O240" i="2"/>
  <c r="K240" i="2"/>
  <c r="C240" i="2"/>
  <c r="O239" i="2"/>
  <c r="K239" i="2"/>
  <c r="C239" i="2"/>
  <c r="O238" i="2"/>
  <c r="K238" i="2"/>
  <c r="C238" i="2"/>
  <c r="O237" i="2"/>
  <c r="K237" i="2"/>
  <c r="C237" i="2"/>
  <c r="O236" i="2"/>
  <c r="K236" i="2"/>
  <c r="C236" i="2"/>
  <c r="O235" i="2"/>
  <c r="K235" i="2"/>
  <c r="C235" i="2"/>
  <c r="O234" i="2"/>
  <c r="K234" i="2"/>
  <c r="C234" i="2"/>
  <c r="O233" i="2"/>
  <c r="K233" i="2"/>
  <c r="C233" i="2"/>
  <c r="O232" i="2"/>
  <c r="K232" i="2"/>
  <c r="C232" i="2"/>
  <c r="O231" i="2"/>
  <c r="K231" i="2"/>
  <c r="C231" i="2"/>
  <c r="O230" i="2"/>
  <c r="K230" i="2"/>
  <c r="C230" i="2"/>
  <c r="O229" i="2"/>
  <c r="K229" i="2"/>
  <c r="C229" i="2"/>
  <c r="O228" i="2"/>
  <c r="K228" i="2"/>
  <c r="C228" i="2"/>
  <c r="O227" i="2"/>
  <c r="K227" i="2"/>
  <c r="C227" i="2"/>
  <c r="O226" i="2"/>
  <c r="K226" i="2"/>
  <c r="C226" i="2"/>
  <c r="O225" i="2"/>
  <c r="K225" i="2"/>
  <c r="C225" i="2"/>
  <c r="O224" i="2"/>
  <c r="K224" i="2"/>
  <c r="C224" i="2"/>
  <c r="O223" i="2"/>
  <c r="K223" i="2"/>
  <c r="C223" i="2"/>
  <c r="O222" i="2"/>
  <c r="K222" i="2"/>
  <c r="C222" i="2"/>
  <c r="O221" i="2"/>
  <c r="K221" i="2"/>
  <c r="C221" i="2"/>
  <c r="O220" i="2"/>
  <c r="K220" i="2"/>
  <c r="C220" i="2"/>
  <c r="O219" i="2"/>
  <c r="K219" i="2"/>
  <c r="C219" i="2"/>
  <c r="O218" i="2"/>
  <c r="K218" i="2"/>
  <c r="C218" i="2"/>
  <c r="O217" i="2"/>
  <c r="K217" i="2"/>
  <c r="C217" i="2"/>
  <c r="O216" i="2"/>
  <c r="K216" i="2"/>
  <c r="C216" i="2"/>
  <c r="O215" i="2"/>
  <c r="K215" i="2"/>
  <c r="C215" i="2"/>
  <c r="O214" i="2"/>
  <c r="K214" i="2"/>
  <c r="C214" i="2"/>
  <c r="O213" i="2"/>
  <c r="K213" i="2"/>
  <c r="C213" i="2"/>
  <c r="O212" i="2"/>
  <c r="K212" i="2"/>
  <c r="C212" i="2"/>
  <c r="O211" i="2"/>
  <c r="K211" i="2"/>
  <c r="C211" i="2"/>
  <c r="O210" i="2"/>
  <c r="K210" i="2"/>
  <c r="C210" i="2"/>
  <c r="O209" i="2"/>
  <c r="K209" i="2"/>
  <c r="C209" i="2"/>
  <c r="O208" i="2"/>
  <c r="K208" i="2"/>
  <c r="C208" i="2"/>
  <c r="O207" i="2"/>
  <c r="K207" i="2"/>
  <c r="C207" i="2"/>
  <c r="O206" i="2"/>
  <c r="K206" i="2"/>
  <c r="C206" i="2"/>
  <c r="O205" i="2"/>
  <c r="K205" i="2"/>
  <c r="C205" i="2"/>
  <c r="O204" i="2"/>
  <c r="K204" i="2"/>
  <c r="C204" i="2"/>
  <c r="O203" i="2"/>
  <c r="K203" i="2"/>
  <c r="C203" i="2"/>
  <c r="O202" i="2"/>
  <c r="K202" i="2"/>
  <c r="C202" i="2"/>
  <c r="O201" i="2"/>
  <c r="K201" i="2"/>
  <c r="C201" i="2"/>
  <c r="O200" i="2"/>
  <c r="K200" i="2"/>
  <c r="C200" i="2"/>
  <c r="O199" i="2"/>
  <c r="K199" i="2"/>
  <c r="C199" i="2"/>
  <c r="O198" i="2"/>
  <c r="K198" i="2"/>
  <c r="C198" i="2"/>
  <c r="O197" i="2"/>
  <c r="K197" i="2"/>
  <c r="C197" i="2"/>
  <c r="O196" i="2"/>
  <c r="K196" i="2"/>
  <c r="C196" i="2"/>
  <c r="O195" i="2"/>
  <c r="K195" i="2"/>
  <c r="C195" i="2"/>
  <c r="O194" i="2"/>
  <c r="K194" i="2"/>
  <c r="C194" i="2"/>
  <c r="O193" i="2"/>
  <c r="K193" i="2"/>
  <c r="C193" i="2"/>
  <c r="O192" i="2"/>
  <c r="K192" i="2"/>
  <c r="C192" i="2"/>
  <c r="O191" i="2"/>
  <c r="K191" i="2"/>
  <c r="C191" i="2"/>
  <c r="O190" i="2"/>
  <c r="K190" i="2"/>
  <c r="C190" i="2"/>
  <c r="O189" i="2"/>
  <c r="K189" i="2"/>
  <c r="C189" i="2"/>
  <c r="O188" i="2"/>
  <c r="K188" i="2"/>
  <c r="C188" i="2"/>
  <c r="O187" i="2"/>
  <c r="K187" i="2"/>
  <c r="C187" i="2"/>
  <c r="O186" i="2"/>
  <c r="K186" i="2"/>
  <c r="C186" i="2"/>
  <c r="O185" i="2"/>
  <c r="K185" i="2"/>
  <c r="C185" i="2"/>
  <c r="O184" i="2"/>
  <c r="K184" i="2"/>
  <c r="C184" i="2"/>
  <c r="O183" i="2"/>
  <c r="K183" i="2"/>
  <c r="C183" i="2"/>
  <c r="O182" i="2"/>
  <c r="K182" i="2"/>
  <c r="C182" i="2"/>
  <c r="O181" i="2"/>
  <c r="K181" i="2"/>
  <c r="C181" i="2"/>
  <c r="O180" i="2"/>
  <c r="K180" i="2"/>
  <c r="C180" i="2"/>
  <c r="O179" i="2"/>
  <c r="K179" i="2"/>
  <c r="C179" i="2"/>
  <c r="O178" i="2"/>
  <c r="K178" i="2"/>
  <c r="C178" i="2"/>
  <c r="O177" i="2"/>
  <c r="K177" i="2"/>
  <c r="C177" i="2"/>
  <c r="O176" i="2"/>
  <c r="K176" i="2"/>
  <c r="C176" i="2"/>
  <c r="O175" i="2"/>
  <c r="K175" i="2"/>
  <c r="C175" i="2"/>
  <c r="O174" i="2"/>
  <c r="K174" i="2"/>
  <c r="C174" i="2"/>
  <c r="O173" i="2"/>
  <c r="K173" i="2"/>
  <c r="C173" i="2"/>
  <c r="O172" i="2"/>
  <c r="K172" i="2"/>
  <c r="C172" i="2"/>
  <c r="O171" i="2"/>
  <c r="K171" i="2"/>
  <c r="C171" i="2"/>
  <c r="O170" i="2"/>
  <c r="K170" i="2"/>
  <c r="C170" i="2"/>
  <c r="O169" i="2"/>
  <c r="K169" i="2"/>
  <c r="C169" i="2"/>
  <c r="O168" i="2"/>
  <c r="K168" i="2"/>
  <c r="C168" i="2"/>
  <c r="O167" i="2"/>
  <c r="K167" i="2"/>
  <c r="C167" i="2"/>
  <c r="O166" i="2"/>
  <c r="K166" i="2"/>
  <c r="C166" i="2"/>
  <c r="O165" i="2"/>
  <c r="K165" i="2"/>
  <c r="C165" i="2"/>
  <c r="O164" i="2"/>
  <c r="K164" i="2"/>
  <c r="C164" i="2"/>
  <c r="O163" i="2"/>
  <c r="K163" i="2"/>
  <c r="C163" i="2"/>
  <c r="O162" i="2"/>
  <c r="K162" i="2"/>
  <c r="C162" i="2"/>
  <c r="O161" i="2"/>
  <c r="K161" i="2"/>
  <c r="C161" i="2"/>
  <c r="O160" i="2"/>
  <c r="K160" i="2"/>
  <c r="C160" i="2"/>
  <c r="O159" i="2"/>
  <c r="K159" i="2"/>
  <c r="C159" i="2"/>
  <c r="O158" i="2"/>
  <c r="K158" i="2"/>
  <c r="C158" i="2"/>
  <c r="O157" i="2"/>
  <c r="K157" i="2"/>
  <c r="C157" i="2"/>
  <c r="O156" i="2"/>
  <c r="K156" i="2"/>
  <c r="C156" i="2"/>
  <c r="O155" i="2"/>
  <c r="K155" i="2"/>
  <c r="C155" i="2"/>
  <c r="O154" i="2"/>
  <c r="K154" i="2"/>
  <c r="C154" i="2"/>
  <c r="O153" i="2"/>
  <c r="K153" i="2"/>
  <c r="C153" i="2"/>
  <c r="O152" i="2"/>
  <c r="K152" i="2"/>
  <c r="C152" i="2"/>
  <c r="O151" i="2"/>
  <c r="K151" i="2"/>
  <c r="C151" i="2"/>
  <c r="O150" i="2"/>
  <c r="K150" i="2"/>
  <c r="C150" i="2"/>
  <c r="O149" i="2"/>
  <c r="K149" i="2"/>
  <c r="C149" i="2"/>
  <c r="O148" i="2"/>
  <c r="K148" i="2"/>
  <c r="C148" i="2"/>
  <c r="O147" i="2"/>
  <c r="K147" i="2"/>
  <c r="C147" i="2"/>
  <c r="O146" i="2"/>
  <c r="K146" i="2"/>
  <c r="C146" i="2"/>
  <c r="O145" i="2"/>
  <c r="K145" i="2"/>
  <c r="C145" i="2"/>
  <c r="O144" i="2"/>
  <c r="K144" i="2"/>
  <c r="C144" i="2"/>
  <c r="O143" i="2"/>
  <c r="K143" i="2"/>
  <c r="C143" i="2"/>
  <c r="O142" i="2"/>
  <c r="K142" i="2"/>
  <c r="C142" i="2"/>
  <c r="O141" i="2"/>
  <c r="K141" i="2"/>
  <c r="C141" i="2"/>
  <c r="O140" i="2"/>
  <c r="K140" i="2"/>
  <c r="C140" i="2"/>
  <c r="O139" i="2"/>
  <c r="K139" i="2"/>
  <c r="C139" i="2"/>
  <c r="O138" i="2"/>
  <c r="K138" i="2"/>
  <c r="C138" i="2"/>
  <c r="O137" i="2"/>
  <c r="K137" i="2"/>
  <c r="C137" i="2"/>
  <c r="O136" i="2"/>
  <c r="K136" i="2"/>
  <c r="C136" i="2"/>
  <c r="O135" i="2"/>
  <c r="K135" i="2"/>
  <c r="C135" i="2"/>
  <c r="O134" i="2"/>
  <c r="K134" i="2"/>
  <c r="C134" i="2"/>
  <c r="O133" i="2"/>
  <c r="K133" i="2"/>
  <c r="C133" i="2"/>
  <c r="O132" i="2"/>
  <c r="K132" i="2"/>
  <c r="C132" i="2"/>
  <c r="O131" i="2"/>
  <c r="K131" i="2"/>
  <c r="C131" i="2"/>
  <c r="O130" i="2"/>
  <c r="K130" i="2"/>
  <c r="C130" i="2"/>
  <c r="O129" i="2"/>
  <c r="K129" i="2"/>
  <c r="C129" i="2"/>
  <c r="O128" i="2"/>
  <c r="K128" i="2"/>
  <c r="C128" i="2"/>
  <c r="O127" i="2"/>
  <c r="K127" i="2"/>
  <c r="C127" i="2"/>
  <c r="O126" i="2"/>
  <c r="K126" i="2"/>
  <c r="C126" i="2"/>
  <c r="O125" i="2"/>
  <c r="K125" i="2"/>
  <c r="C125" i="2"/>
  <c r="O124" i="2"/>
  <c r="K124" i="2"/>
  <c r="C124" i="2"/>
  <c r="O123" i="2"/>
  <c r="K123" i="2"/>
  <c r="C123" i="2"/>
  <c r="O122" i="2"/>
  <c r="K122" i="2"/>
  <c r="C122" i="2"/>
  <c r="O121" i="2"/>
  <c r="K121" i="2"/>
  <c r="C121" i="2"/>
  <c r="O120" i="2"/>
  <c r="K120" i="2"/>
  <c r="C120" i="2"/>
  <c r="O119" i="2"/>
  <c r="K119" i="2"/>
  <c r="C119" i="2"/>
  <c r="O118" i="2"/>
  <c r="K118" i="2"/>
  <c r="C118" i="2"/>
  <c r="O117" i="2"/>
  <c r="K117" i="2"/>
  <c r="C117" i="2"/>
  <c r="O116" i="2"/>
  <c r="K116" i="2"/>
  <c r="C116" i="2"/>
  <c r="O115" i="2"/>
  <c r="K115" i="2"/>
  <c r="C115" i="2"/>
  <c r="O114" i="2"/>
  <c r="K114" i="2"/>
  <c r="C114" i="2"/>
  <c r="O113" i="2"/>
  <c r="K113" i="2"/>
  <c r="C113" i="2"/>
  <c r="O112" i="2"/>
  <c r="K112" i="2"/>
  <c r="C112" i="2"/>
  <c r="O111" i="2"/>
  <c r="K111" i="2"/>
  <c r="C111" i="2"/>
  <c r="O110" i="2"/>
  <c r="K110" i="2"/>
  <c r="C110" i="2"/>
  <c r="O109" i="2"/>
  <c r="K109" i="2"/>
  <c r="C109" i="2"/>
  <c r="O108" i="2"/>
  <c r="K108" i="2"/>
  <c r="C108" i="2"/>
  <c r="O107" i="2"/>
  <c r="K107" i="2"/>
  <c r="C107" i="2"/>
  <c r="O106" i="2"/>
  <c r="K106" i="2"/>
  <c r="C106" i="2"/>
  <c r="O105" i="2"/>
  <c r="K105" i="2"/>
  <c r="C105" i="2"/>
  <c r="O104" i="2"/>
  <c r="K104" i="2"/>
  <c r="C104" i="2"/>
  <c r="O103" i="2"/>
  <c r="K103" i="2"/>
  <c r="C103" i="2"/>
  <c r="O102" i="2"/>
  <c r="K102" i="2"/>
  <c r="C102" i="2"/>
  <c r="O101" i="2"/>
  <c r="K101" i="2"/>
  <c r="C101" i="2"/>
  <c r="O100" i="2"/>
  <c r="K100" i="2"/>
  <c r="C100" i="2"/>
  <c r="O99" i="2"/>
  <c r="K99" i="2"/>
  <c r="C99" i="2"/>
  <c r="O98" i="2"/>
  <c r="K98" i="2"/>
  <c r="C98" i="2"/>
  <c r="O97" i="2"/>
  <c r="K97" i="2"/>
  <c r="C97" i="2"/>
  <c r="O96" i="2"/>
  <c r="K96" i="2"/>
  <c r="C96" i="2"/>
  <c r="O95" i="2"/>
  <c r="K95" i="2"/>
  <c r="C95" i="2"/>
  <c r="O94" i="2"/>
  <c r="K94" i="2"/>
  <c r="C94" i="2"/>
  <c r="O93" i="2"/>
  <c r="K93" i="2"/>
  <c r="C93" i="2"/>
  <c r="O92" i="2"/>
  <c r="K92" i="2"/>
  <c r="C92" i="2"/>
  <c r="O91" i="2"/>
  <c r="K91" i="2"/>
  <c r="C91" i="2"/>
  <c r="O90" i="2"/>
  <c r="K90" i="2"/>
  <c r="C90" i="2"/>
  <c r="O89" i="2"/>
  <c r="K89" i="2"/>
  <c r="C89" i="2"/>
  <c r="O88" i="2"/>
  <c r="K88" i="2"/>
  <c r="C88" i="2"/>
  <c r="O87" i="2"/>
  <c r="K87" i="2"/>
  <c r="C87" i="2"/>
  <c r="O86" i="2"/>
  <c r="K86" i="2"/>
  <c r="C86" i="2"/>
  <c r="O85" i="2"/>
  <c r="K85" i="2"/>
  <c r="C85" i="2"/>
  <c r="O84" i="2"/>
  <c r="K84" i="2"/>
  <c r="C84" i="2"/>
  <c r="O83" i="2"/>
  <c r="K83" i="2"/>
  <c r="C83" i="2"/>
  <c r="O82" i="2"/>
  <c r="K82" i="2"/>
  <c r="C82" i="2"/>
  <c r="O81" i="2"/>
  <c r="K81" i="2"/>
  <c r="C81" i="2"/>
  <c r="O80" i="2"/>
  <c r="K80" i="2"/>
  <c r="C80" i="2"/>
  <c r="O79" i="2"/>
  <c r="K79" i="2"/>
  <c r="C79" i="2"/>
  <c r="O78" i="2"/>
  <c r="K78" i="2"/>
  <c r="C78" i="2"/>
  <c r="O77" i="2"/>
  <c r="K77" i="2"/>
  <c r="C77" i="2"/>
  <c r="O76" i="2"/>
  <c r="K76" i="2"/>
  <c r="C76" i="2"/>
  <c r="O75" i="2"/>
  <c r="K75" i="2"/>
  <c r="C75" i="2"/>
  <c r="O74" i="2"/>
  <c r="K74" i="2"/>
  <c r="C74" i="2"/>
  <c r="O73" i="2"/>
  <c r="K73" i="2"/>
  <c r="C73" i="2"/>
  <c r="O72" i="2"/>
  <c r="K72" i="2"/>
  <c r="C72" i="2"/>
  <c r="O71" i="2"/>
  <c r="K71" i="2"/>
  <c r="C71" i="2"/>
  <c r="O70" i="2"/>
  <c r="K70" i="2"/>
  <c r="C70" i="2"/>
  <c r="O69" i="2"/>
  <c r="K69" i="2"/>
  <c r="C69" i="2"/>
  <c r="O68" i="2"/>
  <c r="K68" i="2"/>
  <c r="C68" i="2"/>
  <c r="O67" i="2"/>
  <c r="K67" i="2"/>
  <c r="C67" i="2"/>
  <c r="O66" i="2"/>
  <c r="K66" i="2"/>
  <c r="C66" i="2"/>
  <c r="O65" i="2"/>
  <c r="K65" i="2"/>
  <c r="C65" i="2"/>
  <c r="O64" i="2"/>
  <c r="K64" i="2"/>
  <c r="C64" i="2"/>
  <c r="O63" i="2"/>
  <c r="K63" i="2"/>
  <c r="C63" i="2"/>
  <c r="O62" i="2"/>
  <c r="K62" i="2"/>
  <c r="C62" i="2"/>
  <c r="O61" i="2"/>
  <c r="K61" i="2"/>
  <c r="C61" i="2"/>
  <c r="O60" i="2"/>
  <c r="K60" i="2"/>
  <c r="C60" i="2"/>
  <c r="O59" i="2"/>
  <c r="K59" i="2"/>
  <c r="C59" i="2"/>
  <c r="O58" i="2"/>
  <c r="K58" i="2"/>
  <c r="C58" i="2"/>
  <c r="O57" i="2"/>
  <c r="K57" i="2"/>
  <c r="C57" i="2"/>
  <c r="O56" i="2"/>
  <c r="K56" i="2"/>
  <c r="C56" i="2"/>
  <c r="O55" i="2"/>
  <c r="K55" i="2"/>
  <c r="C55" i="2"/>
  <c r="O54" i="2"/>
  <c r="K54" i="2"/>
  <c r="C54" i="2"/>
  <c r="O53" i="2"/>
  <c r="K53" i="2"/>
  <c r="C53" i="2"/>
  <c r="O52" i="2"/>
  <c r="K52" i="2"/>
  <c r="C52" i="2"/>
  <c r="O51" i="2"/>
  <c r="K51" i="2"/>
  <c r="C51" i="2"/>
  <c r="O50" i="2"/>
  <c r="K50" i="2"/>
  <c r="C50" i="2"/>
  <c r="O49" i="2"/>
  <c r="K49" i="2"/>
  <c r="C49" i="2"/>
  <c r="O48" i="2"/>
  <c r="K48" i="2"/>
  <c r="C48" i="2"/>
  <c r="O47" i="2"/>
  <c r="K47" i="2"/>
  <c r="C47" i="2"/>
  <c r="O46" i="2"/>
  <c r="K46" i="2"/>
  <c r="C46" i="2"/>
  <c r="O45" i="2"/>
  <c r="K45" i="2"/>
  <c r="C45" i="2"/>
  <c r="O44" i="2"/>
  <c r="K44" i="2"/>
  <c r="C44" i="2"/>
  <c r="O43" i="2"/>
  <c r="K43" i="2"/>
  <c r="C43" i="2"/>
  <c r="O42" i="2"/>
  <c r="K42" i="2"/>
  <c r="C42" i="2"/>
  <c r="O41" i="2"/>
  <c r="K41" i="2"/>
  <c r="C41" i="2"/>
  <c r="O40" i="2"/>
  <c r="K40" i="2"/>
  <c r="C40" i="2"/>
  <c r="O39" i="2"/>
  <c r="K39" i="2"/>
  <c r="C39" i="2"/>
  <c r="O38" i="2"/>
  <c r="K38" i="2"/>
  <c r="C38" i="2"/>
  <c r="O37" i="2"/>
  <c r="K37" i="2"/>
  <c r="C37" i="2"/>
  <c r="O25" i="2"/>
  <c r="K25" i="2"/>
  <c r="F18" i="1"/>
  <c r="F9" i="1"/>
  <c r="C8" i="1"/>
  <c r="D9" i="4"/>
  <c r="D18" i="3" l="1"/>
  <c r="A18" i="3" s="1"/>
  <c r="D22" i="3"/>
  <c r="A22" i="3" s="1"/>
  <c r="D26" i="3"/>
  <c r="A26" i="3" s="1"/>
  <c r="D29" i="3"/>
  <c r="A29" i="3" s="1"/>
  <c r="D36" i="3"/>
  <c r="A36" i="3" s="1"/>
  <c r="D30" i="3"/>
  <c r="A30" i="3" s="1"/>
  <c r="D37" i="3"/>
  <c r="A37" i="3" s="1"/>
  <c r="D44" i="3"/>
  <c r="A44" i="3" s="1"/>
  <c r="D16" i="3"/>
  <c r="A16" i="3" s="1"/>
  <c r="D20" i="3"/>
  <c r="A20" i="3" s="1"/>
  <c r="D24" i="3"/>
  <c r="A24" i="3" s="1"/>
  <c r="D40" i="3"/>
  <c r="A40" i="3" s="1"/>
  <c r="D17" i="3"/>
  <c r="A17" i="3" s="1"/>
  <c r="D21" i="3"/>
  <c r="A21" i="3" s="1"/>
  <c r="D25" i="3"/>
  <c r="A25" i="3" s="1"/>
  <c r="D41" i="3"/>
  <c r="A41" i="3" s="1"/>
  <c r="D45" i="3"/>
  <c r="A45" i="3" s="1"/>
  <c r="D49" i="3"/>
  <c r="A49" i="3" s="1"/>
  <c r="D71" i="3"/>
  <c r="A71" i="3" s="1"/>
  <c r="D75" i="3"/>
  <c r="A75" i="3" s="1"/>
  <c r="D27" i="3"/>
  <c r="A27" i="3" s="1"/>
  <c r="D48" i="3"/>
  <c r="A48" i="3" s="1"/>
  <c r="D67" i="3"/>
  <c r="A67" i="3" s="1"/>
  <c r="D70" i="3"/>
  <c r="A70" i="3" s="1"/>
  <c r="D74" i="3"/>
  <c r="A74" i="3" s="1"/>
  <c r="D178" i="7"/>
  <c r="D146" i="7"/>
  <c r="D114" i="7"/>
  <c r="H175" i="7"/>
  <c r="H143" i="7"/>
  <c r="H111" i="7"/>
  <c r="H96" i="7"/>
  <c r="H64" i="7"/>
  <c r="D123" i="7"/>
  <c r="D89" i="7"/>
  <c r="H101" i="7"/>
  <c r="H85" i="7"/>
  <c r="H81" i="7"/>
  <c r="H41" i="7"/>
  <c r="D160" i="7"/>
  <c r="E27" i="7"/>
  <c r="H66" i="7"/>
  <c r="H38" i="7"/>
  <c r="H98" i="7"/>
  <c r="H196" i="7"/>
  <c r="H164" i="7"/>
  <c r="H132" i="7"/>
  <c r="D193" i="7"/>
  <c r="D161" i="7"/>
  <c r="D129" i="7"/>
  <c r="H197" i="7"/>
  <c r="H181" i="7"/>
  <c r="H165" i="7"/>
  <c r="H149" i="7"/>
  <c r="D168" i="7"/>
  <c r="D106" i="7"/>
  <c r="D74" i="7"/>
  <c r="H186" i="7"/>
  <c r="I132" i="7"/>
  <c r="H99" i="7"/>
  <c r="D188" i="7"/>
  <c r="H133" i="7"/>
  <c r="H114" i="7"/>
  <c r="H69" i="7"/>
  <c r="D35" i="7"/>
  <c r="D132" i="7"/>
  <c r="D198" i="7"/>
  <c r="D134" i="7"/>
  <c r="H163" i="7"/>
  <c r="E198" i="7"/>
  <c r="D136" i="7"/>
  <c r="H60" i="7"/>
  <c r="D119" i="7"/>
  <c r="D83" i="7"/>
  <c r="T65" i="6"/>
  <c r="H57" i="7"/>
  <c r="D59" i="7"/>
  <c r="D28" i="7"/>
  <c r="I85" i="7"/>
  <c r="H39" i="7"/>
  <c r="E9" i="5"/>
  <c r="AX109" i="3"/>
  <c r="AW105" i="3"/>
  <c r="AW101" i="3"/>
  <c r="AW97" i="3"/>
  <c r="AW93" i="3"/>
  <c r="AW89" i="3"/>
  <c r="AW85" i="3"/>
  <c r="AV81" i="3"/>
  <c r="AR77" i="3"/>
  <c r="AX71" i="3"/>
  <c r="AN108" i="3"/>
  <c r="H192" i="7"/>
  <c r="H128" i="7"/>
  <c r="D157" i="7"/>
  <c r="D195" i="7"/>
  <c r="D163" i="7"/>
  <c r="H158" i="7"/>
  <c r="D70" i="7"/>
  <c r="H129" i="7"/>
  <c r="H178" i="7"/>
  <c r="H106" i="7"/>
  <c r="E10" i="6"/>
  <c r="D53" i="7"/>
  <c r="D32" i="7"/>
  <c r="D45" i="7"/>
  <c r="D71" i="7"/>
  <c r="AS107" i="3"/>
  <c r="AS103" i="3"/>
  <c r="AS99" i="3"/>
  <c r="AS95" i="3"/>
  <c r="AS91" i="3"/>
  <c r="AS87" i="3"/>
  <c r="AS83" i="3"/>
  <c r="AX79" i="3"/>
  <c r="AK75" i="3"/>
  <c r="D158" i="7"/>
  <c r="H187" i="7"/>
  <c r="H123" i="7"/>
  <c r="E178" i="7"/>
  <c r="E146" i="7"/>
  <c r="H100" i="7"/>
  <c r="D93" i="7"/>
  <c r="D103" i="7"/>
  <c r="E103" i="7"/>
  <c r="H29" i="7"/>
  <c r="H59" i="7"/>
  <c r="H67" i="7"/>
  <c r="I41" i="7"/>
  <c r="I64" i="7"/>
  <c r="H82" i="7"/>
  <c r="T66" i="6"/>
  <c r="H184" i="7"/>
  <c r="H120" i="7"/>
  <c r="D149" i="7"/>
  <c r="D191" i="7"/>
  <c r="D159" i="7"/>
  <c r="H142" i="7"/>
  <c r="D62" i="7"/>
  <c r="D194" i="7"/>
  <c r="D162" i="7"/>
  <c r="D130" i="7"/>
  <c r="H191" i="7"/>
  <c r="H159" i="7"/>
  <c r="H127" i="7"/>
  <c r="D112" i="7"/>
  <c r="H80" i="7"/>
  <c r="I80" i="7" s="1"/>
  <c r="D139" i="7"/>
  <c r="D105" i="7"/>
  <c r="H109" i="7"/>
  <c r="H93" i="7"/>
  <c r="I109" i="7"/>
  <c r="T69" i="6"/>
  <c r="D42" i="7"/>
  <c r="H46" i="7"/>
  <c r="H30" i="7"/>
  <c r="I38" i="7"/>
  <c r="H47" i="7"/>
  <c r="H180" i="7"/>
  <c r="H148" i="7"/>
  <c r="H116" i="7"/>
  <c r="D177" i="7"/>
  <c r="D145" i="7"/>
  <c r="D113" i="7"/>
  <c r="H189" i="7"/>
  <c r="H173" i="7"/>
  <c r="I173" i="7" s="1"/>
  <c r="H157" i="7"/>
  <c r="D200" i="7"/>
  <c r="H134" i="7"/>
  <c r="D90" i="7"/>
  <c r="D58" i="7"/>
  <c r="E58" i="7" s="1"/>
  <c r="H154" i="7"/>
  <c r="I116" i="7"/>
  <c r="H83" i="7"/>
  <c r="D156" i="7"/>
  <c r="H117" i="7"/>
  <c r="D84" i="7"/>
  <c r="H53" i="7"/>
  <c r="I53" i="7" s="1"/>
  <c r="T63" i="6"/>
  <c r="H86" i="7"/>
  <c r="D166" i="7"/>
  <c r="H195" i="7"/>
  <c r="H131" i="7"/>
  <c r="E166" i="7"/>
  <c r="H92" i="7"/>
  <c r="I157" i="7"/>
  <c r="D85" i="7"/>
  <c r="D99" i="7"/>
  <c r="H54" i="7"/>
  <c r="D38" i="7"/>
  <c r="D88" i="7"/>
  <c r="D44" i="7"/>
  <c r="E44" i="7" s="1"/>
  <c r="D79" i="7"/>
  <c r="D124" i="7"/>
  <c r="I46" i="7"/>
  <c r="AW109" i="3"/>
  <c r="D202" i="7"/>
  <c r="D138" i="7"/>
  <c r="E138" i="7" s="1"/>
  <c r="H167" i="7"/>
  <c r="D128" i="7"/>
  <c r="H56" i="7"/>
  <c r="I56" i="7" s="1"/>
  <c r="D81" i="7"/>
  <c r="H97" i="7"/>
  <c r="I97" i="7" s="1"/>
  <c r="D50" i="7"/>
  <c r="H50" i="7"/>
  <c r="I101" i="7"/>
  <c r="H188" i="7"/>
  <c r="H124" i="7"/>
  <c r="D153" i="7"/>
  <c r="H193" i="7"/>
  <c r="H161" i="7"/>
  <c r="D152" i="7"/>
  <c r="D66" i="7"/>
  <c r="I124" i="7"/>
  <c r="D172" i="7"/>
  <c r="E90" i="7"/>
  <c r="D63" i="7"/>
  <c r="H102" i="7"/>
  <c r="D118" i="7"/>
  <c r="E118" i="7" s="1"/>
  <c r="I189" i="7"/>
  <c r="D107" i="7"/>
  <c r="H138" i="7"/>
  <c r="E107" i="7"/>
  <c r="U63" i="6"/>
  <c r="E9" i="6"/>
  <c r="AW108" i="3"/>
  <c r="AW103" i="3"/>
  <c r="AW98" i="3"/>
  <c r="AW92" i="3"/>
  <c r="AW87" i="3"/>
  <c r="AW82" i="3"/>
  <c r="AU76" i="3"/>
  <c r="AQ110" i="3"/>
  <c r="AN105" i="3"/>
  <c r="H112" i="7"/>
  <c r="D125" i="7"/>
  <c r="D171" i="7"/>
  <c r="H126" i="7"/>
  <c r="D180" i="7"/>
  <c r="H79" i="7"/>
  <c r="I96" i="7"/>
  <c r="D47" i="7"/>
  <c r="D67" i="7"/>
  <c r="D104" i="7"/>
  <c r="D73" i="7"/>
  <c r="D57" i="7"/>
  <c r="D108" i="7"/>
  <c r="AS108" i="3"/>
  <c r="AS102" i="3"/>
  <c r="AS97" i="3"/>
  <c r="AS92" i="3"/>
  <c r="AS86" i="3"/>
  <c r="AR81" i="3"/>
  <c r="AQ76" i="3"/>
  <c r="D142" i="7"/>
  <c r="H155" i="7"/>
  <c r="H68" i="7"/>
  <c r="D109" i="7"/>
  <c r="D95" i="7"/>
  <c r="D64" i="7"/>
  <c r="H74" i="7"/>
  <c r="H122" i="7"/>
  <c r="D144" i="7"/>
  <c r="E74" i="7"/>
  <c r="H43" i="7"/>
  <c r="H200" i="7"/>
  <c r="D197" i="7"/>
  <c r="D117" i="7"/>
  <c r="D167" i="7"/>
  <c r="D110" i="7"/>
  <c r="D164" i="7"/>
  <c r="H87" i="7"/>
  <c r="I120" i="7"/>
  <c r="H55" i="7"/>
  <c r="D96" i="7"/>
  <c r="H40" i="7"/>
  <c r="H51" i="7"/>
  <c r="I29" i="7"/>
  <c r="E32" i="7"/>
  <c r="E8" i="5"/>
  <c r="AI110" i="3"/>
  <c r="AI108" i="3"/>
  <c r="AI104" i="3"/>
  <c r="AI100" i="3"/>
  <c r="AI96" i="3"/>
  <c r="AI92" i="3"/>
  <c r="AI88" i="3"/>
  <c r="AI84" i="3"/>
  <c r="AL80" i="3"/>
  <c r="AG76" i="3"/>
  <c r="AK68" i="3"/>
  <c r="AR106" i="3"/>
  <c r="AR110" i="3"/>
  <c r="AO94" i="3"/>
  <c r="AI78" i="3"/>
  <c r="AV106" i="3"/>
  <c r="AN101" i="3"/>
  <c r="AN97" i="3"/>
  <c r="AN93" i="3"/>
  <c r="AN89" i="3"/>
  <c r="AN85" i="3"/>
  <c r="AQ81" i="3"/>
  <c r="AL77" i="3"/>
  <c r="AW72" i="3"/>
  <c r="AW68" i="3"/>
  <c r="AW64" i="3"/>
  <c r="AW60" i="3"/>
  <c r="AW56" i="3"/>
  <c r="AW52" i="3"/>
  <c r="AW48" i="3"/>
  <c r="AW44" i="3"/>
  <c r="AK107" i="3"/>
  <c r="AK99" i="3"/>
  <c r="AK91" i="3"/>
  <c r="AK83" i="3"/>
  <c r="AX78" i="3"/>
  <c r="AL74" i="3"/>
  <c r="AL70" i="3"/>
  <c r="AL66" i="3"/>
  <c r="AL62" i="3"/>
  <c r="D170" i="7"/>
  <c r="H199" i="7"/>
  <c r="H135" i="7"/>
  <c r="H88" i="7"/>
  <c r="D115" i="7"/>
  <c r="E114" i="7"/>
  <c r="D140" i="7"/>
  <c r="H33" i="7"/>
  <c r="D116" i="7"/>
  <c r="H34" i="7"/>
  <c r="H63" i="7"/>
  <c r="H156" i="7"/>
  <c r="D185" i="7"/>
  <c r="D121" i="7"/>
  <c r="H177" i="7"/>
  <c r="H145" i="7"/>
  <c r="D98" i="7"/>
  <c r="E98" i="7" s="1"/>
  <c r="H170" i="7"/>
  <c r="H91" i="7"/>
  <c r="H125" i="7"/>
  <c r="D100" i="7"/>
  <c r="E9" i="7"/>
  <c r="D182" i="7"/>
  <c r="E182" i="7" s="1"/>
  <c r="H147" i="7"/>
  <c r="H108" i="7"/>
  <c r="D101" i="7"/>
  <c r="H70" i="7"/>
  <c r="H48" i="7"/>
  <c r="D55" i="7"/>
  <c r="AW110" i="3"/>
  <c r="AW106" i="3"/>
  <c r="AW100" i="3"/>
  <c r="AW95" i="3"/>
  <c r="AW90" i="3"/>
  <c r="AW84" i="3"/>
  <c r="AG80" i="3"/>
  <c r="AX73" i="3"/>
  <c r="AN107" i="3"/>
  <c r="H160" i="7"/>
  <c r="D173" i="7"/>
  <c r="D187" i="7"/>
  <c r="E187" i="7" s="1"/>
  <c r="D147" i="7"/>
  <c r="D86" i="7"/>
  <c r="H113" i="7"/>
  <c r="I128" i="7"/>
  <c r="D176" i="7"/>
  <c r="E119" i="7"/>
  <c r="H36" i="7"/>
  <c r="E63" i="7"/>
  <c r="E10" i="7"/>
  <c r="H77" i="7"/>
  <c r="D37" i="7"/>
  <c r="AK110" i="3"/>
  <c r="AS105" i="3"/>
  <c r="AS100" i="3"/>
  <c r="AS94" i="3"/>
  <c r="AS89" i="3"/>
  <c r="AS84" i="3"/>
  <c r="AO78" i="3"/>
  <c r="D190" i="7"/>
  <c r="H203" i="7"/>
  <c r="E202" i="7"/>
  <c r="E162" i="7"/>
  <c r="D120" i="7"/>
  <c r="E142" i="7"/>
  <c r="D127" i="7"/>
  <c r="E163" i="7"/>
  <c r="H198" i="7"/>
  <c r="H44" i="7"/>
  <c r="H78" i="7"/>
  <c r="D36" i="7"/>
  <c r="H182" i="7"/>
  <c r="D33" i="7"/>
  <c r="AO110" i="3"/>
  <c r="H152" i="7"/>
  <c r="D165" i="7"/>
  <c r="D183" i="7"/>
  <c r="D143" i="7"/>
  <c r="D78" i="7"/>
  <c r="H121" i="7"/>
  <c r="H162" i="7"/>
  <c r="I100" i="7"/>
  <c r="H90" i="7"/>
  <c r="T67" i="6"/>
  <c r="H58" i="7"/>
  <c r="H166" i="7"/>
  <c r="H65" i="7"/>
  <c r="I65" i="7" s="1"/>
  <c r="D40" i="7"/>
  <c r="I117" i="7"/>
  <c r="E59" i="7"/>
  <c r="T68" i="6"/>
  <c r="T64" i="6"/>
  <c r="AH110" i="3"/>
  <c r="AI106" i="3"/>
  <c r="AI102" i="3"/>
  <c r="AI98" i="3"/>
  <c r="AI94" i="3"/>
  <c r="AI90" i="3"/>
  <c r="AI86" i="3"/>
  <c r="AI82" i="3"/>
  <c r="AV77" i="3"/>
  <c r="AK72" i="3"/>
  <c r="AR108" i="3"/>
  <c r="AR104" i="3"/>
  <c r="AO102" i="3"/>
  <c r="AO86" i="3"/>
  <c r="AX68" i="3"/>
  <c r="AN103" i="3"/>
  <c r="AN99" i="3"/>
  <c r="AN95" i="3"/>
  <c r="AN91" i="3"/>
  <c r="AN87" i="3"/>
  <c r="AN83" i="3"/>
  <c r="AI79" i="3"/>
  <c r="AW74" i="3"/>
  <c r="AW70" i="3"/>
  <c r="AW66" i="3"/>
  <c r="AW62" i="3"/>
  <c r="AW58" i="3"/>
  <c r="AW54" i="3"/>
  <c r="AW50" i="3"/>
  <c r="AW46" i="3"/>
  <c r="AW42" i="3"/>
  <c r="AK103" i="3"/>
  <c r="AK95" i="3"/>
  <c r="AK87" i="3"/>
  <c r="H183" i="7"/>
  <c r="H72" i="7"/>
  <c r="I72" i="7" s="1"/>
  <c r="H105" i="7"/>
  <c r="T61" i="6"/>
  <c r="U61" i="6" s="1"/>
  <c r="U69" i="6"/>
  <c r="H140" i="7"/>
  <c r="H201" i="7"/>
  <c r="D184" i="7"/>
  <c r="I140" i="7"/>
  <c r="E106" i="7"/>
  <c r="H115" i="7"/>
  <c r="D135" i="7"/>
  <c r="E135" i="7" s="1"/>
  <c r="H28" i="7"/>
  <c r="H61" i="7"/>
  <c r="AW104" i="3"/>
  <c r="AW94" i="3"/>
  <c r="AW83" i="3"/>
  <c r="AX69" i="3"/>
  <c r="H144" i="7"/>
  <c r="D179" i="7"/>
  <c r="E179" i="7" s="1"/>
  <c r="D54" i="7"/>
  <c r="I112" i="7"/>
  <c r="D76" i="7"/>
  <c r="D48" i="7"/>
  <c r="I50" i="7"/>
  <c r="AS109" i="3"/>
  <c r="AS98" i="3"/>
  <c r="AS88" i="3"/>
  <c r="AN77" i="3"/>
  <c r="H171" i="7"/>
  <c r="H32" i="7"/>
  <c r="I30" i="7"/>
  <c r="H136" i="7"/>
  <c r="D175" i="7"/>
  <c r="D196" i="7"/>
  <c r="I136" i="7"/>
  <c r="H71" i="7"/>
  <c r="D51" i="7"/>
  <c r="D60" i="7"/>
  <c r="D56" i="7"/>
  <c r="H62" i="7"/>
  <c r="AI109" i="3"/>
  <c r="AI101" i="3"/>
  <c r="AI93" i="3"/>
  <c r="AI85" i="3"/>
  <c r="AY76" i="3"/>
  <c r="AR107" i="3"/>
  <c r="AO98" i="3"/>
  <c r="AV108" i="3"/>
  <c r="AN98" i="3"/>
  <c r="AN90" i="3"/>
  <c r="AN82" i="3"/>
  <c r="AW73" i="3"/>
  <c r="AW65" i="3"/>
  <c r="AW57" i="3"/>
  <c r="AW49" i="3"/>
  <c r="AK109" i="3"/>
  <c r="AK93" i="3"/>
  <c r="AR80" i="3"/>
  <c r="AL75" i="3"/>
  <c r="AL69" i="3"/>
  <c r="AL64" i="3"/>
  <c r="AL59" i="3"/>
  <c r="AL55" i="3"/>
  <c r="AL51" i="3"/>
  <c r="AO104" i="3"/>
  <c r="AO88" i="3"/>
  <c r="AX70" i="3"/>
  <c r="AH104" i="3"/>
  <c r="AV99" i="3"/>
  <c r="AV95" i="3"/>
  <c r="AV91" i="3"/>
  <c r="AV87" i="3"/>
  <c r="AV83" i="3"/>
  <c r="AS79" i="3"/>
  <c r="AO75" i="3"/>
  <c r="AO71" i="3"/>
  <c r="AO67" i="3"/>
  <c r="AO63" i="3"/>
  <c r="AO59" i="3"/>
  <c r="AO55" i="3"/>
  <c r="AO51" i="3"/>
  <c r="AO47" i="3"/>
  <c r="AO43" i="3"/>
  <c r="AK104" i="3"/>
  <c r="AK96" i="3"/>
  <c r="AK88" i="3"/>
  <c r="AI81" i="3"/>
  <c r="AV76" i="3"/>
  <c r="AU72" i="3"/>
  <c r="AU68" i="3"/>
  <c r="AU64" i="3"/>
  <c r="AU60" i="3"/>
  <c r="AU56" i="3"/>
  <c r="D186" i="7"/>
  <c r="E186" i="7" s="1"/>
  <c r="H151" i="7"/>
  <c r="D131" i="7"/>
  <c r="H89" i="7"/>
  <c r="I89" i="7" s="1"/>
  <c r="D34" i="7"/>
  <c r="T70" i="6"/>
  <c r="D201" i="7"/>
  <c r="H185" i="7"/>
  <c r="I185" i="7" s="1"/>
  <c r="H118" i="7"/>
  <c r="H107" i="7"/>
  <c r="H150" i="7"/>
  <c r="H73" i="7"/>
  <c r="D91" i="7"/>
  <c r="E91" i="7" s="1"/>
  <c r="I69" i="7"/>
  <c r="H130" i="7"/>
  <c r="AW102" i="3"/>
  <c r="AW91" i="3"/>
  <c r="AY80" i="3"/>
  <c r="AN109" i="3"/>
  <c r="D189" i="7"/>
  <c r="D155" i="7"/>
  <c r="D148" i="7"/>
  <c r="I88" i="7"/>
  <c r="D46" i="7"/>
  <c r="AS106" i="3"/>
  <c r="AS96" i="3"/>
  <c r="AS85" i="3"/>
  <c r="AK73" i="3"/>
  <c r="H139" i="7"/>
  <c r="E155" i="7"/>
  <c r="D77" i="7"/>
  <c r="H45" i="7"/>
  <c r="H94" i="7"/>
  <c r="H35" i="7"/>
  <c r="H31" i="7"/>
  <c r="D181" i="7"/>
  <c r="D151" i="7"/>
  <c r="H137" i="7"/>
  <c r="I108" i="7"/>
  <c r="D39" i="7"/>
  <c r="D30" i="7"/>
  <c r="I45" i="7"/>
  <c r="I34" i="7"/>
  <c r="AI107" i="3"/>
  <c r="AI99" i="3"/>
  <c r="AI91" i="3"/>
  <c r="AI83" i="3"/>
  <c r="AK74" i="3"/>
  <c r="AR105" i="3"/>
  <c r="AO90" i="3"/>
  <c r="AV104" i="3"/>
  <c r="AN96" i="3"/>
  <c r="AN88" i="3"/>
  <c r="AK80" i="3"/>
  <c r="AW71" i="3"/>
  <c r="AW63" i="3"/>
  <c r="AW55" i="3"/>
  <c r="AW47" i="3"/>
  <c r="AK105" i="3"/>
  <c r="AK89" i="3"/>
  <c r="AU79" i="3"/>
  <c r="AL73" i="3"/>
  <c r="AL68" i="3"/>
  <c r="AL63" i="3"/>
  <c r="AL58" i="3"/>
  <c r="AL54" i="3"/>
  <c r="AL50" i="3"/>
  <c r="AO100" i="3"/>
  <c r="AO84" i="3"/>
  <c r="AV109" i="3"/>
  <c r="AV102" i="3"/>
  <c r="AV98" i="3"/>
  <c r="AV94" i="3"/>
  <c r="AV90" i="3"/>
  <c r="AV86" i="3"/>
  <c r="AV82" i="3"/>
  <c r="AR78" i="3"/>
  <c r="AO74" i="3"/>
  <c r="AO70" i="3"/>
  <c r="AO66" i="3"/>
  <c r="AO62" i="3"/>
  <c r="AO58" i="3"/>
  <c r="AO54" i="3"/>
  <c r="AO50" i="3"/>
  <c r="AO46" i="3"/>
  <c r="AU110" i="3"/>
  <c r="AK102" i="3"/>
  <c r="AK94" i="3"/>
  <c r="AK86" i="3"/>
  <c r="AH80" i="3"/>
  <c r="AU75" i="3"/>
  <c r="AU71" i="3"/>
  <c r="AU67" i="3"/>
  <c r="AU63" i="3"/>
  <c r="AU59" i="3"/>
  <c r="AU55" i="3"/>
  <c r="AU51" i="3"/>
  <c r="AU47" i="3"/>
  <c r="AU43" i="3"/>
  <c r="AO85" i="3"/>
  <c r="AH103" i="3"/>
  <c r="AH95" i="3"/>
  <c r="AH87" i="3"/>
  <c r="AV78" i="3"/>
  <c r="AS70" i="3"/>
  <c r="AS62" i="3"/>
  <c r="AS54" i="3"/>
  <c r="AS46" i="3"/>
  <c r="AX102" i="3"/>
  <c r="AX86" i="3"/>
  <c r="AH76" i="3"/>
  <c r="AG68" i="3"/>
  <c r="AG60" i="3"/>
  <c r="AG52" i="3"/>
  <c r="AQ45" i="3"/>
  <c r="AL104" i="3"/>
  <c r="AL88" i="3"/>
  <c r="AH71" i="3"/>
  <c r="AR61" i="3"/>
  <c r="AR53" i="3"/>
  <c r="AR45" i="3"/>
  <c r="AI40" i="3"/>
  <c r="AI36" i="3"/>
  <c r="H119" i="7"/>
  <c r="I93" i="7"/>
  <c r="D92" i="7"/>
  <c r="H169" i="7"/>
  <c r="I169" i="7" s="1"/>
  <c r="H75" i="7"/>
  <c r="D150" i="7"/>
  <c r="E150" i="7" s="1"/>
  <c r="H37" i="7"/>
  <c r="I37" i="7" s="1"/>
  <c r="AX110" i="3"/>
  <c r="AW88" i="3"/>
  <c r="AN106" i="3"/>
  <c r="H190" i="7"/>
  <c r="D65" i="7"/>
  <c r="E195" i="7"/>
  <c r="AS104" i="3"/>
  <c r="AS82" i="3"/>
  <c r="E194" i="7"/>
  <c r="D111" i="7"/>
  <c r="E111" i="7" s="1"/>
  <c r="D61" i="7"/>
  <c r="E28" i="7"/>
  <c r="H174" i="7"/>
  <c r="I92" i="7"/>
  <c r="H110" i="7"/>
  <c r="D41" i="7"/>
  <c r="AI105" i="3"/>
  <c r="AI89" i="3"/>
  <c r="AK70" i="3"/>
  <c r="AO82" i="3"/>
  <c r="AN94" i="3"/>
  <c r="AH78" i="3"/>
  <c r="AW61" i="3"/>
  <c r="AW45" i="3"/>
  <c r="AK85" i="3"/>
  <c r="AL72" i="3"/>
  <c r="AL61" i="3"/>
  <c r="AL53" i="3"/>
  <c r="AO96" i="3"/>
  <c r="AV107" i="3"/>
  <c r="AV97" i="3"/>
  <c r="AV89" i="3"/>
  <c r="AY81" i="3"/>
  <c r="AO73" i="3"/>
  <c r="AO65" i="3"/>
  <c r="AO57" i="3"/>
  <c r="AO49" i="3"/>
  <c r="AK108" i="3"/>
  <c r="AK92" i="3"/>
  <c r="AL79" i="3"/>
  <c r="AU70" i="3"/>
  <c r="AU62" i="3"/>
  <c r="AU54" i="3"/>
  <c r="AU49" i="3"/>
  <c r="AU44" i="3"/>
  <c r="AH77" i="3"/>
  <c r="AH99" i="3"/>
  <c r="AH89" i="3"/>
  <c r="AG77" i="3"/>
  <c r="AS66" i="3"/>
  <c r="AS56" i="3"/>
  <c r="AS44" i="3"/>
  <c r="AX94" i="3"/>
  <c r="AK78" i="3"/>
  <c r="AG66" i="3"/>
  <c r="AG56" i="3"/>
  <c r="AG47" i="3"/>
  <c r="AL100" i="3"/>
  <c r="AI80" i="3"/>
  <c r="AR63" i="3"/>
  <c r="AR51" i="3"/>
  <c r="AI42" i="3"/>
  <c r="AI37" i="3"/>
  <c r="AI32" i="3"/>
  <c r="AI28" i="3"/>
  <c r="AI24" i="3"/>
  <c r="AI20" i="3"/>
  <c r="AI16" i="3"/>
  <c r="AR44" i="3"/>
  <c r="AG26" i="3"/>
  <c r="AL103" i="3"/>
  <c r="AL87" i="3"/>
  <c r="AO83" i="3"/>
  <c r="AR102" i="3"/>
  <c r="AR94" i="3"/>
  <c r="AR86" i="3"/>
  <c r="AN78" i="3"/>
  <c r="AI70" i="3"/>
  <c r="AI62" i="3"/>
  <c r="AI54" i="3"/>
  <c r="AI46" i="3"/>
  <c r="AX101" i="3"/>
  <c r="AX85" i="3"/>
  <c r="AQ75" i="3"/>
  <c r="AQ67" i="3"/>
  <c r="AQ59" i="3"/>
  <c r="AQ51" i="3"/>
  <c r="AL45" i="3"/>
  <c r="AQ103" i="3"/>
  <c r="AQ87" i="3"/>
  <c r="AN70" i="3"/>
  <c r="AH61" i="3"/>
  <c r="AH53" i="3"/>
  <c r="AH45" i="3"/>
  <c r="AW39" i="3"/>
  <c r="AW35" i="3"/>
  <c r="AW31" i="3"/>
  <c r="AW27" i="3"/>
  <c r="AW23" i="3"/>
  <c r="AW19" i="3"/>
  <c r="N25" i="2"/>
  <c r="AL42" i="3"/>
  <c r="AG25" i="3"/>
  <c r="AO105" i="3"/>
  <c r="AK71" i="3"/>
  <c r="AH100" i="3"/>
  <c r="AH92" i="3"/>
  <c r="AH84" i="3"/>
  <c r="AS75" i="3"/>
  <c r="AS67" i="3"/>
  <c r="AS59" i="3"/>
  <c r="AS51" i="3"/>
  <c r="AS43" i="3"/>
  <c r="AX96" i="3"/>
  <c r="AO81" i="3"/>
  <c r="AG73" i="3"/>
  <c r="AG65" i="3"/>
  <c r="AG57" i="3"/>
  <c r="AG49" i="3"/>
  <c r="AQ43" i="3"/>
  <c r="H104" i="7"/>
  <c r="I104" i="7" s="1"/>
  <c r="H49" i="7"/>
  <c r="I49" i="7" s="1"/>
  <c r="H172" i="7"/>
  <c r="H153" i="7"/>
  <c r="H141" i="7"/>
  <c r="I141" i="7" s="1"/>
  <c r="H179" i="7"/>
  <c r="D68" i="7"/>
  <c r="AW107" i="3"/>
  <c r="AW86" i="3"/>
  <c r="H176" i="7"/>
  <c r="D102" i="7"/>
  <c r="D31" i="7"/>
  <c r="E31" i="7" s="1"/>
  <c r="T62" i="6"/>
  <c r="AS101" i="3"/>
  <c r="AU80" i="3"/>
  <c r="E170" i="7"/>
  <c r="D87" i="7"/>
  <c r="E47" i="7"/>
  <c r="H168" i="7"/>
  <c r="D94" i="7"/>
  <c r="I133" i="7"/>
  <c r="AI103" i="3"/>
  <c r="AI87" i="3"/>
  <c r="AR109" i="3"/>
  <c r="AX72" i="3"/>
  <c r="AN92" i="3"/>
  <c r="AW75" i="3"/>
  <c r="AW59" i="3"/>
  <c r="AW43" i="3"/>
  <c r="AS81" i="3"/>
  <c r="AL71" i="3"/>
  <c r="AL60" i="3"/>
  <c r="AL52" i="3"/>
  <c r="AO92" i="3"/>
  <c r="AV105" i="3"/>
  <c r="AV96" i="3"/>
  <c r="AV88" i="3"/>
  <c r="AG81" i="3"/>
  <c r="AO72" i="3"/>
  <c r="AO64" i="3"/>
  <c r="AO56" i="3"/>
  <c r="AO48" i="3"/>
  <c r="AK106" i="3"/>
  <c r="AK90" i="3"/>
  <c r="AW77" i="3"/>
  <c r="AU69" i="3"/>
  <c r="AU61" i="3"/>
  <c r="AU53" i="3"/>
  <c r="AU48" i="3"/>
  <c r="AO109" i="3"/>
  <c r="AG110" i="3"/>
  <c r="AH97" i="3"/>
  <c r="AH85" i="3"/>
  <c r="AS74" i="3"/>
  <c r="AS64" i="3"/>
  <c r="AS52" i="3"/>
  <c r="AS42" i="3"/>
  <c r="AX90" i="3"/>
  <c r="AG74" i="3"/>
  <c r="AG64" i="3"/>
  <c r="AG54" i="3"/>
  <c r="AL44" i="3"/>
  <c r="AL96" i="3"/>
  <c r="AH75" i="3"/>
  <c r="AR59" i="3"/>
  <c r="AR49" i="3"/>
  <c r="AI41" i="3"/>
  <c r="AI35" i="3"/>
  <c r="AI31" i="3"/>
  <c r="AI27" i="3"/>
  <c r="AI23" i="3"/>
  <c r="AI19" i="3"/>
  <c r="AL98" i="3"/>
  <c r="AG38" i="3"/>
  <c r="AG20" i="3"/>
  <c r="AL99" i="3"/>
  <c r="AO107" i="3"/>
  <c r="AX74" i="3"/>
  <c r="AR100" i="3"/>
  <c r="AR92" i="3"/>
  <c r="AR84" i="3"/>
  <c r="AK76" i="3"/>
  <c r="AI68" i="3"/>
  <c r="AI60" i="3"/>
  <c r="AI52" i="3"/>
  <c r="AI44" i="3"/>
  <c r="AX97" i="3"/>
  <c r="AW81" i="3"/>
  <c r="AQ73" i="3"/>
  <c r="AQ65" i="3"/>
  <c r="AQ57" i="3"/>
  <c r="AQ49" i="3"/>
  <c r="AG44" i="3"/>
  <c r="AQ99" i="3"/>
  <c r="AQ83" i="3"/>
  <c r="AH67" i="3"/>
  <c r="AH59" i="3"/>
  <c r="AH51" i="3"/>
  <c r="AH43" i="3"/>
  <c r="AW38" i="3"/>
  <c r="AW34" i="3"/>
  <c r="AW30" i="3"/>
  <c r="AW26" i="3"/>
  <c r="AW22" i="3"/>
  <c r="AW18" i="3"/>
  <c r="AV65" i="3"/>
  <c r="AG37" i="3"/>
  <c r="AL19" i="3"/>
  <c r="AO97" i="3"/>
  <c r="AH108" i="3"/>
  <c r="AH98" i="3"/>
  <c r="AH90" i="3"/>
  <c r="AH82" i="3"/>
  <c r="AS73" i="3"/>
  <c r="AS65" i="3"/>
  <c r="AS57" i="3"/>
  <c r="AS49" i="3"/>
  <c r="AX108" i="3"/>
  <c r="AX92" i="3"/>
  <c r="AQ79" i="3"/>
  <c r="AG71" i="3"/>
  <c r="AG63" i="3"/>
  <c r="AG55" i="3"/>
  <c r="AQ47" i="3"/>
  <c r="AQ42" i="3"/>
  <c r="AU94" i="3"/>
  <c r="AQ78" i="3"/>
  <c r="AV64" i="3"/>
  <c r="AV56" i="3"/>
  <c r="AV48" i="3"/>
  <c r="AS41" i="3"/>
  <c r="AS37" i="3"/>
  <c r="AS33" i="3"/>
  <c r="AS29" i="3"/>
  <c r="AS25" i="3"/>
  <c r="AS21" i="3"/>
  <c r="AS17" i="3"/>
  <c r="AV55" i="3"/>
  <c r="AU32" i="3"/>
  <c r="AU109" i="3"/>
  <c r="AU93" i="3"/>
  <c r="AV75" i="3"/>
  <c r="AX59" i="3"/>
  <c r="AX43" i="3"/>
  <c r="AR38" i="3"/>
  <c r="AR34" i="3"/>
  <c r="AO103" i="3"/>
  <c r="AK69" i="3"/>
  <c r="AR99" i="3"/>
  <c r="AR91" i="3"/>
  <c r="AR83" i="3"/>
  <c r="AI75" i="3"/>
  <c r="AI67" i="3"/>
  <c r="AI59" i="3"/>
  <c r="AI51" i="3"/>
  <c r="AI43" i="3"/>
  <c r="AX95" i="3"/>
  <c r="AV80" i="3"/>
  <c r="AQ72" i="3"/>
  <c r="AQ64" i="3"/>
  <c r="AQ56" i="3"/>
  <c r="AQ48" i="3"/>
  <c r="AL43" i="3"/>
  <c r="AG97" i="3"/>
  <c r="AX81" i="3"/>
  <c r="AN66" i="3"/>
  <c r="AN58" i="3"/>
  <c r="AN50" i="3"/>
  <c r="AO42" i="3"/>
  <c r="AO38" i="3"/>
  <c r="AO34" i="3"/>
  <c r="AO30" i="3"/>
  <c r="AO26" i="3"/>
  <c r="AO22" i="3"/>
  <c r="AO18" i="3"/>
  <c r="AH62" i="3"/>
  <c r="AQ35" i="3"/>
  <c r="AG17" i="3"/>
  <c r="AG96" i="3"/>
  <c r="AH79" i="3"/>
  <c r="AK62" i="3"/>
  <c r="AK46" i="3"/>
  <c r="AN39" i="3"/>
  <c r="AN35" i="3"/>
  <c r="AS76" i="3"/>
  <c r="AK44" i="3"/>
  <c r="AV34" i="3"/>
  <c r="AR29" i="3"/>
  <c r="AR25" i="3"/>
  <c r="AR21" i="3"/>
  <c r="AR17" i="3"/>
  <c r="AL106" i="3"/>
  <c r="AU88" i="3"/>
  <c r="AN67" i="3"/>
  <c r="AV47" i="3"/>
  <c r="AL34" i="3"/>
  <c r="AL23" i="3"/>
  <c r="F18" i="2"/>
  <c r="AU95" i="3"/>
  <c r="AO80" i="3"/>
  <c r="AX64" i="3"/>
  <c r="AX48" i="3"/>
  <c r="AX37" i="3"/>
  <c r="AX29" i="3"/>
  <c r="AX21" i="3"/>
  <c r="AK77" i="3"/>
  <c r="AH52" i="3"/>
  <c r="AG36" i="3"/>
  <c r="AU23" i="3"/>
  <c r="AX57" i="3"/>
  <c r="AN31" i="3"/>
  <c r="AN23" i="3"/>
  <c r="J18" i="2"/>
  <c r="AY78" i="3"/>
  <c r="AL39" i="3"/>
  <c r="AU18" i="3"/>
  <c r="D154" i="7"/>
  <c r="E154" i="7" s="1"/>
  <c r="D97" i="7"/>
  <c r="I81" i="7"/>
  <c r="D169" i="7"/>
  <c r="D82" i="7"/>
  <c r="E82" i="7" s="1"/>
  <c r="D75" i="7"/>
  <c r="E75" i="7" s="1"/>
  <c r="H76" i="7"/>
  <c r="I76" i="7" s="1"/>
  <c r="I33" i="7"/>
  <c r="AW99" i="3"/>
  <c r="AS78" i="3"/>
  <c r="D141" i="7"/>
  <c r="H95" i="7"/>
  <c r="D192" i="7"/>
  <c r="I66" i="7"/>
  <c r="AS93" i="3"/>
  <c r="D174" i="7"/>
  <c r="H84" i="7"/>
  <c r="I84" i="7" s="1"/>
  <c r="I105" i="7"/>
  <c r="D72" i="7"/>
  <c r="D133" i="7"/>
  <c r="H103" i="7"/>
  <c r="E147" i="7"/>
  <c r="E35" i="7"/>
  <c r="C10" i="6"/>
  <c r="AI97" i="3"/>
  <c r="AH81" i="3"/>
  <c r="AR103" i="3"/>
  <c r="AN102" i="3"/>
  <c r="AN86" i="3"/>
  <c r="AW69" i="3"/>
  <c r="AW53" i="3"/>
  <c r="AK101" i="3"/>
  <c r="AO77" i="3"/>
  <c r="AL67" i="3"/>
  <c r="AL57" i="3"/>
  <c r="AL49" i="3"/>
  <c r="AQ80" i="3"/>
  <c r="AV101" i="3"/>
  <c r="AV93" i="3"/>
  <c r="AV85" i="3"/>
  <c r="AU77" i="3"/>
  <c r="AO69" i="3"/>
  <c r="AO61" i="3"/>
  <c r="AO53" i="3"/>
  <c r="AO45" i="3"/>
  <c r="AK100" i="3"/>
  <c r="AK84" i="3"/>
  <c r="AU74" i="3"/>
  <c r="AU66" i="3"/>
  <c r="AU58" i="3"/>
  <c r="AU52" i="3"/>
  <c r="AU46" i="3"/>
  <c r="AO101" i="3"/>
  <c r="AH106" i="3"/>
  <c r="AH93" i="3"/>
  <c r="AH83" i="3"/>
  <c r="AS72" i="3"/>
  <c r="AS60" i="3"/>
  <c r="AS50" i="3"/>
  <c r="AX106" i="3"/>
  <c r="AX82" i="3"/>
  <c r="AG72" i="3"/>
  <c r="AG62" i="3"/>
  <c r="AG50" i="3"/>
  <c r="AG43" i="3"/>
  <c r="AL92" i="3"/>
  <c r="AR67" i="3"/>
  <c r="AR57" i="3"/>
  <c r="AR47" i="3"/>
  <c r="AI39" i="3"/>
  <c r="AI34" i="3"/>
  <c r="AI30" i="3"/>
  <c r="AI26" i="3"/>
  <c r="AI22" i="3"/>
  <c r="AI18" i="3"/>
  <c r="AH60" i="3"/>
  <c r="AQ34" i="3"/>
  <c r="AL16" i="3"/>
  <c r="AL95" i="3"/>
  <c r="AO99" i="3"/>
  <c r="AH109" i="3"/>
  <c r="AR98" i="3"/>
  <c r="AR90" i="3"/>
  <c r="AR82" i="3"/>
  <c r="AI74" i="3"/>
  <c r="AI66" i="3"/>
  <c r="AI58" i="3"/>
  <c r="AI50" i="3"/>
  <c r="AL110" i="3"/>
  <c r="AX93" i="3"/>
  <c r="AY79" i="3"/>
  <c r="AQ71" i="3"/>
  <c r="AQ63" i="3"/>
  <c r="AQ55" i="3"/>
  <c r="AG48" i="3"/>
  <c r="AU42" i="3"/>
  <c r="AQ95" i="3"/>
  <c r="AN79" i="3"/>
  <c r="AH65" i="3"/>
  <c r="AH57" i="3"/>
  <c r="AH49" i="3"/>
  <c r="AW41" i="3"/>
  <c r="AW37" i="3"/>
  <c r="AW33" i="3"/>
  <c r="AW29" i="3"/>
  <c r="AW25" i="3"/>
  <c r="AW21" i="3"/>
  <c r="AW17" i="3"/>
  <c r="AV57" i="3"/>
  <c r="AU33" i="3"/>
  <c r="C18" i="1"/>
  <c r="AO89" i="3"/>
  <c r="AN104" i="3"/>
  <c r="AH96" i="3"/>
  <c r="AH88" i="3"/>
  <c r="AW79" i="3"/>
  <c r="AS71" i="3"/>
  <c r="AS63" i="3"/>
  <c r="AS55" i="3"/>
  <c r="AS47" i="3"/>
  <c r="AX104" i="3"/>
  <c r="AX88" i="3"/>
  <c r="AI77" i="3"/>
  <c r="E130" i="7"/>
  <c r="D43" i="7"/>
  <c r="E43" i="7" s="1"/>
  <c r="AX75" i="3"/>
  <c r="AS110" i="3"/>
  <c r="D52" i="7"/>
  <c r="D69" i="7"/>
  <c r="AW78" i="3"/>
  <c r="AW67" i="3"/>
  <c r="AL65" i="3"/>
  <c r="AV100" i="3"/>
  <c r="AO68" i="3"/>
  <c r="AK98" i="3"/>
  <c r="AU57" i="3"/>
  <c r="AH101" i="3"/>
  <c r="AS58" i="3"/>
  <c r="AG70" i="3"/>
  <c r="AL84" i="3"/>
  <c r="AI38" i="3"/>
  <c r="AI21" i="3"/>
  <c r="AL107" i="3"/>
  <c r="AR96" i="3"/>
  <c r="AI64" i="3"/>
  <c r="AX89" i="3"/>
  <c r="AQ53" i="3"/>
  <c r="AN74" i="3"/>
  <c r="AW40" i="3"/>
  <c r="AW24" i="3"/>
  <c r="AL29" i="3"/>
  <c r="AH94" i="3"/>
  <c r="AS61" i="3"/>
  <c r="AX84" i="3"/>
  <c r="AG61" i="3"/>
  <c r="AL46" i="3"/>
  <c r="AU98" i="3"/>
  <c r="AR73" i="3"/>
  <c r="AV60" i="3"/>
  <c r="AV50" i="3"/>
  <c r="AS40" i="3"/>
  <c r="AS35" i="3"/>
  <c r="AS30" i="3"/>
  <c r="AS24" i="3"/>
  <c r="AS19" i="3"/>
  <c r="AV63" i="3"/>
  <c r="AU28" i="3"/>
  <c r="AU101" i="3"/>
  <c r="AW80" i="3"/>
  <c r="AX55" i="3"/>
  <c r="AR40" i="3"/>
  <c r="AR35" i="3"/>
  <c r="AO95" i="3"/>
  <c r="AV103" i="3"/>
  <c r="AR93" i="3"/>
  <c r="AU81" i="3"/>
  <c r="AI71" i="3"/>
  <c r="AI61" i="3"/>
  <c r="AI49" i="3"/>
  <c r="AX103" i="3"/>
  <c r="AX83" i="3"/>
  <c r="AQ70" i="3"/>
  <c r="AQ60" i="3"/>
  <c r="AQ50" i="3"/>
  <c r="AG109" i="3"/>
  <c r="AG89" i="3"/>
  <c r="AV68" i="3"/>
  <c r="AN56" i="3"/>
  <c r="AN46" i="3"/>
  <c r="AO39" i="3"/>
  <c r="AO33" i="3"/>
  <c r="AO28" i="3"/>
  <c r="AO23" i="3"/>
  <c r="AO17" i="3"/>
  <c r="AH46" i="3"/>
  <c r="AQ23" i="3"/>
  <c r="AG92" i="3"/>
  <c r="AH70" i="3"/>
  <c r="AK50" i="3"/>
  <c r="AN38" i="3"/>
  <c r="AQ102" i="3"/>
  <c r="AK52" i="3"/>
  <c r="AH33" i="3"/>
  <c r="AR27" i="3"/>
  <c r="AR22" i="3"/>
  <c r="AR16" i="3"/>
  <c r="AU96" i="3"/>
  <c r="AV74" i="3"/>
  <c r="AG42" i="3"/>
  <c r="AG29" i="3"/>
  <c r="AL17" i="3"/>
  <c r="AU91" i="3"/>
  <c r="AH72" i="3"/>
  <c r="AX52" i="3"/>
  <c r="AX35" i="3"/>
  <c r="AX25" i="3"/>
  <c r="B8" i="3"/>
  <c r="AR46" i="3"/>
  <c r="AG32" i="3"/>
  <c r="AN73" i="3"/>
  <c r="AN29" i="3"/>
  <c r="AN19" i="3"/>
  <c r="AG87" i="3"/>
  <c r="AL33" i="3"/>
  <c r="AG102" i="3"/>
  <c r="AN71" i="3"/>
  <c r="AK41" i="3"/>
  <c r="AK25" i="3"/>
  <c r="AQ38" i="3"/>
  <c r="AQ82" i="3"/>
  <c r="AK48" i="3"/>
  <c r="AV35" i="3"/>
  <c r="AH30" i="3"/>
  <c r="AH26" i="3"/>
  <c r="AH22" i="3"/>
  <c r="AH18" i="3"/>
  <c r="AU108" i="3"/>
  <c r="AL90" i="3"/>
  <c r="AV70" i="3"/>
  <c r="AV49" i="3"/>
  <c r="AL36" i="3"/>
  <c r="AL25" i="3"/>
  <c r="AG16" i="3"/>
  <c r="AL97" i="3"/>
  <c r="AG82" i="3"/>
  <c r="AX66" i="3"/>
  <c r="AX50" i="3"/>
  <c r="AX38" i="3"/>
  <c r="AX30" i="3"/>
  <c r="AX22" i="3"/>
  <c r="C17" i="1"/>
  <c r="AH54" i="3"/>
  <c r="AQ37" i="3"/>
  <c r="AL27" i="3"/>
  <c r="AQ16" i="3"/>
  <c r="AN45" i="3"/>
  <c r="AQ17" i="3"/>
  <c r="AX61" i="3"/>
  <c r="AH39" i="3"/>
  <c r="AH32" i="3"/>
  <c r="AV27" i="3"/>
  <c r="AV23" i="3"/>
  <c r="AV19" i="3"/>
  <c r="H9" i="3"/>
  <c r="AQ97" i="3"/>
  <c r="AS80" i="3"/>
  <c r="AN59" i="3"/>
  <c r="AQ40" i="3"/>
  <c r="AU29" i="3"/>
  <c r="AU19" i="3"/>
  <c r="AQ104" i="3"/>
  <c r="AQ88" i="3"/>
  <c r="AV73" i="3"/>
  <c r="AK57" i="3"/>
  <c r="AK42" i="3"/>
  <c r="AK34" i="3"/>
  <c r="AK26" i="3"/>
  <c r="AK18" i="3"/>
  <c r="AN65" i="3"/>
  <c r="AR42" i="3"/>
  <c r="AQ32" i="3"/>
  <c r="AG22" i="3"/>
  <c r="AQ21" i="3"/>
  <c r="AH40" i="3"/>
  <c r="AN28" i="3"/>
  <c r="AN20" i="3"/>
  <c r="AU100" i="3"/>
  <c r="AN61" i="3"/>
  <c r="AU30" i="3"/>
  <c r="AG106" i="3"/>
  <c r="AN75" i="3"/>
  <c r="AK43" i="3"/>
  <c r="AK27" i="3"/>
  <c r="AH56" i="3"/>
  <c r="H42" i="7"/>
  <c r="I42" i="7" s="1"/>
  <c r="E134" i="7"/>
  <c r="D203" i="7"/>
  <c r="AS90" i="3"/>
  <c r="D49" i="7"/>
  <c r="U65" i="6"/>
  <c r="AO106" i="3"/>
  <c r="AW51" i="3"/>
  <c r="AL56" i="3"/>
  <c r="AV92" i="3"/>
  <c r="AO60" i="3"/>
  <c r="AK82" i="3"/>
  <c r="AU50" i="3"/>
  <c r="AH91" i="3"/>
  <c r="AS48" i="3"/>
  <c r="AG58" i="3"/>
  <c r="AR65" i="3"/>
  <c r="AI17" i="3"/>
  <c r="AL91" i="3"/>
  <c r="AR88" i="3"/>
  <c r="AI56" i="3"/>
  <c r="AS77" i="3"/>
  <c r="AQ46" i="3"/>
  <c r="AH63" i="3"/>
  <c r="AW36" i="3"/>
  <c r="AW20" i="3"/>
  <c r="AH86" i="3"/>
  <c r="AG75" i="3"/>
  <c r="AG45" i="3"/>
  <c r="AR69" i="3"/>
  <c r="AV46" i="3"/>
  <c r="AS34" i="3"/>
  <c r="AS23" i="3"/>
  <c r="AH48" i="3"/>
  <c r="AV71" i="3"/>
  <c r="AR39" i="3"/>
  <c r="AR33" i="3"/>
  <c r="AR101" i="3"/>
  <c r="AO79" i="3"/>
  <c r="AI57" i="3"/>
  <c r="AX99" i="3"/>
  <c r="AQ68" i="3"/>
  <c r="AL47" i="3"/>
  <c r="AG85" i="3"/>
  <c r="AN54" i="3"/>
  <c r="AO37" i="3"/>
  <c r="AO27" i="3"/>
  <c r="AO16" i="3"/>
  <c r="AG108" i="3"/>
  <c r="AK66" i="3"/>
  <c r="AN37" i="3"/>
  <c r="AV40" i="3"/>
  <c r="AR26" i="3"/>
  <c r="J25" i="2"/>
  <c r="AR62" i="3"/>
  <c r="AQ26" i="3"/>
  <c r="AU87" i="3"/>
  <c r="AX44" i="3"/>
  <c r="AX23" i="3"/>
  <c r="AL41" i="3"/>
  <c r="AH42" i="3"/>
  <c r="AN17" i="3"/>
  <c r="AL28" i="3"/>
  <c r="AK63" i="3"/>
  <c r="AK19" i="3"/>
  <c r="AR72" i="3"/>
  <c r="AV33" i="3"/>
  <c r="AH25" i="3"/>
  <c r="AH17" i="3"/>
  <c r="AL86" i="3"/>
  <c r="AV43" i="3"/>
  <c r="AL22" i="3"/>
  <c r="AL93" i="3"/>
  <c r="AX62" i="3"/>
  <c r="AX36" i="3"/>
  <c r="AX20" i="3"/>
  <c r="AR48" i="3"/>
  <c r="AU24" i="3"/>
  <c r="AU35" i="3"/>
  <c r="AX53" i="3"/>
  <c r="AV30" i="3"/>
  <c r="AV22" i="3"/>
  <c r="AV18" i="3"/>
  <c r="AQ93" i="3"/>
  <c r="D122" i="7"/>
  <c r="E122" i="7" s="1"/>
  <c r="H202" i="7"/>
  <c r="AW96" i="3"/>
  <c r="D80" i="7"/>
  <c r="H52" i="7"/>
  <c r="I52" i="7" s="1"/>
  <c r="H194" i="7"/>
  <c r="AI95" i="3"/>
  <c r="AN84" i="3"/>
  <c r="AN76" i="3"/>
  <c r="AL76" i="3"/>
  <c r="AX76" i="3"/>
  <c r="AO44" i="3"/>
  <c r="AU65" i="3"/>
  <c r="AO93" i="3"/>
  <c r="AS68" i="3"/>
  <c r="AN80" i="3"/>
  <c r="AL108" i="3"/>
  <c r="AR43" i="3"/>
  <c r="AI25" i="3"/>
  <c r="AL30" i="3"/>
  <c r="AH105" i="3"/>
  <c r="AI72" i="3"/>
  <c r="AX105" i="3"/>
  <c r="AQ61" i="3"/>
  <c r="AQ91" i="3"/>
  <c r="AH47" i="3"/>
  <c r="AW28" i="3"/>
  <c r="AH50" i="3"/>
  <c r="AH102" i="3"/>
  <c r="AS69" i="3"/>
  <c r="AX100" i="3"/>
  <c r="AG67" i="3"/>
  <c r="AG51" i="3"/>
  <c r="AU102" i="3"/>
  <c r="AU82" i="3"/>
  <c r="AV62" i="3"/>
  <c r="AV52" i="3"/>
  <c r="AV42" i="3"/>
  <c r="AS36" i="3"/>
  <c r="AS31" i="3"/>
  <c r="AS26" i="3"/>
  <c r="AS20" i="3"/>
  <c r="N18" i="2"/>
  <c r="AQ36" i="3"/>
  <c r="AU105" i="3"/>
  <c r="AU85" i="3"/>
  <c r="AX63" i="3"/>
  <c r="AR41" i="3"/>
  <c r="AR36" i="3"/>
  <c r="AR31" i="3"/>
  <c r="AH107" i="3"/>
  <c r="AR95" i="3"/>
  <c r="AR85" i="3"/>
  <c r="AI73" i="3"/>
  <c r="AI63" i="3"/>
  <c r="AI53" i="3"/>
  <c r="AX107" i="3"/>
  <c r="AX87" i="3"/>
  <c r="AQ74" i="3"/>
  <c r="AQ62" i="3"/>
  <c r="AQ52" i="3"/>
  <c r="AQ44" i="3"/>
  <c r="AG93" i="3"/>
  <c r="AV72" i="3"/>
  <c r="AN60" i="3"/>
  <c r="AN48" i="3"/>
  <c r="AO40" i="3"/>
  <c r="AO35" i="3"/>
  <c r="AO29" i="3"/>
  <c r="AO24" i="3"/>
  <c r="AO19" i="3"/>
  <c r="AR54" i="3"/>
  <c r="AG27" i="3"/>
  <c r="AG100" i="3"/>
  <c r="AH74" i="3"/>
  <c r="AK54" i="3"/>
  <c r="AN40" i="3"/>
  <c r="AN34" i="3"/>
  <c r="AK60" i="3"/>
  <c r="AV36" i="3"/>
  <c r="AR28" i="3"/>
  <c r="AR23" i="3"/>
  <c r="AR18" i="3"/>
  <c r="AL102" i="3"/>
  <c r="AV79" i="3"/>
  <c r="AR52" i="3"/>
  <c r="AL31" i="3"/>
  <c r="AG19" i="3"/>
  <c r="AU99" i="3"/>
  <c r="AI76" i="3"/>
  <c r="AX56" i="3"/>
  <c r="AX39" i="3"/>
  <c r="AX27" i="3"/>
  <c r="AX17" i="3"/>
  <c r="AN57" i="3"/>
  <c r="AG34" i="3"/>
  <c r="AL83" i="3"/>
  <c r="AH34" i="3"/>
  <c r="AN21" i="3"/>
  <c r="AG95" i="3"/>
  <c r="AV45" i="3"/>
  <c r="AN110" i="3"/>
  <c r="AR79" i="3"/>
  <c r="AK47" i="3"/>
  <c r="AK29" i="3"/>
  <c r="AR50" i="3"/>
  <c r="AQ94" i="3"/>
  <c r="AK56" i="3"/>
  <c r="AV37" i="3"/>
  <c r="AH31" i="3"/>
  <c r="AH27" i="3"/>
  <c r="AH23" i="3"/>
  <c r="AH19" i="3"/>
  <c r="F21" i="1"/>
  <c r="AL94" i="3"/>
  <c r="AG78" i="3"/>
  <c r="AN55" i="3"/>
  <c r="AU38" i="3"/>
  <c r="AG28" i="3"/>
  <c r="AL18" i="3"/>
  <c r="AL101" i="3"/>
  <c r="AL85" i="3"/>
  <c r="AR70" i="3"/>
  <c r="AX54" i="3"/>
  <c r="AX40" i="3"/>
  <c r="AX32" i="3"/>
  <c r="AX24" i="3"/>
  <c r="AX16" i="3"/>
  <c r="AV59" i="3"/>
  <c r="AG40" i="3"/>
  <c r="AQ30" i="3"/>
  <c r="AU20" i="3"/>
  <c r="AV61" i="3"/>
  <c r="AQ25" i="3"/>
  <c r="AN69" i="3"/>
  <c r="AH41" i="3"/>
  <c r="AN33" i="3"/>
  <c r="AV28" i="3"/>
  <c r="AV24" i="3"/>
  <c r="AV20" i="3"/>
  <c r="AV16" i="3"/>
  <c r="AG103" i="3"/>
  <c r="AQ85" i="3"/>
  <c r="AN63" i="3"/>
  <c r="AN43" i="3"/>
  <c r="AU31" i="3"/>
  <c r="AU21" i="3"/>
  <c r="AQ108" i="3"/>
  <c r="AQ92" i="3"/>
  <c r="AX77" i="3"/>
  <c r="AK61" i="3"/>
  <c r="AK45" i="3"/>
  <c r="AK36" i="3"/>
  <c r="AK28" i="3"/>
  <c r="AK20" i="3"/>
  <c r="AR71" i="3"/>
  <c r="AN47" i="3"/>
  <c r="AU34" i="3"/>
  <c r="AL24" i="3"/>
  <c r="AL26" i="3"/>
  <c r="AX49" i="3"/>
  <c r="AN30" i="3"/>
  <c r="AN22" i="3"/>
  <c r="AQ109" i="3"/>
  <c r="AN72" i="3"/>
  <c r="AL37" i="3"/>
  <c r="AU16" i="3"/>
  <c r="AY82" i="3"/>
  <c r="AK51" i="3"/>
  <c r="AK31" i="3"/>
  <c r="AV67" i="3"/>
  <c r="AG23" i="3"/>
  <c r="AI33" i="3"/>
  <c r="AQ106" i="3"/>
  <c r="AS53" i="3"/>
  <c r="AG59" i="3"/>
  <c r="AU90" i="3"/>
  <c r="AV58" i="3"/>
  <c r="AS39" i="3"/>
  <c r="AS28" i="3"/>
  <c r="AS18" i="3"/>
  <c r="AG24" i="3"/>
  <c r="AU97" i="3"/>
  <c r="AX51" i="3"/>
  <c r="AO87" i="3"/>
  <c r="AR89" i="3"/>
  <c r="AI69" i="3"/>
  <c r="AI47" i="3"/>
  <c r="AG79" i="3"/>
  <c r="AQ58" i="3"/>
  <c r="AG105" i="3"/>
  <c r="AN64" i="3"/>
  <c r="AN44" i="3"/>
  <c r="AO32" i="3"/>
  <c r="AO21" i="3"/>
  <c r="AU40" i="3"/>
  <c r="AG88" i="3"/>
  <c r="AN42" i="3"/>
  <c r="AQ86" i="3"/>
  <c r="AV31" i="3"/>
  <c r="AR20" i="3"/>
  <c r="AU92" i="3"/>
  <c r="AU39" i="3"/>
  <c r="AU107" i="3"/>
  <c r="AH68" i="3"/>
  <c r="AX33" i="3"/>
  <c r="AH69" i="3"/>
  <c r="AQ28" i="3"/>
  <c r="AN27" i="3"/>
  <c r="AH66" i="3"/>
  <c r="AG94" i="3"/>
  <c r="AK37" i="3"/>
  <c r="AU27" i="3"/>
  <c r="AV41" i="3"/>
  <c r="AH29" i="3"/>
  <c r="AH21" i="3"/>
  <c r="AU104" i="3"/>
  <c r="AR64" i="3"/>
  <c r="AL32" i="3"/>
  <c r="AL109" i="3"/>
  <c r="AU78" i="3"/>
  <c r="AX46" i="3"/>
  <c r="AX28" i="3"/>
  <c r="AH73" i="3"/>
  <c r="AG35" i="3"/>
  <c r="AK21" i="3"/>
  <c r="AQ90" i="3"/>
  <c r="AH37" i="3"/>
  <c r="AV26" i="3"/>
  <c r="B11" i="1"/>
  <c r="AO76" i="3"/>
  <c r="AL38" i="3"/>
  <c r="D137" i="7"/>
  <c r="D199" i="7"/>
  <c r="AO108" i="3"/>
  <c r="AU45" i="3"/>
  <c r="AR55" i="3"/>
  <c r="AX80" i="3"/>
  <c r="AH55" i="3"/>
  <c r="AY77" i="3"/>
  <c r="AU106" i="3"/>
  <c r="AV44" i="3"/>
  <c r="AS22" i="3"/>
  <c r="AU89" i="3"/>
  <c r="AR32" i="3"/>
  <c r="AQ77" i="3"/>
  <c r="AX91" i="3"/>
  <c r="AG46" i="3"/>
  <c r="AN52" i="3"/>
  <c r="AO25" i="3"/>
  <c r="AG104" i="3"/>
  <c r="AN36" i="3"/>
  <c r="AR24" i="3"/>
  <c r="AH58" i="3"/>
  <c r="AU83" i="3"/>
  <c r="AX19" i="3"/>
  <c r="AH38" i="3"/>
  <c r="AU22" i="3"/>
  <c r="E28" i="1"/>
  <c r="AN32" i="3"/>
  <c r="AH16" i="3"/>
  <c r="AG41" i="3"/>
  <c r="AL89" i="3"/>
  <c r="AX34" i="3"/>
  <c r="AH44" i="3"/>
  <c r="AQ33" i="3"/>
  <c r="AV29" i="3"/>
  <c r="AG107" i="3"/>
  <c r="AN49" i="3"/>
  <c r="AU17" i="3"/>
  <c r="AQ84" i="3"/>
  <c r="AK53" i="3"/>
  <c r="AK32" i="3"/>
  <c r="AK16" i="3"/>
  <c r="AQ39" i="3"/>
  <c r="AQ19" i="3"/>
  <c r="AH36" i="3"/>
  <c r="AN18" i="3"/>
  <c r="AN51" i="3"/>
  <c r="AG98" i="3"/>
  <c r="AK39" i="3"/>
  <c r="AL40" i="3"/>
  <c r="AV84" i="3"/>
  <c r="AL81" i="3"/>
  <c r="AI48" i="3"/>
  <c r="AW32" i="3"/>
  <c r="AS45" i="3"/>
  <c r="AU86" i="3"/>
  <c r="AS16" i="3"/>
  <c r="AX67" i="3"/>
  <c r="AK79" i="3"/>
  <c r="AR76" i="3"/>
  <c r="AG101" i="3"/>
  <c r="AO20" i="3"/>
  <c r="AG84" i="3"/>
  <c r="AR19" i="3"/>
  <c r="AU37" i="3"/>
  <c r="AH64" i="3"/>
  <c r="AN25" i="3"/>
  <c r="AG86" i="3"/>
  <c r="AH28" i="3"/>
  <c r="AG99" i="3"/>
  <c r="AR74" i="3"/>
  <c r="AX26" i="3"/>
  <c r="AG33" i="3"/>
  <c r="AV25" i="3"/>
  <c r="AQ89" i="3"/>
  <c r="H8" i="3"/>
  <c r="AK81" i="3"/>
  <c r="AK30" i="3"/>
  <c r="AQ101" i="3"/>
  <c r="E3" i="2"/>
  <c r="AN16" i="3"/>
  <c r="AU41" i="3"/>
  <c r="AK35" i="3"/>
  <c r="AQ31" i="3"/>
  <c r="AK59" i="3"/>
  <c r="D29" i="7"/>
  <c r="E40" i="7"/>
  <c r="AI29" i="3"/>
  <c r="AS38" i="3"/>
  <c r="AI65" i="3"/>
  <c r="AO41" i="3"/>
  <c r="AR68" i="3"/>
  <c r="AX60" i="3"/>
  <c r="AG21" i="3"/>
  <c r="AG30" i="3"/>
  <c r="AL78" i="3"/>
  <c r="AL35" i="3"/>
  <c r="AK49" i="3"/>
  <c r="AU36" i="3"/>
  <c r="AV32" i="3"/>
  <c r="AG90" i="3"/>
  <c r="H146" i="7"/>
  <c r="AN100" i="3"/>
  <c r="AO52" i="3"/>
  <c r="AX98" i="3"/>
  <c r="AV51" i="3"/>
  <c r="AQ69" i="3"/>
  <c r="AW16" i="3"/>
  <c r="AG69" i="3"/>
  <c r="AV66" i="3"/>
  <c r="AS32" i="3"/>
  <c r="AQ41" i="3"/>
  <c r="AX47" i="3"/>
  <c r="AR97" i="3"/>
  <c r="AI55" i="3"/>
  <c r="AQ66" i="3"/>
  <c r="AW76" i="3"/>
  <c r="AO36" i="3"/>
  <c r="F12" i="1"/>
  <c r="AK58" i="3"/>
  <c r="AV38" i="3"/>
  <c r="AV110" i="3"/>
  <c r="AL21" i="3"/>
  <c r="AX41" i="3"/>
  <c r="AG39" i="3"/>
  <c r="AQ105" i="3"/>
  <c r="AK55" i="3"/>
  <c r="AK64" i="3"/>
  <c r="AH24" i="3"/>
  <c r="AL82" i="3"/>
  <c r="AL20" i="3"/>
  <c r="AX58" i="3"/>
  <c r="AX18" i="3"/>
  <c r="AQ22" i="3"/>
  <c r="AX45" i="3"/>
  <c r="AV21" i="3"/>
  <c r="AN68" i="3"/>
  <c r="AQ27" i="3"/>
  <c r="AQ100" i="3"/>
  <c r="AV69" i="3"/>
  <c r="AK40" i="3"/>
  <c r="AK24" i="3"/>
  <c r="AR58" i="3"/>
  <c r="AQ29" i="3"/>
  <c r="AQ98" i="3"/>
  <c r="AN26" i="3"/>
  <c r="AG91" i="3"/>
  <c r="AU25" i="3"/>
  <c r="AK67" i="3"/>
  <c r="AK23" i="3"/>
  <c r="D126" i="7"/>
  <c r="E126" i="7" s="1"/>
  <c r="AK97" i="3"/>
  <c r="AU73" i="3"/>
  <c r="AL48" i="3"/>
  <c r="AO91" i="3"/>
  <c r="AQ107" i="3"/>
  <c r="AN81" i="3"/>
  <c r="AG53" i="3"/>
  <c r="AV54" i="3"/>
  <c r="AS27" i="3"/>
  <c r="AQ18" i="3"/>
  <c r="AR37" i="3"/>
  <c r="AR87" i="3"/>
  <c r="AI45" i="3"/>
  <c r="AQ54" i="3"/>
  <c r="AN62" i="3"/>
  <c r="AO31" i="3"/>
  <c r="AG31" i="3"/>
  <c r="AN41" i="3"/>
  <c r="AR30" i="3"/>
  <c r="AU84" i="3"/>
  <c r="AU103" i="3"/>
  <c r="AX31" i="3"/>
  <c r="AG18" i="3"/>
  <c r="AR56" i="3"/>
  <c r="AK33" i="3"/>
  <c r="AV39" i="3"/>
  <c r="AH20" i="3"/>
  <c r="AR60" i="3"/>
  <c r="AL105" i="3"/>
  <c r="AX42" i="3"/>
  <c r="AR66" i="3"/>
  <c r="AR75" i="3"/>
  <c r="AH35" i="3"/>
  <c r="AV17" i="3"/>
  <c r="AV53" i="3"/>
  <c r="AQ24" i="3"/>
  <c r="AQ96" i="3"/>
  <c r="AK65" i="3"/>
  <c r="AK38" i="3"/>
  <c r="AK22" i="3"/>
  <c r="AN53" i="3"/>
  <c r="AU26" i="3"/>
  <c r="AX65" i="3"/>
  <c r="AN24" i="3"/>
  <c r="AG83" i="3"/>
  <c r="AQ20" i="3"/>
  <c r="AK17" i="3"/>
  <c r="E32" i="1" l="1"/>
  <c r="B3" i="3"/>
  <c r="E199" i="7"/>
  <c r="I168" i="7"/>
  <c r="I153" i="7"/>
  <c r="E60" i="7"/>
  <c r="I144" i="7"/>
  <c r="E143" i="7"/>
  <c r="E127" i="7"/>
  <c r="I70" i="7"/>
  <c r="I156" i="7"/>
  <c r="E64" i="7"/>
  <c r="E66" i="7"/>
  <c r="I54" i="7"/>
  <c r="E62" i="7"/>
  <c r="E158" i="7"/>
  <c r="I60" i="7"/>
  <c r="I197" i="7"/>
  <c r="I51" i="7"/>
  <c r="I121" i="7"/>
  <c r="E33" i="7"/>
  <c r="I198" i="7"/>
  <c r="U62" i="6"/>
  <c r="I79" i="7"/>
  <c r="I61" i="7"/>
  <c r="I131" i="7"/>
  <c r="I75" i="7"/>
  <c r="E121" i="7"/>
  <c r="E116" i="7"/>
  <c r="I111" i="7"/>
  <c r="E51" i="7"/>
  <c r="E181" i="7"/>
  <c r="I74" i="7"/>
  <c r="E192" i="7"/>
  <c r="E141" i="7"/>
  <c r="I115" i="7"/>
  <c r="I154" i="7"/>
  <c r="E201" i="7"/>
  <c r="E128" i="7"/>
  <c r="E69" i="7"/>
  <c r="I182" i="7"/>
  <c r="E45" i="7"/>
  <c r="E189" i="7"/>
  <c r="E84" i="7"/>
  <c r="E169" i="7"/>
  <c r="I127" i="7"/>
  <c r="I137" i="7"/>
  <c r="E52" i="7"/>
  <c r="E67" i="7"/>
  <c r="I28" i="7"/>
  <c r="I91" i="7"/>
  <c r="I98" i="7"/>
  <c r="I199" i="7"/>
  <c r="I94" i="7"/>
  <c r="E55" i="7"/>
  <c r="E92" i="7"/>
  <c r="E164" i="7"/>
  <c r="E65" i="7"/>
  <c r="I99" i="7"/>
  <c r="I58" i="7"/>
  <c r="E57" i="7"/>
  <c r="I102" i="7"/>
  <c r="I119" i="7"/>
  <c r="E136" i="7"/>
  <c r="I159" i="7"/>
  <c r="E124" i="7"/>
  <c r="B19" i="2"/>
  <c r="B20" i="6"/>
  <c r="N24" i="2"/>
  <c r="B18" i="2"/>
  <c r="J22" i="2"/>
  <c r="N22" i="2"/>
  <c r="B19" i="6"/>
  <c r="O19" i="6"/>
  <c r="E203" i="7"/>
  <c r="E87" i="7"/>
  <c r="E175" i="7"/>
  <c r="I201" i="7"/>
  <c r="E183" i="7"/>
  <c r="E190" i="7"/>
  <c r="I125" i="7"/>
  <c r="E110" i="7"/>
  <c r="E95" i="7"/>
  <c r="I161" i="7"/>
  <c r="E99" i="7"/>
  <c r="E159" i="7"/>
  <c r="E70" i="7"/>
  <c r="I149" i="7"/>
  <c r="I164" i="7"/>
  <c r="U64" i="6"/>
  <c r="I40" i="7"/>
  <c r="I142" i="7"/>
  <c r="I35" i="7"/>
  <c r="E120" i="7"/>
  <c r="E104" i="7"/>
  <c r="E148" i="7"/>
  <c r="I195" i="7"/>
  <c r="E153" i="7"/>
  <c r="E105" i="7"/>
  <c r="B17" i="5"/>
  <c r="E11" i="6"/>
  <c r="B29" i="6"/>
  <c r="B17" i="6"/>
  <c r="E174" i="7"/>
  <c r="E102" i="7"/>
  <c r="E39" i="7"/>
  <c r="E48" i="7"/>
  <c r="U67" i="6"/>
  <c r="I152" i="7"/>
  <c r="E86" i="7"/>
  <c r="I145" i="7"/>
  <c r="E167" i="7"/>
  <c r="I68" i="7"/>
  <c r="I193" i="7"/>
  <c r="I148" i="7"/>
  <c r="E191" i="7"/>
  <c r="I192" i="7"/>
  <c r="I165" i="7"/>
  <c r="I196" i="7"/>
  <c r="E56" i="7"/>
  <c r="E96" i="7"/>
  <c r="E149" i="7"/>
  <c r="I78" i="7"/>
  <c r="I171" i="7"/>
  <c r="E53" i="7"/>
  <c r="I190" i="7"/>
  <c r="I48" i="7"/>
  <c r="E132" i="7"/>
  <c r="I202" i="7"/>
  <c r="E185" i="7"/>
  <c r="E97" i="7"/>
  <c r="I175" i="7"/>
  <c r="I103" i="7"/>
  <c r="E144" i="7"/>
  <c r="I203" i="7"/>
  <c r="I178" i="7"/>
  <c r="E88" i="7"/>
  <c r="E100" i="7"/>
  <c r="E113" i="7"/>
  <c r="E140" i="7"/>
  <c r="I191" i="7"/>
  <c r="E117" i="7"/>
  <c r="E93" i="7"/>
  <c r="I146" i="7"/>
  <c r="I138" i="7"/>
  <c r="I186" i="7"/>
  <c r="E50" i="7"/>
  <c r="I166" i="7"/>
  <c r="I43" i="7"/>
  <c r="E71" i="7"/>
  <c r="I158" i="7"/>
  <c r="I179" i="7"/>
  <c r="E129" i="7"/>
  <c r="E139" i="7"/>
  <c r="I194" i="7"/>
  <c r="I36" i="7"/>
  <c r="E172" i="7"/>
  <c r="I167" i="7"/>
  <c r="I59" i="7"/>
  <c r="E38" i="7"/>
  <c r="E34" i="7"/>
  <c r="E72" i="7"/>
  <c r="E157" i="7"/>
  <c r="E145" i="7"/>
  <c r="E165" i="7"/>
  <c r="E80" i="7"/>
  <c r="E152" i="7"/>
  <c r="B16" i="5"/>
  <c r="J31" i="2"/>
  <c r="J23" i="2"/>
  <c r="C24" i="1"/>
  <c r="J24" i="2"/>
  <c r="B18" i="5"/>
  <c r="J21" i="2"/>
  <c r="B49" i="6"/>
  <c r="H10" i="3"/>
  <c r="AT60" i="3"/>
  <c r="B40" i="6"/>
  <c r="B64" i="6"/>
  <c r="O64" i="6" s="1"/>
  <c r="B35" i="6"/>
  <c r="B68" i="6"/>
  <c r="B70" i="6"/>
  <c r="AP76" i="3"/>
  <c r="AP57" i="3"/>
  <c r="AE57" i="3" s="1"/>
  <c r="AT99" i="3"/>
  <c r="AP46" i="3"/>
  <c r="AP80" i="3"/>
  <c r="AP16" i="3"/>
  <c r="AT41" i="3"/>
  <c r="AT24" i="3"/>
  <c r="AT26" i="3"/>
  <c r="AT70" i="3"/>
  <c r="AP18" i="3"/>
  <c r="AT75" i="3"/>
  <c r="AT53" i="3"/>
  <c r="AT50" i="3"/>
  <c r="AT82" i="3"/>
  <c r="AP59" i="3"/>
  <c r="AE59" i="3" s="1"/>
  <c r="AP82" i="3"/>
  <c r="AT86" i="3"/>
  <c r="AP87" i="3"/>
  <c r="AP47" i="3"/>
  <c r="AP108" i="3"/>
  <c r="AP28" i="3"/>
  <c r="AT46" i="3"/>
  <c r="AP96" i="3"/>
  <c r="AP33" i="3"/>
  <c r="AE33" i="3" s="1"/>
  <c r="AY33" i="3" s="1"/>
  <c r="AT64" i="3"/>
  <c r="AP58" i="3"/>
  <c r="AT27" i="3"/>
  <c r="AT106" i="3"/>
  <c r="AP104" i="3"/>
  <c r="AE104" i="3" s="1"/>
  <c r="AT93" i="3"/>
  <c r="AP48" i="3"/>
  <c r="AE48" i="3" s="1"/>
  <c r="AP100" i="3"/>
  <c r="AP103" i="3"/>
  <c r="AT110" i="3"/>
  <c r="AT95" i="3"/>
  <c r="AP74" i="3"/>
  <c r="AT66" i="3"/>
  <c r="AT29" i="3"/>
  <c r="AT97" i="3"/>
  <c r="AP110" i="3"/>
  <c r="AP77" i="3"/>
  <c r="AT78" i="3"/>
  <c r="AT91" i="3"/>
  <c r="AP70" i="3"/>
  <c r="AP79" i="3"/>
  <c r="AE108" i="3"/>
  <c r="O29" i="6"/>
  <c r="O20" i="6"/>
  <c r="AE96" i="3"/>
  <c r="O70" i="6"/>
  <c r="AY108" i="3"/>
  <c r="I172" i="7"/>
  <c r="E79" i="7"/>
  <c r="I107" i="7"/>
  <c r="E160" i="7"/>
  <c r="I143" i="7"/>
  <c r="I71" i="7"/>
  <c r="I82" i="7"/>
  <c r="I123" i="7"/>
  <c r="E76" i="7"/>
  <c r="I39" i="7"/>
  <c r="I73" i="7"/>
  <c r="I134" i="7"/>
  <c r="U70" i="6"/>
  <c r="I151" i="7"/>
  <c r="I87" i="7"/>
  <c r="I32" i="7"/>
  <c r="E46" i="7"/>
  <c r="E29" i="7"/>
  <c r="I83" i="7"/>
  <c r="I63" i="7"/>
  <c r="I183" i="7"/>
  <c r="E133" i="7"/>
  <c r="E109" i="7"/>
  <c r="I95" i="7"/>
  <c r="I118" i="7"/>
  <c r="E81" i="7"/>
  <c r="U68" i="6"/>
  <c r="I155" i="7"/>
  <c r="I147" i="7"/>
  <c r="E49" i="7"/>
  <c r="E125" i="7"/>
  <c r="E137" i="7"/>
  <c r="E196" i="7"/>
  <c r="E176" i="7"/>
  <c r="I170" i="7"/>
  <c r="I90" i="7"/>
  <c r="E89" i="7"/>
  <c r="I113" i="7"/>
  <c r="E193" i="7"/>
  <c r="N19" i="2"/>
  <c r="N23" i="2"/>
  <c r="N31" i="2"/>
  <c r="AP101" i="3"/>
  <c r="B61" i="6"/>
  <c r="B53" i="6"/>
  <c r="E94" i="7"/>
  <c r="I176" i="7"/>
  <c r="E151" i="7"/>
  <c r="E54" i="7"/>
  <c r="E78" i="7"/>
  <c r="E36" i="7"/>
  <c r="I160" i="7"/>
  <c r="I177" i="7"/>
  <c r="I200" i="7"/>
  <c r="E171" i="7"/>
  <c r="I188" i="7"/>
  <c r="I180" i="7"/>
  <c r="I184" i="7"/>
  <c r="E83" i="7"/>
  <c r="I181" i="7"/>
  <c r="I62" i="7"/>
  <c r="I162" i="7"/>
  <c r="U66" i="6"/>
  <c r="I44" i="7"/>
  <c r="E108" i="7"/>
  <c r="I106" i="7"/>
  <c r="E173" i="7"/>
  <c r="E85" i="7"/>
  <c r="I150" i="7"/>
  <c r="E168" i="7"/>
  <c r="I47" i="7"/>
  <c r="E131" i="7"/>
  <c r="E41" i="7"/>
  <c r="I174" i="7"/>
  <c r="I122" i="7"/>
  <c r="I77" i="7"/>
  <c r="E180" i="7"/>
  <c r="E68" i="7"/>
  <c r="E188" i="7"/>
  <c r="E161" i="7"/>
  <c r="E115" i="7"/>
  <c r="I110" i="7"/>
  <c r="I31" i="7"/>
  <c r="I187" i="7"/>
  <c r="I126" i="7"/>
  <c r="I163" i="7"/>
  <c r="E200" i="7"/>
  <c r="E123" i="7"/>
  <c r="I55" i="7"/>
  <c r="E61" i="7"/>
  <c r="E73" i="7"/>
  <c r="I130" i="7"/>
  <c r="I114" i="7"/>
  <c r="E177" i="7"/>
  <c r="I135" i="7"/>
  <c r="E197" i="7"/>
  <c r="I129" i="7"/>
  <c r="E184" i="7"/>
  <c r="E30" i="7"/>
  <c r="E37" i="7"/>
  <c r="I86" i="7"/>
  <c r="E112" i="7"/>
  <c r="E77" i="7"/>
  <c r="I57" i="7"/>
  <c r="E42" i="7"/>
  <c r="I139" i="7"/>
  <c r="E156" i="7"/>
  <c r="I67" i="7"/>
  <c r="F34" i="2"/>
  <c r="E11" i="7"/>
  <c r="J19" i="2"/>
  <c r="J20" i="2"/>
  <c r="J28" i="2" s="1"/>
  <c r="J34" i="2" s="1"/>
  <c r="N20" i="2"/>
  <c r="B20" i="2"/>
  <c r="B34" i="2" s="1"/>
  <c r="B8" i="2" s="1"/>
  <c r="B18" i="6"/>
  <c r="O18" i="6" s="1"/>
  <c r="B38" i="6"/>
  <c r="B34" i="6"/>
  <c r="O34" i="6" s="1"/>
  <c r="AT98" i="3"/>
  <c r="B62" i="6"/>
  <c r="O62" i="6" s="1"/>
  <c r="B52" i="6"/>
  <c r="O52" i="6" s="1"/>
  <c r="B67" i="6"/>
  <c r="B44" i="6"/>
  <c r="B63" i="6"/>
  <c r="O63" i="6" s="1"/>
  <c r="AT22" i="3"/>
  <c r="AT34" i="3"/>
  <c r="AP31" i="3"/>
  <c r="AE31" i="3" s="1"/>
  <c r="AP20" i="3"/>
  <c r="AP44" i="3"/>
  <c r="AE44" i="3" s="1"/>
  <c r="AY44" i="3" s="1"/>
  <c r="AT30" i="3"/>
  <c r="AP26" i="3"/>
  <c r="AT107" i="3"/>
  <c r="AT101" i="3"/>
  <c r="AP30" i="3"/>
  <c r="AE30" i="3" s="1"/>
  <c r="AY30" i="3" s="1"/>
  <c r="AT36" i="3"/>
  <c r="AP19" i="3"/>
  <c r="AE19" i="3" s="1"/>
  <c r="AT84" i="3"/>
  <c r="AP95" i="3"/>
  <c r="AP73" i="3"/>
  <c r="AE73" i="3" s="1"/>
  <c r="AT89" i="3"/>
  <c r="AP68" i="3"/>
  <c r="AE68" i="3" s="1"/>
  <c r="AY68" i="3" s="1"/>
  <c r="AT74" i="3"/>
  <c r="AP56" i="3"/>
  <c r="AT83" i="3"/>
  <c r="AT45" i="3"/>
  <c r="AT42" i="3"/>
  <c r="AT63" i="3"/>
  <c r="AP53" i="3"/>
  <c r="AT49" i="3"/>
  <c r="AP98" i="3"/>
  <c r="AE98" i="3" s="1"/>
  <c r="AY98" i="3" s="1"/>
  <c r="AP105" i="3"/>
  <c r="AE105" i="3" s="1"/>
  <c r="AT96" i="3"/>
  <c r="AT62" i="3"/>
  <c r="AT39" i="3"/>
  <c r="AP49" i="3"/>
  <c r="AT76" i="3"/>
  <c r="B76" i="3" s="1"/>
  <c r="AT35" i="3"/>
  <c r="AT59" i="3"/>
  <c r="AP50" i="3"/>
  <c r="AP27" i="3"/>
  <c r="AE27" i="3" s="1"/>
  <c r="AY27" i="3" s="1"/>
  <c r="AT23" i="3"/>
  <c r="AT77" i="3"/>
  <c r="B77" i="3" s="1"/>
  <c r="AP66" i="3"/>
  <c r="AP29" i="3"/>
  <c r="AT25" i="3"/>
  <c r="AT109" i="3"/>
  <c r="AP22" i="3"/>
  <c r="AE22" i="3" s="1"/>
  <c r="AP23" i="3"/>
  <c r="AT19" i="3"/>
  <c r="AP36" i="3"/>
  <c r="AE58" i="3"/>
  <c r="O61" i="6"/>
  <c r="O49" i="6"/>
  <c r="O44" i="6"/>
  <c r="AE28" i="3"/>
  <c r="O40" i="6"/>
  <c r="AE29" i="3"/>
  <c r="AY29" i="3" s="1"/>
  <c r="AE100" i="3"/>
  <c r="AY100" i="3" s="1"/>
  <c r="O38" i="6"/>
  <c r="AE87" i="3"/>
  <c r="AY87" i="3" s="1"/>
  <c r="O67" i="6"/>
  <c r="AE23" i="3"/>
  <c r="AY23" i="3" s="1"/>
  <c r="O68" i="6"/>
  <c r="AE50" i="3"/>
  <c r="AY50" i="3" s="1"/>
  <c r="AE110" i="3"/>
  <c r="O35" i="6"/>
  <c r="AY110" i="3"/>
  <c r="AY22" i="3"/>
  <c r="AY57" i="3"/>
  <c r="AY59" i="3"/>
  <c r="AY104" i="3"/>
  <c r="E101" i="7"/>
  <c r="N21" i="2"/>
  <c r="N28" i="2" s="1"/>
  <c r="N34" i="2" s="1"/>
  <c r="E8" i="2" s="1"/>
  <c r="E10" i="5"/>
  <c r="B45" i="6"/>
  <c r="O45" i="6" s="1"/>
  <c r="B50" i="6"/>
  <c r="O50" i="6" s="1"/>
  <c r="AP72" i="3"/>
  <c r="AE72" i="3" s="1"/>
  <c r="AY72" i="3" s="1"/>
  <c r="AP61" i="3"/>
  <c r="AE61" i="3" s="1"/>
  <c r="AY61" i="3" s="1"/>
  <c r="AT80" i="3"/>
  <c r="AP64" i="3"/>
  <c r="AE64" i="3" s="1"/>
  <c r="AY64" i="3" s="1"/>
  <c r="AP52" i="3"/>
  <c r="AE52" i="3" s="1"/>
  <c r="AP54" i="3"/>
  <c r="AE54" i="3" s="1"/>
  <c r="AT65" i="3"/>
  <c r="AP39" i="3"/>
  <c r="AE39" i="3" s="1"/>
  <c r="AP88" i="3"/>
  <c r="AP90" i="3"/>
  <c r="AE90" i="3" s="1"/>
  <c r="AY90" i="3" s="1"/>
  <c r="AP84" i="3"/>
  <c r="AE84" i="3" s="1"/>
  <c r="AY84" i="3" s="1"/>
  <c r="AE36" i="3"/>
  <c r="AY36" i="3" s="1"/>
  <c r="AE95" i="3"/>
  <c r="AY95" i="3" s="1"/>
  <c r="AE18" i="3"/>
  <c r="AY18" i="3" s="1"/>
  <c r="AE70" i="3"/>
  <c r="AE88" i="3"/>
  <c r="AY88" i="3" s="1"/>
  <c r="AY39" i="3"/>
  <c r="AT55" i="3"/>
  <c r="AT73" i="3"/>
  <c r="AT37" i="3"/>
  <c r="AT102" i="3"/>
  <c r="AT90" i="3"/>
  <c r="AP71" i="3"/>
  <c r="AE71" i="3" s="1"/>
  <c r="AY71" i="3" s="1"/>
  <c r="AE103" i="3"/>
  <c r="AY103" i="3" s="1"/>
  <c r="AY19" i="3"/>
  <c r="AT18" i="3"/>
  <c r="AP65" i="3"/>
  <c r="AE65" i="3" s="1"/>
  <c r="AP32" i="3"/>
  <c r="AE32" i="3" s="1"/>
  <c r="AY32" i="3" s="1"/>
  <c r="AT57" i="3"/>
  <c r="AT68" i="3"/>
  <c r="AT67" i="3"/>
  <c r="AT28" i="3"/>
  <c r="AP62" i="3"/>
  <c r="AE62" i="3" s="1"/>
  <c r="AY62" i="3" s="1"/>
  <c r="AP40" i="3"/>
  <c r="AE40" i="3" s="1"/>
  <c r="AY40" i="3" s="1"/>
  <c r="AP42" i="3"/>
  <c r="AE42" i="3" s="1"/>
  <c r="AY42" i="3" s="1"/>
  <c r="AT88" i="3"/>
  <c r="AE66" i="3"/>
  <c r="AE26" i="3"/>
  <c r="AY26" i="3" s="1"/>
  <c r="AE74" i="3"/>
  <c r="AY74" i="3" s="1"/>
  <c r="AE53" i="3"/>
  <c r="AY53" i="3" s="1"/>
  <c r="AE46" i="3"/>
  <c r="AY46" i="3" s="1"/>
  <c r="AP45" i="3"/>
  <c r="AE45" i="3" s="1"/>
  <c r="AY45" i="3" s="1"/>
  <c r="AP97" i="3"/>
  <c r="AE97" i="3" s="1"/>
  <c r="AT87" i="3"/>
  <c r="AT38" i="3"/>
  <c r="AT32" i="3"/>
  <c r="AP35" i="3"/>
  <c r="AT52" i="3"/>
  <c r="AP43" i="3"/>
  <c r="AE43" i="3" s="1"/>
  <c r="AY43" i="3" s="1"/>
  <c r="AT47" i="3"/>
  <c r="AT51" i="3"/>
  <c r="AP63" i="3"/>
  <c r="AE63" i="3" s="1"/>
  <c r="AY63" i="3" s="1"/>
  <c r="B30" i="5"/>
  <c r="AE35" i="3"/>
  <c r="AY35" i="3" s="1"/>
  <c r="AE16" i="3"/>
  <c r="AY16" i="3" s="1"/>
  <c r="AE56" i="3"/>
  <c r="AY56" i="3" s="1"/>
  <c r="O17" i="6"/>
  <c r="AE20" i="3"/>
  <c r="AY20" i="3" s="1"/>
  <c r="AE101" i="3"/>
  <c r="AY101" i="3" s="1"/>
  <c r="AY66" i="3"/>
  <c r="AY97" i="3"/>
  <c r="AY54" i="3"/>
  <c r="AE47" i="3"/>
  <c r="AY47" i="3" s="1"/>
  <c r="AY70" i="3"/>
  <c r="AY48" i="3"/>
  <c r="AY28" i="3"/>
  <c r="AY105" i="3"/>
  <c r="AE49" i="3"/>
  <c r="AY49" i="3" s="1"/>
  <c r="AY31" i="3"/>
  <c r="AY96" i="3"/>
  <c r="AY52" i="3"/>
  <c r="AY65" i="3"/>
  <c r="AP106" i="3"/>
  <c r="AE106" i="3" s="1"/>
  <c r="AY106" i="3" s="1"/>
  <c r="AP85" i="3"/>
  <c r="AE85" i="3" s="1"/>
  <c r="AY85" i="3" s="1"/>
  <c r="AT54" i="3"/>
  <c r="AT79" i="3"/>
  <c r="B79" i="3" s="1"/>
  <c r="AP94" i="3"/>
  <c r="AE94" i="3" s="1"/>
  <c r="AY94" i="3" s="1"/>
  <c r="B28" i="5"/>
  <c r="O53" i="6"/>
  <c r="AY73" i="3"/>
  <c r="AY58" i="3"/>
  <c r="B65" i="6"/>
  <c r="O65" i="6" s="1"/>
  <c r="B27" i="6"/>
  <c r="O27" i="6" s="1"/>
  <c r="B31" i="6"/>
  <c r="O31" i="6" s="1"/>
  <c r="B28" i="6"/>
  <c r="O28" i="6" s="1"/>
  <c r="B69" i="6"/>
  <c r="O69" i="6" s="1"/>
  <c r="B66" i="6"/>
  <c r="O66" i="6" s="1"/>
  <c r="AP37" i="3"/>
  <c r="AE37" i="3" s="1"/>
  <c r="AY37" i="3" s="1"/>
  <c r="AP67" i="3"/>
  <c r="AE67" i="3" s="1"/>
  <c r="AY67" i="3" s="1"/>
  <c r="AT58" i="3"/>
  <c r="AT61" i="3"/>
  <c r="AP81" i="3"/>
  <c r="AT40" i="3"/>
  <c r="AP86" i="3"/>
  <c r="AE86" i="3" s="1"/>
  <c r="AY86" i="3" s="1"/>
  <c r="AT94" i="3"/>
  <c r="AT48" i="3"/>
  <c r="AP107" i="3"/>
  <c r="AE107" i="3" s="1"/>
  <c r="AY107" i="3" s="1"/>
  <c r="AP51" i="3"/>
  <c r="AE51" i="3" s="1"/>
  <c r="AY51" i="3" s="1"/>
  <c r="AT92" i="3"/>
  <c r="AT44" i="3"/>
  <c r="AP109" i="3"/>
  <c r="AE109" i="3" s="1"/>
  <c r="AY109" i="3" s="1"/>
  <c r="AT21" i="3"/>
  <c r="AT104" i="3"/>
  <c r="AP25" i="3"/>
  <c r="AE25" i="3" s="1"/>
  <c r="AY25" i="3" s="1"/>
  <c r="AP91" i="3"/>
  <c r="AE91" i="3" s="1"/>
  <c r="AY91" i="3" s="1"/>
  <c r="AP24" i="3"/>
  <c r="AE24" i="3" s="1"/>
  <c r="AY24" i="3" s="1"/>
  <c r="AP93" i="3"/>
  <c r="AE93" i="3" s="1"/>
  <c r="AY93" i="3" s="1"/>
  <c r="AP41" i="3"/>
  <c r="AE41" i="3" s="1"/>
  <c r="AY41" i="3" s="1"/>
  <c r="AT16" i="3"/>
  <c r="AT33" i="3"/>
  <c r="AP99" i="3"/>
  <c r="AE99" i="3" s="1"/>
  <c r="AY99" i="3" s="1"/>
  <c r="AT100" i="3"/>
  <c r="AT103" i="3"/>
  <c r="AP17" i="3"/>
  <c r="AE17" i="3" s="1"/>
  <c r="AY17" i="3" s="1"/>
  <c r="AP78" i="3"/>
  <c r="B78" i="3" s="1"/>
  <c r="AT71" i="3"/>
  <c r="AP89" i="3"/>
  <c r="AE89" i="3" s="1"/>
  <c r="AY89" i="3" s="1"/>
  <c r="AP34" i="3"/>
  <c r="AE34" i="3" s="1"/>
  <c r="AY34" i="3" s="1"/>
  <c r="AT17" i="3"/>
  <c r="AP21" i="3"/>
  <c r="AE21" i="3" s="1"/>
  <c r="AY21" i="3" s="1"/>
  <c r="AP83" i="3"/>
  <c r="AE83" i="3" s="1"/>
  <c r="AY83" i="3" s="1"/>
  <c r="AT43" i="3"/>
  <c r="AT72" i="3"/>
  <c r="AP60" i="3"/>
  <c r="AE60" i="3" s="1"/>
  <c r="AY60" i="3" s="1"/>
  <c r="AP55" i="3"/>
  <c r="AE55" i="3" s="1"/>
  <c r="AY55" i="3" s="1"/>
  <c r="AP75" i="3"/>
  <c r="AE75" i="3" s="1"/>
  <c r="AY75" i="3" s="1"/>
  <c r="AT56" i="3"/>
  <c r="AT81" i="3"/>
  <c r="AP69" i="3"/>
  <c r="AE69" i="3" s="1"/>
  <c r="AY69" i="3" s="1"/>
  <c r="AT69" i="3"/>
  <c r="AT108" i="3"/>
  <c r="AT85" i="3"/>
  <c r="AP92" i="3"/>
  <c r="AE92" i="3" s="1"/>
  <c r="AY92" i="3" s="1"/>
  <c r="AP38" i="3"/>
  <c r="AE38" i="3" s="1"/>
  <c r="AY38" i="3" s="1"/>
  <c r="AT105" i="3"/>
  <c r="AP102" i="3"/>
  <c r="AE102" i="3" s="1"/>
  <c r="AY102" i="3" s="1"/>
  <c r="AT20" i="3"/>
  <c r="AT31" i="3"/>
  <c r="B21" i="7"/>
  <c r="B22" i="7"/>
  <c r="B24" i="7" s="1"/>
  <c r="C27" i="7" s="1"/>
  <c r="B27" i="5"/>
  <c r="B41" i="5"/>
  <c r="B37" i="5"/>
  <c r="B26" i="5"/>
  <c r="B33" i="5"/>
  <c r="B34" i="5"/>
  <c r="H10" i="2" l="1"/>
  <c r="B38" i="3"/>
  <c r="B24" i="3"/>
  <c r="P66" i="6"/>
  <c r="P28" i="6"/>
  <c r="P65" i="6"/>
  <c r="B49" i="3"/>
  <c r="P17" i="6"/>
  <c r="B46" i="3"/>
  <c r="B42" i="3"/>
  <c r="B36" i="3"/>
  <c r="P50" i="6"/>
  <c r="B110" i="3"/>
  <c r="P67" i="6"/>
  <c r="P44" i="6"/>
  <c r="B68" i="3"/>
  <c r="P63" i="6"/>
  <c r="P34" i="6"/>
  <c r="P20" i="6"/>
  <c r="P64" i="6"/>
  <c r="B109" i="3"/>
  <c r="B87" i="3"/>
  <c r="B97" i="3"/>
  <c r="C117" i="7"/>
  <c r="C197" i="7"/>
  <c r="C181" i="7"/>
  <c r="C118" i="7"/>
  <c r="C99" i="7"/>
  <c r="C157" i="7"/>
  <c r="C39" i="7"/>
  <c r="C34" i="7"/>
  <c r="C67" i="7"/>
  <c r="C95" i="7"/>
  <c r="C54" i="7"/>
  <c r="B56" i="3"/>
  <c r="B39" i="3"/>
  <c r="C79" i="7"/>
  <c r="C112" i="7"/>
  <c r="C141" i="7"/>
  <c r="C189" i="7"/>
  <c r="B84" i="3"/>
  <c r="C150" i="7"/>
  <c r="C145" i="7"/>
  <c r="C155" i="7"/>
  <c r="C49" i="7"/>
  <c r="B16" i="3"/>
  <c r="B91" i="3"/>
  <c r="C126" i="7"/>
  <c r="C84" i="7"/>
  <c r="C116" i="7"/>
  <c r="C81" i="7"/>
  <c r="C124" i="7"/>
  <c r="C65" i="7"/>
  <c r="C43" i="7"/>
  <c r="C180" i="7"/>
  <c r="C59" i="7"/>
  <c r="C194" i="7"/>
  <c r="C31" i="7"/>
  <c r="B22" i="3"/>
  <c r="B50" i="3"/>
  <c r="B23" i="3"/>
  <c r="C165" i="7"/>
  <c r="C35" i="7"/>
  <c r="C185" i="7"/>
  <c r="C92" i="7"/>
  <c r="C83" i="7"/>
  <c r="C129" i="7"/>
  <c r="C184" i="7"/>
  <c r="B103" i="3"/>
  <c r="B101" i="3"/>
  <c r="C88" i="7"/>
  <c r="C110" i="7"/>
  <c r="C177" i="7"/>
  <c r="C170" i="7"/>
  <c r="C98" i="7"/>
  <c r="C101" i="7"/>
  <c r="C103" i="7"/>
  <c r="B35" i="3"/>
  <c r="B55" i="3"/>
  <c r="B51" i="3"/>
  <c r="Q66" i="6"/>
  <c r="P31" i="6"/>
  <c r="P53" i="6"/>
  <c r="B28" i="3"/>
  <c r="B63" i="3"/>
  <c r="B53" i="3"/>
  <c r="B40" i="3"/>
  <c r="B80" i="3"/>
  <c r="P45" i="6"/>
  <c r="P35" i="6"/>
  <c r="Q67" i="6"/>
  <c r="P49" i="6"/>
  <c r="B30" i="3"/>
  <c r="P52" i="6"/>
  <c r="P18" i="6"/>
  <c r="P29" i="6"/>
  <c r="P19" i="6"/>
  <c r="B85" i="3"/>
  <c r="B98" i="3"/>
  <c r="C152" i="7"/>
  <c r="C109" i="7"/>
  <c r="C44" i="7"/>
  <c r="C175" i="7"/>
  <c r="C32" i="7"/>
  <c r="C37" i="7"/>
  <c r="C179" i="7"/>
  <c r="C132" i="7"/>
  <c r="C76" i="7"/>
  <c r="C111" i="7"/>
  <c r="C36" i="7"/>
  <c r="B37" i="3"/>
  <c r="B20" i="3"/>
  <c r="C163" i="7"/>
  <c r="C147" i="7"/>
  <c r="C135" i="7"/>
  <c r="C161" i="7"/>
  <c r="C188" i="7"/>
  <c r="B102" i="3"/>
  <c r="C138" i="7"/>
  <c r="C140" i="7"/>
  <c r="C47" i="7"/>
  <c r="C52" i="7"/>
  <c r="B27" i="3"/>
  <c r="B93" i="3"/>
  <c r="C61" i="7"/>
  <c r="C40" i="7"/>
  <c r="C38" i="7"/>
  <c r="C60" i="7"/>
  <c r="C195" i="7"/>
  <c r="C102" i="7"/>
  <c r="C108" i="7"/>
  <c r="C119" i="7"/>
  <c r="C29" i="7"/>
  <c r="C173" i="7"/>
  <c r="C134" i="7"/>
  <c r="B95" i="3"/>
  <c r="B17" i="3"/>
  <c r="B33" i="3"/>
  <c r="C51" i="7"/>
  <c r="C42" i="7"/>
  <c r="C149" i="7"/>
  <c r="C78" i="7"/>
  <c r="C70" i="7"/>
  <c r="C53" i="7"/>
  <c r="C58" i="7"/>
  <c r="B25" i="3"/>
  <c r="B104" i="3"/>
  <c r="C82" i="7"/>
  <c r="C125" i="7"/>
  <c r="C203" i="7"/>
  <c r="C146" i="7"/>
  <c r="C199" i="7"/>
  <c r="C154" i="7"/>
  <c r="C120" i="7"/>
  <c r="B88" i="3"/>
  <c r="B60" i="3"/>
  <c r="B81" i="3"/>
  <c r="Q69" i="6"/>
  <c r="P27" i="6"/>
  <c r="B65" i="3"/>
  <c r="B47" i="3"/>
  <c r="B43" i="3"/>
  <c r="B74" i="3"/>
  <c r="B62" i="3"/>
  <c r="B61" i="3"/>
  <c r="B59" i="3"/>
  <c r="Q68" i="6"/>
  <c r="P38" i="6"/>
  <c r="P61" i="6"/>
  <c r="B44" i="3"/>
  <c r="P62" i="6"/>
  <c r="P70" i="6"/>
  <c r="B82" i="3"/>
  <c r="B58" i="3"/>
  <c r="B48" i="3"/>
  <c r="C186" i="7"/>
  <c r="C30" i="7"/>
  <c r="C121" i="7"/>
  <c r="C115" i="7"/>
  <c r="C158" i="7"/>
  <c r="C41" i="7"/>
  <c r="C164" i="7"/>
  <c r="C130" i="7"/>
  <c r="C202" i="7"/>
  <c r="C86" i="7"/>
  <c r="C48" i="7"/>
  <c r="B86" i="3"/>
  <c r="B21" i="3"/>
  <c r="C123" i="7"/>
  <c r="C168" i="7"/>
  <c r="C142" i="7"/>
  <c r="C64" i="7"/>
  <c r="B96" i="3"/>
  <c r="B18" i="3"/>
  <c r="C33" i="7"/>
  <c r="C100" i="7"/>
  <c r="C46" i="7"/>
  <c r="C143" i="7"/>
  <c r="B71" i="3"/>
  <c r="B90" i="3"/>
  <c r="C89" i="7"/>
  <c r="C55" i="7"/>
  <c r="C104" i="7"/>
  <c r="C105" i="7"/>
  <c r="C196" i="7"/>
  <c r="C156" i="7"/>
  <c r="C166" i="7"/>
  <c r="C153" i="7"/>
  <c r="C172" i="7"/>
  <c r="C139" i="7"/>
  <c r="C97" i="7"/>
  <c r="B70" i="3"/>
  <c r="B89" i="3"/>
  <c r="B94" i="3"/>
  <c r="C191" i="7"/>
  <c r="C75" i="7"/>
  <c r="C133" i="7"/>
  <c r="C45" i="7"/>
  <c r="C72" i="7"/>
  <c r="C131" i="7"/>
  <c r="B107" i="3"/>
  <c r="B99" i="3"/>
  <c r="B41" i="3"/>
  <c r="C68" i="7"/>
  <c r="C174" i="7"/>
  <c r="C50" i="7"/>
  <c r="C71" i="7"/>
  <c r="C193" i="7"/>
  <c r="C148" i="7"/>
  <c r="C136" i="7"/>
  <c r="B69" i="3"/>
  <c r="B34" i="3"/>
  <c r="B67" i="3"/>
  <c r="P69" i="6"/>
  <c r="Q65" i="6"/>
  <c r="B52" i="3"/>
  <c r="B54" i="3"/>
  <c r="B45" i="3"/>
  <c r="B26" i="3"/>
  <c r="B32" i="3"/>
  <c r="B72" i="3"/>
  <c r="B57" i="3"/>
  <c r="P68" i="6"/>
  <c r="P40" i="6"/>
  <c r="Q61" i="6"/>
  <c r="Q63" i="6"/>
  <c r="Q62" i="6"/>
  <c r="Q70" i="6"/>
  <c r="Q64" i="6"/>
  <c r="B100" i="3"/>
  <c r="B73" i="3"/>
  <c r="C187" i="7"/>
  <c r="C113" i="7"/>
  <c r="C137" i="7"/>
  <c r="C127" i="7"/>
  <c r="C66" i="7"/>
  <c r="C63" i="7"/>
  <c r="C160" i="7"/>
  <c r="C28" i="7"/>
  <c r="C94" i="7"/>
  <c r="C169" i="7"/>
  <c r="C183" i="7"/>
  <c r="B31" i="3"/>
  <c r="B105" i="3"/>
  <c r="C73" i="7"/>
  <c r="C56" i="7"/>
  <c r="C69" i="7"/>
  <c r="C96" i="7"/>
  <c r="B106" i="3"/>
  <c r="C106" i="7"/>
  <c r="C87" i="7"/>
  <c r="C62" i="7"/>
  <c r="C167" i="7"/>
  <c r="B19" i="3"/>
  <c r="B29" i="3"/>
  <c r="B64" i="3"/>
  <c r="C176" i="7"/>
  <c r="C114" i="7"/>
  <c r="C200" i="7"/>
  <c r="C198" i="7"/>
  <c r="C192" i="7"/>
  <c r="C85" i="7"/>
  <c r="C80" i="7"/>
  <c r="C128" i="7"/>
  <c r="C77" i="7"/>
  <c r="C162" i="7"/>
  <c r="C93" i="7"/>
  <c r="B83" i="3"/>
  <c r="B92" i="3"/>
  <c r="C91" i="7"/>
  <c r="C151" i="7"/>
  <c r="C122" i="7"/>
  <c r="C171" i="7"/>
  <c r="C74" i="7"/>
  <c r="C144" i="7"/>
  <c r="C90" i="7"/>
  <c r="B66" i="3"/>
  <c r="B75" i="3"/>
  <c r="C190" i="7"/>
  <c r="C178" i="7"/>
  <c r="C201" i="7"/>
  <c r="C182" i="7"/>
  <c r="C107" i="7"/>
  <c r="C57" i="7"/>
  <c r="C159" i="7"/>
  <c r="B108" i="3"/>
  <c r="Q71" i="6" l="1"/>
  <c r="L136" i="7"/>
  <c r="L120" i="7"/>
  <c r="L103" i="7"/>
  <c r="L159" i="7"/>
  <c r="L148" i="7"/>
  <c r="L154" i="7"/>
  <c r="L101" i="7"/>
  <c r="L57" i="7"/>
  <c r="L193" i="7"/>
  <c r="L199" i="7"/>
  <c r="L98" i="7"/>
  <c r="L107" i="7"/>
  <c r="L71" i="7"/>
  <c r="L146" i="7"/>
  <c r="L170" i="7"/>
  <c r="L182" i="7"/>
  <c r="L50" i="7"/>
  <c r="L203" i="7"/>
  <c r="L177" i="7"/>
  <c r="L201" i="7"/>
  <c r="L174" i="7"/>
  <c r="L125" i="7"/>
  <c r="L110" i="7"/>
  <c r="L178" i="7"/>
  <c r="L68" i="7"/>
  <c r="L82" i="7"/>
  <c r="L88" i="7"/>
  <c r="L190" i="7"/>
  <c r="L58" i="7"/>
  <c r="L184" i="7"/>
  <c r="L90" i="7"/>
  <c r="L131" i="7"/>
  <c r="L53" i="7"/>
  <c r="L129" i="7"/>
  <c r="L144" i="7"/>
  <c r="L72" i="7"/>
  <c r="L70" i="7"/>
  <c r="L83" i="7"/>
  <c r="L74" i="7"/>
  <c r="L45" i="7"/>
  <c r="L78" i="7"/>
  <c r="L92" i="7"/>
  <c r="L171" i="7"/>
  <c r="L133" i="7"/>
  <c r="L149" i="7"/>
  <c r="L185" i="7"/>
  <c r="L122" i="7"/>
  <c r="L75" i="7"/>
  <c r="L42" i="7"/>
  <c r="L35" i="7"/>
  <c r="L151" i="7"/>
  <c r="L191" i="7"/>
  <c r="L51" i="7"/>
  <c r="L165" i="7"/>
  <c r="L91" i="7"/>
  <c r="L93" i="7"/>
  <c r="L97" i="7"/>
  <c r="L134" i="7"/>
  <c r="L31" i="7"/>
  <c r="L162" i="7"/>
  <c r="L139" i="7"/>
  <c r="L173" i="7"/>
  <c r="L194" i="7"/>
  <c r="L77" i="7"/>
  <c r="L172" i="7"/>
  <c r="L29" i="7"/>
  <c r="L59" i="7"/>
  <c r="L128" i="7"/>
  <c r="L153" i="7"/>
  <c r="L119" i="7"/>
  <c r="L180" i="7"/>
  <c r="L80" i="7"/>
  <c r="L166" i="7"/>
  <c r="L108" i="7"/>
  <c r="L43" i="7"/>
  <c r="L85" i="7"/>
  <c r="L156" i="7"/>
  <c r="L102" i="7"/>
  <c r="L65" i="7"/>
  <c r="L192" i="7"/>
  <c r="L196" i="7"/>
  <c r="L195" i="7"/>
  <c r="L124" i="7"/>
  <c r="L198" i="7"/>
  <c r="L105" i="7"/>
  <c r="L60" i="7"/>
  <c r="L81" i="7"/>
  <c r="L200" i="7"/>
  <c r="L104" i="7"/>
  <c r="L38" i="7"/>
  <c r="L116" i="7"/>
  <c r="L114" i="7"/>
  <c r="L55" i="7"/>
  <c r="L40" i="7"/>
  <c r="L84" i="7"/>
  <c r="L176" i="7"/>
  <c r="L89" i="7"/>
  <c r="L61" i="7"/>
  <c r="L126" i="7"/>
  <c r="L143" i="7"/>
  <c r="L52" i="7"/>
  <c r="L49" i="7"/>
  <c r="L167" i="7"/>
  <c r="L46" i="7"/>
  <c r="L47" i="7"/>
  <c r="L155" i="7"/>
  <c r="L62" i="7"/>
  <c r="L100" i="7"/>
  <c r="L140" i="7"/>
  <c r="L145" i="7"/>
  <c r="L87" i="7"/>
  <c r="L33" i="7"/>
  <c r="L138" i="7"/>
  <c r="L150" i="7"/>
  <c r="L106" i="7"/>
  <c r="L188" i="7"/>
  <c r="L189" i="7"/>
  <c r="L96" i="7"/>
  <c r="L64" i="7"/>
  <c r="L161" i="7"/>
  <c r="L141" i="7"/>
  <c r="L69" i="7"/>
  <c r="L142" i="7"/>
  <c r="L135" i="7"/>
  <c r="L112" i="7"/>
  <c r="L56" i="7"/>
  <c r="L168" i="7"/>
  <c r="L147" i="7"/>
  <c r="L79" i="7"/>
  <c r="L73" i="7"/>
  <c r="L123" i="7"/>
  <c r="L163" i="7"/>
  <c r="L54" i="7"/>
  <c r="L183" i="7"/>
  <c r="L48" i="7"/>
  <c r="L36" i="7"/>
  <c r="L95" i="7"/>
  <c r="L169" i="7"/>
  <c r="L86" i="7"/>
  <c r="L111" i="7"/>
  <c r="L67" i="7"/>
  <c r="L94" i="7"/>
  <c r="L202" i="7"/>
  <c r="L76" i="7"/>
  <c r="L34" i="7"/>
  <c r="L28" i="7"/>
  <c r="L130" i="7"/>
  <c r="L132" i="7"/>
  <c r="L39" i="7"/>
  <c r="L160" i="7"/>
  <c r="L164" i="7"/>
  <c r="L179" i="7"/>
  <c r="L157" i="7"/>
  <c r="L63" i="7"/>
  <c r="L41" i="7"/>
  <c r="L37" i="7"/>
  <c r="L99" i="7"/>
  <c r="L66" i="7"/>
  <c r="L158" i="7"/>
  <c r="L32" i="7"/>
  <c r="L118" i="7"/>
  <c r="L127" i="7"/>
  <c r="L115" i="7"/>
  <c r="L175" i="7"/>
  <c r="L181" i="7"/>
  <c r="L137" i="7"/>
  <c r="L121" i="7"/>
  <c r="L44" i="7"/>
  <c r="L197" i="7"/>
  <c r="L113" i="7"/>
  <c r="L30" i="7"/>
  <c r="L109" i="7"/>
  <c r="L117" i="7"/>
  <c r="L187" i="7"/>
  <c r="L186" i="7"/>
  <c r="L152" i="7"/>
  <c r="B11" i="3"/>
  <c r="C23" i="3"/>
  <c r="C39" i="3"/>
  <c r="C52" i="3"/>
  <c r="C68" i="3"/>
  <c r="C88" i="3"/>
  <c r="C104" i="3"/>
  <c r="C73" i="3"/>
  <c r="C109" i="3"/>
  <c r="C42" i="3"/>
  <c r="C87" i="3"/>
  <c r="C20" i="3"/>
  <c r="C36" i="3"/>
  <c r="C49" i="3"/>
  <c r="C69" i="3"/>
  <c r="C105" i="3"/>
  <c r="C55" i="3"/>
  <c r="C103" i="3"/>
  <c r="C29" i="3"/>
  <c r="C82" i="3"/>
  <c r="C58" i="3"/>
  <c r="C74" i="3"/>
  <c r="C94" i="3"/>
  <c r="C8" i="4"/>
  <c r="C51" i="3"/>
  <c r="C110" i="3"/>
  <c r="C27" i="3"/>
  <c r="C81" i="3"/>
  <c r="C56" i="3"/>
  <c r="C72" i="3"/>
  <c r="C92" i="3"/>
  <c r="C108" i="3"/>
  <c r="C85" i="3"/>
  <c r="C8" i="5"/>
  <c r="C47" i="3"/>
  <c r="C99" i="3"/>
  <c r="C24" i="3"/>
  <c r="C40" i="3"/>
  <c r="C53" i="3"/>
  <c r="C80" i="3"/>
  <c r="B14" i="3"/>
  <c r="C67" i="3"/>
  <c r="C17" i="3"/>
  <c r="C33" i="3"/>
  <c r="C46" i="3"/>
  <c r="C62" i="3"/>
  <c r="C79" i="3"/>
  <c r="C98" i="3"/>
  <c r="C22" i="3"/>
  <c r="C63" i="3"/>
  <c r="C16" i="3"/>
  <c r="C31" i="3"/>
  <c r="C44" i="3"/>
  <c r="C60" i="3"/>
  <c r="C76" i="3"/>
  <c r="C96" i="3"/>
  <c r="Q11" i="6"/>
  <c r="Q12" i="6" s="1"/>
  <c r="C93" i="3"/>
  <c r="C18" i="3"/>
  <c r="C59" i="3"/>
  <c r="C107" i="3"/>
  <c r="C28" i="3"/>
  <c r="C78" i="3"/>
  <c r="C57" i="3"/>
  <c r="C89" i="3"/>
  <c r="C26" i="3"/>
  <c r="C83" i="3"/>
  <c r="C21" i="3"/>
  <c r="C37" i="3"/>
  <c r="C50" i="3"/>
  <c r="C66" i="3"/>
  <c r="C86" i="3"/>
  <c r="C102" i="3"/>
  <c r="C30" i="3"/>
  <c r="C75" i="3"/>
  <c r="C19" i="3"/>
  <c r="C35" i="3"/>
  <c r="C48" i="3"/>
  <c r="C64" i="3"/>
  <c r="C84" i="3"/>
  <c r="C100" i="3"/>
  <c r="C65" i="3"/>
  <c r="C101" i="3"/>
  <c r="C34" i="3"/>
  <c r="C71" i="3"/>
  <c r="C77" i="3"/>
  <c r="C32" i="3"/>
  <c r="C45" i="3"/>
  <c r="C61" i="3"/>
  <c r="C97" i="3"/>
  <c r="C43" i="3"/>
  <c r="C95" i="3"/>
  <c r="C25" i="3"/>
  <c r="C41" i="3"/>
  <c r="C54" i="3"/>
  <c r="C70" i="3"/>
  <c r="C90" i="3"/>
  <c r="C106" i="3"/>
  <c r="C38" i="3"/>
  <c r="C91" i="3"/>
  <c r="H20" i="4"/>
  <c r="I23" i="4" s="1" a="1"/>
  <c r="B20" i="4"/>
  <c r="C23" i="4" s="1" a="1"/>
  <c r="N20" i="4"/>
  <c r="O23" i="4" s="1" a="1"/>
  <c r="Q20" i="4"/>
  <c r="R23" i="4" s="1" a="1"/>
  <c r="K20" i="4"/>
  <c r="L23" i="4" s="1" a="1"/>
  <c r="O18" i="5"/>
  <c r="O34" i="5"/>
  <c r="O33" i="5"/>
  <c r="O28" i="5"/>
  <c r="O30" i="5"/>
  <c r="O16" i="5"/>
  <c r="O26" i="5"/>
  <c r="O37" i="5"/>
  <c r="O17" i="5"/>
  <c r="O41" i="5"/>
  <c r="O27" i="5"/>
  <c r="Q34" i="6"/>
  <c r="Q44" i="6"/>
  <c r="Q29" i="6"/>
  <c r="Q38" i="6"/>
  <c r="Q49" i="6"/>
  <c r="Q19" i="6"/>
  <c r="Q52" i="6"/>
  <c r="Q28" i="6"/>
  <c r="Q18" i="6"/>
  <c r="Q31" i="6"/>
  <c r="Q27" i="6"/>
  <c r="Q40" i="6"/>
  <c r="Q45" i="6"/>
  <c r="Q20" i="6"/>
  <c r="Q53" i="6"/>
  <c r="Q35" i="6"/>
  <c r="Q50" i="6"/>
  <c r="Q17" i="6"/>
  <c r="B13" i="3" l="1"/>
  <c r="I310" i="4"/>
  <c r="I246" i="4"/>
  <c r="I182" i="4"/>
  <c r="I118" i="4"/>
  <c r="I54" i="4"/>
  <c r="I309" i="4"/>
  <c r="I245" i="4"/>
  <c r="I181" i="4"/>
  <c r="I266" i="4"/>
  <c r="I178" i="4"/>
  <c r="I94" i="4"/>
  <c r="I329" i="4"/>
  <c r="I241" i="4"/>
  <c r="I161" i="4"/>
  <c r="I294" i="4"/>
  <c r="I214" i="4"/>
  <c r="I134" i="4"/>
  <c r="I38" i="4"/>
  <c r="I277" i="4"/>
  <c r="I197" i="4"/>
  <c r="I242" i="4"/>
  <c r="I138" i="4"/>
  <c r="I30" i="4"/>
  <c r="I221" i="4"/>
  <c r="I129" i="4"/>
  <c r="I283" i="4"/>
  <c r="I219" i="4"/>
  <c r="I155" i="4"/>
  <c r="I91" i="4"/>
  <c r="I27" i="4"/>
  <c r="I116" i="4"/>
  <c r="I276" i="4"/>
  <c r="I73" i="4"/>
  <c r="I188" i="4"/>
  <c r="I29" i="4"/>
  <c r="I192" i="4"/>
  <c r="I302" i="4"/>
  <c r="I218" i="4"/>
  <c r="I130" i="4"/>
  <c r="I46" i="4"/>
  <c r="I281" i="4"/>
  <c r="I193" i="4"/>
  <c r="I343" i="4"/>
  <c r="I279" i="4"/>
  <c r="I215" i="4"/>
  <c r="I151" i="4"/>
  <c r="I87" i="4"/>
  <c r="I23" i="4"/>
  <c r="I108" i="4"/>
  <c r="I260" i="4"/>
  <c r="I65" i="4"/>
  <c r="I172" i="4"/>
  <c r="I288" i="4"/>
  <c r="I128" i="4"/>
  <c r="I290" i="4"/>
  <c r="I122" i="4"/>
  <c r="I269" i="4"/>
  <c r="I335" i="4"/>
  <c r="I207" i="4"/>
  <c r="I79" i="4"/>
  <c r="I92" i="4"/>
  <c r="I49" i="4"/>
  <c r="I160" i="4"/>
  <c r="I318" i="4"/>
  <c r="I146" i="4"/>
  <c r="I297" i="4"/>
  <c r="I137" i="4"/>
  <c r="I227" i="4"/>
  <c r="I99" i="4"/>
  <c r="I136" i="4"/>
  <c r="I89" i="4"/>
  <c r="I45" i="4"/>
  <c r="I314" i="4"/>
  <c r="I142" i="4"/>
  <c r="I289" i="4"/>
  <c r="I133" i="4"/>
  <c r="I223" i="4"/>
  <c r="I95" i="4"/>
  <c r="I124" i="4"/>
  <c r="I81" i="4"/>
  <c r="I37" i="4"/>
  <c r="I210" i="4"/>
  <c r="I147" i="4"/>
  <c r="I96" i="4"/>
  <c r="I153" i="4"/>
  <c r="I121" i="4"/>
  <c r="I126" i="4"/>
  <c r="I83" i="4"/>
  <c r="I254" i="4"/>
  <c r="I179" i="4"/>
  <c r="I144" i="4"/>
  <c r="I342" i="4"/>
  <c r="I230" i="4"/>
  <c r="I102" i="4"/>
  <c r="I325" i="4"/>
  <c r="I213" i="4"/>
  <c r="I222" i="4"/>
  <c r="I74" i="4"/>
  <c r="I265" i="4"/>
  <c r="I331" i="4"/>
  <c r="I251" i="4"/>
  <c r="I171" i="4"/>
  <c r="I75" i="4"/>
  <c r="I232" i="4"/>
  <c r="I340" i="4"/>
  <c r="I41" i="4"/>
  <c r="I93" i="4"/>
  <c r="I72" i="4"/>
  <c r="I282" i="4"/>
  <c r="I174" i="4"/>
  <c r="I66" i="4"/>
  <c r="I257" i="4"/>
  <c r="I157" i="4"/>
  <c r="I295" i="4"/>
  <c r="I199" i="4"/>
  <c r="I119" i="4"/>
  <c r="I39" i="4"/>
  <c r="I76" i="4"/>
  <c r="I132" i="4"/>
  <c r="I236" i="4"/>
  <c r="I80" i="4"/>
  <c r="I88" i="4"/>
  <c r="I162" i="4"/>
  <c r="I225" i="4"/>
  <c r="I271" i="4"/>
  <c r="I111" i="4"/>
  <c r="I28" i="4"/>
  <c r="I140" i="4"/>
  <c r="I24" i="4"/>
  <c r="I106" i="4"/>
  <c r="I209" i="4"/>
  <c r="I259" i="4"/>
  <c r="I67" i="4"/>
  <c r="I308" i="4"/>
  <c r="I109" i="4"/>
  <c r="I270" i="4"/>
  <c r="I58" i="4"/>
  <c r="I165" i="4"/>
  <c r="I191" i="4"/>
  <c r="I31" i="4"/>
  <c r="I164" i="4"/>
  <c r="I336" i="4"/>
  <c r="I189" i="4"/>
  <c r="I156" i="4"/>
  <c r="I243" i="4"/>
  <c r="I56" i="4"/>
  <c r="I211" i="4"/>
  <c r="I82" i="4"/>
  <c r="I36" i="4"/>
  <c r="I278" i="4"/>
  <c r="I166" i="4"/>
  <c r="I70" i="4"/>
  <c r="I261" i="4"/>
  <c r="I306" i="4"/>
  <c r="I158" i="4"/>
  <c r="I305" i="4"/>
  <c r="I177" i="4"/>
  <c r="I299" i="4"/>
  <c r="I203" i="4"/>
  <c r="I123" i="4"/>
  <c r="I43" i="4"/>
  <c r="I84" i="4"/>
  <c r="I148" i="4"/>
  <c r="I252" i="4"/>
  <c r="I112" i="4"/>
  <c r="I120" i="4"/>
  <c r="I238" i="4"/>
  <c r="I110" i="4"/>
  <c r="I321" i="4"/>
  <c r="I217" i="4"/>
  <c r="I327" i="4"/>
  <c r="I247" i="4"/>
  <c r="I167" i="4"/>
  <c r="I71" i="4"/>
  <c r="I216" i="4"/>
  <c r="I324" i="4"/>
  <c r="I33" i="4"/>
  <c r="I85" i="4"/>
  <c r="I40" i="4"/>
  <c r="I250" i="4"/>
  <c r="I34" i="4"/>
  <c r="I149" i="4"/>
  <c r="I175" i="4"/>
  <c r="I312" i="4"/>
  <c r="I113" i="4"/>
  <c r="I104" i="4"/>
  <c r="I262" i="4"/>
  <c r="I150" i="4"/>
  <c r="I341" i="4"/>
  <c r="I229" i="4"/>
  <c r="I286" i="4"/>
  <c r="I114" i="4"/>
  <c r="I285" i="4"/>
  <c r="I145" i="4"/>
  <c r="I267" i="4"/>
  <c r="I187" i="4"/>
  <c r="I107" i="4"/>
  <c r="I296" i="4"/>
  <c r="I52" i="4"/>
  <c r="I105" i="4"/>
  <c r="I125" i="4"/>
  <c r="I272" i="4"/>
  <c r="I322" i="4"/>
  <c r="I194" i="4"/>
  <c r="I326" i="4"/>
  <c r="I330" i="4"/>
  <c r="I315" i="4"/>
  <c r="I168" i="4"/>
  <c r="I32" i="4"/>
  <c r="I26" i="4"/>
  <c r="I141" i="4"/>
  <c r="I183" i="4"/>
  <c r="I280" i="4"/>
  <c r="I97" i="4"/>
  <c r="I208" i="4"/>
  <c r="I78" i="4"/>
  <c r="I239" i="4"/>
  <c r="I228" i="4"/>
  <c r="I274" i="4"/>
  <c r="I337" i="4"/>
  <c r="I291" i="4"/>
  <c r="I35" i="4"/>
  <c r="I25" i="4"/>
  <c r="I240" i="4"/>
  <c r="I333" i="4"/>
  <c r="I287" i="4"/>
  <c r="I63" i="4"/>
  <c r="I332" i="4"/>
  <c r="I176" i="4"/>
  <c r="I244" i="4"/>
  <c r="I115" i="4"/>
  <c r="I273" i="4"/>
  <c r="I224" i="4"/>
  <c r="I284" i="4"/>
  <c r="I198" i="4"/>
  <c r="I202" i="4"/>
  <c r="I235" i="4"/>
  <c r="I212" i="4"/>
  <c r="I258" i="4"/>
  <c r="I301" i="4"/>
  <c r="I311" i="4"/>
  <c r="I135" i="4"/>
  <c r="I152" i="4"/>
  <c r="I300" i="4"/>
  <c r="I304" i="4"/>
  <c r="I313" i="4"/>
  <c r="I143" i="4"/>
  <c r="I268" i="4"/>
  <c r="I234" i="4"/>
  <c r="I253" i="4"/>
  <c r="I195" i="4"/>
  <c r="I264" i="4"/>
  <c r="I220" i="4"/>
  <c r="I226" i="4"/>
  <c r="I249" i="4"/>
  <c r="I255" i="4"/>
  <c r="I248" i="4"/>
  <c r="I204" i="4"/>
  <c r="I42" i="4"/>
  <c r="I338" i="4"/>
  <c r="I200" i="4"/>
  <c r="I339" i="4"/>
  <c r="I233" i="4"/>
  <c r="I316" i="4"/>
  <c r="I44" i="4"/>
  <c r="I185" i="4"/>
  <c r="I69" i="4"/>
  <c r="I169" i="4"/>
  <c r="I163" i="4"/>
  <c r="I48" i="4"/>
  <c r="I205" i="4"/>
  <c r="I60" i="4"/>
  <c r="I101" i="4"/>
  <c r="I170" i="4"/>
  <c r="I100" i="4"/>
  <c r="I293" i="4"/>
  <c r="I201" i="4"/>
  <c r="I59" i="4"/>
  <c r="I61" i="4"/>
  <c r="I90" i="4"/>
  <c r="I173" i="4"/>
  <c r="I231" i="4"/>
  <c r="I55" i="4"/>
  <c r="I196" i="4"/>
  <c r="I53" i="4"/>
  <c r="I206" i="4"/>
  <c r="I303" i="4"/>
  <c r="I184" i="4"/>
  <c r="I64" i="4"/>
  <c r="I62" i="4"/>
  <c r="I323" i="4"/>
  <c r="I131" i="4"/>
  <c r="I180" i="4"/>
  <c r="I320" i="4"/>
  <c r="I98" i="4"/>
  <c r="I319" i="4"/>
  <c r="I127" i="4"/>
  <c r="I292" i="4"/>
  <c r="I256" i="4"/>
  <c r="I328" i="4"/>
  <c r="I317" i="4"/>
  <c r="I298" i="4"/>
  <c r="I57" i="4"/>
  <c r="I51" i="4"/>
  <c r="I86" i="4"/>
  <c r="I50" i="4"/>
  <c r="I139" i="4"/>
  <c r="I154" i="4"/>
  <c r="I237" i="4"/>
  <c r="I263" i="4"/>
  <c r="I103" i="4"/>
  <c r="I117" i="4"/>
  <c r="I334" i="4"/>
  <c r="I47" i="4"/>
  <c r="I190" i="4"/>
  <c r="I68" i="4"/>
  <c r="I186" i="4"/>
  <c r="I159" i="4"/>
  <c r="I275" i="4"/>
  <c r="I77" i="4"/>
  <c r="I307" i="4"/>
  <c r="L291" i="4"/>
  <c r="L227" i="4"/>
  <c r="L163" i="4"/>
  <c r="L99" i="4"/>
  <c r="L308" i="4"/>
  <c r="L244" i="4"/>
  <c r="L180" i="4"/>
  <c r="L233" i="4"/>
  <c r="L126" i="4"/>
  <c r="L48" i="4"/>
  <c r="L270" i="4"/>
  <c r="L152" i="4"/>
  <c r="L67" i="4"/>
  <c r="L306" i="4"/>
  <c r="L178" i="4"/>
  <c r="L90" i="4"/>
  <c r="L341" i="4"/>
  <c r="L237" i="4"/>
  <c r="L140" i="4"/>
  <c r="L62" i="4"/>
  <c r="L263" i="4"/>
  <c r="L175" i="4"/>
  <c r="L91" i="4"/>
  <c r="L280" i="4"/>
  <c r="L192" i="4"/>
  <c r="L217" i="4"/>
  <c r="L89" i="4"/>
  <c r="L294" i="4"/>
  <c r="L141" i="4"/>
  <c r="L39" i="4"/>
  <c r="L202" i="4"/>
  <c r="L80" i="4"/>
  <c r="L134" i="4"/>
  <c r="L221" i="4"/>
  <c r="L124" i="4"/>
  <c r="L279" i="4"/>
  <c r="L191" i="4"/>
  <c r="L107" i="4"/>
  <c r="L296" i="4"/>
  <c r="L208" i="4"/>
  <c r="L249" i="4"/>
  <c r="L110" i="4"/>
  <c r="L326" i="4"/>
  <c r="L162" i="4"/>
  <c r="L55" i="4"/>
  <c r="L234" i="4"/>
  <c r="L101" i="4"/>
  <c r="L245" i="4"/>
  <c r="L34" i="4"/>
  <c r="L261" i="4"/>
  <c r="L247" i="4"/>
  <c r="L75" i="4"/>
  <c r="L176" i="4"/>
  <c r="L68" i="4"/>
  <c r="L120" i="4"/>
  <c r="L170" i="4"/>
  <c r="L54" i="4"/>
  <c r="L315" i="4"/>
  <c r="L143" i="4"/>
  <c r="L248" i="4"/>
  <c r="L158" i="4"/>
  <c r="L230" i="4"/>
  <c r="L314" i="4"/>
  <c r="L45" i="4"/>
  <c r="L42" i="4"/>
  <c r="L223" i="4"/>
  <c r="L328" i="4"/>
  <c r="L313" i="4"/>
  <c r="L44" i="4"/>
  <c r="L93" i="4"/>
  <c r="L144" i="4"/>
  <c r="L205" i="4"/>
  <c r="L295" i="4"/>
  <c r="L190" i="4"/>
  <c r="L251" i="4"/>
  <c r="L125" i="4"/>
  <c r="L312" i="4"/>
  <c r="L122" i="4"/>
  <c r="L268" i="4"/>
  <c r="L65" i="4"/>
  <c r="L275" i="4"/>
  <c r="L195" i="4"/>
  <c r="L115" i="4"/>
  <c r="L292" i="4"/>
  <c r="L212" i="4"/>
  <c r="L265" i="4"/>
  <c r="L105" i="4"/>
  <c r="L334" i="4"/>
  <c r="L174" i="4"/>
  <c r="L51" i="4"/>
  <c r="L242" i="4"/>
  <c r="L112" i="4"/>
  <c r="L213" i="4"/>
  <c r="L50" i="4"/>
  <c r="L166" i="4"/>
  <c r="L239" i="4"/>
  <c r="L135" i="4"/>
  <c r="L300" i="4"/>
  <c r="L172" i="4"/>
  <c r="L142" i="4"/>
  <c r="L342" i="4"/>
  <c r="L114" i="4"/>
  <c r="L290" i="4"/>
  <c r="L106" i="4"/>
  <c r="L333" i="4"/>
  <c r="L325" i="4"/>
  <c r="L299" i="4"/>
  <c r="L171" i="4"/>
  <c r="L336" i="4"/>
  <c r="L232" i="4"/>
  <c r="L209" i="4"/>
  <c r="L56" i="4"/>
  <c r="L198" i="4"/>
  <c r="L31" i="4"/>
  <c r="L160" i="4"/>
  <c r="L29" i="4"/>
  <c r="L189" i="4"/>
  <c r="L331" i="4"/>
  <c r="L119" i="4"/>
  <c r="L273" i="4"/>
  <c r="L262" i="4"/>
  <c r="L258" i="4"/>
  <c r="L86" i="4"/>
  <c r="L231" i="4"/>
  <c r="L288" i="4"/>
  <c r="L100" i="4"/>
  <c r="L98" i="4"/>
  <c r="L96" i="4"/>
  <c r="L145" i="4"/>
  <c r="L139" i="4"/>
  <c r="L200" i="4"/>
  <c r="L310" i="4"/>
  <c r="L298" i="4"/>
  <c r="L156" i="4"/>
  <c r="L123" i="4"/>
  <c r="L25" i="4"/>
  <c r="L73" i="4"/>
  <c r="L281" i="4"/>
  <c r="L335" i="4"/>
  <c r="L27" i="4"/>
  <c r="L323" i="4"/>
  <c r="L243" i="4"/>
  <c r="L147" i="4"/>
  <c r="L340" i="4"/>
  <c r="L260" i="4"/>
  <c r="L329" i="4"/>
  <c r="L169" i="4"/>
  <c r="L64" i="4"/>
  <c r="L238" i="4"/>
  <c r="L109" i="4"/>
  <c r="L338" i="4"/>
  <c r="L154" i="4"/>
  <c r="L53" i="4"/>
  <c r="L38" i="4"/>
  <c r="L58" i="4"/>
  <c r="L303" i="4"/>
  <c r="L199" i="4"/>
  <c r="L71" i="4"/>
  <c r="L236" i="4"/>
  <c r="L257" i="4"/>
  <c r="L60" i="4"/>
  <c r="L214" i="4"/>
  <c r="L59" i="4"/>
  <c r="L165" i="4"/>
  <c r="L33" i="4"/>
  <c r="L66" i="4"/>
  <c r="L343" i="4"/>
  <c r="L235" i="4"/>
  <c r="L307" i="4"/>
  <c r="L131" i="4"/>
  <c r="L228" i="4"/>
  <c r="L148" i="4"/>
  <c r="L206" i="4"/>
  <c r="L274" i="4"/>
  <c r="L37" i="4"/>
  <c r="L197" i="4"/>
  <c r="L155" i="4"/>
  <c r="L216" i="4"/>
  <c r="L40" i="4"/>
  <c r="L330" i="4"/>
  <c r="L277" i="4"/>
  <c r="L319" i="4"/>
  <c r="L127" i="4"/>
  <c r="L252" i="4"/>
  <c r="L164" i="4"/>
  <c r="L286" i="4"/>
  <c r="L77" i="4"/>
  <c r="L128" i="4"/>
  <c r="L301" i="4"/>
  <c r="L46" i="4"/>
  <c r="L304" i="4"/>
  <c r="L121" i="4"/>
  <c r="L23" i="4"/>
  <c r="L118" i="4"/>
  <c r="L103" i="4"/>
  <c r="L241" i="4"/>
  <c r="L47" i="4"/>
  <c r="L269" i="4"/>
  <c r="L183" i="4"/>
  <c r="L225" i="4"/>
  <c r="L146" i="4"/>
  <c r="L41" i="4"/>
  <c r="L224" i="4"/>
  <c r="L79" i="4"/>
  <c r="L207" i="4"/>
  <c r="L167" i="4"/>
  <c r="L211" i="4"/>
  <c r="L324" i="4"/>
  <c r="L297" i="4"/>
  <c r="L32" i="4"/>
  <c r="L88" i="4"/>
  <c r="L133" i="4"/>
  <c r="L129" i="4"/>
  <c r="L283" i="4"/>
  <c r="L320" i="4"/>
  <c r="L177" i="4"/>
  <c r="L168" i="4"/>
  <c r="L138" i="4"/>
  <c r="L97" i="4"/>
  <c r="L215" i="4"/>
  <c r="L316" i="4"/>
  <c r="L337" i="4"/>
  <c r="L78" i="4"/>
  <c r="L136" i="4"/>
  <c r="L282" i="4"/>
  <c r="L49" i="4"/>
  <c r="L76" i="4"/>
  <c r="L203" i="4"/>
  <c r="L220" i="4"/>
  <c r="L182" i="4"/>
  <c r="L61" i="4"/>
  <c r="L271" i="4"/>
  <c r="L204" i="4"/>
  <c r="L318" i="4"/>
  <c r="L149" i="4"/>
  <c r="L311" i="4"/>
  <c r="L284" i="4"/>
  <c r="L94" i="4"/>
  <c r="L218" i="4"/>
  <c r="L26" i="4"/>
  <c r="L266" i="4"/>
  <c r="L186" i="4"/>
  <c r="L72" i="4"/>
  <c r="L278" i="4"/>
  <c r="L339" i="4"/>
  <c r="L179" i="4"/>
  <c r="L276" i="4"/>
  <c r="L201" i="4"/>
  <c r="L302" i="4"/>
  <c r="L35" i="4"/>
  <c r="L69" i="4"/>
  <c r="L253" i="4"/>
  <c r="L219" i="4"/>
  <c r="L256" i="4"/>
  <c r="L116" i="4"/>
  <c r="L82" i="4"/>
  <c r="L57" i="4"/>
  <c r="L81" i="4"/>
  <c r="L151" i="4"/>
  <c r="L272" i="4"/>
  <c r="L289" i="4"/>
  <c r="L36" i="4"/>
  <c r="L104" i="4"/>
  <c r="L194" i="4"/>
  <c r="L92" i="4"/>
  <c r="L102" i="4"/>
  <c r="L159" i="4"/>
  <c r="L185" i="4"/>
  <c r="L63" i="4"/>
  <c r="L309" i="4"/>
  <c r="L187" i="4"/>
  <c r="L321" i="4"/>
  <c r="L157" i="4"/>
  <c r="L181" i="4"/>
  <c r="L267" i="4"/>
  <c r="L240" i="4"/>
  <c r="L222" i="4"/>
  <c r="L85" i="4"/>
  <c r="L229" i="4"/>
  <c r="L30" i="4"/>
  <c r="L70" i="4"/>
  <c r="L108" i="4"/>
  <c r="L161" i="4"/>
  <c r="L196" i="4"/>
  <c r="L113" i="4"/>
  <c r="L254" i="4"/>
  <c r="L87" i="4"/>
  <c r="L322" i="4"/>
  <c r="L264" i="4"/>
  <c r="L332" i="4"/>
  <c r="L95" i="4"/>
  <c r="L132" i="4"/>
  <c r="L84" i="4"/>
  <c r="L327" i="4"/>
  <c r="L250" i="4"/>
  <c r="L188" i="4"/>
  <c r="L74" i="4"/>
  <c r="L24" i="4"/>
  <c r="L52" i="4"/>
  <c r="L153" i="4"/>
  <c r="L184" i="4"/>
  <c r="L83" i="4"/>
  <c r="L210" i="4"/>
  <c r="L305" i="4"/>
  <c r="L255" i="4"/>
  <c r="L246" i="4"/>
  <c r="L287" i="4"/>
  <c r="L293" i="4"/>
  <c r="L317" i="4"/>
  <c r="L285" i="4"/>
  <c r="L193" i="4"/>
  <c r="L259" i="4"/>
  <c r="L130" i="4"/>
  <c r="L111" i="4"/>
  <c r="L173" i="4"/>
  <c r="L137" i="4"/>
  <c r="L150" i="4"/>
  <c r="L117" i="4"/>
  <c r="L226" i="4"/>
  <c r="L43" i="4"/>
  <c r="L28" i="4"/>
  <c r="R328" i="4"/>
  <c r="R264" i="4"/>
  <c r="R200" i="4"/>
  <c r="R136" i="4"/>
  <c r="R312" i="4"/>
  <c r="R248" i="4"/>
  <c r="R184" i="4"/>
  <c r="R120" i="4"/>
  <c r="R296" i="4"/>
  <c r="R168" i="4"/>
  <c r="R72" i="4"/>
  <c r="R305" i="4"/>
  <c r="R219" i="4"/>
  <c r="R134" i="4"/>
  <c r="R49" i="4"/>
  <c r="R290" i="4"/>
  <c r="R205" i="4"/>
  <c r="R119" i="4"/>
  <c r="R259" i="4"/>
  <c r="R89" i="4"/>
  <c r="R271" i="4"/>
  <c r="R268" i="4"/>
  <c r="R180" i="4"/>
  <c r="R96" i="4"/>
  <c r="R310" i="4"/>
  <c r="R193" i="4"/>
  <c r="R81" i="4"/>
  <c r="R295" i="4"/>
  <c r="R178" i="4"/>
  <c r="R323" i="4"/>
  <c r="R99" i="4"/>
  <c r="R229" i="4"/>
  <c r="R63" i="4"/>
  <c r="R137" i="4"/>
  <c r="R149" i="4"/>
  <c r="R159" i="4"/>
  <c r="R51" i="4"/>
  <c r="R300" i="4"/>
  <c r="R188" i="4"/>
  <c r="R68" i="4"/>
  <c r="R235" i="4"/>
  <c r="R86" i="4"/>
  <c r="R258" i="4"/>
  <c r="R109" i="4"/>
  <c r="R110" i="4"/>
  <c r="R175" i="4"/>
  <c r="R265" i="4"/>
  <c r="R170" i="4"/>
  <c r="R61" i="4"/>
  <c r="R320" i="4"/>
  <c r="R208" i="4"/>
  <c r="R92" i="4"/>
  <c r="R267" i="4"/>
  <c r="R118" i="4"/>
  <c r="R280" i="4"/>
  <c r="R152" i="4"/>
  <c r="R56" i="4"/>
  <c r="R283" i="4"/>
  <c r="R198" i="4"/>
  <c r="R113" i="4"/>
  <c r="R30" i="4"/>
  <c r="R269" i="4"/>
  <c r="R183" i="4"/>
  <c r="R98" i="4"/>
  <c r="R217" i="4"/>
  <c r="R55" i="4"/>
  <c r="R332" i="4"/>
  <c r="R244" i="4"/>
  <c r="R160" i="4"/>
  <c r="R76" i="4"/>
  <c r="R278" i="4"/>
  <c r="R166" i="4"/>
  <c r="R54" i="4"/>
  <c r="R263" i="4"/>
  <c r="R151" i="4"/>
  <c r="R270" i="4"/>
  <c r="R47" i="4"/>
  <c r="R186" i="4"/>
  <c r="R36" i="4"/>
  <c r="R58" i="4"/>
  <c r="R67" i="4"/>
  <c r="R74" i="4"/>
  <c r="R83" i="4"/>
  <c r="R272" i="4"/>
  <c r="R156" i="4"/>
  <c r="R44" i="4"/>
  <c r="R203" i="4"/>
  <c r="R43" i="4"/>
  <c r="R221" i="4"/>
  <c r="R334" i="4"/>
  <c r="R41" i="4"/>
  <c r="R122" i="4"/>
  <c r="R158" i="4"/>
  <c r="R53" i="4"/>
  <c r="R233" i="4"/>
  <c r="R292" i="4"/>
  <c r="R176" i="4"/>
  <c r="R64" i="4"/>
  <c r="R104" i="4"/>
  <c r="R262" i="4"/>
  <c r="R91" i="4"/>
  <c r="R247" i="4"/>
  <c r="R77" i="4"/>
  <c r="R29" i="4"/>
  <c r="R224" i="4"/>
  <c r="R52" i="4"/>
  <c r="R139" i="4"/>
  <c r="R237" i="4"/>
  <c r="R206" i="4"/>
  <c r="R143" i="4"/>
  <c r="R319" i="4"/>
  <c r="R23" i="4"/>
  <c r="R240" i="4"/>
  <c r="R315" i="4"/>
  <c r="R338" i="4"/>
  <c r="R249" i="4"/>
  <c r="R71" i="4"/>
  <c r="R287" i="4"/>
  <c r="R260" i="4"/>
  <c r="R342" i="4"/>
  <c r="R150" i="4"/>
  <c r="R285" i="4"/>
  <c r="R135" i="4"/>
  <c r="R163" i="4"/>
  <c r="R218" i="4"/>
  <c r="R25" i="4"/>
  <c r="R255" i="4"/>
  <c r="R138" i="4"/>
  <c r="R105" i="4"/>
  <c r="R164" i="4"/>
  <c r="R209" i="4"/>
  <c r="R231" i="4"/>
  <c r="R62" i="4"/>
  <c r="R179" i="4"/>
  <c r="R318" i="4"/>
  <c r="R196" i="4"/>
  <c r="R257" i="4"/>
  <c r="R279" i="4"/>
  <c r="R142" i="4"/>
  <c r="R329" i="4"/>
  <c r="R117" i="4"/>
  <c r="R252" i="4"/>
  <c r="R321" i="4"/>
  <c r="R343" i="4"/>
  <c r="R281" i="4"/>
  <c r="R79" i="4"/>
  <c r="R309" i="4"/>
  <c r="R340" i="4"/>
  <c r="R261" i="4"/>
  <c r="R60" i="4"/>
  <c r="R106" i="4"/>
  <c r="R227" i="4"/>
  <c r="R214" i="4"/>
  <c r="R33" i="4"/>
  <c r="R88" i="4"/>
  <c r="R177" i="4"/>
  <c r="R311" i="4"/>
  <c r="R302" i="4"/>
  <c r="R308" i="4"/>
  <c r="R116" i="4"/>
  <c r="R107" i="4"/>
  <c r="R125" i="4"/>
  <c r="R282" i="4"/>
  <c r="R234" i="4"/>
  <c r="R275" i="4"/>
  <c r="R100" i="4"/>
  <c r="R301" i="4"/>
  <c r="R303" i="4"/>
  <c r="R277" i="4"/>
  <c r="R236" i="4"/>
  <c r="R230" i="4"/>
  <c r="R327" i="4"/>
  <c r="R103" i="4"/>
  <c r="R35" i="4"/>
  <c r="R57" i="4"/>
  <c r="R127" i="4"/>
  <c r="R147" i="4"/>
  <c r="R220" i="4"/>
  <c r="R129" i="4"/>
  <c r="R82" i="4"/>
  <c r="R42" i="4"/>
  <c r="R169" i="4"/>
  <c r="R84" i="4"/>
  <c r="R34" i="4"/>
  <c r="R24" i="4"/>
  <c r="R213" i="4"/>
  <c r="R304" i="4"/>
  <c r="R246" i="4"/>
  <c r="R194" i="4"/>
  <c r="R197" i="4"/>
  <c r="R95" i="4"/>
  <c r="R145" i="4"/>
  <c r="R284" i="4"/>
  <c r="R228" i="4"/>
  <c r="R223" i="4"/>
  <c r="R201" i="4"/>
  <c r="R232" i="4"/>
  <c r="R326" i="4"/>
  <c r="R70" i="4"/>
  <c r="R162" i="4"/>
  <c r="R131" i="4"/>
  <c r="R204" i="4"/>
  <c r="R251" i="4"/>
  <c r="R322" i="4"/>
  <c r="R153" i="4"/>
  <c r="R307" i="4"/>
  <c r="R245" i="4"/>
  <c r="R212" i="4"/>
  <c r="R161" i="4"/>
  <c r="R146" i="4"/>
  <c r="R31" i="4"/>
  <c r="R126" i="4"/>
  <c r="R124" i="4"/>
  <c r="R75" i="4"/>
  <c r="R215" i="4"/>
  <c r="R238" i="4"/>
  <c r="R165" i="4"/>
  <c r="R115" i="4"/>
  <c r="R266" i="4"/>
  <c r="R336" i="4"/>
  <c r="R48" i="4"/>
  <c r="R306" i="4"/>
  <c r="R250" i="4"/>
  <c r="R85" i="4"/>
  <c r="R256" i="4"/>
  <c r="R182" i="4"/>
  <c r="R130" i="4"/>
  <c r="R90" i="4"/>
  <c r="R297" i="4"/>
  <c r="R132" i="4"/>
  <c r="R97" i="4"/>
  <c r="R121" i="4"/>
  <c r="R73" i="4"/>
  <c r="R190" i="4"/>
  <c r="R341" i="4"/>
  <c r="R87" i="4"/>
  <c r="R317" i="4"/>
  <c r="R242" i="4"/>
  <c r="R216" i="4"/>
  <c r="R333" i="4"/>
  <c r="R314" i="4"/>
  <c r="R225" i="4"/>
  <c r="R335" i="4"/>
  <c r="R66" i="4"/>
  <c r="R123" i="4"/>
  <c r="R45" i="4"/>
  <c r="R299" i="4"/>
  <c r="R173" i="4"/>
  <c r="R111" i="4"/>
  <c r="R46" i="4"/>
  <c r="R289" i="4"/>
  <c r="R133" i="4"/>
  <c r="R144" i="4"/>
  <c r="R291" i="4"/>
  <c r="R37" i="4"/>
  <c r="R274" i="4"/>
  <c r="R191" i="4"/>
  <c r="R254" i="4"/>
  <c r="R50" i="4"/>
  <c r="R241" i="4"/>
  <c r="R141" i="4"/>
  <c r="R140" i="4"/>
  <c r="R210" i="4"/>
  <c r="R222" i="4"/>
  <c r="R128" i="4"/>
  <c r="R185" i="4"/>
  <c r="R27" i="4"/>
  <c r="R38" i="4"/>
  <c r="R78" i="4"/>
  <c r="R32" i="4"/>
  <c r="R276" i="4"/>
  <c r="R157" i="4"/>
  <c r="R202" i="4"/>
  <c r="R102" i="4"/>
  <c r="R94" i="4"/>
  <c r="R80" i="4"/>
  <c r="R325" i="4"/>
  <c r="R112" i="4"/>
  <c r="R154" i="4"/>
  <c r="R69" i="4"/>
  <c r="R155" i="4"/>
  <c r="R174" i="4"/>
  <c r="R337" i="4"/>
  <c r="R93" i="4"/>
  <c r="R330" i="4"/>
  <c r="R273" i="4"/>
  <c r="R239" i="4"/>
  <c r="R148" i="4"/>
  <c r="R253" i="4"/>
  <c r="R293" i="4"/>
  <c r="R39" i="4"/>
  <c r="R108" i="4"/>
  <c r="R195" i="4"/>
  <c r="R316" i="4"/>
  <c r="R199" i="4"/>
  <c r="R28" i="4"/>
  <c r="R171" i="4"/>
  <c r="R286" i="4"/>
  <c r="R167" i="4"/>
  <c r="R294" i="4"/>
  <c r="R26" i="4"/>
  <c r="R181" i="4"/>
  <c r="R339" i="4"/>
  <c r="R207" i="4"/>
  <c r="R65" i="4"/>
  <c r="R40" i="4"/>
  <c r="R101" i="4"/>
  <c r="R187" i="4"/>
  <c r="R59" i="4"/>
  <c r="R192" i="4"/>
  <c r="R172" i="4"/>
  <c r="R288" i="4"/>
  <c r="R189" i="4"/>
  <c r="R243" i="4"/>
  <c r="R331" i="4"/>
  <c r="R211" i="4"/>
  <c r="R226" i="4"/>
  <c r="R324" i="4"/>
  <c r="R313" i="4"/>
  <c r="R298" i="4"/>
  <c r="R114" i="4"/>
  <c r="O293" i="4"/>
  <c r="O229" i="4"/>
  <c r="O165" i="4"/>
  <c r="O101" i="4"/>
  <c r="O37" i="4"/>
  <c r="O294" i="4"/>
  <c r="O230" i="4"/>
  <c r="O166" i="4"/>
  <c r="O102" i="4"/>
  <c r="O38" i="4"/>
  <c r="O247" i="4"/>
  <c r="O119" i="4"/>
  <c r="O316" i="4"/>
  <c r="O188" i="4"/>
  <c r="O60" i="4"/>
  <c r="O248" i="4"/>
  <c r="O120" i="4"/>
  <c r="O243" i="4"/>
  <c r="O43" i="4"/>
  <c r="O195" i="4"/>
  <c r="O285" i="4"/>
  <c r="O201" i="4"/>
  <c r="O113" i="4"/>
  <c r="O29" i="4"/>
  <c r="O266" i="4"/>
  <c r="O178" i="4"/>
  <c r="O94" i="4"/>
  <c r="O319" i="4"/>
  <c r="O143" i="4"/>
  <c r="O300" i="4"/>
  <c r="O309" i="4"/>
  <c r="O213" i="4"/>
  <c r="O133" i="4"/>
  <c r="O53" i="4"/>
  <c r="O278" i="4"/>
  <c r="O198" i="4"/>
  <c r="O118" i="4"/>
  <c r="O343" i="4"/>
  <c r="O183" i="4"/>
  <c r="O23" i="4"/>
  <c r="O156" i="4"/>
  <c r="O312" i="4"/>
  <c r="O152" i="4"/>
  <c r="O115" i="4"/>
  <c r="O91" i="4"/>
  <c r="O305" i="4"/>
  <c r="O177" i="4"/>
  <c r="O73" i="4"/>
  <c r="O286" i="4"/>
  <c r="O158" i="4"/>
  <c r="O50" i="4"/>
  <c r="O191" i="4"/>
  <c r="O260" i="4"/>
  <c r="O84" i="4"/>
  <c r="O232" i="4"/>
  <c r="O64" i="4"/>
  <c r="O139" i="4"/>
  <c r="O291" i="4"/>
  <c r="O237" i="4"/>
  <c r="O125" i="4"/>
  <c r="O334" i="4"/>
  <c r="O218" i="4"/>
  <c r="O106" i="4"/>
  <c r="O287" i="4"/>
  <c r="O47" i="4"/>
  <c r="O148" i="4"/>
  <c r="O240" i="4"/>
  <c r="O307" i="4"/>
  <c r="O27" i="4"/>
  <c r="O257" i="4"/>
  <c r="O145" i="4"/>
  <c r="O33" i="4"/>
  <c r="O238" i="4"/>
  <c r="O126" i="4"/>
  <c r="O327" i="4"/>
  <c r="O95" i="4"/>
  <c r="O196" i="4"/>
  <c r="O288" i="4"/>
  <c r="O48" i="4"/>
  <c r="O187" i="4"/>
  <c r="O249" i="4"/>
  <c r="O338" i="4"/>
  <c r="O110" i="4"/>
  <c r="O71" i="4"/>
  <c r="O256" i="4"/>
  <c r="O59" i="4"/>
  <c r="O169" i="4"/>
  <c r="O258" i="4"/>
  <c r="O34" i="4"/>
  <c r="O261" i="4"/>
  <c r="O149" i="4"/>
  <c r="O342" i="4"/>
  <c r="O246" i="4"/>
  <c r="O134" i="4"/>
  <c r="O311" i="4"/>
  <c r="O87" i="4"/>
  <c r="O220" i="4"/>
  <c r="O280" i="4"/>
  <c r="O56" i="4"/>
  <c r="O219" i="4"/>
  <c r="O265" i="4"/>
  <c r="O137" i="4"/>
  <c r="O306" i="4"/>
  <c r="O138" i="4"/>
  <c r="O271" i="4"/>
  <c r="O340" i="4"/>
  <c r="O44" i="4"/>
  <c r="O144" i="4"/>
  <c r="O331" i="4"/>
  <c r="O321" i="4"/>
  <c r="O185" i="4"/>
  <c r="O41" i="4"/>
  <c r="O190" i="4"/>
  <c r="O46" i="4"/>
  <c r="O111" i="4"/>
  <c r="O100" i="4"/>
  <c r="O128" i="4"/>
  <c r="O251" i="4"/>
  <c r="O233" i="4"/>
  <c r="O89" i="4"/>
  <c r="O270" i="4"/>
  <c r="O98" i="4"/>
  <c r="O207" i="4"/>
  <c r="O244" i="4"/>
  <c r="O224" i="4"/>
  <c r="O51" i="4"/>
  <c r="O301" i="4"/>
  <c r="O282" i="4"/>
  <c r="O295" i="4"/>
  <c r="O52" i="4"/>
  <c r="O337" i="4"/>
  <c r="O57" i="4"/>
  <c r="O90" i="4"/>
  <c r="O236" i="4"/>
  <c r="O96" i="4"/>
  <c r="O333" i="4"/>
  <c r="O105" i="4"/>
  <c r="O194" i="4"/>
  <c r="O239" i="4"/>
  <c r="O108" i="4"/>
  <c r="O147" i="4"/>
  <c r="O290" i="4"/>
  <c r="O141" i="4"/>
  <c r="O40" i="4"/>
  <c r="O199" i="4"/>
  <c r="O25" i="4"/>
  <c r="O155" i="4"/>
  <c r="O341" i="4"/>
  <c r="O245" i="4"/>
  <c r="O117" i="4"/>
  <c r="O326" i="4"/>
  <c r="O214" i="4"/>
  <c r="O86" i="4"/>
  <c r="O279" i="4"/>
  <c r="O55" i="4"/>
  <c r="O124" i="4"/>
  <c r="O216" i="4"/>
  <c r="O24" i="4"/>
  <c r="O131" i="4"/>
  <c r="O241" i="4"/>
  <c r="O93" i="4"/>
  <c r="O242" i="4"/>
  <c r="O114" i="4"/>
  <c r="O231" i="4"/>
  <c r="O212" i="4"/>
  <c r="O320" i="4"/>
  <c r="O104" i="4"/>
  <c r="O283" i="4"/>
  <c r="O297" i="4"/>
  <c r="O153" i="4"/>
  <c r="O302" i="4"/>
  <c r="O162" i="4"/>
  <c r="O335" i="4"/>
  <c r="O324" i="4"/>
  <c r="O36" i="4"/>
  <c r="O72" i="4"/>
  <c r="O67" i="4"/>
  <c r="O205" i="4"/>
  <c r="O61" i="4"/>
  <c r="O210" i="4"/>
  <c r="O66" i="4"/>
  <c r="O159" i="4"/>
  <c r="O140" i="4"/>
  <c r="O168" i="4"/>
  <c r="O107" i="4"/>
  <c r="O189" i="4"/>
  <c r="O226" i="4"/>
  <c r="O175" i="4"/>
  <c r="O136" i="4"/>
  <c r="O281" i="4"/>
  <c r="O318" i="4"/>
  <c r="O255" i="4"/>
  <c r="O116" i="4"/>
  <c r="O211" i="4"/>
  <c r="O273" i="4"/>
  <c r="O45" i="4"/>
  <c r="O142" i="4"/>
  <c r="O127" i="4"/>
  <c r="O304" i="4"/>
  <c r="O315" i="4"/>
  <c r="O62" i="4"/>
  <c r="O234" i="4"/>
  <c r="O313" i="4"/>
  <c r="O68" i="4"/>
  <c r="O122" i="4"/>
  <c r="O325" i="4"/>
  <c r="O85" i="4"/>
  <c r="O182" i="4"/>
  <c r="O215" i="4"/>
  <c r="O92" i="4"/>
  <c r="O299" i="4"/>
  <c r="O49" i="4"/>
  <c r="O74" i="4"/>
  <c r="O172" i="4"/>
  <c r="O339" i="4"/>
  <c r="O269" i="4"/>
  <c r="O274" i="4"/>
  <c r="O223" i="4"/>
  <c r="O296" i="4"/>
  <c r="O317" i="4"/>
  <c r="O322" i="4"/>
  <c r="O42" i="4"/>
  <c r="O76" i="4"/>
  <c r="O259" i="4"/>
  <c r="O170" i="4"/>
  <c r="O32" i="4"/>
  <c r="O206" i="4"/>
  <c r="O328" i="4"/>
  <c r="O217" i="4"/>
  <c r="O82" i="4"/>
  <c r="O200" i="4"/>
  <c r="O292" i="4"/>
  <c r="O81" i="4"/>
  <c r="O79" i="4"/>
  <c r="O277" i="4"/>
  <c r="O181" i="4"/>
  <c r="O69" i="4"/>
  <c r="O262" i="4"/>
  <c r="O150" i="4"/>
  <c r="O54" i="4"/>
  <c r="O151" i="4"/>
  <c r="O252" i="4"/>
  <c r="O28" i="4"/>
  <c r="O88" i="4"/>
  <c r="O171" i="4"/>
  <c r="O329" i="4"/>
  <c r="O157" i="4"/>
  <c r="O330" i="4"/>
  <c r="O202" i="4"/>
  <c r="O30" i="4"/>
  <c r="O63" i="4"/>
  <c r="O132" i="4"/>
  <c r="O192" i="4"/>
  <c r="O179" i="4"/>
  <c r="O227" i="4"/>
  <c r="O209" i="4"/>
  <c r="O65" i="4"/>
  <c r="O250" i="4"/>
  <c r="O78" i="4"/>
  <c r="O167" i="4"/>
  <c r="O204" i="4"/>
  <c r="O176" i="4"/>
  <c r="O203" i="4"/>
  <c r="O289" i="4"/>
  <c r="O121" i="4"/>
  <c r="O298" i="4"/>
  <c r="O154" i="4"/>
  <c r="O263" i="4"/>
  <c r="O308" i="4"/>
  <c r="O336" i="4"/>
  <c r="O275" i="4"/>
  <c r="O163" i="4"/>
  <c r="O77" i="4"/>
  <c r="O58" i="4"/>
  <c r="O164" i="4"/>
  <c r="O235" i="4"/>
  <c r="O109" i="4"/>
  <c r="O146" i="4"/>
  <c r="O31" i="4"/>
  <c r="O208" i="4"/>
  <c r="O99" i="4"/>
  <c r="O161" i="4"/>
  <c r="O254" i="4"/>
  <c r="O26" i="4"/>
  <c r="O228" i="4"/>
  <c r="O80" i="4"/>
  <c r="O193" i="4"/>
  <c r="O160" i="4"/>
  <c r="O180" i="4"/>
  <c r="O174" i="4"/>
  <c r="O253" i="4"/>
  <c r="O264" i="4"/>
  <c r="O197" i="4"/>
  <c r="O310" i="4"/>
  <c r="O70" i="4"/>
  <c r="O284" i="4"/>
  <c r="O184" i="4"/>
  <c r="O35" i="4"/>
  <c r="O221" i="4"/>
  <c r="O222" i="4"/>
  <c r="O103" i="4"/>
  <c r="O272" i="4"/>
  <c r="O123" i="4"/>
  <c r="O97" i="4"/>
  <c r="O130" i="4"/>
  <c r="O268" i="4"/>
  <c r="O83" i="4"/>
  <c r="O173" i="4"/>
  <c r="O186" i="4"/>
  <c r="O39" i="4"/>
  <c r="O112" i="4"/>
  <c r="O129" i="4"/>
  <c r="O276" i="4"/>
  <c r="O225" i="4"/>
  <c r="O135" i="4"/>
  <c r="O75" i="4"/>
  <c r="O314" i="4"/>
  <c r="O332" i="4"/>
  <c r="O323" i="4"/>
  <c r="O303" i="4"/>
  <c r="O267" i="4"/>
  <c r="C316" i="4"/>
  <c r="C252" i="4"/>
  <c r="C188" i="4"/>
  <c r="C124" i="4"/>
  <c r="C60" i="4"/>
  <c r="C317" i="4"/>
  <c r="C253" i="4"/>
  <c r="C189" i="4"/>
  <c r="C125" i="4"/>
  <c r="C61" i="4"/>
  <c r="C294" i="4"/>
  <c r="C166" i="4"/>
  <c r="C38" i="4"/>
  <c r="C227" i="4"/>
  <c r="C99" i="4"/>
  <c r="C295" i="4"/>
  <c r="C167" i="4"/>
  <c r="C39" i="4"/>
  <c r="C234" i="4"/>
  <c r="C34" i="4"/>
  <c r="C320" i="4"/>
  <c r="C232" i="4"/>
  <c r="C148" i="4"/>
  <c r="C64" i="4"/>
  <c r="C297" i="4"/>
  <c r="C213" i="4"/>
  <c r="C129" i="4"/>
  <c r="C41" i="4"/>
  <c r="C214" i="4"/>
  <c r="C46" i="4"/>
  <c r="C187" i="4"/>
  <c r="C343" i="4"/>
  <c r="C175" i="4"/>
  <c r="C274" i="4"/>
  <c r="C226" i="4"/>
  <c r="C336" i="4"/>
  <c r="C248" i="4"/>
  <c r="C164" i="4"/>
  <c r="C80" i="4"/>
  <c r="C313" i="4"/>
  <c r="C229" i="4"/>
  <c r="C145" i="4"/>
  <c r="C57" i="4"/>
  <c r="C246" i="4"/>
  <c r="C78" i="4"/>
  <c r="C219" i="4"/>
  <c r="C51" i="4"/>
  <c r="C207" i="4"/>
  <c r="C31" i="4"/>
  <c r="C42" i="4"/>
  <c r="C324" i="4"/>
  <c r="C152" i="4"/>
  <c r="C305" i="4"/>
  <c r="C133" i="4"/>
  <c r="C222" i="4"/>
  <c r="C203" i="4"/>
  <c r="C183" i="4"/>
  <c r="C258" i="4"/>
  <c r="C224" i="4"/>
  <c r="C52" i="4"/>
  <c r="C201" i="4"/>
  <c r="C33" i="4"/>
  <c r="C339" i="4"/>
  <c r="C319" i="4"/>
  <c r="C210" i="4"/>
  <c r="C304" i="4"/>
  <c r="C132" i="4"/>
  <c r="C281" i="4"/>
  <c r="C113" i="4"/>
  <c r="C182" i="4"/>
  <c r="C155" i="4"/>
  <c r="C143" i="4"/>
  <c r="C98" i="4"/>
  <c r="C181" i="4"/>
  <c r="C330" i="4"/>
  <c r="C137" i="4"/>
  <c r="C322" i="4"/>
  <c r="C97" i="4"/>
  <c r="C282" i="4"/>
  <c r="C53" i="4"/>
  <c r="C300" i="4"/>
  <c r="C236" i="4"/>
  <c r="C172" i="4"/>
  <c r="C108" i="4"/>
  <c r="C44" i="4"/>
  <c r="C301" i="4"/>
  <c r="C237" i="4"/>
  <c r="C173" i="4"/>
  <c r="C109" i="4"/>
  <c r="C45" i="4"/>
  <c r="C262" i="4"/>
  <c r="C134" i="4"/>
  <c r="C323" i="4"/>
  <c r="C195" i="4"/>
  <c r="C67" i="4"/>
  <c r="C263" i="4"/>
  <c r="C135" i="4"/>
  <c r="C306" i="4"/>
  <c r="C106" i="4"/>
  <c r="C218" i="4"/>
  <c r="C296" i="4"/>
  <c r="C212" i="4"/>
  <c r="C128" i="4"/>
  <c r="C40" i="4"/>
  <c r="C277" i="4"/>
  <c r="C193" i="4"/>
  <c r="C105" i="4"/>
  <c r="C342" i="4"/>
  <c r="C174" i="4"/>
  <c r="C315" i="4"/>
  <c r="C147" i="4"/>
  <c r="C303" i="4"/>
  <c r="C127" i="4"/>
  <c r="C114" i="4"/>
  <c r="C66" i="4"/>
  <c r="C312" i="4"/>
  <c r="C228" i="4"/>
  <c r="C144" i="4"/>
  <c r="C56" i="4"/>
  <c r="C293" i="4"/>
  <c r="C209" i="4"/>
  <c r="C121" i="4"/>
  <c r="C37" i="4"/>
  <c r="C206" i="4"/>
  <c r="C30" i="4"/>
  <c r="C179" i="4"/>
  <c r="C335" i="4"/>
  <c r="C159" i="4"/>
  <c r="C242" i="4"/>
  <c r="C194" i="4"/>
  <c r="C280" i="4"/>
  <c r="C112" i="4"/>
  <c r="C261" i="4"/>
  <c r="C89" i="4"/>
  <c r="C142" i="4"/>
  <c r="C115" i="4"/>
  <c r="C95" i="4"/>
  <c r="C250" i="4"/>
  <c r="C180" i="4"/>
  <c r="C329" i="4"/>
  <c r="C161" i="4"/>
  <c r="C278" i="4"/>
  <c r="C251" i="4"/>
  <c r="C239" i="4"/>
  <c r="C170" i="4"/>
  <c r="C260" i="4"/>
  <c r="C88" i="4"/>
  <c r="C241" i="4"/>
  <c r="C69" i="4"/>
  <c r="C94" i="4"/>
  <c r="C75" i="4"/>
  <c r="C55" i="4"/>
  <c r="C58" i="4"/>
  <c r="C318" i="4"/>
  <c r="C328" i="4"/>
  <c r="C238" i="4"/>
  <c r="C288" i="4"/>
  <c r="C150" i="4"/>
  <c r="C244" i="4"/>
  <c r="C62" i="4"/>
  <c r="C284" i="4"/>
  <c r="C156" i="4"/>
  <c r="C28" i="4"/>
  <c r="C221" i="4"/>
  <c r="C93" i="4"/>
  <c r="C230" i="4"/>
  <c r="C291" i="4"/>
  <c r="C35" i="4"/>
  <c r="C103" i="4"/>
  <c r="C290" i="4"/>
  <c r="C276" i="4"/>
  <c r="C104" i="4"/>
  <c r="C257" i="4"/>
  <c r="C85" i="4"/>
  <c r="C126" i="4"/>
  <c r="C107" i="4"/>
  <c r="C87" i="4"/>
  <c r="C186" i="4"/>
  <c r="C208" i="4"/>
  <c r="C36" i="4"/>
  <c r="C185" i="4"/>
  <c r="C334" i="4"/>
  <c r="C307" i="4"/>
  <c r="C287" i="4"/>
  <c r="C82" i="4"/>
  <c r="C240" i="4"/>
  <c r="C217" i="4"/>
  <c r="C54" i="4"/>
  <c r="C338" i="4"/>
  <c r="C136" i="4"/>
  <c r="C117" i="4"/>
  <c r="C171" i="4"/>
  <c r="C130" i="4"/>
  <c r="C48" i="4"/>
  <c r="C25" i="4"/>
  <c r="C311" i="4"/>
  <c r="C200" i="4"/>
  <c r="C160" i="4"/>
  <c r="C116" i="4"/>
  <c r="C72" i="4"/>
  <c r="C268" i="4"/>
  <c r="C140" i="4"/>
  <c r="C333" i="4"/>
  <c r="C205" i="4"/>
  <c r="C77" i="4"/>
  <c r="C198" i="4"/>
  <c r="C259" i="4"/>
  <c r="C327" i="4"/>
  <c r="C71" i="4"/>
  <c r="C162" i="4"/>
  <c r="C256" i="4"/>
  <c r="C84" i="4"/>
  <c r="C233" i="4"/>
  <c r="C65" i="4"/>
  <c r="C86" i="4"/>
  <c r="C59" i="4"/>
  <c r="C47" i="4"/>
  <c r="C26" i="4"/>
  <c r="C184" i="4"/>
  <c r="C337" i="4"/>
  <c r="C165" i="4"/>
  <c r="C286" i="4"/>
  <c r="C267" i="4"/>
  <c r="C247" i="4"/>
  <c r="C202" i="4"/>
  <c r="C196" i="4"/>
  <c r="C177" i="4"/>
  <c r="C283" i="4"/>
  <c r="C298" i="4"/>
  <c r="C96" i="4"/>
  <c r="C73" i="4"/>
  <c r="C83" i="4"/>
  <c r="C122" i="4"/>
  <c r="C325" i="4"/>
  <c r="C270" i="4"/>
  <c r="C223" i="4"/>
  <c r="C32" i="4"/>
  <c r="C309" i="4"/>
  <c r="C265" i="4"/>
  <c r="C225" i="4"/>
  <c r="C92" i="4"/>
  <c r="C157" i="4"/>
  <c r="C102" i="4"/>
  <c r="C231" i="4"/>
  <c r="C90" i="4"/>
  <c r="C341" i="4"/>
  <c r="C302" i="4"/>
  <c r="C255" i="4"/>
  <c r="C292" i="4"/>
  <c r="C273" i="4"/>
  <c r="C158" i="4"/>
  <c r="C119" i="4"/>
  <c r="C68" i="4"/>
  <c r="C27" i="4"/>
  <c r="C289" i="4"/>
  <c r="C151" i="4"/>
  <c r="C197" i="4"/>
  <c r="C146" i="4"/>
  <c r="C211" i="4"/>
  <c r="C43" i="4"/>
  <c r="C76" i="4"/>
  <c r="C29" i="4"/>
  <c r="C131" i="4"/>
  <c r="C340" i="4"/>
  <c r="C169" i="4"/>
  <c r="C235" i="4"/>
  <c r="C272" i="4"/>
  <c r="C101" i="4"/>
  <c r="C91" i="4"/>
  <c r="C24" i="4"/>
  <c r="C308" i="4"/>
  <c r="C110" i="4"/>
  <c r="C153" i="4"/>
  <c r="C299" i="4"/>
  <c r="C111" i="4"/>
  <c r="C220" i="4"/>
  <c r="C269" i="4"/>
  <c r="C70" i="4"/>
  <c r="C178" i="4"/>
  <c r="C168" i="4"/>
  <c r="C254" i="4"/>
  <c r="C266" i="4"/>
  <c r="C100" i="4"/>
  <c r="C118" i="4"/>
  <c r="C314" i="4"/>
  <c r="C310" i="4"/>
  <c r="C245" i="4"/>
  <c r="C216" i="4"/>
  <c r="C243" i="4"/>
  <c r="C191" i="4"/>
  <c r="C141" i="4"/>
  <c r="C50" i="4"/>
  <c r="C275" i="4"/>
  <c r="C249" i="4"/>
  <c r="C154" i="4"/>
  <c r="C190" i="4"/>
  <c r="C138" i="4"/>
  <c r="C204" i="4"/>
  <c r="C163" i="4"/>
  <c r="C321" i="4"/>
  <c r="C74" i="4"/>
  <c r="C139" i="4"/>
  <c r="C271" i="4"/>
  <c r="C176" i="4"/>
  <c r="C123" i="4"/>
  <c r="C285" i="4"/>
  <c r="C199" i="4"/>
  <c r="C149" i="4"/>
  <c r="C120" i="4"/>
  <c r="C79" i="4"/>
  <c r="C264" i="4"/>
  <c r="C331" i="4"/>
  <c r="C23" i="4"/>
  <c r="C215" i="4"/>
  <c r="C279" i="4"/>
  <c r="C332" i="4"/>
  <c r="C81" i="4"/>
  <c r="C49" i="4"/>
  <c r="C192" i="4"/>
  <c r="C63" i="4"/>
  <c r="C326" i="4"/>
</calcChain>
</file>

<file path=xl/comments1.xml><?xml version="1.0" encoding="utf-8"?>
<comments xmlns="http://schemas.openxmlformats.org/spreadsheetml/2006/main">
  <authors>
    <author>fries</author>
  </authors>
  <commentList>
    <comment ref="D16" authorId="0" shapeId="0">
      <text>
        <r>
          <rPr>
            <sz val="9"/>
            <color indexed="81"/>
            <rFont val="Segoe UI"/>
            <family val="2"/>
          </rPr>
          <t>EUR-OIS curve using self discounting – that is, the forward is calculated from the discount curve.EUR-OIS curve using self discounting – that is, the forward is calculated from the discount curve.</t>
        </r>
      </text>
    </comment>
    <comment ref="D52" authorId="0" shapeId="0">
      <text>
        <r>
          <rPr>
            <b/>
            <sz val="9"/>
            <color indexed="81"/>
            <rFont val="Segoe UI"/>
            <family val="2"/>
          </rPr>
          <t>3M EUR curve assuming OIS collateralization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76" authorId="0" shapeId="0">
      <text>
        <r>
          <rPr>
            <b/>
            <sz val="9"/>
            <color indexed="81"/>
            <rFont val="Segoe UI"/>
            <family val="2"/>
          </rPr>
          <t>6M EUR curve from a tenor basis swap assuming EUR-OIS collateralization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99" authorId="0" shapeId="0">
      <text>
        <r>
          <rPr>
            <b/>
            <sz val="9"/>
            <color indexed="81"/>
            <rFont val="Segoe UI"/>
            <family val="2"/>
          </rPr>
          <t>A funding curve defined as spread over EUR-3M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<sst xmlns="http://schemas.openxmlformats.org/spreadsheetml/2006/main" count="1954" uniqueCount="394">
  <si>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</si>
  <si>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</si>
  <si>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</si>
  <si>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</si>
  <si>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</si>
  <si>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</si>
  <si>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</si>
  <si>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</si>
  <si>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</si>
  <si>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</si>
  <si>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</si>
  <si>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</si>
  <si>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</si>
  <si>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</si>
  <si>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</si>
  <si>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</si>
  <si>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</si>
  <si>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</si>
  <si>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</si>
  <si>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</si>
  <si>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</si>
  <si>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</si>
  <si>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</si>
  <si>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</si>
  <si>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 Defintion (and past fixings)</t>
  </si>
  <si>
    <t>Common parameters</t>
  </si>
  <si>
    <t>Use this sheet to pre-define defined properties of curves used in calibration and set past fixings of the curve.</t>
  </si>
  <si>
    <t>If a curve is not definied here, but referenced during calibration, it will be created (without past fixings and default parameters inferred).</t>
  </si>
  <si>
    <t>Curves</t>
  </si>
  <si>
    <t>Curves are „collected“ in a model:</t>
  </si>
  <si>
    <t>We then define a model containing all discount cuves and forward curves.</t>
  </si>
  <si>
    <t>Object:</t>
  </si>
  <si>
    <t>On the sheet „Calibration“: We obtain a new model containing all correponding curves, calibrated to the market data.</t>
  </si>
  <si>
    <t xml:space="preserve"> </t>
  </si>
  <si>
    <t>Curve Properties and Past Fixings</t>
  </si>
  <si>
    <t>Create Curve Object</t>
  </si>
  <si>
    <t>Parameters</t>
  </si>
  <si>
    <t>Curve Name</t>
  </si>
  <si>
    <t>discount-EUR-OIS</t>
  </si>
  <si>
    <t>forward-EUR-OIS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</si>
  <si>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</si>
  <si>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</si>
  <si>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</si>
  <si>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</si>
  <si>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</si>
  <si>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</si>
  <si>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</si>
  <si>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</si>
  <si>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</si>
  <si>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</si>
  <si>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</si>
  <si>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</si>
  <si>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Curve object (empty, with properties above)</t>
  </si>
  <si>
    <t>Curve object with fixings</t>
  </si>
  <si>
    <t>Object (of type Curve)</t>
  </si>
  <si>
    <t>date</t>
  </si>
  <si>
    <t>time</t>
  </si>
  <si>
    <t>value</t>
  </si>
  <si>
    <t>Calibrate Discount and Forward Curves to Market Data (- please send feedback to info@finmath.net -)</t>
  </si>
  <si>
    <t>Color Coding:</t>
  </si>
  <si>
    <t>INPUT</t>
  </si>
  <si>
    <t>Note:</t>
  </si>
  <si>
    <t>To add data, duplicate a whole row (ensure to include the formulas at the end of the input fields)</t>
  </si>
  <si>
    <t>Create Collection of Calibrated Curves from Market Data</t>
  </si>
  <si>
    <t>Notes:</t>
  </si>
  <si>
    <t>See settings and conventions used here are for illustrative purposes. Market conventions may differ.</t>
  </si>
  <si>
    <t>See sheet „Curves View“ for result of calibration</t>
  </si>
  <si>
    <t>first</t>
  </si>
  <si>
    <t>Object</t>
  </si>
  <si>
    <t>Define the receiver leg here. Specify a name for a curve for the forward of leave the name empty.</t>
  </si>
  <si>
    <t>Define the payer leg here.</t>
  </si>
  <si>
    <t>Define the curve and time to calibrate from this product.</t>
  </si>
  <si>
    <t>bus.days.</t>
  </si>
  <si>
    <t>Reciever Leg</t>
  </si>
  <si>
    <t>Payer Leg</t>
  </si>
  <si>
    <t>Calibration entity</t>
  </si>
  <si>
    <t>symbol</t>
  </si>
  <si>
    <t>type</t>
  </si>
  <si>
    <t>spot offset</t>
  </si>
  <si>
    <t>start offset</t>
  </si>
  <si>
    <t>maturity</t>
  </si>
  <si>
    <t>frequency</t>
  </si>
  <si>
    <t>daycounting</t>
  </si>
  <si>
    <t>bus. day adj.</t>
  </si>
  <si>
    <t>fixing offset</t>
  </si>
  <si>
    <t>pay offset</t>
  </si>
  <si>
    <t>forward curve</t>
  </si>
  <si>
    <t>spread</t>
  </si>
  <si>
    <t>discount curve</t>
  </si>
  <si>
    <t>calibration curve</t>
  </si>
  <si>
    <t>calibration time</t>
  </si>
  <si>
    <t>spot date</t>
  </si>
  <si>
    <t>start offset rec</t>
  </si>
  <si>
    <t>maturity rec</t>
  </si>
  <si>
    <t>start offset pay</t>
  </si>
  <si>
    <t>maturity pay</t>
  </si>
  <si>
    <t>tenor rec</t>
  </si>
  <si>
    <t>forward rec</t>
  </si>
  <si>
    <t>spread rec</t>
  </si>
  <si>
    <t>discount rec</t>
  </si>
  <si>
    <t>tenor pay</t>
  </si>
  <si>
    <t>forward pay</t>
  </si>
  <si>
    <t>spread pay</t>
  </si>
  <si>
    <t>disocunt pay</t>
  </si>
  <si>
    <t>Deposit</t>
  </si>
  <si>
    <t>0D</t>
  </si>
  <si>
    <t>1D</t>
  </si>
  <si>
    <t>tenor</t>
  </si>
  <si>
    <t>act/360</t>
  </si>
  <si>
    <t>following</t>
  </si>
  <si>
    <t>annual</t>
  </si>
  <si>
    <t>1W</t>
  </si>
  <si>
    <t>2W</t>
  </si>
  <si>
    <t>3W</t>
  </si>
  <si>
    <t>1M</t>
  </si>
  <si>
    <t>modified_following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</si>
  <si>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</si>
  <si>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</si>
  <si>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</si>
  <si>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</si>
  <si>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</si>
  <si>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</si>
  <si>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</si>
  <si>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</si>
  <si>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</si>
  <si>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Swap</t>
  </si>
  <si>
    <t>15M</t>
  </si>
  <si>
    <t>18M</t>
  </si>
  <si>
    <t>21M</t>
  </si>
  <si>
    <t>2Y</t>
  </si>
  <si>
    <t>act/365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</si>
  <si>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</si>
  <si>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</si>
  <si>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</si>
  <si>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</si>
  <si>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</si>
  <si>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</si>
  <si>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</si>
  <si>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</si>
  <si>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</si>
  <si>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</si>
  <si>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</si>
  <si>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</si>
  <si>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</si>
  <si>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</si>
  <si>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</si>
  <si>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</si>
  <si>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FRA</t>
  </si>
  <si>
    <t>30/360</t>
  </si>
  <si>
    <t>quarterly</t>
  </si>
  <si>
    <t>E30/360</t>
  </si>
  <si>
    <t>semiannual</t>
  </si>
  <si>
    <t>SwapLeg</t>
  </si>
  <si>
    <t>1Y</t>
  </si>
  <si>
    <t>discount-EUR-FND</t>
  </si>
  <si>
    <t>Result: Calibrated Curves</t>
  </si>
  <si>
    <t>calibrateModel</t>
  </si>
  <si>
    <t>save model:</t>
  </si>
  <si>
    <t>Results</t>
  </si>
  <si>
    <t>Fetch Curve Object</t>
  </si>
  <si>
    <t>Some Valuations using the Calibrated Curves</t>
  </si>
  <si>
    <t>In contrast to spot offset, start offset is not adjusted, i.e. it is an offset on baseDate and the result stays unadjusted.</t>
  </si>
  <si>
    <t>Valuation</t>
  </si>
  <si>
    <t>Simplified Swap Schedule Creation</t>
  </si>
  <si>
    <t>start</t>
  </si>
  <si>
    <t>end</t>
  </si>
  <si>
    <t>period length</t>
  </si>
  <si>
    <t>notional exchange</t>
  </si>
  <si>
    <t>Remarks</t>
  </si>
  <si>
    <t>An OIS discounted swap leg is not at par!</t>
  </si>
  <si>
    <t>Self disocunting the leg is at par (using forward curve as discount curve)</t>
  </si>
  <si>
    <t>The OIS discounted fixed leg is not at par either!</t>
  </si>
  <si>
    <t>Meta Data Swap Schedule Creation</t>
  </si>
  <si>
    <t>A self discounted floater is at par.</t>
  </si>
  <si>
    <t>e30/360</t>
  </si>
  <si>
    <t>A running deal</t>
  </si>
  <si>
    <t>Checking the funding floater:</t>
  </si>
  <si>
    <t>Some Valuations and Sensitivities using the Calibrated Curves</t>
  </si>
  <si>
    <t>In contrast to spot offset, 'start' is not adjusted, i.e. it is an offset on baseDate and the result stays unadjusted.</t>
  </si>
  <si>
    <t>discount-EUR-OIS-10Y</t>
  </si>
  <si>
    <t>ENABLE SHEET:</t>
  </si>
  <si>
    <t>← Set this to TRUE to have the sheet calculated! Set to FALSE to disable and save performance.</t>
  </si>
  <si>
    <t>Check the different thetas</t>
  </si>
  <si>
    <t>forward-EUR-3M-10Y</t>
  </si>
  <si>
    <t>Try the symbols in column S in cell Q9</t>
  </si>
  <si>
    <t>forward-USD-3M-10Y</t>
  </si>
  <si>
    <t>forward-USD-3M-EUR-OIS</t>
  </si>
  <si>
    <t>discount-USD-OIS-10Y</t>
  </si>
  <si>
    <t>discount-USD-EUR-OIS-10Y</t>
  </si>
  <si>
    <t>calibratedCurves</t>
  </si>
  <si>
    <t>Shift:</t>
  </si>
  <si>
    <t>discount-EUR-FND-10Y</t>
  </si>
  <si>
    <t>Symbol:</t>
  </si>
  <si>
    <t>discount-EUR-FND2-10Y</t>
  </si>
  <si>
    <t>Calibration:</t>
  </si>
  <si>
    <t>Model:</t>
  </si>
  <si>
    <t>theta</t>
  </si>
  <si>
    <t>delta (bp per bp)</t>
  </si>
  <si>
    <t>delta</t>
  </si>
  <si>
    <t>discount-USD-EUR-OIS</t>
  </si>
  <si>
    <t>forward-EUR-3M-FND</t>
  </si>
  <si>
    <t>discount-EUR-FND2</t>
  </si>
  <si>
    <t>The impact of the definition of the uncollaterlized forward:</t>
  </si>
  <si>
    <t>has small ois sensitivity</t>
  </si>
  <si>
    <t>The sensitivity of a FRA, which is not part of the curve construction (check different interpolation methods)</t>
  </si>
  <si>
    <t>7x10</t>
  </si>
  <si>
    <t>← try these below and check the sensitivities, repeat this when changing interpolation from FORWARD to DISCOUNTFACTOR</t>
  </si>
  <si>
    <t>9x12</t>
  </si>
  <si>
    <t>forward-EUR-3M-0Dx3M</t>
  </si>
  <si>
    <t>forward-EUR-3M-1Mx3M</t>
  </si>
  <si>
    <t>forward-EUR-3M-2Mx3M</t>
  </si>
  <si>
    <t>forward-EUR-3M-3Mx3M</t>
  </si>
  <si>
    <t>forward-EUR-3M-4Mx3M</t>
  </si>
  <si>
    <t>forward-EUR-3M-5Mx3M</t>
  </si>
  <si>
    <t>forward-EUR-3M-6Mx3M</t>
  </si>
  <si>
    <t>forward-EUR-3M-7Mx3M</t>
  </si>
  <si>
    <t>forward-EUR-3M-8Mx3M</t>
  </si>
  <si>
    <t>forward-EUR-3M-1Y</t>
  </si>
  <si>
    <t>The sensitivties of a EUR Swap collaterlized in USD</t>
  </si>
  <si>
    <t>discount-EUR-USD-OIS</t>
  </si>
  <si>
    <t>calibration product</t>
  </si>
  <si>
    <t>bucket</t>
  </si>
  <si>
    <t>value:</t>
  </si>
  <si>
    <t>calibration</t>
  </si>
  <si>
    <t>model</t>
  </si>
  <si>
    <t>product</t>
  </si>
  <si>
    <t>sensitivity</t>
  </si>
  <si>
    <t>name</t>
  </si>
  <si>
    <t>discount-EUR-OIS-1D</t>
  </si>
  <si>
    <t>discount-EUR-OIS-1W</t>
  </si>
  <si>
    <t>discount-EUR-OIS-2W</t>
  </si>
  <si>
    <t>discount-EUR-OIS-3W</t>
  </si>
  <si>
    <t>discount-EUR-OIS-1M</t>
  </si>
  <si>
    <t>discount-EUR-OIS-2M</t>
  </si>
  <si>
    <t>discount-EUR-OIS-3M</t>
  </si>
  <si>
    <t>discount-EUR-OIS-4M</t>
  </si>
  <si>
    <t>discount-EUR-OIS-5M</t>
  </si>
  <si>
    <t>discount-EUR-OIS-6M</t>
  </si>
  <si>
    <t>discount-EUR-OIS-7M</t>
  </si>
  <si>
    <t>discount-EUR-OIS-8M</t>
  </si>
  <si>
    <t>discount-EUR-OIS-9M</t>
  </si>
  <si>
    <t>discount-EUR-OIS-10M</t>
  </si>
  <si>
    <t>discount-EUR-OIS-11M</t>
  </si>
  <si>
    <t>discount-EUR-OIS-12M</t>
  </si>
  <si>
    <t>discount-EUR-OIS-15M</t>
  </si>
  <si>
    <t>discount-EUR-OIS-18M</t>
  </si>
  <si>
    <t>discount-EUR-OIS-21M</t>
  </si>
  <si>
    <t>discount-EUR-OIS-2Y</t>
  </si>
  <si>
    <t>discount-EUR-OIS-3Y</t>
  </si>
  <si>
    <t>discount-EUR-OIS-4Y</t>
  </si>
  <si>
    <t>discount-EUR-OIS-5Y</t>
  </si>
  <si>
    <t>discount-EUR-OIS-6Y</t>
  </si>
  <si>
    <t>discount-EUR-OIS-7Y</t>
  </si>
  <si>
    <t>discount-EUR-OIS-8Y</t>
  </si>
  <si>
    <t>discount-EUR-OIS-9Y</t>
  </si>
  <si>
    <t>discount-EUR-OIS-11Y</t>
  </si>
  <si>
    <t>discount-EUR-OIS-12Y</t>
  </si>
  <si>
    <t>discount-EUR-OIS-15Y</t>
  </si>
  <si>
    <t>discount-EUR-OIS-20Y</t>
  </si>
  <si>
    <t>discount-EUR-OIS-25Y</t>
  </si>
  <si>
    <t>discount-EUR-OIS-30Y</t>
  </si>
  <si>
    <t>discount-EUR-OIS-40Y</t>
  </si>
  <si>
    <t>discount-EUR-OIS-50Y</t>
  </si>
  <si>
    <t>forward-EUR-3M-9Mx3M</t>
  </si>
  <si>
    <t>forward-EUR-3M-12Mx3M</t>
  </si>
  <si>
    <t>forward-EUR-3M-15Mx3M</t>
  </si>
  <si>
    <t>forward-EUR-3M-2Y</t>
  </si>
  <si>
    <t>forward-EUR-3M-3Y</t>
  </si>
  <si>
    <t>forward-EUR-3M-4Y</t>
  </si>
  <si>
    <t>forward-EUR-3M-5Y</t>
  </si>
  <si>
    <t>forward-EUR-3M-6Y</t>
  </si>
  <si>
    <t>forward-EUR-3M-7Y</t>
  </si>
  <si>
    <t>forward-EUR-3M-8Y</t>
  </si>
  <si>
    <t>forward-EUR-3M-9Y</t>
  </si>
  <si>
    <t>forward-EUR-3M-12Y</t>
  </si>
  <si>
    <t>forward-EUR-3M-15Y</t>
  </si>
  <si>
    <t>forward-EUR-3M-20Y</t>
  </si>
  <si>
    <t>forward-EUR-3M-25Y</t>
  </si>
  <si>
    <t>forward-EUR-3M-30Y</t>
  </si>
  <si>
    <t>forward-EUR-3M-40Y</t>
  </si>
  <si>
    <t>forward-EUR-3M-50Y</t>
  </si>
  <si>
    <t>forward-EUR-6M-0Dx6M</t>
  </si>
  <si>
    <t>forward-EUR-6M-1Mx6M</t>
  </si>
  <si>
    <t>forward-EUR-6M-2Mx6M</t>
  </si>
  <si>
    <t>forward-EUR-6M-3Mx6M</t>
  </si>
  <si>
    <t>forward-EUR-6M-6Mx6M</t>
  </si>
  <si>
    <t>forward-EUR-6M-9Mx6M</t>
  </si>
  <si>
    <t>forward-EUR-6M-12Mx6M</t>
  </si>
  <si>
    <t>forward-EUR-6M-2Y</t>
  </si>
  <si>
    <t>forward-EUR-6M-3Y</t>
  </si>
  <si>
    <t>forward-EUR-6M-4Y</t>
  </si>
  <si>
    <t>forward-EUR-6M-5Y</t>
  </si>
  <si>
    <t>forward-EUR-6M-6Y</t>
  </si>
  <si>
    <t>forward-EUR-6M-7Y</t>
  </si>
  <si>
    <t>forward-EUR-6M-8Y</t>
  </si>
  <si>
    <t>forward-EUR-6M-9Y</t>
  </si>
  <si>
    <t>forward-EUR-6M-10Y</t>
  </si>
  <si>
    <t>forward-EUR-6M-12Y</t>
  </si>
  <si>
    <t>forward-EUR-6M-15Y</t>
  </si>
  <si>
    <t>forward-EUR-6M-20Y</t>
  </si>
  <si>
    <t>forward-EUR-6M-25Y</t>
  </si>
  <si>
    <t>forward-EUR-6M-30Y</t>
  </si>
  <si>
    <t>forward-EUR-6M-40Y</t>
  </si>
  <si>
    <t>forward-EUR-6M-50Y</t>
  </si>
  <si>
    <t>discount-USD-OIS-1Y</t>
  </si>
  <si>
    <t>discount-USD-OIS-2Y</t>
  </si>
  <si>
    <t>discount-USD-OIS-3Y</t>
  </si>
  <si>
    <t>discount-USD-OIS-4Y</t>
  </si>
  <si>
    <t>discount-USD-OIS-5Y</t>
  </si>
  <si>
    <t>discount-USD-OIS-7Y</t>
  </si>
  <si>
    <t>discount-USD-OIS-8Y</t>
  </si>
  <si>
    <t>discount-USD-OIS-9Y</t>
  </si>
  <si>
    <t>discount-USD-OIS-12Y</t>
  </si>
  <si>
    <t>discount-USD-OIS-15Y</t>
  </si>
  <si>
    <t>discount-USD-OIS-20Y</t>
  </si>
  <si>
    <t>discount-USD-OIS-25Y</t>
  </si>
  <si>
    <t>discount-USD-OIS-30Y</t>
  </si>
  <si>
    <t>discount-USD-OIS-40Y</t>
  </si>
  <si>
    <t>discount-USD-OIS-50Y</t>
  </si>
  <si>
    <t>forward-USD-3M-1Y</t>
  </si>
  <si>
    <t>forward-USD-3M-2Y</t>
  </si>
  <si>
    <t>forward-USD-3M-3Y</t>
  </si>
  <si>
    <t>forward-USD-3M-4Y</t>
  </si>
  <si>
    <t>forward-USD-3M-5Y</t>
  </si>
  <si>
    <t>forward-USD-3M-6Y</t>
  </si>
  <si>
    <t>forward-USD-3M-7Y</t>
  </si>
  <si>
    <t>forward-USD-3M-8Y</t>
  </si>
  <si>
    <t>forward-USD-3M-9Y</t>
  </si>
  <si>
    <t>forward-USD-3M-12Y</t>
  </si>
  <si>
    <t>forward-USD-3M-15Y</t>
  </si>
  <si>
    <t>forward-USD-3M-20Y</t>
  </si>
  <si>
    <t>forward-USD-3M-25Y</t>
  </si>
  <si>
    <t>forward-USD-3M-30Y</t>
  </si>
  <si>
    <t>forward-USD-3M-40Y</t>
  </si>
  <si>
    <t>forward-USD-3M-50Y</t>
  </si>
  <si>
    <t>discount-EUR-USD-OIS-1Y</t>
  </si>
  <si>
    <t>discount-EUR-USD-OIS-2Y</t>
  </si>
  <si>
    <t>discount-EUR-USD-OIS-3Y</t>
  </si>
  <si>
    <t>discount-EUR-USD-OIS-4Y</t>
  </si>
  <si>
    <t>discount-EUR-USD-OIS-5Y</t>
  </si>
  <si>
    <t>discount-EUR-USD-OIS-7Y</t>
  </si>
  <si>
    <t>discount-EUR-USD-OIS-10Y</t>
  </si>
  <si>
    <t>discount-EUR-USD-OIS-15Y</t>
  </si>
  <si>
    <t>discount-EUR-USD-OIS-20Y</t>
  </si>
  <si>
    <t>discount-EUR-USD-OIS-30Y</t>
  </si>
  <si>
    <t>discount-EUR-USD-OIS-40Y</t>
  </si>
  <si>
    <t>discount-EUR-USD-OIS-50Y</t>
  </si>
  <si>
    <t>forward-EUR-3M-USD-OIS-0Dx3M</t>
  </si>
  <si>
    <t>forward-EUR-3M-USD-OIS-1Mx3M</t>
  </si>
  <si>
    <t>forward-EUR-3M-USD-OIS-2Mx3M</t>
  </si>
  <si>
    <t>forward-EUR-3M-USD-OIS-3Mx3M</t>
  </si>
  <si>
    <t>forward-EUR-3M-USD-OIS-6Mx3M</t>
  </si>
  <si>
    <t>forward-EUR-3M-USD-OIS-9Mx3M</t>
  </si>
  <si>
    <t>forward-EUR-3M-USD-OIS-12Mx3M</t>
  </si>
  <si>
    <t>forward-EUR-3M-USD-OIS-15Mx3M</t>
  </si>
  <si>
    <t>forward-EUR-3M-USD-OIS-2Y</t>
  </si>
  <si>
    <t>forward-EUR-3M-USD-OIS-3Y</t>
  </si>
  <si>
    <t>forward-EUR-3M-USD-OIS-4Y</t>
  </si>
  <si>
    <t>forward-EUR-3M-USD-OIS-5Y</t>
  </si>
  <si>
    <t>forward-EUR-3M-USD-OIS-6Y</t>
  </si>
  <si>
    <t>forward-EUR-3M-USD-OIS-7Y</t>
  </si>
  <si>
    <t>forward-EUR-3M-USD-OIS-8Y</t>
  </si>
  <si>
    <t>forward-EUR-3M-USD-OIS-9Y</t>
  </si>
  <si>
    <t>forward-EUR-3M-USD-OIS-10Y</t>
  </si>
  <si>
    <t>forward-EUR-3M-USD-OIS-12Y</t>
  </si>
  <si>
    <t>forward-EUR-3M-USD-OIS-15Y</t>
  </si>
  <si>
    <t>forward-EUR-3M-USD-OIS-20Y</t>
  </si>
  <si>
    <t>forward-EUR-3M-USD-OIS-25Y</t>
  </si>
  <si>
    <t>forward-EUR-3M-USD-OIS-30Y</t>
  </si>
  <si>
    <t>forward-EUR-3M-USD-OIS-40Y</t>
  </si>
  <si>
    <t>forward-EUR-3M-USD-OIS-50Y</t>
  </si>
  <si>
    <t>discount-EUR-USD-OIS-2-1Y</t>
  </si>
  <si>
    <t>discount-EUR-USD-OIS-2-2Y</t>
  </si>
  <si>
    <t>discount-EUR-USD-OIS-2-3Y</t>
  </si>
  <si>
    <t>discount-EUR-USD-OIS-2-4Y</t>
  </si>
  <si>
    <t>discount-EUR-USD-OIS-2-5Y</t>
  </si>
  <si>
    <t>discount-EUR-USD-OIS-2-7Y</t>
  </si>
  <si>
    <t>discount-EUR-USD-OIS-2-10Y</t>
  </si>
  <si>
    <t>discount-EUR-USD-OIS-2-15Y</t>
  </si>
  <si>
    <t>discount-EUR-USD-OIS-2-20Y</t>
  </si>
  <si>
    <t>discount-EUR-USD-OIS-2-30Y</t>
  </si>
  <si>
    <t>discount-EUR-USD-OIS-2-40Y</t>
  </si>
  <si>
    <t>discount-EUR-USD-OIS-2-50Y</t>
  </si>
  <si>
    <t>discount-EUR-FND-1Y</t>
  </si>
  <si>
    <t>discount-EUR-FND-2Y</t>
  </si>
  <si>
    <t>discount-EUR-FND-3Y</t>
  </si>
  <si>
    <t>discount-EUR-FND-4Y</t>
  </si>
  <si>
    <t>discount-EUR-FND-5Y</t>
  </si>
  <si>
    <t>discount-EUR-FND-7Y</t>
  </si>
  <si>
    <t>discount-EUR-FND-15Y</t>
  </si>
  <si>
    <t>discount-EUR-FND-20Y</t>
  </si>
  <si>
    <t>discount-EUR-FND-30Y</t>
  </si>
  <si>
    <t>discount-EUR-FND-40Y</t>
  </si>
  <si>
    <t>discount-EUR-FND-50Y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</si>
</sst>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[$€-407];[Red]\-#,##0.00\ [$€-407]"/>
    <numFmt numFmtId="165" formatCode="&quot;WAHR&quot;;&quot;WAHR&quot;;&quot;FALSCH&quot;"/>
    <numFmt numFmtId="166" formatCode="dd/mm/yy"/>
    <numFmt numFmtId="167" formatCode="0.000"/>
    <numFmt numFmtId="168" formatCode="0.00E+000"/>
    <numFmt numFmtId="169" formatCode="0.000%"/>
    <numFmt numFmtId="170" formatCode="0.00000000000"/>
    <numFmt numFmtId="171" formatCode="0.0"/>
    <numFmt numFmtId="172" formatCode="#,##0.000"/>
  </numFmts>
  <fonts count="20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  <font>
      <sz val="12"/>
      <color rgb="FF0000FF"/>
      <name val="Arial"/>
      <family val="2"/>
    </font>
    <font>
      <b/>
      <sz val="10"/>
      <name val="Arial"/>
      <family val="2"/>
    </font>
    <font>
      <b/>
      <sz val="10"/>
      <color rgb="FFFF420E"/>
      <name val="Arial"/>
      <family val="2"/>
    </font>
    <font>
      <i/>
      <sz val="10"/>
      <name val="Arial"/>
      <family val="2"/>
    </font>
    <font>
      <sz val="10"/>
      <color rgb="FFC0C0C0"/>
      <name val="Arial"/>
      <family val="2"/>
    </font>
    <font>
      <u/>
      <sz val="10"/>
      <color rgb="FFC0C0C0"/>
      <name val="Arial"/>
      <family val="2"/>
    </font>
    <font>
      <u/>
      <sz val="10"/>
      <name val="Arial"/>
      <family val="2"/>
    </font>
    <font>
      <b/>
      <i/>
      <sz val="10"/>
      <color rgb="FFFF3333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/>
  </cellStyleXfs>
  <cellXfs count="10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7" fillId="2" borderId="0" xfId="5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Alignment="1">
      <alignment wrapText="1"/>
    </xf>
    <xf numFmtId="0" fontId="0" fillId="4" borderId="0" xfId="0" applyFont="1" applyFill="1"/>
    <xf numFmtId="0" fontId="0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5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5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2" xfId="0" applyFont="1" applyFill="1" applyBorder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67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67" fontId="0" fillId="2" borderId="0" xfId="0" applyNumberFormat="1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0" fontId="0" fillId="5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4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horizontal="right" vertical="top"/>
    </xf>
    <xf numFmtId="168" fontId="0" fillId="5" borderId="0" xfId="0" applyNumberFormat="1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5" borderId="0" xfId="0" applyFont="1" applyFill="1" applyAlignment="1">
      <alignment horizontal="left" vertical="top"/>
    </xf>
    <xf numFmtId="0" fontId="11" fillId="3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top"/>
    </xf>
    <xf numFmtId="168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167" fontId="0" fillId="2" borderId="2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169" fontId="14" fillId="2" borderId="0" xfId="0" applyNumberFormat="1" applyFont="1" applyFill="1" applyAlignment="1">
      <alignment horizontal="center" vertical="top" wrapText="1"/>
    </xf>
    <xf numFmtId="0" fontId="0" fillId="5" borderId="0" xfId="0" applyFont="1" applyFill="1" applyBorder="1" applyAlignment="1">
      <alignment horizontal="center" vertical="top"/>
    </xf>
    <xf numFmtId="169" fontId="0" fillId="4" borderId="0" xfId="0" applyNumberFormat="1" applyFont="1" applyFill="1" applyAlignment="1">
      <alignment horizontal="center" vertical="top"/>
    </xf>
    <xf numFmtId="0" fontId="0" fillId="5" borderId="0" xfId="0" applyFont="1" applyFill="1" applyBorder="1" applyAlignment="1">
      <alignment vertical="top"/>
    </xf>
    <xf numFmtId="170" fontId="0" fillId="2" borderId="0" xfId="0" applyNumberFormat="1" applyFont="1" applyFill="1" applyAlignment="1">
      <alignment vertical="top"/>
    </xf>
    <xf numFmtId="167" fontId="0" fillId="5" borderId="0" xfId="0" applyNumberFormat="1" applyFont="1" applyFill="1" applyAlignment="1">
      <alignment horizontal="center" vertical="top"/>
    </xf>
    <xf numFmtId="0" fontId="14" fillId="2" borderId="0" xfId="0" applyFont="1" applyFill="1" applyAlignment="1">
      <alignment vertical="top" wrapText="1"/>
    </xf>
    <xf numFmtId="0" fontId="0" fillId="0" borderId="0" xfId="0" applyBorder="1"/>
    <xf numFmtId="10" fontId="0" fillId="2" borderId="0" xfId="0" applyNumberFormat="1" applyFont="1" applyFill="1" applyAlignment="1">
      <alignment vertical="top"/>
    </xf>
    <xf numFmtId="169" fontId="14" fillId="2" borderId="2" xfId="0" applyNumberFormat="1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vertical="top"/>
    </xf>
    <xf numFmtId="169" fontId="0" fillId="4" borderId="2" xfId="0" applyNumberFormat="1" applyFont="1" applyFill="1" applyBorder="1" applyAlignment="1">
      <alignment horizontal="center" vertical="top"/>
    </xf>
    <xf numFmtId="170" fontId="0" fillId="2" borderId="2" xfId="0" applyNumberFormat="1" applyFont="1" applyFill="1" applyBorder="1" applyAlignment="1">
      <alignment vertical="top"/>
    </xf>
    <xf numFmtId="167" fontId="0" fillId="5" borderId="2" xfId="0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vertical="top" wrapText="1"/>
    </xf>
    <xf numFmtId="169" fontId="15" fillId="2" borderId="0" xfId="0" applyNumberFormat="1" applyFont="1" applyFill="1" applyAlignment="1">
      <alignment horizontal="center" vertical="top" wrapText="1"/>
    </xf>
    <xf numFmtId="0" fontId="16" fillId="2" borderId="0" xfId="0" applyFont="1" applyFill="1" applyAlignment="1">
      <alignment vertical="top"/>
    </xf>
    <xf numFmtId="0" fontId="16" fillId="5" borderId="0" xfId="0" applyFont="1" applyFill="1" applyAlignment="1">
      <alignment horizontal="center" vertical="top"/>
    </xf>
    <xf numFmtId="0" fontId="16" fillId="5" borderId="0" xfId="0" applyFont="1" applyFill="1" applyAlignment="1">
      <alignment vertical="top"/>
    </xf>
    <xf numFmtId="10" fontId="16" fillId="5" borderId="0" xfId="0" applyNumberFormat="1" applyFont="1" applyFill="1" applyAlignment="1">
      <alignment horizontal="center" vertical="top"/>
    </xf>
    <xf numFmtId="169" fontId="16" fillId="4" borderId="0" xfId="0" applyNumberFormat="1" applyFont="1" applyFill="1" applyAlignment="1">
      <alignment horizontal="center" vertical="top"/>
    </xf>
    <xf numFmtId="170" fontId="16" fillId="2" borderId="0" xfId="0" applyNumberFormat="1" applyFont="1" applyFill="1" applyAlignment="1">
      <alignment vertical="top"/>
    </xf>
    <xf numFmtId="167" fontId="16" fillId="5" borderId="0" xfId="0" applyNumberFormat="1" applyFont="1" applyFill="1" applyAlignment="1">
      <alignment horizontal="center" vertical="top"/>
    </xf>
    <xf numFmtId="0" fontId="15" fillId="2" borderId="0" xfId="0" applyFont="1" applyFill="1" applyAlignment="1">
      <alignment vertical="top" wrapText="1"/>
    </xf>
    <xf numFmtId="0" fontId="16" fillId="0" borderId="0" xfId="0" applyFont="1"/>
    <xf numFmtId="10" fontId="0" fillId="5" borderId="0" xfId="0" applyNumberFormat="1" applyFont="1" applyFill="1" applyAlignment="1">
      <alignment horizontal="center" vertical="top"/>
    </xf>
    <xf numFmtId="10" fontId="0" fillId="5" borderId="2" xfId="0" applyNumberFormat="1" applyFont="1" applyFill="1" applyBorder="1" applyAlignment="1">
      <alignment horizontal="center" vertical="top"/>
    </xf>
    <xf numFmtId="0" fontId="0" fillId="2" borderId="4" xfId="0" applyFont="1" applyFill="1" applyBorder="1" applyAlignment="1">
      <alignment vertical="top"/>
    </xf>
    <xf numFmtId="169" fontId="0" fillId="2" borderId="0" xfId="0" applyNumberFormat="1" applyFont="1" applyFill="1" applyAlignment="1">
      <alignment vertical="top"/>
    </xf>
    <xf numFmtId="165" fontId="0" fillId="5" borderId="0" xfId="0" applyNumberFormat="1" applyFont="1" applyFill="1" applyAlignment="1">
      <alignment horizontal="left" vertical="top" wrapText="1"/>
    </xf>
    <xf numFmtId="0" fontId="0" fillId="2" borderId="5" xfId="0" applyFont="1" applyFill="1" applyBorder="1" applyAlignment="1">
      <alignment vertical="top"/>
    </xf>
    <xf numFmtId="169" fontId="0" fillId="2" borderId="1" xfId="0" applyNumberFormat="1" applyFont="1" applyFill="1" applyBorder="1" applyAlignment="1">
      <alignment vertical="top"/>
    </xf>
    <xf numFmtId="169" fontId="0" fillId="3" borderId="0" xfId="0" applyNumberFormat="1" applyFont="1" applyFill="1" applyAlignment="1">
      <alignment vertical="top"/>
    </xf>
    <xf numFmtId="169" fontId="0" fillId="2" borderId="2" xfId="0" applyNumberFormat="1" applyFont="1" applyFill="1" applyBorder="1" applyAlignment="1">
      <alignment horizontal="center" vertical="top"/>
    </xf>
    <xf numFmtId="169" fontId="0" fillId="2" borderId="0" xfId="0" applyNumberFormat="1" applyFont="1" applyFill="1" applyAlignment="1">
      <alignment horizontal="center" vertical="top"/>
    </xf>
    <xf numFmtId="171" fontId="0" fillId="2" borderId="0" xfId="0" applyNumberFormat="1" applyFont="1" applyFill="1" applyAlignment="1">
      <alignment horizontal="center" vertical="top"/>
    </xf>
    <xf numFmtId="165" fontId="0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right" vertical="top"/>
    </xf>
    <xf numFmtId="165" fontId="0" fillId="2" borderId="1" xfId="0" applyNumberFormat="1" applyFont="1" applyFill="1" applyBorder="1" applyAlignment="1">
      <alignment vertical="top"/>
    </xf>
    <xf numFmtId="165" fontId="0" fillId="3" borderId="0" xfId="0" applyNumberFormat="1" applyFont="1" applyFill="1" applyAlignment="1">
      <alignment vertical="top"/>
    </xf>
    <xf numFmtId="0" fontId="0" fillId="2" borderId="2" xfId="0" applyFont="1" applyFill="1" applyBorder="1" applyAlignment="1">
      <alignment horizontal="left" vertical="top"/>
    </xf>
    <xf numFmtId="165" fontId="0" fillId="2" borderId="2" xfId="0" applyNumberFormat="1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166" fontId="0" fillId="5" borderId="0" xfId="0" applyNumberFormat="1" applyFont="1" applyFill="1" applyAlignment="1">
      <alignment horizontal="center" vertical="top"/>
    </xf>
    <xf numFmtId="0" fontId="17" fillId="2" borderId="0" xfId="0" applyFont="1" applyFill="1" applyAlignment="1">
      <alignment vertical="top"/>
    </xf>
    <xf numFmtId="4" fontId="0" fillId="2" borderId="0" xfId="0" applyNumberFormat="1" applyFont="1" applyFill="1" applyAlignment="1">
      <alignment horizontal="center" vertical="top"/>
    </xf>
    <xf numFmtId="4" fontId="0" fillId="2" borderId="0" xfId="0" applyNumberFormat="1" applyFont="1" applyFill="1" applyAlignment="1">
      <alignment horizontal="left" vertical="top"/>
    </xf>
    <xf numFmtId="4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horizontal="left" vertical="top" wrapText="1"/>
    </xf>
    <xf numFmtId="172" fontId="0" fillId="2" borderId="0" xfId="0" applyNumberFormat="1" applyFont="1" applyFill="1" applyAlignment="1">
      <alignment horizontal="center" vertical="top"/>
    </xf>
    <xf numFmtId="2" fontId="0" fillId="2" borderId="0" xfId="0" applyNumberFormat="1" applyFont="1" applyFill="1" applyAlignment="1">
      <alignment horizontal="center" vertical="top"/>
    </xf>
  </cellXfs>
  <cellStyles count="6">
    <cellStyle name="Excel Built-in Title" xfId="5"/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2968645763842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62174783188803"/>
          <c:w val="0.88874898155692195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1.9141542283769098E-3</c:v>
                </c:pt>
                <c:pt idx="2">
                  <c:v>1.8333769948753824E-3</c:v>
                </c:pt>
                <c:pt idx="3">
                  <c:v>1.6915146480009436E-3</c:v>
                </c:pt>
                <c:pt idx="4">
                  <c:v>1.5882999243660293E-3</c:v>
                </c:pt>
                <c:pt idx="5">
                  <c:v>1.5020977274986368E-3</c:v>
                </c:pt>
                <c:pt idx="6">
                  <c:v>1.4359474628271426E-3</c:v>
                </c:pt>
                <c:pt idx="7">
                  <c:v>1.3676727403287305E-3</c:v>
                </c:pt>
                <c:pt idx="8">
                  <c:v>1.3169552847265243E-3</c:v>
                </c:pt>
                <c:pt idx="9">
                  <c:v>1.2517215822449987E-3</c:v>
                </c:pt>
                <c:pt idx="10">
                  <c:v>1.1878218805858245E-3</c:v>
                </c:pt>
                <c:pt idx="11">
                  <c:v>1.1328980166851173E-3</c:v>
                </c:pt>
                <c:pt idx="12">
                  <c:v>1.0855742913705123E-3</c:v>
                </c:pt>
                <c:pt idx="13">
                  <c:v>1.0443275088885178E-3</c:v>
                </c:pt>
                <c:pt idx="14">
                  <c:v>1.0153845646838854E-3</c:v>
                </c:pt>
                <c:pt idx="15">
                  <c:v>1.0059431674497357E-3</c:v>
                </c:pt>
                <c:pt idx="16">
                  <c:v>1.0232209913950928E-3</c:v>
                </c:pt>
                <c:pt idx="17">
                  <c:v>1.0718508160242305E-3</c:v>
                </c:pt>
                <c:pt idx="18">
                  <c:v>1.148114077994312E-3</c:v>
                </c:pt>
                <c:pt idx="19">
                  <c:v>1.2468233587380213E-3</c:v>
                </c:pt>
                <c:pt idx="20">
                  <c:v>1.3638276008008452E-3</c:v>
                </c:pt>
                <c:pt idx="21">
                  <c:v>1.4957664243386941E-3</c:v>
                </c:pt>
                <c:pt idx="22">
                  <c:v>1.6398904276608425E-3</c:v>
                </c:pt>
                <c:pt idx="23">
                  <c:v>1.7939283658924225E-3</c:v>
                </c:pt>
                <c:pt idx="24">
                  <c:v>1.9559875349710117E-3</c:v>
                </c:pt>
                <c:pt idx="25">
                  <c:v>2.1246946056270376E-3</c:v>
                </c:pt>
                <c:pt idx="26">
                  <c:v>2.2999024972959457E-3</c:v>
                </c:pt>
                <c:pt idx="27">
                  <c:v>2.4817832884596459E-3</c:v>
                </c:pt>
                <c:pt idx="28">
                  <c:v>2.6704845423651613E-3</c:v>
                </c:pt>
                <c:pt idx="29">
                  <c:v>2.8661334687082977E-3</c:v>
                </c:pt>
                <c:pt idx="30">
                  <c:v>3.0688403158919452E-3</c:v>
                </c:pt>
                <c:pt idx="31">
                  <c:v>3.2787011067187694E-3</c:v>
                </c:pt>
                <c:pt idx="32">
                  <c:v>3.4957998611409896E-3</c:v>
                </c:pt>
                <c:pt idx="33">
                  <c:v>3.7200269520455899E-3</c:v>
                </c:pt>
                <c:pt idx="34">
                  <c:v>3.9504176369680498E-3</c:v>
                </c:pt>
                <c:pt idx="35">
                  <c:v>4.185860880040906E-3</c:v>
                </c:pt>
                <c:pt idx="36">
                  <c:v>4.4253690351949929E-3</c:v>
                </c:pt>
                <c:pt idx="37">
                  <c:v>4.6680612289092399E-3</c:v>
                </c:pt>
                <c:pt idx="38">
                  <c:v>4.9131493111910151E-3</c:v>
                </c:pt>
                <c:pt idx="39">
                  <c:v>5.1599259679444174E-3</c:v>
                </c:pt>
                <c:pt idx="40">
                  <c:v>5.4077546164831456E-3</c:v>
                </c:pt>
                <c:pt idx="41">
                  <c:v>5.656030023000495E-3</c:v>
                </c:pt>
                <c:pt idx="42">
                  <c:v>5.9040481842417515E-3</c:v>
                </c:pt>
                <c:pt idx="43">
                  <c:v>6.1511209967888072E-3</c:v>
                </c:pt>
                <c:pt idx="44">
                  <c:v>6.3966228866472602E-3</c:v>
                </c:pt>
                <c:pt idx="45">
                  <c:v>6.6399838863999954E-3</c:v>
                </c:pt>
                <c:pt idx="46">
                  <c:v>6.8806835910139551E-3</c:v>
                </c:pt>
                <c:pt idx="47">
                  <c:v>7.118245885246165E-3</c:v>
                </c:pt>
                <c:pt idx="48">
                  <c:v>7.3522343301238961E-3</c:v>
                </c:pt>
                <c:pt idx="49">
                  <c:v>7.5823759294837579E-3</c:v>
                </c:pt>
                <c:pt idx="50">
                  <c:v>7.8090720561577844E-3</c:v>
                </c:pt>
                <c:pt idx="51">
                  <c:v>8.032900254848303E-3</c:v>
                </c:pt>
                <c:pt idx="52">
                  <c:v>8.2543937506210866E-3</c:v>
                </c:pt>
                <c:pt idx="53">
                  <c:v>8.4740455251406943E-3</c:v>
                </c:pt>
                <c:pt idx="54">
                  <c:v>8.6923120429113886E-3</c:v>
                </c:pt>
                <c:pt idx="55">
                  <c:v>8.9096165710188767E-3</c:v>
                </c:pt>
                <c:pt idx="56">
                  <c:v>9.1263521431856568E-3</c:v>
                </c:pt>
                <c:pt idx="57">
                  <c:v>9.3427596608895817E-3</c:v>
                </c:pt>
                <c:pt idx="58">
                  <c:v>9.558334122630744E-3</c:v>
                </c:pt>
                <c:pt idx="59">
                  <c:v>9.7723403369414669E-3</c:v>
                </c:pt>
                <c:pt idx="60">
                  <c:v>9.9840917143316707E-3</c:v>
                </c:pt>
                <c:pt idx="61">
                  <c:v>1.0192946687572988E-2</c:v>
                </c:pt>
                <c:pt idx="62">
                  <c:v>1.0398305080871122E-2</c:v>
                </c:pt>
                <c:pt idx="63">
                  <c:v>1.0599604824831394E-2</c:v>
                </c:pt>
                <c:pt idx="64">
                  <c:v>1.0796318979396318E-2</c:v>
                </c:pt>
                <c:pt idx="65">
                  <c:v>1.0988066685044116E-2</c:v>
                </c:pt>
                <c:pt idx="66">
                  <c:v>1.1175113586354941E-2</c:v>
                </c:pt>
                <c:pt idx="67">
                  <c:v>1.1357922017656305E-2</c:v>
                </c:pt>
                <c:pt idx="68">
                  <c:v>1.1536927319681697E-2</c:v>
                </c:pt>
                <c:pt idx="69">
                  <c:v>1.171253959602064E-2</c:v>
                </c:pt>
                <c:pt idx="70">
                  <c:v>1.1885145515771843E-2</c:v>
                </c:pt>
                <c:pt idx="71">
                  <c:v>1.2055109963859389E-2</c:v>
                </c:pt>
                <c:pt idx="72">
                  <c:v>1.2222777553822752E-2</c:v>
                </c:pt>
                <c:pt idx="73">
                  <c:v>1.2388465133742791E-2</c:v>
                </c:pt>
                <c:pt idx="74">
                  <c:v>1.2552423620551043E-2</c:v>
                </c:pt>
                <c:pt idx="75">
                  <c:v>1.2714873882759388E-2</c:v>
                </c:pt>
                <c:pt idx="76">
                  <c:v>1.2876025148314599E-2</c:v>
                </c:pt>
                <c:pt idx="77">
                  <c:v>1.3036075776179256E-2</c:v>
                </c:pt>
                <c:pt idx="78">
                  <c:v>1.3195213953061398E-2</c:v>
                </c:pt>
                <c:pt idx="79">
                  <c:v>1.3353618337228167E-2</c:v>
                </c:pt>
                <c:pt idx="80">
                  <c:v>1.3511458654033349E-2</c:v>
                </c:pt>
                <c:pt idx="81">
                  <c:v>1.3668829054505812E-2</c:v>
                </c:pt>
                <c:pt idx="82">
                  <c:v>1.3825449418666688E-2</c:v>
                </c:pt>
                <c:pt idx="83">
                  <c:v>1.3980926720216794E-2</c:v>
                </c:pt>
                <c:pt idx="84">
                  <c:v>1.4134886527597271E-2</c:v>
                </c:pt>
                <c:pt idx="85">
                  <c:v>1.4286972029557986E-2</c:v>
                </c:pt>
                <c:pt idx="86">
                  <c:v>1.4436843010720832E-2</c:v>
                </c:pt>
                <c:pt idx="87">
                  <c:v>1.4584174897794124E-2</c:v>
                </c:pt>
                <c:pt idx="88">
                  <c:v>1.4728657870817565E-2</c:v>
                </c:pt>
                <c:pt idx="89">
                  <c:v>1.4870048777244836E-2</c:v>
                </c:pt>
                <c:pt idx="90">
                  <c:v>1.5008405768230313E-2</c:v>
                </c:pt>
                <c:pt idx="91">
                  <c:v>1.5143883876499229E-2</c:v>
                </c:pt>
                <c:pt idx="92">
                  <c:v>1.5276631489348848E-2</c:v>
                </c:pt>
                <c:pt idx="93">
                  <c:v>1.5406790611827172E-2</c:v>
                </c:pt>
                <c:pt idx="94">
                  <c:v>1.5534497206214113E-2</c:v>
                </c:pt>
                <c:pt idx="95">
                  <c:v>1.5659881510062069E-2</c:v>
                </c:pt>
                <c:pt idx="96">
                  <c:v>1.5783068334358739E-2</c:v>
                </c:pt>
                <c:pt idx="97">
                  <c:v>1.5904156668159752E-2</c:v>
                </c:pt>
                <c:pt idx="98">
                  <c:v>1.6023127481670514E-2</c:v>
                </c:pt>
                <c:pt idx="99">
                  <c:v>1.6139923463889233E-2</c:v>
                </c:pt>
                <c:pt idx="100">
                  <c:v>1.6254489558864771E-2</c:v>
                </c:pt>
                <c:pt idx="101">
                  <c:v>1.6366772891079701E-2</c:v>
                </c:pt>
                <c:pt idx="102">
                  <c:v>1.6476722658566301E-2</c:v>
                </c:pt>
                <c:pt idx="103">
                  <c:v>1.6584290032248764E-2</c:v>
                </c:pt>
                <c:pt idx="104">
                  <c:v>1.6689428061092713E-2</c:v>
                </c:pt>
                <c:pt idx="105">
                  <c:v>1.6792091582674563E-2</c:v>
                </c:pt>
                <c:pt idx="106">
                  <c:v>1.6892237138813146E-2</c:v>
                </c:pt>
                <c:pt idx="107">
                  <c:v>1.6989822895932202E-2</c:v>
                </c:pt>
                <c:pt idx="108">
                  <c:v>1.7084808569847169E-2</c:v>
                </c:pt>
                <c:pt idx="109">
                  <c:v>1.7177155354692192E-2</c:v>
                </c:pt>
                <c:pt idx="110">
                  <c:v>1.7266825855723825E-2</c:v>
                </c:pt>
                <c:pt idx="111">
                  <c:v>1.7353784025756925E-2</c:v>
                </c:pt>
                <c:pt idx="112">
                  <c:v>1.7437995105005807E-2</c:v>
                </c:pt>
                <c:pt idx="113">
                  <c:v>1.7519425564119732E-2</c:v>
                </c:pt>
                <c:pt idx="114">
                  <c:v>1.7598043050216335E-2</c:v>
                </c:pt>
                <c:pt idx="115">
                  <c:v>1.7673816335730952E-2</c:v>
                </c:pt>
                <c:pt idx="116">
                  <c:v>1.7746715269911475E-2</c:v>
                </c:pt>
                <c:pt idx="117">
                  <c:v>1.781671073280074E-2</c:v>
                </c:pt>
                <c:pt idx="118">
                  <c:v>1.7883774591558779E-2</c:v>
                </c:pt>
                <c:pt idx="119">
                  <c:v>1.7947879658987281E-2</c:v>
                </c:pt>
                <c:pt idx="120">
                  <c:v>1.8008999654127937E-2</c:v>
                </c:pt>
                <c:pt idx="121">
                  <c:v>1.8067126595443551E-2</c:v>
                </c:pt>
                <c:pt idx="122">
                  <c:v>1.8122355764806582E-2</c:v>
                </c:pt>
                <c:pt idx="123">
                  <c:v>1.8174817027139831E-2</c:v>
                </c:pt>
                <c:pt idx="124">
                  <c:v>1.8224636117225405E-2</c:v>
                </c:pt>
                <c:pt idx="125">
                  <c:v>1.8271934746332413E-2</c:v>
                </c:pt>
                <c:pt idx="126">
                  <c:v>1.8316830761880131E-2</c:v>
                </c:pt>
                <c:pt idx="127">
                  <c:v>1.8359438299558099E-2</c:v>
                </c:pt>
                <c:pt idx="128">
                  <c:v>1.8399867928315564E-2</c:v>
                </c:pt>
                <c:pt idx="129">
                  <c:v>1.843822678860722E-2</c:v>
                </c:pt>
                <c:pt idx="130">
                  <c:v>1.847461872425837E-2</c:v>
                </c:pt>
                <c:pt idx="131">
                  <c:v>1.8509144408290532E-2</c:v>
                </c:pt>
                <c:pt idx="132">
                  <c:v>1.8541901463027543E-2</c:v>
                </c:pt>
                <c:pt idx="133">
                  <c:v>1.8572984574783558E-2</c:v>
                </c:pt>
                <c:pt idx="134">
                  <c:v>1.8602485603415556E-2</c:v>
                </c:pt>
                <c:pt idx="135">
                  <c:v>1.8630493687006994E-2</c:v>
                </c:pt>
                <c:pt idx="136">
                  <c:v>1.865709534193298E-2</c:v>
                </c:pt>
                <c:pt idx="137">
                  <c:v>1.8682374558543078E-2</c:v>
                </c:pt>
                <c:pt idx="138">
                  <c:v>1.8706412892683971E-2</c:v>
                </c:pt>
                <c:pt idx="139">
                  <c:v>1.872928955327148E-2</c:v>
                </c:pt>
                <c:pt idx="140">
                  <c:v>1.8751081486109586E-2</c:v>
                </c:pt>
                <c:pt idx="141">
                  <c:v>1.8771863454142543E-2</c:v>
                </c:pt>
                <c:pt idx="142">
                  <c:v>1.8791708114316203E-2</c:v>
                </c:pt>
                <c:pt idx="143">
                  <c:v>1.8810686091214269E-2</c:v>
                </c:pt>
                <c:pt idx="144">
                  <c:v>1.8828866047626475E-2</c:v>
                </c:pt>
                <c:pt idx="145">
                  <c:v>1.8846314752196624E-2</c:v>
                </c:pt>
                <c:pt idx="146">
                  <c:v>1.8863097144290606E-2</c:v>
                </c:pt>
                <c:pt idx="147">
                  <c:v>1.887927639621673E-2</c:v>
                </c:pt>
                <c:pt idx="148">
                  <c:v>1.8894913972923633E-2</c:v>
                </c:pt>
                <c:pt idx="149">
                  <c:v>1.891006968929421E-2</c:v>
                </c:pt>
                <c:pt idx="150">
                  <c:v>1.8924801765147815E-2</c:v>
                </c:pt>
                <c:pt idx="151">
                  <c:v>1.8939166878056923E-2</c:v>
                </c:pt>
                <c:pt idx="152">
                  <c:v>1.8953220214078963E-2</c:v>
                </c:pt>
                <c:pt idx="153">
                  <c:v>1.8967015516498594E-2</c:v>
                </c:pt>
                <c:pt idx="154">
                  <c:v>1.8980605132671021E-2</c:v>
                </c:pt>
                <c:pt idx="155">
                  <c:v>1.8994040059051972E-2</c:v>
                </c:pt>
                <c:pt idx="156">
                  <c:v>1.9007369984495703E-2</c:v>
                </c:pt>
                <c:pt idx="157">
                  <c:v>1.9020643331898443E-2</c:v>
                </c:pt>
                <c:pt idx="158">
                  <c:v>1.9033907298260308E-2</c:v>
                </c:pt>
                <c:pt idx="159">
                  <c:v>1.9047207893235465E-2</c:v>
                </c:pt>
                <c:pt idx="160">
                  <c:v>1.9060589976236771E-2</c:v>
                </c:pt>
                <c:pt idx="161">
                  <c:v>1.9074091262200971E-2</c:v>
                </c:pt>
                <c:pt idx="162">
                  <c:v>1.9087710314519026E-2</c:v>
                </c:pt>
                <c:pt idx="163">
                  <c:v>1.910143081023408E-2</c:v>
                </c:pt>
                <c:pt idx="164">
                  <c:v>1.9115236789274338E-2</c:v>
                </c:pt>
                <c:pt idx="165">
                  <c:v>1.9129112678478812E-2</c:v>
                </c:pt>
                <c:pt idx="166">
                  <c:v>1.9143043279943414E-2</c:v>
                </c:pt>
                <c:pt idx="167">
                  <c:v>1.9157013759785728E-2</c:v>
                </c:pt>
                <c:pt idx="168">
                  <c:v>1.9171009637310978E-2</c:v>
                </c:pt>
                <c:pt idx="169">
                  <c:v>1.9185016774562764E-2</c:v>
                </c:pt>
                <c:pt idx="170">
                  <c:v>1.9199021366242453E-2</c:v>
                </c:pt>
                <c:pt idx="171">
                  <c:v>1.9213009929982393E-2</c:v>
                </c:pt>
                <c:pt idx="172">
                  <c:v>1.9226969296958357E-2</c:v>
                </c:pt>
                <c:pt idx="173">
                  <c:v>1.9240886602827616E-2</c:v>
                </c:pt>
                <c:pt idx="174">
                  <c:v>1.9254749278979438E-2</c:v>
                </c:pt>
                <c:pt idx="175">
                  <c:v>1.9268545044085636E-2</c:v>
                </c:pt>
                <c:pt idx="176">
                  <c:v>1.928226189593912E-2</c:v>
                </c:pt>
                <c:pt idx="177">
                  <c:v>1.9295888103569095E-2</c:v>
                </c:pt>
                <c:pt idx="178">
                  <c:v>1.9309412199622126E-2</c:v>
                </c:pt>
                <c:pt idx="179">
                  <c:v>1.9322822972998449E-2</c:v>
                </c:pt>
                <c:pt idx="180">
                  <c:v>1.9336109461733877E-2</c:v>
                </c:pt>
                <c:pt idx="181">
                  <c:v>1.9349260946117559E-2</c:v>
                </c:pt>
                <c:pt idx="182">
                  <c:v>1.9362266942036688E-2</c:v>
                </c:pt>
                <c:pt idx="183">
                  <c:v>1.9375117194539396E-2</c:v>
                </c:pt>
                <c:pt idx="184">
                  <c:v>1.9387801671607554E-2</c:v>
                </c:pt>
                <c:pt idx="185">
                  <c:v>1.9400310558131528E-2</c:v>
                </c:pt>
                <c:pt idx="186">
                  <c:v>1.9412634250079303E-2</c:v>
                </c:pt>
                <c:pt idx="187">
                  <c:v>1.9424763348852726E-2</c:v>
                </c:pt>
                <c:pt idx="188">
                  <c:v>1.9436688655823795E-2</c:v>
                </c:pt>
                <c:pt idx="189">
                  <c:v>1.944840116704448E-2</c:v>
                </c:pt>
                <c:pt idx="190">
                  <c:v>1.9459892068123548E-2</c:v>
                </c:pt>
                <c:pt idx="191">
                  <c:v>1.9471152729264335E-2</c:v>
                </c:pt>
                <c:pt idx="192">
                  <c:v>1.9482174700457624E-2</c:v>
                </c:pt>
                <c:pt idx="193">
                  <c:v>1.9492949706823921E-2</c:v>
                </c:pt>
                <c:pt idx="194">
                  <c:v>1.9503469644099786E-2</c:v>
                </c:pt>
                <c:pt idx="195">
                  <c:v>1.9513726574263111E-2</c:v>
                </c:pt>
                <c:pt idx="196">
                  <c:v>1.9523712721292205E-2</c:v>
                </c:pt>
                <c:pt idx="197">
                  <c:v>1.9533420467054176E-2</c:v>
                </c:pt>
                <c:pt idx="198">
                  <c:v>1.954284234731777E-2</c:v>
                </c:pt>
                <c:pt idx="199">
                  <c:v>1.9551971047886571E-2</c:v>
                </c:pt>
                <c:pt idx="200">
                  <c:v>1.956079940084806E-2</c:v>
                </c:pt>
                <c:pt idx="201">
                  <c:v>1.9569323162209922E-2</c:v>
                </c:pt>
                <c:pt idx="202">
                  <c:v>1.957755844664627E-2</c:v>
                </c:pt>
                <c:pt idx="203">
                  <c:v>1.9585530024462713E-2</c:v>
                </c:pt>
                <c:pt idx="204">
                  <c:v>1.9593262220936037E-2</c:v>
                </c:pt>
                <c:pt idx="205">
                  <c:v>1.9600778886703488E-2</c:v>
                </c:pt>
                <c:pt idx="206">
                  <c:v>1.9608103409283133E-2</c:v>
                </c:pt>
                <c:pt idx="207">
                  <c:v>1.961525872426035E-2</c:v>
                </c:pt>
                <c:pt idx="208">
                  <c:v>1.9622267326151539E-2</c:v>
                </c:pt>
                <c:pt idx="209">
                  <c:v>1.9629151278956074E-2</c:v>
                </c:pt>
                <c:pt idx="210">
                  <c:v>1.9635932226406628E-2</c:v>
                </c:pt>
                <c:pt idx="211">
                  <c:v>1.9642631401928175E-2</c:v>
                </c:pt>
                <c:pt idx="212">
                  <c:v>1.964926963831504E-2</c:v>
                </c:pt>
                <c:pt idx="213">
                  <c:v>1.9655867377135327E-2</c:v>
                </c:pt>
                <c:pt idx="214">
                  <c:v>1.9662444677871788E-2</c:v>
                </c:pt>
                <c:pt idx="215">
                  <c:v>1.9669021226807484E-2</c:v>
                </c:pt>
                <c:pt idx="216">
                  <c:v>1.9675616345664663E-2</c:v>
                </c:pt>
                <c:pt idx="217">
                  <c:v>1.9682249000004828E-2</c:v>
                </c:pt>
                <c:pt idx="218">
                  <c:v>1.96889378073975E-2</c:v>
                </c:pt>
                <c:pt idx="219">
                  <c:v>1.9695701045365267E-2</c:v>
                </c:pt>
                <c:pt idx="220">
                  <c:v>1.9702556659112153E-2</c:v>
                </c:pt>
                <c:pt idx="221">
                  <c:v>1.9709522269042084E-2</c:v>
                </c:pt>
                <c:pt idx="222">
                  <c:v>1.9716615178074229E-2</c:v>
                </c:pt>
                <c:pt idx="223">
                  <c:v>1.9723852378761512E-2</c:v>
                </c:pt>
                <c:pt idx="224">
                  <c:v>1.9731250560218402E-2</c:v>
                </c:pt>
                <c:pt idx="225">
                  <c:v>1.9738826114863991E-2</c:v>
                </c:pt>
                <c:pt idx="226">
                  <c:v>1.974659514498607E-2</c:v>
                </c:pt>
                <c:pt idx="227">
                  <c:v>1.9754573469131686E-2</c:v>
                </c:pt>
                <c:pt idx="228">
                  <c:v>1.9762776628329492E-2</c:v>
                </c:pt>
                <c:pt idx="229">
                  <c:v>1.9771219892149142E-2</c:v>
                </c:pt>
                <c:pt idx="230">
                  <c:v>1.9779918264602556E-2</c:v>
                </c:pt>
                <c:pt idx="231">
                  <c:v>1.9788886489891917E-2</c:v>
                </c:pt>
                <c:pt idx="232">
                  <c:v>1.9798139058009041E-2</c:v>
                </c:pt>
                <c:pt idx="233">
                  <c:v>1.9807690210190496E-2</c:v>
                </c:pt>
                <c:pt idx="234">
                  <c:v>1.9817553944232909E-2</c:v>
                </c:pt>
                <c:pt idx="235">
                  <c:v>1.9827744019672584E-2</c:v>
                </c:pt>
                <c:pt idx="236">
                  <c:v>1.9838273962833292E-2</c:v>
                </c:pt>
                <c:pt idx="237">
                  <c:v>1.9849157071746431E-2</c:v>
                </c:pt>
                <c:pt idx="238">
                  <c:v>1.9860406420947101E-2</c:v>
                </c:pt>
                <c:pt idx="239">
                  <c:v>1.9872034866149694E-2</c:v>
                </c:pt>
                <c:pt idx="240">
                  <c:v>1.9884055048806724E-2</c:v>
                </c:pt>
                <c:pt idx="241">
                  <c:v>1.9896477623636607E-2</c:v>
                </c:pt>
                <c:pt idx="242">
                  <c:v>1.9909298116520799E-2</c:v>
                </c:pt>
                <c:pt idx="243">
                  <c:v>1.9922504645157588E-2</c:v>
                </c:pt>
                <c:pt idx="244">
                  <c:v>1.993608546576366E-2</c:v>
                </c:pt>
                <c:pt idx="245">
                  <c:v>1.9950029026290939E-2</c:v>
                </c:pt>
                <c:pt idx="246">
                  <c:v>1.9964323962529545E-2</c:v>
                </c:pt>
                <c:pt idx="247">
                  <c:v>1.997895909430537E-2</c:v>
                </c:pt>
                <c:pt idx="248">
                  <c:v>1.9993923421769706E-2</c:v>
                </c:pt>
                <c:pt idx="249">
                  <c:v>2.0009206121778245E-2</c:v>
                </c:pt>
                <c:pt idx="250">
                  <c:v>2.0024796544356963E-2</c:v>
                </c:pt>
                <c:pt idx="251">
                  <c:v>2.004068420925258E-2</c:v>
                </c:pt>
                <c:pt idx="252">
                  <c:v>2.0056858802564994E-2</c:v>
                </c:pt>
                <c:pt idx="253">
                  <c:v>2.0073310173459744E-2</c:v>
                </c:pt>
                <c:pt idx="254">
                  <c:v>2.0090028330958049E-2</c:v>
                </c:pt>
                <c:pt idx="255">
                  <c:v>2.0107003440802323E-2</c:v>
                </c:pt>
                <c:pt idx="256">
                  <c:v>2.0124225822395272E-2</c:v>
                </c:pt>
                <c:pt idx="257">
                  <c:v>2.0141685945810391E-2</c:v>
                </c:pt>
                <c:pt idx="258">
                  <c:v>2.0159374428871946E-2</c:v>
                </c:pt>
                <c:pt idx="259">
                  <c:v>2.0177282034302704E-2</c:v>
                </c:pt>
                <c:pt idx="260">
                  <c:v>2.0195399666937352E-2</c:v>
                </c:pt>
                <c:pt idx="261">
                  <c:v>2.0213718371000111E-2</c:v>
                </c:pt>
                <c:pt idx="262">
                  <c:v>2.0232229327444593E-2</c:v>
                </c:pt>
                <c:pt idx="263">
                  <c:v>2.0250923851354394E-2</c:v>
                </c:pt>
                <c:pt idx="264">
                  <c:v>2.0269793389402758E-2</c:v>
                </c:pt>
                <c:pt idx="265">
                  <c:v>2.0288829517369732E-2</c:v>
                </c:pt>
                <c:pt idx="266">
                  <c:v>2.0308023937715389E-2</c:v>
                </c:pt>
                <c:pt idx="267">
                  <c:v>2.032736847720748E-2</c:v>
                </c:pt>
                <c:pt idx="268">
                  <c:v>2.034685508460234E-2</c:v>
                </c:pt>
                <c:pt idx="269">
                  <c:v>2.0366475828377358E-2</c:v>
                </c:pt>
                <c:pt idx="270">
                  <c:v>2.0386222894513993E-2</c:v>
                </c:pt>
                <c:pt idx="271">
                  <c:v>2.0406088584329751E-2</c:v>
                </c:pt>
                <c:pt idx="272">
                  <c:v>2.0426065312358074E-2</c:v>
                </c:pt>
                <c:pt idx="273">
                  <c:v>2.0446145604274754E-2</c:v>
                </c:pt>
                <c:pt idx="274">
                  <c:v>2.0466322094869812E-2</c:v>
                </c:pt>
                <c:pt idx="275">
                  <c:v>2.0486587526063599E-2</c:v>
                </c:pt>
                <c:pt idx="276">
                  <c:v>2.0506934744966024E-2</c:v>
                </c:pt>
                <c:pt idx="277">
                  <c:v>2.0527356701977827E-2</c:v>
                </c:pt>
                <c:pt idx="278">
                  <c:v>2.0547846448932833E-2</c:v>
                </c:pt>
                <c:pt idx="279">
                  <c:v>2.0568397137280151E-2</c:v>
                </c:pt>
                <c:pt idx="280">
                  <c:v>2.0589002016305331E-2</c:v>
                </c:pt>
                <c:pt idx="281">
                  <c:v>2.0609654431389499E-2</c:v>
                </c:pt>
                <c:pt idx="282">
                  <c:v>2.063034782230555E-2</c:v>
                </c:pt>
                <c:pt idx="283">
                  <c:v>2.0651075721550421E-2</c:v>
                </c:pt>
                <c:pt idx="284">
                  <c:v>2.0671831752712658E-2</c:v>
                </c:pt>
                <c:pt idx="285">
                  <c:v>2.069260962887428E-2</c:v>
                </c:pt>
                <c:pt idx="286">
                  <c:v>2.0713403151046247E-2</c:v>
                </c:pt>
                <c:pt idx="287">
                  <c:v>2.0734206206636581E-2</c:v>
                </c:pt>
                <c:pt idx="288">
                  <c:v>2.0755012767950397E-2</c:v>
                </c:pt>
                <c:pt idx="289">
                  <c:v>2.0775816890721124E-2</c:v>
                </c:pt>
                <c:pt idx="290">
                  <c:v>2.0796612712672077E-2</c:v>
                </c:pt>
                <c:pt idx="291">
                  <c:v>2.0817394452107681E-2</c:v>
                </c:pt>
                <c:pt idx="292">
                  <c:v>2.0838156406533699E-2</c:v>
                </c:pt>
                <c:pt idx="293">
                  <c:v>2.0858892951305601E-2</c:v>
                </c:pt>
                <c:pt idx="294">
                  <c:v>2.0879598538304671E-2</c:v>
                </c:pt>
                <c:pt idx="295">
                  <c:v>2.0900267694640911E-2</c:v>
                </c:pt>
                <c:pt idx="296">
                  <c:v>2.0920895021382283E-2</c:v>
                </c:pt>
                <c:pt idx="297">
                  <c:v>2.0941475192309648E-2</c:v>
                </c:pt>
                <c:pt idx="298">
                  <c:v>2.0962002952696752E-2</c:v>
                </c:pt>
                <c:pt idx="299">
                  <c:v>2.0982473118114658E-2</c:v>
                </c:pt>
                <c:pt idx="300">
                  <c:v>2.100288057326017E-2</c:v>
                </c:pt>
                <c:pt idx="301">
                  <c:v>2.1023220270807535E-2</c:v>
                </c:pt>
                <c:pt idx="302">
                  <c:v>2.104348723028299E-2</c:v>
                </c:pt>
                <c:pt idx="303">
                  <c:v>2.1063676536961607E-2</c:v>
                </c:pt>
                <c:pt idx="304">
                  <c:v>2.1083783340785898E-2</c:v>
                </c:pt>
                <c:pt idx="305">
                  <c:v>2.1103802855305678E-2</c:v>
                </c:pt>
                <c:pt idx="306">
                  <c:v>2.1123730356638736E-2</c:v>
                </c:pt>
                <c:pt idx="307">
                  <c:v>2.1143561182451819E-2</c:v>
                </c:pt>
                <c:pt idx="308">
                  <c:v>2.1163290730961459E-2</c:v>
                </c:pt>
                <c:pt idx="309">
                  <c:v>2.1182914459954197E-2</c:v>
                </c:pt>
                <c:pt idx="310">
                  <c:v>2.1202427885825773E-2</c:v>
                </c:pt>
                <c:pt idx="311">
                  <c:v>2.1221826582638888E-2</c:v>
                </c:pt>
                <c:pt idx="312">
                  <c:v>2.1241106181198992E-2</c:v>
                </c:pt>
                <c:pt idx="313">
                  <c:v>2.1260262368147917E-2</c:v>
                </c:pt>
                <c:pt idx="314">
                  <c:v>2.1279290885074721E-2</c:v>
                </c:pt>
                <c:pt idx="315">
                  <c:v>2.1298187527643519E-2</c:v>
                </c:pt>
                <c:pt idx="316">
                  <c:v>2.1316948144737877E-2</c:v>
                </c:pt>
                <c:pt idx="317">
                  <c:v>2.1335568637621368E-2</c:v>
                </c:pt>
                <c:pt idx="318">
                  <c:v>2.1354044959114003E-2</c:v>
                </c:pt>
                <c:pt idx="319">
                  <c:v>2.1372373112784136E-2</c:v>
                </c:pt>
                <c:pt idx="320">
                  <c:v>2.1390549152155523E-2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82800"/>
        <c:axId val="223917184"/>
      </c:scatterChart>
      <c:valAx>
        <c:axId val="2236828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2035404784795"/>
              <c:y val="0.91434289526350898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23917184"/>
        <c:crosses val="autoZero"/>
        <c:crossBetween val="midCat"/>
      </c:valAx>
      <c:valAx>
        <c:axId val="22391718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65977318212101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3682800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59781233722702"/>
          <c:y val="5.28352234823216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89426296599503E-2"/>
          <c:y val="0.33262174783188803"/>
          <c:w val="0.88853337301882596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View'!$I$17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View'!$I$23:$I$343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3.2156526704435811E-3</c:v>
                </c:pt>
                <c:pt idx="21">
                  <c:v>3.2553220557254826E-3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3.2724562282356313E-3</c:v>
                </c:pt>
                <c:pt idx="25">
                  <c:v>3.2606790898658832E-3</c:v>
                </c:pt>
                <c:pt idx="26">
                  <c:v>3.2541088542174311E-3</c:v>
                </c:pt>
                <c:pt idx="27">
                  <c:v>3.2480908658272974E-3</c:v>
                </c:pt>
                <c:pt idx="28">
                  <c:v>3.2420728774371641E-3</c:v>
                </c:pt>
                <c:pt idx="29">
                  <c:v>3.2360548890470308E-3</c:v>
                </c:pt>
                <c:pt idx="30">
                  <c:v>3.2300369006568975E-3</c:v>
                </c:pt>
                <c:pt idx="31">
                  <c:v>3.2167945185192846E-3</c:v>
                </c:pt>
                <c:pt idx="32">
                  <c:v>3.2029051757475691E-3</c:v>
                </c:pt>
                <c:pt idx="33">
                  <c:v>3.1890158329758536E-3</c:v>
                </c:pt>
                <c:pt idx="34">
                  <c:v>3.175126490204138E-3</c:v>
                </c:pt>
                <c:pt idx="35">
                  <c:v>3.1612371474324225E-3</c:v>
                </c:pt>
                <c:pt idx="36">
                  <c:v>3.2345083342882369E-3</c:v>
                </c:pt>
                <c:pt idx="37">
                  <c:v>3.3200364706229219E-3</c:v>
                </c:pt>
                <c:pt idx="38">
                  <c:v>3.4055646069576068E-3</c:v>
                </c:pt>
                <c:pt idx="39">
                  <c:v>3.4910927432922918E-3</c:v>
                </c:pt>
                <c:pt idx="40">
                  <c:v>3.5766208796269763E-3</c:v>
                </c:pt>
                <c:pt idx="41">
                  <c:v>3.6452156832544355E-3</c:v>
                </c:pt>
                <c:pt idx="42">
                  <c:v>3.7074205500112435E-3</c:v>
                </c:pt>
                <c:pt idx="43">
                  <c:v>3.7696254167680519E-3</c:v>
                </c:pt>
                <c:pt idx="44">
                  <c:v>3.8318302835248603E-3</c:v>
                </c:pt>
                <c:pt idx="45">
                  <c:v>3.8940351502816683E-3</c:v>
                </c:pt>
                <c:pt idx="46">
                  <c:v>4.0053181865339037E-3</c:v>
                </c:pt>
                <c:pt idx="47">
                  <c:v>4.1218064831871678E-3</c:v>
                </c:pt>
                <c:pt idx="48">
                  <c:v>4.2382947798404319E-3</c:v>
                </c:pt>
                <c:pt idx="49">
                  <c:v>4.354783076493696E-3</c:v>
                </c:pt>
                <c:pt idx="50">
                  <c:v>4.4712713731469601E-3</c:v>
                </c:pt>
                <c:pt idx="51">
                  <c:v>4.5877596698002242E-3</c:v>
                </c:pt>
                <c:pt idx="52">
                  <c:v>4.7042479664534884E-3</c:v>
                </c:pt>
                <c:pt idx="53">
                  <c:v>4.8207362631067525E-3</c:v>
                </c:pt>
                <c:pt idx="54">
                  <c:v>4.9372245597600166E-3</c:v>
                </c:pt>
                <c:pt idx="55">
                  <c:v>5.0537128564132807E-3</c:v>
                </c:pt>
                <c:pt idx="56">
                  <c:v>5.1903731561027044E-3</c:v>
                </c:pt>
                <c:pt idx="57">
                  <c:v>5.3331570995709615E-3</c:v>
                </c:pt>
                <c:pt idx="58">
                  <c:v>5.4759410430392187E-3</c:v>
                </c:pt>
                <c:pt idx="59">
                  <c:v>5.618724986507475E-3</c:v>
                </c:pt>
                <c:pt idx="60">
                  <c:v>5.7615089299757312E-3</c:v>
                </c:pt>
                <c:pt idx="61">
                  <c:v>5.9042928734439875E-3</c:v>
                </c:pt>
                <c:pt idx="62">
                  <c:v>6.0470768169122438E-3</c:v>
                </c:pt>
                <c:pt idx="63">
                  <c:v>6.1898607603805E-3</c:v>
                </c:pt>
                <c:pt idx="64">
                  <c:v>6.3326447038487563E-3</c:v>
                </c:pt>
                <c:pt idx="65">
                  <c:v>6.4754286473170126E-3</c:v>
                </c:pt>
                <c:pt idx="66">
                  <c:v>6.6182125907852688E-3</c:v>
                </c:pt>
                <c:pt idx="67">
                  <c:v>6.7609965342535251E-3</c:v>
                </c:pt>
                <c:pt idx="68">
                  <c:v>6.9037804777217814E-3</c:v>
                </c:pt>
                <c:pt idx="69">
                  <c:v>7.0465644211900377E-3</c:v>
                </c:pt>
                <c:pt idx="70">
                  <c:v>7.1893483646582939E-3</c:v>
                </c:pt>
                <c:pt idx="71">
                  <c:v>7.3321323081265502E-3</c:v>
                </c:pt>
                <c:pt idx="72">
                  <c:v>7.4749162515948056E-3</c:v>
                </c:pt>
                <c:pt idx="73">
                  <c:v>7.6177001950630627E-3</c:v>
                </c:pt>
                <c:pt idx="74">
                  <c:v>7.7604841385313181E-3</c:v>
                </c:pt>
                <c:pt idx="75">
                  <c:v>7.9032680819995753E-3</c:v>
                </c:pt>
                <c:pt idx="76">
                  <c:v>8.0939313034911788E-3</c:v>
                </c:pt>
                <c:pt idx="77">
                  <c:v>8.2949683685545113E-3</c:v>
                </c:pt>
                <c:pt idx="78">
                  <c:v>8.4960054336178439E-3</c:v>
                </c:pt>
                <c:pt idx="79">
                  <c:v>8.6970424986811765E-3</c:v>
                </c:pt>
                <c:pt idx="80">
                  <c:v>8.8980795637445074E-3</c:v>
                </c:pt>
                <c:pt idx="81">
                  <c:v>9.09911662880784E-3</c:v>
                </c:pt>
                <c:pt idx="82">
                  <c:v>9.3001536938711726E-3</c:v>
                </c:pt>
                <c:pt idx="83">
                  <c:v>9.5011907589345052E-3</c:v>
                </c:pt>
                <c:pt idx="84">
                  <c:v>9.702227823997836E-3</c:v>
                </c:pt>
                <c:pt idx="85">
                  <c:v>9.9032648890611686E-3</c:v>
                </c:pt>
                <c:pt idx="86">
                  <c:v>1.0104301954124501E-2</c:v>
                </c:pt>
                <c:pt idx="87">
                  <c:v>1.0305339019187834E-2</c:v>
                </c:pt>
                <c:pt idx="88">
                  <c:v>1.0506376084251166E-2</c:v>
                </c:pt>
                <c:pt idx="89">
                  <c:v>1.0707413149314497E-2</c:v>
                </c:pt>
                <c:pt idx="90">
                  <c:v>1.090845021437783E-2</c:v>
                </c:pt>
                <c:pt idx="91">
                  <c:v>1.1109487279441162E-2</c:v>
                </c:pt>
                <c:pt idx="92">
                  <c:v>1.1310524344504493E-2</c:v>
                </c:pt>
                <c:pt idx="93">
                  <c:v>1.1511561409567826E-2</c:v>
                </c:pt>
                <c:pt idx="94">
                  <c:v>1.1712598474631158E-2</c:v>
                </c:pt>
                <c:pt idx="95">
                  <c:v>1.1913635539694491E-2</c:v>
                </c:pt>
                <c:pt idx="96">
                  <c:v>1.2173526436975462E-2</c:v>
                </c:pt>
                <c:pt idx="97">
                  <c:v>1.2441693654412047E-2</c:v>
                </c:pt>
                <c:pt idx="98">
                  <c:v>1.2709860871848631E-2</c:v>
                </c:pt>
                <c:pt idx="99">
                  <c:v>1.2978028089285215E-2</c:v>
                </c:pt>
                <c:pt idx="100">
                  <c:v>1.3246195306721801E-2</c:v>
                </c:pt>
                <c:pt idx="101">
                  <c:v>1.3514362524158389E-2</c:v>
                </c:pt>
                <c:pt idx="102">
                  <c:v>1.3782529741594973E-2</c:v>
                </c:pt>
                <c:pt idx="103">
                  <c:v>1.4050696959031557E-2</c:v>
                </c:pt>
                <c:pt idx="104">
                  <c:v>1.4318864176468143E-2</c:v>
                </c:pt>
                <c:pt idx="105">
                  <c:v>1.4587031393904727E-2</c:v>
                </c:pt>
                <c:pt idx="106">
                  <c:v>1.4855198611341311E-2</c:v>
                </c:pt>
                <c:pt idx="107">
                  <c:v>1.5123365828777897E-2</c:v>
                </c:pt>
                <c:pt idx="108">
                  <c:v>1.5391533046214481E-2</c:v>
                </c:pt>
                <c:pt idx="109">
                  <c:v>1.5659700263651065E-2</c:v>
                </c:pt>
                <c:pt idx="110">
                  <c:v>1.5927867481087651E-2</c:v>
                </c:pt>
                <c:pt idx="111">
                  <c:v>1.6196034698524236E-2</c:v>
                </c:pt>
                <c:pt idx="112">
                  <c:v>1.6464201915960819E-2</c:v>
                </c:pt>
                <c:pt idx="113">
                  <c:v>1.6732369133397405E-2</c:v>
                </c:pt>
                <c:pt idx="114">
                  <c:v>1.700053635083399E-2</c:v>
                </c:pt>
                <c:pt idx="115">
                  <c:v>1.7268703568270573E-2</c:v>
                </c:pt>
                <c:pt idx="116">
                  <c:v>1.7440628459070538E-2</c:v>
                </c:pt>
                <c:pt idx="117">
                  <c:v>1.7591700845765883E-2</c:v>
                </c:pt>
                <c:pt idx="118">
                  <c:v>1.7742773232461224E-2</c:v>
                </c:pt>
                <c:pt idx="119">
                  <c:v>1.7893845619156568E-2</c:v>
                </c:pt>
                <c:pt idx="120">
                  <c:v>1.8044918005851909E-2</c:v>
                </c:pt>
                <c:pt idx="121">
                  <c:v>1.8195990392547254E-2</c:v>
                </c:pt>
                <c:pt idx="122">
                  <c:v>1.8347062779242595E-2</c:v>
                </c:pt>
                <c:pt idx="123">
                  <c:v>1.8498135165937939E-2</c:v>
                </c:pt>
                <c:pt idx="124">
                  <c:v>1.864920755263328E-2</c:v>
                </c:pt>
                <c:pt idx="125">
                  <c:v>1.8800279939328625E-2</c:v>
                </c:pt>
                <c:pt idx="126">
                  <c:v>1.8951352326023966E-2</c:v>
                </c:pt>
                <c:pt idx="127">
                  <c:v>1.910242471271931E-2</c:v>
                </c:pt>
                <c:pt idx="128">
                  <c:v>1.9253497099414651E-2</c:v>
                </c:pt>
                <c:pt idx="129">
                  <c:v>1.9404569486109996E-2</c:v>
                </c:pt>
                <c:pt idx="130">
                  <c:v>1.9555641872805337E-2</c:v>
                </c:pt>
                <c:pt idx="131">
                  <c:v>1.9706714259500682E-2</c:v>
                </c:pt>
                <c:pt idx="132">
                  <c:v>1.9857786646196023E-2</c:v>
                </c:pt>
                <c:pt idx="133">
                  <c:v>2.0008859032891367E-2</c:v>
                </c:pt>
                <c:pt idx="134">
                  <c:v>2.0159931419586708E-2</c:v>
                </c:pt>
                <c:pt idx="135">
                  <c:v>2.0311003806282053E-2</c:v>
                </c:pt>
                <c:pt idx="136">
                  <c:v>2.0437263661620513E-2</c:v>
                </c:pt>
                <c:pt idx="137">
                  <c:v>2.0558147468498308E-2</c:v>
                </c:pt>
                <c:pt idx="138">
                  <c:v>2.0679031275376101E-2</c:v>
                </c:pt>
                <c:pt idx="139">
                  <c:v>2.0799915082253897E-2</c:v>
                </c:pt>
                <c:pt idx="140">
                  <c:v>2.0920798889131689E-2</c:v>
                </c:pt>
                <c:pt idx="141">
                  <c:v>2.1041682696009485E-2</c:v>
                </c:pt>
                <c:pt idx="142">
                  <c:v>2.1162566502887281E-2</c:v>
                </c:pt>
                <c:pt idx="143">
                  <c:v>2.1283450309765074E-2</c:v>
                </c:pt>
                <c:pt idx="144">
                  <c:v>2.140433411664287E-2</c:v>
                </c:pt>
                <c:pt idx="145">
                  <c:v>2.1525217923520662E-2</c:v>
                </c:pt>
                <c:pt idx="146">
                  <c:v>2.1646101730398458E-2</c:v>
                </c:pt>
                <c:pt idx="147">
                  <c:v>2.176698553727625E-2</c:v>
                </c:pt>
                <c:pt idx="148">
                  <c:v>2.1887869344154046E-2</c:v>
                </c:pt>
                <c:pt idx="149">
                  <c:v>2.2008753151031842E-2</c:v>
                </c:pt>
                <c:pt idx="150">
                  <c:v>2.2129636957909635E-2</c:v>
                </c:pt>
                <c:pt idx="151">
                  <c:v>2.2250520764787431E-2</c:v>
                </c:pt>
                <c:pt idx="152">
                  <c:v>2.2371404571665223E-2</c:v>
                </c:pt>
                <c:pt idx="153">
                  <c:v>2.2492288378543019E-2</c:v>
                </c:pt>
                <c:pt idx="154">
                  <c:v>2.2613172185420811E-2</c:v>
                </c:pt>
                <c:pt idx="155">
                  <c:v>2.2734055992298607E-2</c:v>
                </c:pt>
                <c:pt idx="156">
                  <c:v>2.2817831504463256E-2</c:v>
                </c:pt>
                <c:pt idx="157">
                  <c:v>2.2893566886106706E-2</c:v>
                </c:pt>
                <c:pt idx="158">
                  <c:v>2.2969302267750152E-2</c:v>
                </c:pt>
                <c:pt idx="159">
                  <c:v>2.3045037649393602E-2</c:v>
                </c:pt>
                <c:pt idx="160">
                  <c:v>2.3120773031037052E-2</c:v>
                </c:pt>
                <c:pt idx="161">
                  <c:v>2.3196508412680502E-2</c:v>
                </c:pt>
                <c:pt idx="162">
                  <c:v>2.3272243794323948E-2</c:v>
                </c:pt>
                <c:pt idx="163">
                  <c:v>2.3347979175967398E-2</c:v>
                </c:pt>
                <c:pt idx="164">
                  <c:v>2.3423714557610848E-2</c:v>
                </c:pt>
                <c:pt idx="165">
                  <c:v>2.3499449939254298E-2</c:v>
                </c:pt>
                <c:pt idx="166">
                  <c:v>2.3575185320897748E-2</c:v>
                </c:pt>
                <c:pt idx="167">
                  <c:v>2.3650920702541194E-2</c:v>
                </c:pt>
                <c:pt idx="168">
                  <c:v>2.3726656084184644E-2</c:v>
                </c:pt>
                <c:pt idx="169">
                  <c:v>2.3802391465828094E-2</c:v>
                </c:pt>
                <c:pt idx="170">
                  <c:v>2.3878126847471544E-2</c:v>
                </c:pt>
                <c:pt idx="171">
                  <c:v>2.395386222911499E-2</c:v>
                </c:pt>
                <c:pt idx="172">
                  <c:v>2.402959761075844E-2</c:v>
                </c:pt>
                <c:pt idx="173">
                  <c:v>2.410533299240189E-2</c:v>
                </c:pt>
                <c:pt idx="174">
                  <c:v>2.418106837404534E-2</c:v>
                </c:pt>
                <c:pt idx="175">
                  <c:v>2.425680375568879E-2</c:v>
                </c:pt>
                <c:pt idx="176">
                  <c:v>2.4304689273339296E-2</c:v>
                </c:pt>
                <c:pt idx="177">
                  <c:v>2.4341327730531093E-2</c:v>
                </c:pt>
                <c:pt idx="178">
                  <c:v>2.4377966187722894E-2</c:v>
                </c:pt>
                <c:pt idx="179">
                  <c:v>2.4414604644914694E-2</c:v>
                </c:pt>
                <c:pt idx="180">
                  <c:v>2.4451243102106491E-2</c:v>
                </c:pt>
                <c:pt idx="181">
                  <c:v>2.4487881559298291E-2</c:v>
                </c:pt>
                <c:pt idx="182">
                  <c:v>2.4524520016490092E-2</c:v>
                </c:pt>
                <c:pt idx="183">
                  <c:v>2.4561158473681892E-2</c:v>
                </c:pt>
                <c:pt idx="184">
                  <c:v>2.4597796930873692E-2</c:v>
                </c:pt>
                <c:pt idx="185">
                  <c:v>2.4634435388065489E-2</c:v>
                </c:pt>
                <c:pt idx="186">
                  <c:v>2.4671073845257289E-2</c:v>
                </c:pt>
                <c:pt idx="187">
                  <c:v>2.470771230244909E-2</c:v>
                </c:pt>
                <c:pt idx="188">
                  <c:v>2.474435075964089E-2</c:v>
                </c:pt>
                <c:pt idx="189">
                  <c:v>2.478098921683269E-2</c:v>
                </c:pt>
                <c:pt idx="190">
                  <c:v>2.4817627674024491E-2</c:v>
                </c:pt>
                <c:pt idx="191">
                  <c:v>2.4854266131216288E-2</c:v>
                </c:pt>
                <c:pt idx="192">
                  <c:v>2.4890904588408088E-2</c:v>
                </c:pt>
                <c:pt idx="193">
                  <c:v>2.4927543045599888E-2</c:v>
                </c:pt>
                <c:pt idx="194">
                  <c:v>2.4964181502791689E-2</c:v>
                </c:pt>
                <c:pt idx="195">
                  <c:v>2.5000819959983489E-2</c:v>
                </c:pt>
                <c:pt idx="196">
                  <c:v>2.5091393740095752E-2</c:v>
                </c:pt>
                <c:pt idx="197">
                  <c:v>2.5198340743237461E-2</c:v>
                </c:pt>
                <c:pt idx="198">
                  <c:v>2.530528774637917E-2</c:v>
                </c:pt>
                <c:pt idx="199">
                  <c:v>2.5412234749520878E-2</c:v>
                </c:pt>
                <c:pt idx="200">
                  <c:v>2.5519181752662583E-2</c:v>
                </c:pt>
                <c:pt idx="201">
                  <c:v>2.5626128755804292E-2</c:v>
                </c:pt>
                <c:pt idx="202">
                  <c:v>2.5733075758946001E-2</c:v>
                </c:pt>
                <c:pt idx="203">
                  <c:v>2.584002276208771E-2</c:v>
                </c:pt>
                <c:pt idx="204">
                  <c:v>2.5946969765229415E-2</c:v>
                </c:pt>
                <c:pt idx="205">
                  <c:v>2.6053916768371124E-2</c:v>
                </c:pt>
                <c:pt idx="206">
                  <c:v>2.6160863771512832E-2</c:v>
                </c:pt>
                <c:pt idx="207">
                  <c:v>2.6267810774654541E-2</c:v>
                </c:pt>
                <c:pt idx="208">
                  <c:v>2.6374757777796246E-2</c:v>
                </c:pt>
                <c:pt idx="209">
                  <c:v>2.6481704780937955E-2</c:v>
                </c:pt>
                <c:pt idx="210">
                  <c:v>2.6588651784079664E-2</c:v>
                </c:pt>
                <c:pt idx="211">
                  <c:v>2.6695598787221372E-2</c:v>
                </c:pt>
                <c:pt idx="212">
                  <c:v>2.6802545790363078E-2</c:v>
                </c:pt>
                <c:pt idx="213">
                  <c:v>2.6909492793504786E-2</c:v>
                </c:pt>
                <c:pt idx="214">
                  <c:v>2.7016439796646495E-2</c:v>
                </c:pt>
                <c:pt idx="215">
                  <c:v>2.71233867997882E-2</c:v>
                </c:pt>
                <c:pt idx="216">
                  <c:v>2.7174775378326046E-2</c:v>
                </c:pt>
                <c:pt idx="217">
                  <c:v>2.7209298006537729E-2</c:v>
                </c:pt>
                <c:pt idx="218">
                  <c:v>2.7243820634749411E-2</c:v>
                </c:pt>
                <c:pt idx="219">
                  <c:v>2.7278343262961094E-2</c:v>
                </c:pt>
                <c:pt idx="220">
                  <c:v>2.7312865891172777E-2</c:v>
                </c:pt>
                <c:pt idx="221">
                  <c:v>2.7347388519384459E-2</c:v>
                </c:pt>
                <c:pt idx="222">
                  <c:v>2.7381911147596142E-2</c:v>
                </c:pt>
                <c:pt idx="223">
                  <c:v>2.7416433775807825E-2</c:v>
                </c:pt>
                <c:pt idx="224">
                  <c:v>2.7450956404019507E-2</c:v>
                </c:pt>
                <c:pt idx="225">
                  <c:v>2.748547903223119E-2</c:v>
                </c:pt>
                <c:pt idx="226">
                  <c:v>2.7520001660442873E-2</c:v>
                </c:pt>
                <c:pt idx="227">
                  <c:v>2.7554524288654559E-2</c:v>
                </c:pt>
                <c:pt idx="228">
                  <c:v>2.7589046916866242E-2</c:v>
                </c:pt>
                <c:pt idx="229">
                  <c:v>2.7623569545077924E-2</c:v>
                </c:pt>
                <c:pt idx="230">
                  <c:v>2.7658092173289607E-2</c:v>
                </c:pt>
                <c:pt idx="231">
                  <c:v>2.769261480150129E-2</c:v>
                </c:pt>
                <c:pt idx="232">
                  <c:v>2.7727137429712972E-2</c:v>
                </c:pt>
                <c:pt idx="233">
                  <c:v>2.7761660057924655E-2</c:v>
                </c:pt>
                <c:pt idx="234">
                  <c:v>2.7796182686136338E-2</c:v>
                </c:pt>
                <c:pt idx="235">
                  <c:v>2.7830705314348021E-2</c:v>
                </c:pt>
                <c:pt idx="236">
                  <c:v>2.7865227942559703E-2</c:v>
                </c:pt>
                <c:pt idx="237">
                  <c:v>2.7899750570771386E-2</c:v>
                </c:pt>
                <c:pt idx="238">
                  <c:v>2.7934273198983069E-2</c:v>
                </c:pt>
                <c:pt idx="239">
                  <c:v>2.7968795827194751E-2</c:v>
                </c:pt>
                <c:pt idx="240">
                  <c:v>2.8003318455406434E-2</c:v>
                </c:pt>
                <c:pt idx="241">
                  <c:v>2.8037841083618117E-2</c:v>
                </c:pt>
                <c:pt idx="242">
                  <c:v>2.8072363711829799E-2</c:v>
                </c:pt>
                <c:pt idx="243">
                  <c:v>2.8106886340041482E-2</c:v>
                </c:pt>
                <c:pt idx="244">
                  <c:v>2.8141408968253165E-2</c:v>
                </c:pt>
                <c:pt idx="245">
                  <c:v>2.8175931596464848E-2</c:v>
                </c:pt>
                <c:pt idx="246">
                  <c:v>2.821045422467653E-2</c:v>
                </c:pt>
                <c:pt idx="247">
                  <c:v>2.8244976852888213E-2</c:v>
                </c:pt>
                <c:pt idx="248">
                  <c:v>2.8279499481099896E-2</c:v>
                </c:pt>
                <c:pt idx="249">
                  <c:v>2.8314022109311578E-2</c:v>
                </c:pt>
                <c:pt idx="250">
                  <c:v>2.8348544737523261E-2</c:v>
                </c:pt>
                <c:pt idx="251">
                  <c:v>2.8383067365734947E-2</c:v>
                </c:pt>
                <c:pt idx="252">
                  <c:v>2.841758999394663E-2</c:v>
                </c:pt>
                <c:pt idx="253">
                  <c:v>2.8452112622158313E-2</c:v>
                </c:pt>
                <c:pt idx="254">
                  <c:v>2.8486635250369995E-2</c:v>
                </c:pt>
                <c:pt idx="255">
                  <c:v>2.8521157878581678E-2</c:v>
                </c:pt>
                <c:pt idx="256">
                  <c:v>2.8511373679903865E-2</c:v>
                </c:pt>
                <c:pt idx="257">
                  <c:v>2.848813919449179E-2</c:v>
                </c:pt>
                <c:pt idx="258">
                  <c:v>2.8464904709079718E-2</c:v>
                </c:pt>
                <c:pt idx="259">
                  <c:v>2.8441670223667646E-2</c:v>
                </c:pt>
                <c:pt idx="260">
                  <c:v>2.8418435738255574E-2</c:v>
                </c:pt>
                <c:pt idx="261">
                  <c:v>2.8395201252843501E-2</c:v>
                </c:pt>
                <c:pt idx="262">
                  <c:v>2.8371966767431429E-2</c:v>
                </c:pt>
                <c:pt idx="263">
                  <c:v>2.8348732282019357E-2</c:v>
                </c:pt>
                <c:pt idx="264">
                  <c:v>2.8325497796607285E-2</c:v>
                </c:pt>
                <c:pt idx="265">
                  <c:v>2.8302263311195213E-2</c:v>
                </c:pt>
                <c:pt idx="266">
                  <c:v>2.8279028825783141E-2</c:v>
                </c:pt>
                <c:pt idx="267">
                  <c:v>2.8255794340371069E-2</c:v>
                </c:pt>
                <c:pt idx="268">
                  <c:v>2.8232559854958997E-2</c:v>
                </c:pt>
                <c:pt idx="269">
                  <c:v>2.8209325369546925E-2</c:v>
                </c:pt>
                <c:pt idx="270">
                  <c:v>2.8186090884134853E-2</c:v>
                </c:pt>
                <c:pt idx="271">
                  <c:v>2.816285639872278E-2</c:v>
                </c:pt>
                <c:pt idx="272">
                  <c:v>2.8139621913310708E-2</c:v>
                </c:pt>
                <c:pt idx="273">
                  <c:v>2.8116387427898636E-2</c:v>
                </c:pt>
                <c:pt idx="274">
                  <c:v>2.8093152942486564E-2</c:v>
                </c:pt>
                <c:pt idx="275">
                  <c:v>2.8069918457074492E-2</c:v>
                </c:pt>
                <c:pt idx="276">
                  <c:v>2.8046683971662417E-2</c:v>
                </c:pt>
                <c:pt idx="277">
                  <c:v>2.8023449486250344E-2</c:v>
                </c:pt>
                <c:pt idx="278">
                  <c:v>2.8000215000838272E-2</c:v>
                </c:pt>
                <c:pt idx="279">
                  <c:v>2.79769805154262E-2</c:v>
                </c:pt>
                <c:pt idx="280">
                  <c:v>2.7953746030014128E-2</c:v>
                </c:pt>
                <c:pt idx="281">
                  <c:v>2.7930511544602056E-2</c:v>
                </c:pt>
                <c:pt idx="282">
                  <c:v>2.7907277059189984E-2</c:v>
                </c:pt>
                <c:pt idx="283">
                  <c:v>2.7884042573777912E-2</c:v>
                </c:pt>
                <c:pt idx="284">
                  <c:v>2.786080808836584E-2</c:v>
                </c:pt>
                <c:pt idx="285">
                  <c:v>2.7837573602953768E-2</c:v>
                </c:pt>
                <c:pt idx="286">
                  <c:v>2.7814339117541696E-2</c:v>
                </c:pt>
                <c:pt idx="287">
                  <c:v>2.7791104632129623E-2</c:v>
                </c:pt>
                <c:pt idx="288">
                  <c:v>2.7767870146717551E-2</c:v>
                </c:pt>
                <c:pt idx="289">
                  <c:v>2.7744635661305479E-2</c:v>
                </c:pt>
                <c:pt idx="290">
                  <c:v>2.7721401175893407E-2</c:v>
                </c:pt>
                <c:pt idx="291">
                  <c:v>2.7698166690481335E-2</c:v>
                </c:pt>
                <c:pt idx="292">
                  <c:v>2.7674932205069263E-2</c:v>
                </c:pt>
                <c:pt idx="293">
                  <c:v>2.7651697719657191E-2</c:v>
                </c:pt>
                <c:pt idx="294">
                  <c:v>2.7628463234245115E-2</c:v>
                </c:pt>
                <c:pt idx="295">
                  <c:v>2.7605228748833043E-2</c:v>
                </c:pt>
                <c:pt idx="296">
                  <c:v>2.7581994263420971E-2</c:v>
                </c:pt>
                <c:pt idx="297">
                  <c:v>2.7558759778008899E-2</c:v>
                </c:pt>
                <c:pt idx="298">
                  <c:v>2.7535525292596827E-2</c:v>
                </c:pt>
                <c:pt idx="299">
                  <c:v>2.7512290807184755E-2</c:v>
                </c:pt>
                <c:pt idx="300">
                  <c:v>2.7489056321772683E-2</c:v>
                </c:pt>
                <c:pt idx="301">
                  <c:v>2.7465821836360611E-2</c:v>
                </c:pt>
                <c:pt idx="302">
                  <c:v>2.7442587350948539E-2</c:v>
                </c:pt>
                <c:pt idx="303">
                  <c:v>2.7419352865536466E-2</c:v>
                </c:pt>
                <c:pt idx="304">
                  <c:v>2.7396118380124394E-2</c:v>
                </c:pt>
                <c:pt idx="305">
                  <c:v>2.7372883894712322E-2</c:v>
                </c:pt>
                <c:pt idx="306">
                  <c:v>2.734964940930025E-2</c:v>
                </c:pt>
                <c:pt idx="307">
                  <c:v>2.7326414923888178E-2</c:v>
                </c:pt>
                <c:pt idx="308">
                  <c:v>2.7303180438476106E-2</c:v>
                </c:pt>
                <c:pt idx="309">
                  <c:v>2.7279945953064034E-2</c:v>
                </c:pt>
                <c:pt idx="310">
                  <c:v>2.7256711467651962E-2</c:v>
                </c:pt>
                <c:pt idx="311">
                  <c:v>2.723347698223989E-2</c:v>
                </c:pt>
                <c:pt idx="312">
                  <c:v>2.7210242496827818E-2</c:v>
                </c:pt>
                <c:pt idx="313">
                  <c:v>2.7187008011415742E-2</c:v>
                </c:pt>
                <c:pt idx="314">
                  <c:v>2.716377352600367E-2</c:v>
                </c:pt>
                <c:pt idx="315">
                  <c:v>2.7140539040591598E-2</c:v>
                </c:pt>
                <c:pt idx="316">
                  <c:v>2.7077819837092357E-2</c:v>
                </c:pt>
                <c:pt idx="317">
                  <c:v>2.6999154882058028E-2</c:v>
                </c:pt>
                <c:pt idx="318">
                  <c:v>2.69204899270237E-2</c:v>
                </c:pt>
                <c:pt idx="319">
                  <c:v>2.6841824971989371E-2</c:v>
                </c:pt>
                <c:pt idx="320">
                  <c:v>2.6763160016955043E-2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View'!$L$17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View'!$L$23:$L$343</c:f>
              <c:numCache>
                <c:formatCode>0.00%</c:formatCode>
                <c:ptCount val="321"/>
                <c:pt idx="0">
                  <c:v>6.1999999999999998E-3</c:v>
                </c:pt>
                <c:pt idx="1">
                  <c:v>6.1999999999999998E-3</c:v>
                </c:pt>
                <c:pt idx="2">
                  <c:v>6.1999999999999998E-3</c:v>
                </c:pt>
                <c:pt idx="3">
                  <c:v>6.1999999999999998E-3</c:v>
                </c:pt>
                <c:pt idx="4">
                  <c:v>6.1999999999999998E-3</c:v>
                </c:pt>
                <c:pt idx="5">
                  <c:v>6.1999999999999998E-3</c:v>
                </c:pt>
                <c:pt idx="6">
                  <c:v>6.1999999999999998E-3</c:v>
                </c:pt>
                <c:pt idx="7">
                  <c:v>6.1999999999999998E-3</c:v>
                </c:pt>
                <c:pt idx="8">
                  <c:v>6.1999999999999998E-3</c:v>
                </c:pt>
                <c:pt idx="9">
                  <c:v>6.1999999999999998E-3</c:v>
                </c:pt>
                <c:pt idx="10">
                  <c:v>6.1999999999999998E-3</c:v>
                </c:pt>
                <c:pt idx="11">
                  <c:v>6.1999999999999998E-3</c:v>
                </c:pt>
                <c:pt idx="12">
                  <c:v>6.1999999999999998E-3</c:v>
                </c:pt>
                <c:pt idx="13">
                  <c:v>6.1999999999999998E-3</c:v>
                </c:pt>
                <c:pt idx="14">
                  <c:v>6.1999999999999998E-3</c:v>
                </c:pt>
                <c:pt idx="15">
                  <c:v>6.1999999999999998E-3</c:v>
                </c:pt>
                <c:pt idx="16">
                  <c:v>6.1999999999999998E-3</c:v>
                </c:pt>
                <c:pt idx="17">
                  <c:v>6.1999999999999998E-3</c:v>
                </c:pt>
                <c:pt idx="18">
                  <c:v>6.1999999999999998E-3</c:v>
                </c:pt>
                <c:pt idx="19">
                  <c:v>6.1999999999999998E-3</c:v>
                </c:pt>
                <c:pt idx="20">
                  <c:v>5.9000000000034372E-3</c:v>
                </c:pt>
                <c:pt idx="21">
                  <c:v>5.9353220555610669E-3</c:v>
                </c:pt>
                <c:pt idx="22">
                  <c:v>5.9686641981712505E-3</c:v>
                </c:pt>
                <c:pt idx="23">
                  <c:v>5.9621447107493751E-3</c:v>
                </c:pt>
                <c:pt idx="24">
                  <c:v>5.9526482884316671E-3</c:v>
                </c:pt>
                <c:pt idx="25">
                  <c:v>5.9406958948248958E-3</c:v>
                </c:pt>
                <c:pt idx="26">
                  <c:v>5.9338396829898277E-3</c:v>
                </c:pt>
                <c:pt idx="27">
                  <c:v>5.9278876324368353E-3</c:v>
                </c:pt>
                <c:pt idx="28">
                  <c:v>5.9219355818838438E-3</c:v>
                </c:pt>
                <c:pt idx="29">
                  <c:v>5.9159835313308522E-3</c:v>
                </c:pt>
                <c:pt idx="30">
                  <c:v>5.9100314807778598E-3</c:v>
                </c:pt>
                <c:pt idx="31">
                  <c:v>5.8970734571471093E-3</c:v>
                </c:pt>
                <c:pt idx="32">
                  <c:v>5.883003374297667E-3</c:v>
                </c:pt>
                <c:pt idx="33">
                  <c:v>5.8689332914482256E-3</c:v>
                </c:pt>
                <c:pt idx="34">
                  <c:v>5.8548632085987833E-3</c:v>
                </c:pt>
                <c:pt idx="35">
                  <c:v>5.840793125749341E-3</c:v>
                </c:pt>
                <c:pt idx="36">
                  <c:v>5.8346502173466574E-3</c:v>
                </c:pt>
                <c:pt idx="37">
                  <c:v>5.8290901894179998E-3</c:v>
                </c:pt>
                <c:pt idx="38">
                  <c:v>5.8235301614893422E-3</c:v>
                </c:pt>
                <c:pt idx="39">
                  <c:v>5.8179701335606855E-3</c:v>
                </c:pt>
                <c:pt idx="40">
                  <c:v>5.8124101056320279E-3</c:v>
                </c:pt>
                <c:pt idx="41">
                  <c:v>5.9627306830985624E-3</c:v>
                </c:pt>
                <c:pt idx="42">
                  <c:v>6.1322365658444842E-3</c:v>
                </c:pt>
                <c:pt idx="43">
                  <c:v>6.3017424485904061E-3</c:v>
                </c:pt>
                <c:pt idx="44">
                  <c:v>6.4712483313363288E-3</c:v>
                </c:pt>
                <c:pt idx="45">
                  <c:v>6.6407542140822506E-3</c:v>
                </c:pt>
                <c:pt idx="46">
                  <c:v>6.8102600968281725E-3</c:v>
                </c:pt>
                <c:pt idx="47">
                  <c:v>6.9797659795740952E-3</c:v>
                </c:pt>
                <c:pt idx="48">
                  <c:v>7.1492718623200171E-3</c:v>
                </c:pt>
                <c:pt idx="49">
                  <c:v>7.3187777450659398E-3</c:v>
                </c:pt>
                <c:pt idx="50">
                  <c:v>7.4882836278118616E-3</c:v>
                </c:pt>
                <c:pt idx="51">
                  <c:v>7.6000235653658548E-3</c:v>
                </c:pt>
                <c:pt idx="52">
                  <c:v>7.7065904332011687E-3</c:v>
                </c:pt>
                <c:pt idx="53">
                  <c:v>7.8131573010364833E-3</c:v>
                </c:pt>
                <c:pt idx="54">
                  <c:v>7.9197241688717963E-3</c:v>
                </c:pt>
                <c:pt idx="55">
                  <c:v>8.0262910367071109E-3</c:v>
                </c:pt>
                <c:pt idx="56">
                  <c:v>8.1328579045424256E-3</c:v>
                </c:pt>
                <c:pt idx="57">
                  <c:v>8.2394247723777386E-3</c:v>
                </c:pt>
                <c:pt idx="58">
                  <c:v>8.3459916402130532E-3</c:v>
                </c:pt>
                <c:pt idx="59">
                  <c:v>8.4525585080483679E-3</c:v>
                </c:pt>
                <c:pt idx="60">
                  <c:v>8.5591253758836808E-3</c:v>
                </c:pt>
                <c:pt idx="61">
                  <c:v>8.6656922437189955E-3</c:v>
                </c:pt>
                <c:pt idx="62">
                  <c:v>8.7722591115543085E-3</c:v>
                </c:pt>
                <c:pt idx="63">
                  <c:v>8.8788259793896214E-3</c:v>
                </c:pt>
                <c:pt idx="64">
                  <c:v>8.9853928472249361E-3</c:v>
                </c:pt>
                <c:pt idx="65">
                  <c:v>9.091959715060249E-3</c:v>
                </c:pt>
                <c:pt idx="66">
                  <c:v>9.1985265828955637E-3</c:v>
                </c:pt>
                <c:pt idx="67">
                  <c:v>9.3050934507308766E-3</c:v>
                </c:pt>
                <c:pt idx="68">
                  <c:v>9.4116603185661896E-3</c:v>
                </c:pt>
                <c:pt idx="69">
                  <c:v>9.5182271864015042E-3</c:v>
                </c:pt>
                <c:pt idx="70">
                  <c:v>9.6247940542368172E-3</c:v>
                </c:pt>
                <c:pt idx="71">
                  <c:v>9.7818663581098527E-3</c:v>
                </c:pt>
                <c:pt idx="72">
                  <c:v>9.9509230027376022E-3</c:v>
                </c:pt>
                <c:pt idx="73">
                  <c:v>1.011997964736535E-2</c:v>
                </c:pt>
                <c:pt idx="74">
                  <c:v>1.02890362919931E-2</c:v>
                </c:pt>
                <c:pt idx="75">
                  <c:v>1.0458092936620849E-2</c:v>
                </c:pt>
                <c:pt idx="76">
                  <c:v>1.0627149581248599E-2</c:v>
                </c:pt>
                <c:pt idx="77">
                  <c:v>1.0796206225876348E-2</c:v>
                </c:pt>
                <c:pt idx="78">
                  <c:v>1.0965262870504096E-2</c:v>
                </c:pt>
                <c:pt idx="79">
                  <c:v>1.1134319515131845E-2</c:v>
                </c:pt>
                <c:pt idx="80">
                  <c:v>1.1303376159759595E-2</c:v>
                </c:pt>
                <c:pt idx="81">
                  <c:v>1.1472432804387344E-2</c:v>
                </c:pt>
                <c:pt idx="82">
                  <c:v>1.1641489449015094E-2</c:v>
                </c:pt>
                <c:pt idx="83">
                  <c:v>1.1810546093642842E-2</c:v>
                </c:pt>
                <c:pt idx="84">
                  <c:v>1.1979602738270591E-2</c:v>
                </c:pt>
                <c:pt idx="85">
                  <c:v>1.2148659382898341E-2</c:v>
                </c:pt>
                <c:pt idx="86">
                  <c:v>1.231771602752609E-2</c:v>
                </c:pt>
                <c:pt idx="87">
                  <c:v>1.248677267215384E-2</c:v>
                </c:pt>
                <c:pt idx="88">
                  <c:v>1.2655829316781587E-2</c:v>
                </c:pt>
                <c:pt idx="89">
                  <c:v>1.2824885961409337E-2</c:v>
                </c:pt>
                <c:pt idx="90">
                  <c:v>1.2993942606037086E-2</c:v>
                </c:pt>
                <c:pt idx="91">
                  <c:v>1.3230931194249344E-2</c:v>
                </c:pt>
                <c:pt idx="92">
                  <c:v>1.3478702630649625E-2</c:v>
                </c:pt>
                <c:pt idx="93">
                  <c:v>1.3726474067049906E-2</c:v>
                </c:pt>
                <c:pt idx="94">
                  <c:v>1.3974245503450188E-2</c:v>
                </c:pt>
                <c:pt idx="95">
                  <c:v>1.4222016939850469E-2</c:v>
                </c:pt>
                <c:pt idx="96">
                  <c:v>1.446978837625075E-2</c:v>
                </c:pt>
                <c:pt idx="97">
                  <c:v>1.4717559812651033E-2</c:v>
                </c:pt>
                <c:pt idx="98">
                  <c:v>1.4965331249051314E-2</c:v>
                </c:pt>
                <c:pt idx="99">
                  <c:v>1.5213102685451596E-2</c:v>
                </c:pt>
                <c:pt idx="100">
                  <c:v>1.5460874121851877E-2</c:v>
                </c:pt>
                <c:pt idx="101">
                  <c:v>1.570864555825216E-2</c:v>
                </c:pt>
                <c:pt idx="102">
                  <c:v>1.5956416994652441E-2</c:v>
                </c:pt>
                <c:pt idx="103">
                  <c:v>1.6204188431052723E-2</c:v>
                </c:pt>
                <c:pt idx="104">
                  <c:v>1.6451959867453004E-2</c:v>
                </c:pt>
                <c:pt idx="105">
                  <c:v>1.6699731303853285E-2</c:v>
                </c:pt>
                <c:pt idx="106">
                  <c:v>1.6947502740253566E-2</c:v>
                </c:pt>
                <c:pt idx="107">
                  <c:v>1.7195274176653848E-2</c:v>
                </c:pt>
                <c:pt idx="108">
                  <c:v>1.7443045613054133E-2</c:v>
                </c:pt>
                <c:pt idx="109">
                  <c:v>1.769081704945441E-2</c:v>
                </c:pt>
                <c:pt idx="110">
                  <c:v>1.7938588485854695E-2</c:v>
                </c:pt>
                <c:pt idx="111">
                  <c:v>1.8127393131893016E-2</c:v>
                </c:pt>
                <c:pt idx="112">
                  <c:v>1.8306837969937366E-2</c:v>
                </c:pt>
                <c:pt idx="113">
                  <c:v>1.8486282807981716E-2</c:v>
                </c:pt>
                <c:pt idx="114">
                  <c:v>1.8665727646026066E-2</c:v>
                </c:pt>
                <c:pt idx="115">
                  <c:v>1.8845172484070416E-2</c:v>
                </c:pt>
                <c:pt idx="116">
                  <c:v>1.9024617322114766E-2</c:v>
                </c:pt>
                <c:pt idx="117">
                  <c:v>1.920406216015912E-2</c:v>
                </c:pt>
                <c:pt idx="118">
                  <c:v>1.938350699820347E-2</c:v>
                </c:pt>
                <c:pt idx="119">
                  <c:v>1.956295183624782E-2</c:v>
                </c:pt>
                <c:pt idx="120">
                  <c:v>1.974239667429217E-2</c:v>
                </c:pt>
                <c:pt idx="121">
                  <c:v>1.992184151233652E-2</c:v>
                </c:pt>
                <c:pt idx="122">
                  <c:v>2.010128635038087E-2</c:v>
                </c:pt>
                <c:pt idx="123">
                  <c:v>2.028073118842522E-2</c:v>
                </c:pt>
                <c:pt idx="124">
                  <c:v>2.046017602646957E-2</c:v>
                </c:pt>
                <c:pt idx="125">
                  <c:v>2.063962086451392E-2</c:v>
                </c:pt>
                <c:pt idx="126">
                  <c:v>2.081906570255827E-2</c:v>
                </c:pt>
                <c:pt idx="127">
                  <c:v>2.099851054060262E-2</c:v>
                </c:pt>
                <c:pt idx="128">
                  <c:v>2.117795537864697E-2</c:v>
                </c:pt>
                <c:pt idx="129">
                  <c:v>2.135740021669132E-2</c:v>
                </c:pt>
                <c:pt idx="130">
                  <c:v>2.153684505473567E-2</c:v>
                </c:pt>
                <c:pt idx="131">
                  <c:v>2.165402179286063E-2</c:v>
                </c:pt>
                <c:pt idx="132">
                  <c:v>2.1761314705601543E-2</c:v>
                </c:pt>
                <c:pt idx="133">
                  <c:v>2.1868607618342455E-2</c:v>
                </c:pt>
                <c:pt idx="134">
                  <c:v>2.1975900531083368E-2</c:v>
                </c:pt>
                <c:pt idx="135">
                  <c:v>2.208319344382428E-2</c:v>
                </c:pt>
                <c:pt idx="136">
                  <c:v>2.2190486356565193E-2</c:v>
                </c:pt>
                <c:pt idx="137">
                  <c:v>2.2297779269306105E-2</c:v>
                </c:pt>
                <c:pt idx="138">
                  <c:v>2.2405072182047018E-2</c:v>
                </c:pt>
                <c:pt idx="139">
                  <c:v>2.251236509478793E-2</c:v>
                </c:pt>
                <c:pt idx="140">
                  <c:v>2.2619658007528843E-2</c:v>
                </c:pt>
                <c:pt idx="141">
                  <c:v>2.2726950920269755E-2</c:v>
                </c:pt>
                <c:pt idx="142">
                  <c:v>2.2834243833010668E-2</c:v>
                </c:pt>
                <c:pt idx="143">
                  <c:v>2.2941536745751581E-2</c:v>
                </c:pt>
                <c:pt idx="144">
                  <c:v>2.304882965849249E-2</c:v>
                </c:pt>
                <c:pt idx="145">
                  <c:v>2.3156122571233402E-2</c:v>
                </c:pt>
                <c:pt idx="146">
                  <c:v>2.3263415483974315E-2</c:v>
                </c:pt>
                <c:pt idx="147">
                  <c:v>2.3370708396715227E-2</c:v>
                </c:pt>
                <c:pt idx="148">
                  <c:v>2.347800130945614E-2</c:v>
                </c:pt>
                <c:pt idx="149">
                  <c:v>2.3585294222197052E-2</c:v>
                </c:pt>
                <c:pt idx="150">
                  <c:v>2.3692587134937965E-2</c:v>
                </c:pt>
                <c:pt idx="151">
                  <c:v>2.3761258990048044E-2</c:v>
                </c:pt>
                <c:pt idx="152">
                  <c:v>2.3823800518550042E-2</c:v>
                </c:pt>
                <c:pt idx="153">
                  <c:v>2.3886342047052041E-2</c:v>
                </c:pt>
                <c:pt idx="154">
                  <c:v>2.3948883575554039E-2</c:v>
                </c:pt>
                <c:pt idx="155">
                  <c:v>2.4011425104056034E-2</c:v>
                </c:pt>
                <c:pt idx="156">
                  <c:v>2.4073966632558032E-2</c:v>
                </c:pt>
                <c:pt idx="157">
                  <c:v>2.4136508161060031E-2</c:v>
                </c:pt>
                <c:pt idx="158">
                  <c:v>2.4199049689562026E-2</c:v>
                </c:pt>
                <c:pt idx="159">
                  <c:v>2.4261591218064024E-2</c:v>
                </c:pt>
                <c:pt idx="160">
                  <c:v>2.4324132746566023E-2</c:v>
                </c:pt>
                <c:pt idx="161">
                  <c:v>2.4386674275068018E-2</c:v>
                </c:pt>
                <c:pt idx="162">
                  <c:v>2.4449215803570016E-2</c:v>
                </c:pt>
                <c:pt idx="163">
                  <c:v>2.4511757332072014E-2</c:v>
                </c:pt>
                <c:pt idx="164">
                  <c:v>2.4574298860574009E-2</c:v>
                </c:pt>
                <c:pt idx="165">
                  <c:v>2.4636840389076008E-2</c:v>
                </c:pt>
                <c:pt idx="166">
                  <c:v>2.4699381917578006E-2</c:v>
                </c:pt>
                <c:pt idx="167">
                  <c:v>2.4761923446080001E-2</c:v>
                </c:pt>
                <c:pt idx="168">
                  <c:v>2.4824464974581999E-2</c:v>
                </c:pt>
                <c:pt idx="169">
                  <c:v>2.4887006503083998E-2</c:v>
                </c:pt>
                <c:pt idx="170">
                  <c:v>2.4949548031585993E-2</c:v>
                </c:pt>
                <c:pt idx="171">
                  <c:v>2.5012340561240711E-2</c:v>
                </c:pt>
                <c:pt idx="172">
                  <c:v>2.507517293234824E-2</c:v>
                </c:pt>
                <c:pt idx="173">
                  <c:v>2.5138005303455769E-2</c:v>
                </c:pt>
                <c:pt idx="174">
                  <c:v>2.5200837674563301E-2</c:v>
                </c:pt>
                <c:pt idx="175">
                  <c:v>2.526367004567083E-2</c:v>
                </c:pt>
                <c:pt idx="176">
                  <c:v>2.5326502416778359E-2</c:v>
                </c:pt>
                <c:pt idx="177">
                  <c:v>2.5389334787885888E-2</c:v>
                </c:pt>
                <c:pt idx="178">
                  <c:v>2.5452167158993417E-2</c:v>
                </c:pt>
                <c:pt idx="179">
                  <c:v>2.5514999530100949E-2</c:v>
                </c:pt>
                <c:pt idx="180">
                  <c:v>2.5577831901208478E-2</c:v>
                </c:pt>
                <c:pt idx="181">
                  <c:v>2.5640664272316007E-2</c:v>
                </c:pt>
                <c:pt idx="182">
                  <c:v>2.5703496643423539E-2</c:v>
                </c:pt>
                <c:pt idx="183">
                  <c:v>2.5766329014531068E-2</c:v>
                </c:pt>
                <c:pt idx="184">
                  <c:v>2.5829161385638601E-2</c:v>
                </c:pt>
                <c:pt idx="185">
                  <c:v>2.589199375674613E-2</c:v>
                </c:pt>
                <c:pt idx="186">
                  <c:v>2.5954826127853662E-2</c:v>
                </c:pt>
                <c:pt idx="187">
                  <c:v>2.6017658498961191E-2</c:v>
                </c:pt>
                <c:pt idx="188">
                  <c:v>2.6080490870068723E-2</c:v>
                </c:pt>
                <c:pt idx="189">
                  <c:v>2.6143323241176256E-2</c:v>
                </c:pt>
                <c:pt idx="190">
                  <c:v>2.6206155612283785E-2</c:v>
                </c:pt>
                <c:pt idx="191">
                  <c:v>2.6284929063505127E-2</c:v>
                </c:pt>
                <c:pt idx="192">
                  <c:v>2.6368919595490998E-2</c:v>
                </c:pt>
                <c:pt idx="193">
                  <c:v>2.6452910127476869E-2</c:v>
                </c:pt>
                <c:pt idx="194">
                  <c:v>2.653690065946274E-2</c:v>
                </c:pt>
                <c:pt idx="195">
                  <c:v>2.6620891191448611E-2</c:v>
                </c:pt>
                <c:pt idx="196">
                  <c:v>2.6704881723434482E-2</c:v>
                </c:pt>
                <c:pt idx="197">
                  <c:v>2.6788872255420353E-2</c:v>
                </c:pt>
                <c:pt idx="198">
                  <c:v>2.6872862787406224E-2</c:v>
                </c:pt>
                <c:pt idx="199">
                  <c:v>2.6956853319392095E-2</c:v>
                </c:pt>
                <c:pt idx="200">
                  <c:v>2.7040843851377967E-2</c:v>
                </c:pt>
                <c:pt idx="201">
                  <c:v>2.7124834383363838E-2</c:v>
                </c:pt>
                <c:pt idx="202">
                  <c:v>2.7208824915349709E-2</c:v>
                </c:pt>
                <c:pt idx="203">
                  <c:v>2.729281544733558E-2</c:v>
                </c:pt>
                <c:pt idx="204">
                  <c:v>2.7376805979321451E-2</c:v>
                </c:pt>
                <c:pt idx="205">
                  <c:v>2.7460796511307322E-2</c:v>
                </c:pt>
                <c:pt idx="206">
                  <c:v>2.7544787043293193E-2</c:v>
                </c:pt>
                <c:pt idx="207">
                  <c:v>2.7628777575279064E-2</c:v>
                </c:pt>
                <c:pt idx="208">
                  <c:v>2.7712768107264935E-2</c:v>
                </c:pt>
                <c:pt idx="209">
                  <c:v>2.7796758639250806E-2</c:v>
                </c:pt>
                <c:pt idx="210">
                  <c:v>2.7880749171236677E-2</c:v>
                </c:pt>
                <c:pt idx="211">
                  <c:v>2.7936762008303289E-2</c:v>
                </c:pt>
                <c:pt idx="212">
                  <c:v>2.7986136070304313E-2</c:v>
                </c:pt>
                <c:pt idx="213">
                  <c:v>2.8035510132305336E-2</c:v>
                </c:pt>
                <c:pt idx="214">
                  <c:v>2.808488419430636E-2</c:v>
                </c:pt>
                <c:pt idx="215">
                  <c:v>2.8134258256307384E-2</c:v>
                </c:pt>
                <c:pt idx="216">
                  <c:v>2.8183632318308408E-2</c:v>
                </c:pt>
                <c:pt idx="217">
                  <c:v>2.8233006380309431E-2</c:v>
                </c:pt>
                <c:pt idx="218">
                  <c:v>2.8282380442310455E-2</c:v>
                </c:pt>
                <c:pt idx="219">
                  <c:v>2.8331754504311479E-2</c:v>
                </c:pt>
                <c:pt idx="220">
                  <c:v>2.8381128566312502E-2</c:v>
                </c:pt>
                <c:pt idx="221">
                  <c:v>2.8430502628313526E-2</c:v>
                </c:pt>
                <c:pt idx="222">
                  <c:v>2.847987669031455E-2</c:v>
                </c:pt>
                <c:pt idx="223">
                  <c:v>2.8529250752315573E-2</c:v>
                </c:pt>
                <c:pt idx="224">
                  <c:v>2.8578624814316597E-2</c:v>
                </c:pt>
                <c:pt idx="225">
                  <c:v>2.8627998876317621E-2</c:v>
                </c:pt>
                <c:pt idx="226">
                  <c:v>2.8677372938318645E-2</c:v>
                </c:pt>
                <c:pt idx="227">
                  <c:v>2.8726747000319668E-2</c:v>
                </c:pt>
                <c:pt idx="228">
                  <c:v>2.8776121062320692E-2</c:v>
                </c:pt>
                <c:pt idx="229">
                  <c:v>2.8825495124321716E-2</c:v>
                </c:pt>
                <c:pt idx="230">
                  <c:v>2.8874869186322739E-2</c:v>
                </c:pt>
                <c:pt idx="231">
                  <c:v>2.8924243248323763E-2</c:v>
                </c:pt>
                <c:pt idx="232">
                  <c:v>2.8973617310324787E-2</c:v>
                </c:pt>
                <c:pt idx="233">
                  <c:v>2.9022991372325811E-2</c:v>
                </c:pt>
                <c:pt idx="234">
                  <c:v>2.9072365434326834E-2</c:v>
                </c:pt>
                <c:pt idx="235">
                  <c:v>2.9121739496327858E-2</c:v>
                </c:pt>
                <c:pt idx="236">
                  <c:v>2.9171113558328882E-2</c:v>
                </c:pt>
                <c:pt idx="237">
                  <c:v>2.9220487620329905E-2</c:v>
                </c:pt>
                <c:pt idx="238">
                  <c:v>2.9269861682330929E-2</c:v>
                </c:pt>
                <c:pt idx="239">
                  <c:v>2.9319235744331953E-2</c:v>
                </c:pt>
                <c:pt idx="240">
                  <c:v>2.9368609806332976E-2</c:v>
                </c:pt>
                <c:pt idx="241">
                  <c:v>2.9417983868334E-2</c:v>
                </c:pt>
                <c:pt idx="242">
                  <c:v>2.9467357930335024E-2</c:v>
                </c:pt>
                <c:pt idx="243">
                  <c:v>2.9516731992336048E-2</c:v>
                </c:pt>
                <c:pt idx="244">
                  <c:v>2.9566106054337071E-2</c:v>
                </c:pt>
                <c:pt idx="245">
                  <c:v>2.9615480116338095E-2</c:v>
                </c:pt>
                <c:pt idx="246">
                  <c:v>2.9664854178339119E-2</c:v>
                </c:pt>
                <c:pt idx="247">
                  <c:v>2.9714228240340142E-2</c:v>
                </c:pt>
                <c:pt idx="248">
                  <c:v>2.9763602302341166E-2</c:v>
                </c:pt>
                <c:pt idx="249">
                  <c:v>2.981297636434219E-2</c:v>
                </c:pt>
                <c:pt idx="250">
                  <c:v>2.9862350426343214E-2</c:v>
                </c:pt>
                <c:pt idx="251">
                  <c:v>2.9833590713699277E-2</c:v>
                </c:pt>
                <c:pt idx="252">
                  <c:v>2.9786290783343047E-2</c:v>
                </c:pt>
                <c:pt idx="253">
                  <c:v>2.973899085298682E-2</c:v>
                </c:pt>
                <c:pt idx="254">
                  <c:v>2.969169092263059E-2</c:v>
                </c:pt>
                <c:pt idx="255">
                  <c:v>2.9644390992274363E-2</c:v>
                </c:pt>
                <c:pt idx="256">
                  <c:v>2.9597091061918133E-2</c:v>
                </c:pt>
                <c:pt idx="257">
                  <c:v>2.9549791131561903E-2</c:v>
                </c:pt>
                <c:pt idx="258">
                  <c:v>2.9502491201205676E-2</c:v>
                </c:pt>
                <c:pt idx="259">
                  <c:v>2.9455191270849446E-2</c:v>
                </c:pt>
                <c:pt idx="260">
                  <c:v>2.9407891340493219E-2</c:v>
                </c:pt>
                <c:pt idx="261">
                  <c:v>2.9360591410136989E-2</c:v>
                </c:pt>
                <c:pt idx="262">
                  <c:v>2.9313291479780759E-2</c:v>
                </c:pt>
                <c:pt idx="263">
                  <c:v>2.9265991549424532E-2</c:v>
                </c:pt>
                <c:pt idx="264">
                  <c:v>2.9218691619068302E-2</c:v>
                </c:pt>
                <c:pt idx="265">
                  <c:v>2.9171391688712071E-2</c:v>
                </c:pt>
                <c:pt idx="266">
                  <c:v>2.9124091758355845E-2</c:v>
                </c:pt>
                <c:pt idx="267">
                  <c:v>2.9076791827999614E-2</c:v>
                </c:pt>
                <c:pt idx="268">
                  <c:v>2.9029491897643388E-2</c:v>
                </c:pt>
                <c:pt idx="269">
                  <c:v>2.8982191967287158E-2</c:v>
                </c:pt>
                <c:pt idx="270">
                  <c:v>2.8934892036930927E-2</c:v>
                </c:pt>
                <c:pt idx="271">
                  <c:v>2.8887592106574701E-2</c:v>
                </c:pt>
                <c:pt idx="272">
                  <c:v>2.884029217621847E-2</c:v>
                </c:pt>
                <c:pt idx="273">
                  <c:v>2.8792992245862244E-2</c:v>
                </c:pt>
                <c:pt idx="274">
                  <c:v>2.8745692315506013E-2</c:v>
                </c:pt>
                <c:pt idx="275">
                  <c:v>2.8698392385149783E-2</c:v>
                </c:pt>
                <c:pt idx="276">
                  <c:v>2.8651092454793557E-2</c:v>
                </c:pt>
                <c:pt idx="277">
                  <c:v>2.8603792524437326E-2</c:v>
                </c:pt>
                <c:pt idx="278">
                  <c:v>2.85564925940811E-2</c:v>
                </c:pt>
                <c:pt idx="279">
                  <c:v>2.8509192663724869E-2</c:v>
                </c:pt>
                <c:pt idx="280">
                  <c:v>2.8461892733368639E-2</c:v>
                </c:pt>
                <c:pt idx="281">
                  <c:v>2.8414592803012412E-2</c:v>
                </c:pt>
                <c:pt idx="282">
                  <c:v>2.8367292872656182E-2</c:v>
                </c:pt>
                <c:pt idx="283">
                  <c:v>2.8319992942299952E-2</c:v>
                </c:pt>
                <c:pt idx="284">
                  <c:v>2.8272693011943725E-2</c:v>
                </c:pt>
                <c:pt idx="285">
                  <c:v>2.8225393081587495E-2</c:v>
                </c:pt>
                <c:pt idx="286">
                  <c:v>2.8178093151231268E-2</c:v>
                </c:pt>
                <c:pt idx="287">
                  <c:v>2.8130793220875038E-2</c:v>
                </c:pt>
                <c:pt idx="288">
                  <c:v>2.8083493290518808E-2</c:v>
                </c:pt>
                <c:pt idx="289">
                  <c:v>2.8036193360162581E-2</c:v>
                </c:pt>
                <c:pt idx="290">
                  <c:v>2.7988893429806351E-2</c:v>
                </c:pt>
                <c:pt idx="291">
                  <c:v>2.7941593499450121E-2</c:v>
                </c:pt>
                <c:pt idx="292">
                  <c:v>2.7894293569093894E-2</c:v>
                </c:pt>
                <c:pt idx="293">
                  <c:v>2.7846993638737664E-2</c:v>
                </c:pt>
                <c:pt idx="294">
                  <c:v>2.7799693708381437E-2</c:v>
                </c:pt>
                <c:pt idx="295">
                  <c:v>2.7752393778025207E-2</c:v>
                </c:pt>
                <c:pt idx="296">
                  <c:v>2.7705093847668977E-2</c:v>
                </c:pt>
                <c:pt idx="297">
                  <c:v>2.765779391731275E-2</c:v>
                </c:pt>
                <c:pt idx="298">
                  <c:v>2.761049398695652E-2</c:v>
                </c:pt>
                <c:pt idx="299">
                  <c:v>2.7563194056600293E-2</c:v>
                </c:pt>
                <c:pt idx="300">
                  <c:v>2.7515894126244063E-2</c:v>
                </c:pt>
                <c:pt idx="301">
                  <c:v>2.7468594195887833E-2</c:v>
                </c:pt>
                <c:pt idx="302">
                  <c:v>2.7421294265531606E-2</c:v>
                </c:pt>
                <c:pt idx="303">
                  <c:v>2.7373994335175376E-2</c:v>
                </c:pt>
                <c:pt idx="304">
                  <c:v>2.7326694404819149E-2</c:v>
                </c:pt>
                <c:pt idx="305">
                  <c:v>2.7279394474462919E-2</c:v>
                </c:pt>
                <c:pt idx="306">
                  <c:v>2.7232094544106689E-2</c:v>
                </c:pt>
                <c:pt idx="307">
                  <c:v>2.7184794613750462E-2</c:v>
                </c:pt>
                <c:pt idx="308">
                  <c:v>2.7137494683394232E-2</c:v>
                </c:pt>
                <c:pt idx="309">
                  <c:v>2.7090194753038001E-2</c:v>
                </c:pt>
                <c:pt idx="310">
                  <c:v>2.7042894822681775E-2</c:v>
                </c:pt>
                <c:pt idx="311">
                  <c:v>2.6989659453186782E-2</c:v>
                </c:pt>
                <c:pt idx="312">
                  <c:v>2.6933863698180974E-2</c:v>
                </c:pt>
                <c:pt idx="313">
                  <c:v>2.6878067943175162E-2</c:v>
                </c:pt>
                <c:pt idx="314">
                  <c:v>2.6822272188169353E-2</c:v>
                </c:pt>
                <c:pt idx="315">
                  <c:v>2.6766476433163541E-2</c:v>
                </c:pt>
                <c:pt idx="316">
                  <c:v>2.6710680678157732E-2</c:v>
                </c:pt>
                <c:pt idx="317">
                  <c:v>2.665488492315192E-2</c:v>
                </c:pt>
                <c:pt idx="318">
                  <c:v>2.6599089168146108E-2</c:v>
                </c:pt>
                <c:pt idx="319">
                  <c:v>2.6543293413140299E-2</c:v>
                </c:pt>
                <c:pt idx="320">
                  <c:v>2.6487497658134487E-2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18304"/>
        <c:axId val="223918864"/>
      </c:scatterChart>
      <c:valAx>
        <c:axId val="2239183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52861075973"/>
              <c:y val="0.91420947298198796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23918864"/>
        <c:crosses val="autoZero"/>
        <c:crossBetween val="midCat"/>
      </c:valAx>
      <c:valAx>
        <c:axId val="22391886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5299501451000801E-2"/>
              <c:y val="0.489126084056037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3918304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239844683393099"/>
          <c:y val="5.23720682302772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2688172043001E-2"/>
          <c:y val="0.33222281449893398"/>
          <c:w val="0.81429211469534002"/>
          <c:h val="0.465884861407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View'!$O$17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View'!$N$23:$N$343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View'!$O$23:$O$343</c:f>
              <c:numCache>
                <c:formatCode>0.00%</c:formatCode>
                <c:ptCount val="321"/>
                <c:pt idx="0">
                  <c:v>4.2730109144975877E-3</c:v>
                </c:pt>
                <c:pt idx="1">
                  <c:v>4.2730109144977161E-3</c:v>
                </c:pt>
                <c:pt idx="2">
                  <c:v>4.2730109144974993E-3</c:v>
                </c:pt>
                <c:pt idx="3">
                  <c:v>4.2730109144976562E-3</c:v>
                </c:pt>
                <c:pt idx="4">
                  <c:v>4.2730109144975929E-3</c:v>
                </c:pt>
                <c:pt idx="5">
                  <c:v>4.2730109144975322E-3</c:v>
                </c:pt>
                <c:pt idx="6">
                  <c:v>4.2730109144974819E-3</c:v>
                </c:pt>
                <c:pt idx="7">
                  <c:v>4.273010914497462E-3</c:v>
                </c:pt>
                <c:pt idx="8">
                  <c:v>4.2730109144975695E-3</c:v>
                </c:pt>
                <c:pt idx="9">
                  <c:v>4.3321717125785223E-3</c:v>
                </c:pt>
                <c:pt idx="10">
                  <c:v>4.3986138396541665E-3</c:v>
                </c:pt>
                <c:pt idx="11">
                  <c:v>4.4650559667298532E-3</c:v>
                </c:pt>
                <c:pt idx="12">
                  <c:v>4.5314980938054852E-3</c:v>
                </c:pt>
                <c:pt idx="13">
                  <c:v>4.5979402208811051E-3</c:v>
                </c:pt>
                <c:pt idx="14">
                  <c:v>4.6643823479566937E-3</c:v>
                </c:pt>
                <c:pt idx="15">
                  <c:v>4.730824475032337E-3</c:v>
                </c:pt>
                <c:pt idx="16">
                  <c:v>4.7972666021079699E-3</c:v>
                </c:pt>
                <c:pt idx="17">
                  <c:v>5.0391976148569731E-3</c:v>
                </c:pt>
                <c:pt idx="18">
                  <c:v>5.2979924244274104E-3</c:v>
                </c:pt>
                <c:pt idx="19">
                  <c:v>5.5567872339978164E-3</c:v>
                </c:pt>
                <c:pt idx="20">
                  <c:v>5.8155820435682702E-3</c:v>
                </c:pt>
                <c:pt idx="21">
                  <c:v>6.0743768531387283E-3</c:v>
                </c:pt>
                <c:pt idx="22">
                  <c:v>6.3331716627091639E-3</c:v>
                </c:pt>
                <c:pt idx="23">
                  <c:v>6.591966472279602E-3</c:v>
                </c:pt>
                <c:pt idx="24">
                  <c:v>6.8507612818500393E-3</c:v>
                </c:pt>
                <c:pt idx="25">
                  <c:v>7.0345104428079482E-3</c:v>
                </c:pt>
                <c:pt idx="26">
                  <c:v>7.2129777985849262E-3</c:v>
                </c:pt>
                <c:pt idx="27">
                  <c:v>7.3914451543619138E-3</c:v>
                </c:pt>
                <c:pt idx="28">
                  <c:v>7.5699125101389058E-3</c:v>
                </c:pt>
                <c:pt idx="29">
                  <c:v>7.7483798659159064E-3</c:v>
                </c:pt>
                <c:pt idx="30">
                  <c:v>7.9268472216928922E-3</c:v>
                </c:pt>
                <c:pt idx="31">
                  <c:v>8.1053145774698833E-3</c:v>
                </c:pt>
                <c:pt idx="32">
                  <c:v>8.2837819332468587E-3</c:v>
                </c:pt>
                <c:pt idx="33">
                  <c:v>8.5101753105157156E-3</c:v>
                </c:pt>
                <c:pt idx="34">
                  <c:v>8.7399417802062687E-3</c:v>
                </c:pt>
                <c:pt idx="35">
                  <c:v>8.9697082498968201E-3</c:v>
                </c:pt>
                <c:pt idx="36">
                  <c:v>9.1994747195873767E-3</c:v>
                </c:pt>
                <c:pt idx="37">
                  <c:v>9.4292411892779524E-3</c:v>
                </c:pt>
                <c:pt idx="38">
                  <c:v>9.6590076589685107E-3</c:v>
                </c:pt>
                <c:pt idx="39">
                  <c:v>9.8887741286590534E-3</c:v>
                </c:pt>
                <c:pt idx="40">
                  <c:v>1.0118540598349605E-2</c:v>
                </c:pt>
                <c:pt idx="41">
                  <c:v>1.0344358949871802E-2</c:v>
                </c:pt>
                <c:pt idx="42">
                  <c:v>1.0569797902651086E-2</c:v>
                </c:pt>
                <c:pt idx="43">
                  <c:v>1.0795236855430358E-2</c:v>
                </c:pt>
                <c:pt idx="44">
                  <c:v>1.1020675808209635E-2</c:v>
                </c:pt>
                <c:pt idx="45">
                  <c:v>1.1246114760988914E-2</c:v>
                </c:pt>
                <c:pt idx="46">
                  <c:v>1.1471553713768189E-2</c:v>
                </c:pt>
                <c:pt idx="47">
                  <c:v>1.169699266654747E-2</c:v>
                </c:pt>
                <c:pt idx="48">
                  <c:v>1.1922431619326756E-2</c:v>
                </c:pt>
                <c:pt idx="49">
                  <c:v>1.2147870572106038E-2</c:v>
                </c:pt>
                <c:pt idx="50">
                  <c:v>1.2373309524885315E-2</c:v>
                </c:pt>
                <c:pt idx="51">
                  <c:v>1.259874847766458E-2</c:v>
                </c:pt>
                <c:pt idx="52">
                  <c:v>1.2824187430443858E-2</c:v>
                </c:pt>
                <c:pt idx="53">
                  <c:v>1.3049626383223139E-2</c:v>
                </c:pt>
                <c:pt idx="54">
                  <c:v>1.3275065336002425E-2</c:v>
                </c:pt>
                <c:pt idx="55">
                  <c:v>1.35005042887817E-2</c:v>
                </c:pt>
                <c:pt idx="56">
                  <c:v>1.372594324156098E-2</c:v>
                </c:pt>
                <c:pt idx="57">
                  <c:v>1.4021497272974165E-2</c:v>
                </c:pt>
                <c:pt idx="58">
                  <c:v>1.4327668098628467E-2</c:v>
                </c:pt>
                <c:pt idx="59">
                  <c:v>1.4633838924282754E-2</c:v>
                </c:pt>
                <c:pt idx="60">
                  <c:v>1.4940009749937037E-2</c:v>
                </c:pt>
                <c:pt idx="61">
                  <c:v>1.5246180575591321E-2</c:v>
                </c:pt>
                <c:pt idx="62">
                  <c:v>1.5552351401245602E-2</c:v>
                </c:pt>
                <c:pt idx="63">
                  <c:v>1.5858522226899891E-2</c:v>
                </c:pt>
                <c:pt idx="64">
                  <c:v>1.6164693052554181E-2</c:v>
                </c:pt>
                <c:pt idx="65">
                  <c:v>1.6470863878208477E-2</c:v>
                </c:pt>
                <c:pt idx="66">
                  <c:v>1.6777034703862763E-2</c:v>
                </c:pt>
                <c:pt idx="67">
                  <c:v>1.7083205529517045E-2</c:v>
                </c:pt>
                <c:pt idx="68">
                  <c:v>1.7389376355171342E-2</c:v>
                </c:pt>
                <c:pt idx="69">
                  <c:v>1.7695547180825624E-2</c:v>
                </c:pt>
                <c:pt idx="70">
                  <c:v>1.800171800647991E-2</c:v>
                </c:pt>
                <c:pt idx="71">
                  <c:v>1.8307888832134207E-2</c:v>
                </c:pt>
                <c:pt idx="72">
                  <c:v>1.8614059657788493E-2</c:v>
                </c:pt>
                <c:pt idx="73">
                  <c:v>1.8920230483442782E-2</c:v>
                </c:pt>
                <c:pt idx="74">
                  <c:v>1.9226401309097061E-2</c:v>
                </c:pt>
                <c:pt idx="75">
                  <c:v>1.9532572134751347E-2</c:v>
                </c:pt>
                <c:pt idx="76">
                  <c:v>1.9838742960405636E-2</c:v>
                </c:pt>
                <c:pt idx="77">
                  <c:v>2.0144913786059926E-2</c:v>
                </c:pt>
                <c:pt idx="78">
                  <c:v>2.0451084611714212E-2</c:v>
                </c:pt>
                <c:pt idx="79">
                  <c:v>2.0757255437368508E-2</c:v>
                </c:pt>
                <c:pt idx="80">
                  <c:v>2.1063426263022787E-2</c:v>
                </c:pt>
                <c:pt idx="81">
                  <c:v>2.1187214969950709E-2</c:v>
                </c:pt>
                <c:pt idx="82">
                  <c:v>2.1288556646881521E-2</c:v>
                </c:pt>
                <c:pt idx="83">
                  <c:v>2.1389898323812342E-2</c:v>
                </c:pt>
                <c:pt idx="84">
                  <c:v>2.1491240000743168E-2</c:v>
                </c:pt>
                <c:pt idx="85">
                  <c:v>2.1592581677673986E-2</c:v>
                </c:pt>
                <c:pt idx="86">
                  <c:v>2.1693923354604811E-2</c:v>
                </c:pt>
                <c:pt idx="87">
                  <c:v>2.179526503153564E-2</c:v>
                </c:pt>
                <c:pt idx="88">
                  <c:v>2.1896606708466455E-2</c:v>
                </c:pt>
                <c:pt idx="89">
                  <c:v>2.1997948385397269E-2</c:v>
                </c:pt>
                <c:pt idx="90">
                  <c:v>2.2099290062328088E-2</c:v>
                </c:pt>
                <c:pt idx="91">
                  <c:v>2.2200631739258923E-2</c:v>
                </c:pt>
                <c:pt idx="92">
                  <c:v>2.2301973416189742E-2</c:v>
                </c:pt>
                <c:pt idx="93">
                  <c:v>2.2403315093120567E-2</c:v>
                </c:pt>
                <c:pt idx="94">
                  <c:v>2.2504656770051382E-2</c:v>
                </c:pt>
                <c:pt idx="95">
                  <c:v>2.2605998446982196E-2</c:v>
                </c:pt>
                <c:pt idx="96">
                  <c:v>2.2707340123913025E-2</c:v>
                </c:pt>
                <c:pt idx="97">
                  <c:v>2.2808681800843847E-2</c:v>
                </c:pt>
                <c:pt idx="98">
                  <c:v>2.2910023477774672E-2</c:v>
                </c:pt>
                <c:pt idx="99">
                  <c:v>2.301136515470549E-2</c:v>
                </c:pt>
                <c:pt idx="100">
                  <c:v>2.3112706831636305E-2</c:v>
                </c:pt>
                <c:pt idx="101">
                  <c:v>2.3214048508567134E-2</c:v>
                </c:pt>
                <c:pt idx="102">
                  <c:v>2.3315390185497952E-2</c:v>
                </c:pt>
                <c:pt idx="103">
                  <c:v>2.3416731862428774E-2</c:v>
                </c:pt>
                <c:pt idx="104">
                  <c:v>2.3518073539359599E-2</c:v>
                </c:pt>
                <c:pt idx="105">
                  <c:v>2.3619415216290414E-2</c:v>
                </c:pt>
                <c:pt idx="106">
                  <c:v>2.3720756893221236E-2</c:v>
                </c:pt>
                <c:pt idx="107">
                  <c:v>2.3822098570152054E-2</c:v>
                </c:pt>
                <c:pt idx="108">
                  <c:v>2.3923440247082876E-2</c:v>
                </c:pt>
                <c:pt idx="109">
                  <c:v>2.4024781924013697E-2</c:v>
                </c:pt>
                <c:pt idx="110">
                  <c:v>2.4126123600944519E-2</c:v>
                </c:pt>
                <c:pt idx="111">
                  <c:v>2.4227465277875348E-2</c:v>
                </c:pt>
                <c:pt idx="112">
                  <c:v>2.4328806954806166E-2</c:v>
                </c:pt>
                <c:pt idx="113">
                  <c:v>2.4430148631736988E-2</c:v>
                </c:pt>
                <c:pt idx="114">
                  <c:v>2.4531490308667806E-2</c:v>
                </c:pt>
                <c:pt idx="115">
                  <c:v>2.4632831985598628E-2</c:v>
                </c:pt>
                <c:pt idx="116">
                  <c:v>2.473417366252945E-2</c:v>
                </c:pt>
                <c:pt idx="117">
                  <c:v>2.4835515339460268E-2</c:v>
                </c:pt>
                <c:pt idx="118">
                  <c:v>2.4936857016391093E-2</c:v>
                </c:pt>
                <c:pt idx="119">
                  <c:v>2.5038198693321908E-2</c:v>
                </c:pt>
                <c:pt idx="120">
                  <c:v>2.5139540370252733E-2</c:v>
                </c:pt>
                <c:pt idx="121">
                  <c:v>2.5170475540432474E-2</c:v>
                </c:pt>
                <c:pt idx="122">
                  <c:v>2.5190749788454331E-2</c:v>
                </c:pt>
                <c:pt idx="123">
                  <c:v>2.5211024036476175E-2</c:v>
                </c:pt>
                <c:pt idx="124">
                  <c:v>2.5231298284498032E-2</c:v>
                </c:pt>
                <c:pt idx="125">
                  <c:v>2.5251572532519879E-2</c:v>
                </c:pt>
                <c:pt idx="126">
                  <c:v>2.5271846780541729E-2</c:v>
                </c:pt>
                <c:pt idx="127">
                  <c:v>2.5292121028563579E-2</c:v>
                </c:pt>
                <c:pt idx="128">
                  <c:v>2.531239527658543E-2</c:v>
                </c:pt>
                <c:pt idx="129">
                  <c:v>2.533266952460728E-2</c:v>
                </c:pt>
                <c:pt idx="130">
                  <c:v>2.5352943772629134E-2</c:v>
                </c:pt>
                <c:pt idx="131">
                  <c:v>2.5373218020650977E-2</c:v>
                </c:pt>
                <c:pt idx="132">
                  <c:v>2.5393492268672831E-2</c:v>
                </c:pt>
                <c:pt idx="133">
                  <c:v>2.5413766516694677E-2</c:v>
                </c:pt>
                <c:pt idx="134">
                  <c:v>2.5434040764716528E-2</c:v>
                </c:pt>
                <c:pt idx="135">
                  <c:v>2.5454315012738385E-2</c:v>
                </c:pt>
                <c:pt idx="136">
                  <c:v>2.5474589260760228E-2</c:v>
                </c:pt>
                <c:pt idx="137">
                  <c:v>2.5494863508782082E-2</c:v>
                </c:pt>
                <c:pt idx="138">
                  <c:v>2.5515137756803925E-2</c:v>
                </c:pt>
                <c:pt idx="139">
                  <c:v>2.5535412004825783E-2</c:v>
                </c:pt>
                <c:pt idx="140">
                  <c:v>2.5555686252847629E-2</c:v>
                </c:pt>
                <c:pt idx="141">
                  <c:v>2.557596050086948E-2</c:v>
                </c:pt>
                <c:pt idx="142">
                  <c:v>2.559623474889133E-2</c:v>
                </c:pt>
                <c:pt idx="143">
                  <c:v>2.5616508996913184E-2</c:v>
                </c:pt>
                <c:pt idx="144">
                  <c:v>2.5636783244935034E-2</c:v>
                </c:pt>
                <c:pt idx="145">
                  <c:v>2.5657057492956877E-2</c:v>
                </c:pt>
                <c:pt idx="146">
                  <c:v>2.5677331740978727E-2</c:v>
                </c:pt>
                <c:pt idx="147">
                  <c:v>2.5697605989000581E-2</c:v>
                </c:pt>
                <c:pt idx="148">
                  <c:v>2.5717880237022428E-2</c:v>
                </c:pt>
                <c:pt idx="149">
                  <c:v>2.5738154485044285E-2</c:v>
                </c:pt>
                <c:pt idx="150">
                  <c:v>2.5758428733066132E-2</c:v>
                </c:pt>
                <c:pt idx="151">
                  <c:v>2.5778702981087986E-2</c:v>
                </c:pt>
                <c:pt idx="152">
                  <c:v>2.5798977229109836E-2</c:v>
                </c:pt>
                <c:pt idx="153">
                  <c:v>2.5819251477131686E-2</c:v>
                </c:pt>
                <c:pt idx="154">
                  <c:v>2.5839525725153533E-2</c:v>
                </c:pt>
                <c:pt idx="155">
                  <c:v>2.5859799973175387E-2</c:v>
                </c:pt>
                <c:pt idx="156">
                  <c:v>2.5880074221197241E-2</c:v>
                </c:pt>
                <c:pt idx="157">
                  <c:v>2.5900348469219084E-2</c:v>
                </c:pt>
                <c:pt idx="158">
                  <c:v>2.5920622717240931E-2</c:v>
                </c:pt>
                <c:pt idx="159">
                  <c:v>2.5940896965262781E-2</c:v>
                </c:pt>
                <c:pt idx="160">
                  <c:v>2.5961171213284628E-2</c:v>
                </c:pt>
                <c:pt idx="161">
                  <c:v>2.5970211716575115E-2</c:v>
                </c:pt>
                <c:pt idx="162">
                  <c:v>2.5977216330852784E-2</c:v>
                </c:pt>
                <c:pt idx="163">
                  <c:v>2.5984220945130466E-2</c:v>
                </c:pt>
                <c:pt idx="164">
                  <c:v>2.5991225559408148E-2</c:v>
                </c:pt>
                <c:pt idx="165">
                  <c:v>2.5998230173685823E-2</c:v>
                </c:pt>
                <c:pt idx="166">
                  <c:v>2.6005234787963506E-2</c:v>
                </c:pt>
                <c:pt idx="167">
                  <c:v>2.6012239402241181E-2</c:v>
                </c:pt>
                <c:pt idx="168">
                  <c:v>2.6019244016518856E-2</c:v>
                </c:pt>
                <c:pt idx="169">
                  <c:v>2.6026248630796538E-2</c:v>
                </c:pt>
                <c:pt idx="170">
                  <c:v>2.603325324507421E-2</c:v>
                </c:pt>
                <c:pt idx="171">
                  <c:v>2.6040257859351889E-2</c:v>
                </c:pt>
                <c:pt idx="172">
                  <c:v>2.6047262473629564E-2</c:v>
                </c:pt>
                <c:pt idx="173">
                  <c:v>2.605426708790724E-2</c:v>
                </c:pt>
                <c:pt idx="174">
                  <c:v>2.6061271702184925E-2</c:v>
                </c:pt>
                <c:pt idx="175">
                  <c:v>2.6068276316462594E-2</c:v>
                </c:pt>
                <c:pt idx="176">
                  <c:v>2.6075280930740283E-2</c:v>
                </c:pt>
                <c:pt idx="177">
                  <c:v>2.6082285545017944E-2</c:v>
                </c:pt>
                <c:pt idx="178">
                  <c:v>2.6089290159295623E-2</c:v>
                </c:pt>
                <c:pt idx="179">
                  <c:v>2.6096294773573309E-2</c:v>
                </c:pt>
                <c:pt idx="180">
                  <c:v>2.610329938785098E-2</c:v>
                </c:pt>
                <c:pt idx="181">
                  <c:v>2.6110304002128659E-2</c:v>
                </c:pt>
                <c:pt idx="182">
                  <c:v>2.6117308616406331E-2</c:v>
                </c:pt>
                <c:pt idx="183">
                  <c:v>2.612431323068402E-2</c:v>
                </c:pt>
                <c:pt idx="184">
                  <c:v>2.6131317844961695E-2</c:v>
                </c:pt>
                <c:pt idx="185">
                  <c:v>2.6138322459239371E-2</c:v>
                </c:pt>
                <c:pt idx="186">
                  <c:v>2.614532707351705E-2</c:v>
                </c:pt>
                <c:pt idx="187">
                  <c:v>2.6152331687794728E-2</c:v>
                </c:pt>
                <c:pt idx="188">
                  <c:v>2.6159336302072404E-2</c:v>
                </c:pt>
                <c:pt idx="189">
                  <c:v>2.6166340916350079E-2</c:v>
                </c:pt>
                <c:pt idx="190">
                  <c:v>2.6173345530627758E-2</c:v>
                </c:pt>
                <c:pt idx="191">
                  <c:v>2.6180350144905436E-2</c:v>
                </c:pt>
                <c:pt idx="192">
                  <c:v>2.6187354759183105E-2</c:v>
                </c:pt>
                <c:pt idx="193">
                  <c:v>2.619435937346079E-2</c:v>
                </c:pt>
                <c:pt idx="194">
                  <c:v>2.6201363987738462E-2</c:v>
                </c:pt>
                <c:pt idx="195">
                  <c:v>2.6208368602016148E-2</c:v>
                </c:pt>
                <c:pt idx="196">
                  <c:v>2.621537321629382E-2</c:v>
                </c:pt>
                <c:pt idx="197">
                  <c:v>2.6222377830571499E-2</c:v>
                </c:pt>
                <c:pt idx="198">
                  <c:v>2.6229382444849177E-2</c:v>
                </c:pt>
                <c:pt idx="199">
                  <c:v>2.6236387059126853E-2</c:v>
                </c:pt>
                <c:pt idx="200">
                  <c:v>2.6243391673404531E-2</c:v>
                </c:pt>
                <c:pt idx="201">
                  <c:v>2.6250396287682214E-2</c:v>
                </c:pt>
                <c:pt idx="202">
                  <c:v>2.6257400901959878E-2</c:v>
                </c:pt>
                <c:pt idx="203">
                  <c:v>2.6264405516237564E-2</c:v>
                </c:pt>
                <c:pt idx="204">
                  <c:v>2.6271410130515239E-2</c:v>
                </c:pt>
                <c:pt idx="205">
                  <c:v>2.6278414744792918E-2</c:v>
                </c:pt>
                <c:pt idx="206">
                  <c:v>2.6285419359070594E-2</c:v>
                </c:pt>
                <c:pt idx="207">
                  <c:v>2.6292423973348276E-2</c:v>
                </c:pt>
                <c:pt idx="208">
                  <c:v>2.6299428587625958E-2</c:v>
                </c:pt>
                <c:pt idx="209">
                  <c:v>2.6306433201903626E-2</c:v>
                </c:pt>
                <c:pt idx="210">
                  <c:v>2.6313437816181305E-2</c:v>
                </c:pt>
                <c:pt idx="211">
                  <c:v>2.6320442430458984E-2</c:v>
                </c:pt>
                <c:pt idx="212">
                  <c:v>2.6327447044736659E-2</c:v>
                </c:pt>
                <c:pt idx="213">
                  <c:v>2.6334451659014338E-2</c:v>
                </c:pt>
                <c:pt idx="214">
                  <c:v>2.6341456273292013E-2</c:v>
                </c:pt>
                <c:pt idx="215">
                  <c:v>2.6348460887569692E-2</c:v>
                </c:pt>
                <c:pt idx="216">
                  <c:v>2.6355465501847371E-2</c:v>
                </c:pt>
                <c:pt idx="217">
                  <c:v>2.6362470116125046E-2</c:v>
                </c:pt>
                <c:pt idx="218">
                  <c:v>2.6369474730402721E-2</c:v>
                </c:pt>
                <c:pt idx="219">
                  <c:v>2.63764793446804E-2</c:v>
                </c:pt>
                <c:pt idx="220">
                  <c:v>2.6383483958958075E-2</c:v>
                </c:pt>
                <c:pt idx="221">
                  <c:v>2.6390488573235754E-2</c:v>
                </c:pt>
                <c:pt idx="222">
                  <c:v>2.6397493187513433E-2</c:v>
                </c:pt>
                <c:pt idx="223">
                  <c:v>2.6404497801791112E-2</c:v>
                </c:pt>
                <c:pt idx="224">
                  <c:v>2.6411502416068787E-2</c:v>
                </c:pt>
                <c:pt idx="225">
                  <c:v>2.6418507030346466E-2</c:v>
                </c:pt>
                <c:pt idx="226">
                  <c:v>2.6425511644624144E-2</c:v>
                </c:pt>
                <c:pt idx="227">
                  <c:v>2.643251625890182E-2</c:v>
                </c:pt>
                <c:pt idx="228">
                  <c:v>2.6439520873179495E-2</c:v>
                </c:pt>
                <c:pt idx="229">
                  <c:v>2.6446525487457177E-2</c:v>
                </c:pt>
                <c:pt idx="230">
                  <c:v>2.6453530101734853E-2</c:v>
                </c:pt>
                <c:pt idx="231">
                  <c:v>2.6460534716012531E-2</c:v>
                </c:pt>
                <c:pt idx="232">
                  <c:v>2.6467539330290203E-2</c:v>
                </c:pt>
                <c:pt idx="233">
                  <c:v>2.6474543944567885E-2</c:v>
                </c:pt>
                <c:pt idx="234">
                  <c:v>2.6481548558845561E-2</c:v>
                </c:pt>
                <c:pt idx="235">
                  <c:v>2.6488553173123239E-2</c:v>
                </c:pt>
                <c:pt idx="236">
                  <c:v>2.6495557787400918E-2</c:v>
                </c:pt>
                <c:pt idx="237">
                  <c:v>2.6502562401678594E-2</c:v>
                </c:pt>
                <c:pt idx="238">
                  <c:v>2.6509567015956272E-2</c:v>
                </c:pt>
                <c:pt idx="239">
                  <c:v>2.6516571630233948E-2</c:v>
                </c:pt>
                <c:pt idx="240">
                  <c:v>2.6523576244511626E-2</c:v>
                </c:pt>
                <c:pt idx="241">
                  <c:v>2.6538635688311111E-2</c:v>
                </c:pt>
                <c:pt idx="242">
                  <c:v>2.6556254067121133E-2</c:v>
                </c:pt>
                <c:pt idx="243">
                  <c:v>2.6573872445931155E-2</c:v>
                </c:pt>
                <c:pt idx="244">
                  <c:v>2.6591490824741177E-2</c:v>
                </c:pt>
                <c:pt idx="245">
                  <c:v>2.6609109203551199E-2</c:v>
                </c:pt>
                <c:pt idx="246">
                  <c:v>2.6626727582361214E-2</c:v>
                </c:pt>
                <c:pt idx="247">
                  <c:v>2.664434596117124E-2</c:v>
                </c:pt>
                <c:pt idx="248">
                  <c:v>2.6661964339981262E-2</c:v>
                </c:pt>
                <c:pt idx="249">
                  <c:v>2.6679582718791284E-2</c:v>
                </c:pt>
                <c:pt idx="250">
                  <c:v>2.6697201097601306E-2</c:v>
                </c:pt>
                <c:pt idx="251">
                  <c:v>2.6714819476411328E-2</c:v>
                </c:pt>
                <c:pt idx="252">
                  <c:v>2.673243785522135E-2</c:v>
                </c:pt>
                <c:pt idx="253">
                  <c:v>2.6750056234031368E-2</c:v>
                </c:pt>
                <c:pt idx="254">
                  <c:v>2.676767461284139E-2</c:v>
                </c:pt>
                <c:pt idx="255">
                  <c:v>2.6785292991651413E-2</c:v>
                </c:pt>
                <c:pt idx="256">
                  <c:v>2.6802911370461435E-2</c:v>
                </c:pt>
                <c:pt idx="257">
                  <c:v>2.6820529749271457E-2</c:v>
                </c:pt>
                <c:pt idx="258">
                  <c:v>2.6838148128081479E-2</c:v>
                </c:pt>
                <c:pt idx="259">
                  <c:v>2.6855766506891501E-2</c:v>
                </c:pt>
                <c:pt idx="260">
                  <c:v>2.6873384885701523E-2</c:v>
                </c:pt>
                <c:pt idx="261">
                  <c:v>2.6891003264511545E-2</c:v>
                </c:pt>
                <c:pt idx="262">
                  <c:v>2.6908621643321563E-2</c:v>
                </c:pt>
                <c:pt idx="263">
                  <c:v>2.6926240022131585E-2</c:v>
                </c:pt>
                <c:pt idx="264">
                  <c:v>2.6943858400941607E-2</c:v>
                </c:pt>
                <c:pt idx="265">
                  <c:v>2.6961476779751629E-2</c:v>
                </c:pt>
                <c:pt idx="266">
                  <c:v>2.6979095158561651E-2</c:v>
                </c:pt>
                <c:pt idx="267">
                  <c:v>2.6996713537371674E-2</c:v>
                </c:pt>
                <c:pt idx="268">
                  <c:v>2.7014331916181699E-2</c:v>
                </c:pt>
                <c:pt idx="269">
                  <c:v>2.7031950294991718E-2</c:v>
                </c:pt>
                <c:pt idx="270">
                  <c:v>2.704956867380174E-2</c:v>
                </c:pt>
                <c:pt idx="271">
                  <c:v>2.7067187052611758E-2</c:v>
                </c:pt>
                <c:pt idx="272">
                  <c:v>2.708480543142178E-2</c:v>
                </c:pt>
                <c:pt idx="273">
                  <c:v>2.7102423810231806E-2</c:v>
                </c:pt>
                <c:pt idx="274">
                  <c:v>2.7120042189041824E-2</c:v>
                </c:pt>
                <c:pt idx="275">
                  <c:v>2.713766056785185E-2</c:v>
                </c:pt>
                <c:pt idx="276">
                  <c:v>2.7155278946661868E-2</c:v>
                </c:pt>
                <c:pt idx="277">
                  <c:v>2.717289732547189E-2</c:v>
                </c:pt>
                <c:pt idx="278">
                  <c:v>2.7190515704281912E-2</c:v>
                </c:pt>
                <c:pt idx="279">
                  <c:v>2.7208134083091935E-2</c:v>
                </c:pt>
                <c:pt idx="280">
                  <c:v>2.7225752461901953E-2</c:v>
                </c:pt>
                <c:pt idx="281">
                  <c:v>2.7243370840711975E-2</c:v>
                </c:pt>
                <c:pt idx="282">
                  <c:v>2.7260989219522001E-2</c:v>
                </c:pt>
                <c:pt idx="283">
                  <c:v>2.7278607598332019E-2</c:v>
                </c:pt>
                <c:pt idx="284">
                  <c:v>2.7296225977142041E-2</c:v>
                </c:pt>
                <c:pt idx="285">
                  <c:v>2.7313844355952067E-2</c:v>
                </c:pt>
                <c:pt idx="286">
                  <c:v>2.7331462734762085E-2</c:v>
                </c:pt>
                <c:pt idx="287">
                  <c:v>2.7349081113572107E-2</c:v>
                </c:pt>
                <c:pt idx="288">
                  <c:v>2.7366699492382133E-2</c:v>
                </c:pt>
                <c:pt idx="289">
                  <c:v>2.7384317871192148E-2</c:v>
                </c:pt>
                <c:pt idx="290">
                  <c:v>2.740193625000217E-2</c:v>
                </c:pt>
                <c:pt idx="291">
                  <c:v>2.7419554628812192E-2</c:v>
                </c:pt>
                <c:pt idx="292">
                  <c:v>2.7437173007622214E-2</c:v>
                </c:pt>
                <c:pt idx="293">
                  <c:v>2.745479138643224E-2</c:v>
                </c:pt>
                <c:pt idx="294">
                  <c:v>2.7472409765242258E-2</c:v>
                </c:pt>
                <c:pt idx="295">
                  <c:v>2.749002814405228E-2</c:v>
                </c:pt>
                <c:pt idx="296">
                  <c:v>2.7507646522862299E-2</c:v>
                </c:pt>
                <c:pt idx="297">
                  <c:v>2.7525264901672328E-2</c:v>
                </c:pt>
                <c:pt idx="298">
                  <c:v>2.7542883280482343E-2</c:v>
                </c:pt>
                <c:pt idx="299">
                  <c:v>2.7560501659292365E-2</c:v>
                </c:pt>
                <c:pt idx="300">
                  <c:v>2.7578120038102387E-2</c:v>
                </c:pt>
                <c:pt idx="301">
                  <c:v>2.7595738416912409E-2</c:v>
                </c:pt>
                <c:pt idx="302">
                  <c:v>2.7613356795722434E-2</c:v>
                </c:pt>
                <c:pt idx="303">
                  <c:v>2.7630975174532453E-2</c:v>
                </c:pt>
                <c:pt idx="304">
                  <c:v>2.7648593553342475E-2</c:v>
                </c:pt>
                <c:pt idx="305">
                  <c:v>2.7666211932152494E-2</c:v>
                </c:pt>
                <c:pt idx="306">
                  <c:v>2.7683830310962519E-2</c:v>
                </c:pt>
                <c:pt idx="307">
                  <c:v>2.7701448689772541E-2</c:v>
                </c:pt>
                <c:pt idx="308">
                  <c:v>2.771906706858256E-2</c:v>
                </c:pt>
                <c:pt idx="309">
                  <c:v>2.7736685447392582E-2</c:v>
                </c:pt>
                <c:pt idx="310">
                  <c:v>2.7754303826202604E-2</c:v>
                </c:pt>
                <c:pt idx="311">
                  <c:v>2.7771922205012626E-2</c:v>
                </c:pt>
                <c:pt idx="312">
                  <c:v>2.7789540583822648E-2</c:v>
                </c:pt>
                <c:pt idx="313">
                  <c:v>2.780715896263267E-2</c:v>
                </c:pt>
                <c:pt idx="314">
                  <c:v>2.7824777341442692E-2</c:v>
                </c:pt>
                <c:pt idx="315">
                  <c:v>2.7842395720252718E-2</c:v>
                </c:pt>
                <c:pt idx="316">
                  <c:v>2.7860014099062736E-2</c:v>
                </c:pt>
                <c:pt idx="317">
                  <c:v>2.7877632477872755E-2</c:v>
                </c:pt>
                <c:pt idx="318">
                  <c:v>2.7895250856682777E-2</c:v>
                </c:pt>
                <c:pt idx="319">
                  <c:v>2.7912869235492799E-2</c:v>
                </c:pt>
                <c:pt idx="320">
                  <c:v>2.7930487614302824E-2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View'!$R$17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View'!$Q$23:$Q$343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View'!$R$23:$R$343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1.9141542283769098E-3</c:v>
                </c:pt>
                <c:pt idx="2">
                  <c:v>1.8333769948753824E-3</c:v>
                </c:pt>
                <c:pt idx="3">
                  <c:v>1.6915146480009436E-3</c:v>
                </c:pt>
                <c:pt idx="4">
                  <c:v>1.5882999243660293E-3</c:v>
                </c:pt>
                <c:pt idx="5">
                  <c:v>1.5020977274986368E-3</c:v>
                </c:pt>
                <c:pt idx="6">
                  <c:v>1.4359474628271426E-3</c:v>
                </c:pt>
                <c:pt idx="7">
                  <c:v>1.3676727403287305E-3</c:v>
                </c:pt>
                <c:pt idx="8">
                  <c:v>1.3169552847265243E-3</c:v>
                </c:pt>
                <c:pt idx="9">
                  <c:v>1.2517215822449987E-3</c:v>
                </c:pt>
                <c:pt idx="10">
                  <c:v>1.1878218805858245E-3</c:v>
                </c:pt>
                <c:pt idx="11">
                  <c:v>1.1328980166851173E-3</c:v>
                </c:pt>
                <c:pt idx="12">
                  <c:v>1.0855742913705123E-3</c:v>
                </c:pt>
                <c:pt idx="13">
                  <c:v>1.0443275088885178E-3</c:v>
                </c:pt>
                <c:pt idx="14">
                  <c:v>1.0153845646838854E-3</c:v>
                </c:pt>
                <c:pt idx="15">
                  <c:v>1.0059431674497357E-3</c:v>
                </c:pt>
                <c:pt idx="16">
                  <c:v>1.0232209913950928E-3</c:v>
                </c:pt>
                <c:pt idx="17">
                  <c:v>1.0718508160242305E-3</c:v>
                </c:pt>
                <c:pt idx="18">
                  <c:v>1.148114077994312E-3</c:v>
                </c:pt>
                <c:pt idx="19">
                  <c:v>1.2468233587380213E-3</c:v>
                </c:pt>
                <c:pt idx="20">
                  <c:v>1.3638276008008452E-3</c:v>
                </c:pt>
                <c:pt idx="21">
                  <c:v>1.4957664243386941E-3</c:v>
                </c:pt>
                <c:pt idx="22">
                  <c:v>1.6398904276608425E-3</c:v>
                </c:pt>
                <c:pt idx="23">
                  <c:v>1.7939283658924225E-3</c:v>
                </c:pt>
                <c:pt idx="24">
                  <c:v>1.9559875349710117E-3</c:v>
                </c:pt>
                <c:pt idx="25">
                  <c:v>2.1246946056270376E-3</c:v>
                </c:pt>
                <c:pt idx="26">
                  <c:v>2.2999024972959457E-3</c:v>
                </c:pt>
                <c:pt idx="27">
                  <c:v>2.4817832884596459E-3</c:v>
                </c:pt>
                <c:pt idx="28">
                  <c:v>2.6704845423651613E-3</c:v>
                </c:pt>
                <c:pt idx="29">
                  <c:v>2.8661334687082977E-3</c:v>
                </c:pt>
                <c:pt idx="30">
                  <c:v>3.0688403158919452E-3</c:v>
                </c:pt>
                <c:pt idx="31">
                  <c:v>3.2787011067187694E-3</c:v>
                </c:pt>
                <c:pt idx="32">
                  <c:v>3.4957998611409896E-3</c:v>
                </c:pt>
                <c:pt idx="33">
                  <c:v>3.7200269520455899E-3</c:v>
                </c:pt>
                <c:pt idx="34">
                  <c:v>3.9504176369680498E-3</c:v>
                </c:pt>
                <c:pt idx="35">
                  <c:v>4.185860880040906E-3</c:v>
                </c:pt>
                <c:pt idx="36">
                  <c:v>4.4253690351949929E-3</c:v>
                </c:pt>
                <c:pt idx="37">
                  <c:v>4.6680612289092399E-3</c:v>
                </c:pt>
                <c:pt idx="38">
                  <c:v>4.9131493111910151E-3</c:v>
                </c:pt>
                <c:pt idx="39">
                  <c:v>5.1599259679444174E-3</c:v>
                </c:pt>
                <c:pt idx="40">
                  <c:v>5.4077546164831456E-3</c:v>
                </c:pt>
                <c:pt idx="41">
                  <c:v>5.656030023000495E-3</c:v>
                </c:pt>
                <c:pt idx="42">
                  <c:v>5.9040481842417515E-3</c:v>
                </c:pt>
                <c:pt idx="43">
                  <c:v>6.1511209967888072E-3</c:v>
                </c:pt>
                <c:pt idx="44">
                  <c:v>6.3966228866472602E-3</c:v>
                </c:pt>
                <c:pt idx="45">
                  <c:v>6.6399838863999954E-3</c:v>
                </c:pt>
                <c:pt idx="46">
                  <c:v>6.8806835910139551E-3</c:v>
                </c:pt>
                <c:pt idx="47">
                  <c:v>7.118245885246165E-3</c:v>
                </c:pt>
                <c:pt idx="48">
                  <c:v>7.3522343301238961E-3</c:v>
                </c:pt>
                <c:pt idx="49">
                  <c:v>7.5823759294837579E-3</c:v>
                </c:pt>
                <c:pt idx="50">
                  <c:v>7.8090720561577844E-3</c:v>
                </c:pt>
                <c:pt idx="51">
                  <c:v>8.032900254848303E-3</c:v>
                </c:pt>
                <c:pt idx="52">
                  <c:v>8.2543937506210866E-3</c:v>
                </c:pt>
                <c:pt idx="53">
                  <c:v>8.4740455251406943E-3</c:v>
                </c:pt>
                <c:pt idx="54">
                  <c:v>8.6923120429113886E-3</c:v>
                </c:pt>
                <c:pt idx="55">
                  <c:v>8.9096165710188767E-3</c:v>
                </c:pt>
                <c:pt idx="56">
                  <c:v>9.1263521431856568E-3</c:v>
                </c:pt>
                <c:pt idx="57">
                  <c:v>9.3427596608895817E-3</c:v>
                </c:pt>
                <c:pt idx="58">
                  <c:v>9.558334122630744E-3</c:v>
                </c:pt>
                <c:pt idx="59">
                  <c:v>9.7723403369414669E-3</c:v>
                </c:pt>
                <c:pt idx="60">
                  <c:v>9.9840917143316707E-3</c:v>
                </c:pt>
                <c:pt idx="61">
                  <c:v>1.0192946687572988E-2</c:v>
                </c:pt>
                <c:pt idx="62">
                  <c:v>1.0398305080871122E-2</c:v>
                </c:pt>
                <c:pt idx="63">
                  <c:v>1.0599604824831394E-2</c:v>
                </c:pt>
                <c:pt idx="64">
                  <c:v>1.0796318979396318E-2</c:v>
                </c:pt>
                <c:pt idx="65">
                  <c:v>1.0988066685044116E-2</c:v>
                </c:pt>
                <c:pt idx="66">
                  <c:v>1.1175113586354941E-2</c:v>
                </c:pt>
                <c:pt idx="67">
                  <c:v>1.1357922017656305E-2</c:v>
                </c:pt>
                <c:pt idx="68">
                  <c:v>1.1536927319681697E-2</c:v>
                </c:pt>
                <c:pt idx="69">
                  <c:v>1.171253959602064E-2</c:v>
                </c:pt>
                <c:pt idx="70">
                  <c:v>1.1885145515771843E-2</c:v>
                </c:pt>
                <c:pt idx="71">
                  <c:v>1.2055109963859389E-2</c:v>
                </c:pt>
                <c:pt idx="72">
                  <c:v>1.2222777553822752E-2</c:v>
                </c:pt>
                <c:pt idx="73">
                  <c:v>1.2388465133742791E-2</c:v>
                </c:pt>
                <c:pt idx="74">
                  <c:v>1.2552423620551043E-2</c:v>
                </c:pt>
                <c:pt idx="75">
                  <c:v>1.2714873882759388E-2</c:v>
                </c:pt>
                <c:pt idx="76">
                  <c:v>1.2876025148314599E-2</c:v>
                </c:pt>
                <c:pt idx="77">
                  <c:v>1.3036075776179256E-2</c:v>
                </c:pt>
                <c:pt idx="78">
                  <c:v>1.3195213953061398E-2</c:v>
                </c:pt>
                <c:pt idx="79">
                  <c:v>1.3353618337228167E-2</c:v>
                </c:pt>
                <c:pt idx="80">
                  <c:v>1.3511458654033349E-2</c:v>
                </c:pt>
                <c:pt idx="81">
                  <c:v>1.3668829054505812E-2</c:v>
                </c:pt>
                <c:pt idx="82">
                  <c:v>1.3825449418666688E-2</c:v>
                </c:pt>
                <c:pt idx="83">
                  <c:v>1.3980926720216794E-2</c:v>
                </c:pt>
                <c:pt idx="84">
                  <c:v>1.4134886527597271E-2</c:v>
                </c:pt>
                <c:pt idx="85">
                  <c:v>1.4286972029557986E-2</c:v>
                </c:pt>
                <c:pt idx="86">
                  <c:v>1.4436843010720832E-2</c:v>
                </c:pt>
                <c:pt idx="87">
                  <c:v>1.4584174897794124E-2</c:v>
                </c:pt>
                <c:pt idx="88">
                  <c:v>1.4728657870817565E-2</c:v>
                </c:pt>
                <c:pt idx="89">
                  <c:v>1.4870048777244836E-2</c:v>
                </c:pt>
                <c:pt idx="90">
                  <c:v>1.5008405768230313E-2</c:v>
                </c:pt>
                <c:pt idx="91">
                  <c:v>1.5143883876499229E-2</c:v>
                </c:pt>
                <c:pt idx="92">
                  <c:v>1.5276631489348848E-2</c:v>
                </c:pt>
                <c:pt idx="93">
                  <c:v>1.5406790611827172E-2</c:v>
                </c:pt>
                <c:pt idx="94">
                  <c:v>1.5534497206214113E-2</c:v>
                </c:pt>
                <c:pt idx="95">
                  <c:v>1.5659881510062069E-2</c:v>
                </c:pt>
                <c:pt idx="96">
                  <c:v>1.5783068334358739E-2</c:v>
                </c:pt>
                <c:pt idx="97">
                  <c:v>1.5904156668159752E-2</c:v>
                </c:pt>
                <c:pt idx="98">
                  <c:v>1.6023127481670514E-2</c:v>
                </c:pt>
                <c:pt idx="99">
                  <c:v>1.6139923463889233E-2</c:v>
                </c:pt>
                <c:pt idx="100">
                  <c:v>1.6254489558864771E-2</c:v>
                </c:pt>
                <c:pt idx="101">
                  <c:v>1.6366772891079701E-2</c:v>
                </c:pt>
                <c:pt idx="102">
                  <c:v>1.6476722658566301E-2</c:v>
                </c:pt>
                <c:pt idx="103">
                  <c:v>1.6584290032248764E-2</c:v>
                </c:pt>
                <c:pt idx="104">
                  <c:v>1.6689428061092713E-2</c:v>
                </c:pt>
                <c:pt idx="105">
                  <c:v>1.6792091582674563E-2</c:v>
                </c:pt>
                <c:pt idx="106">
                  <c:v>1.6892237138813146E-2</c:v>
                </c:pt>
                <c:pt idx="107">
                  <c:v>1.6989822895932202E-2</c:v>
                </c:pt>
                <c:pt idx="108">
                  <c:v>1.7084808569847169E-2</c:v>
                </c:pt>
                <c:pt idx="109">
                  <c:v>1.7177155354692192E-2</c:v>
                </c:pt>
                <c:pt idx="110">
                  <c:v>1.7266825855723825E-2</c:v>
                </c:pt>
                <c:pt idx="111">
                  <c:v>1.7353784025756925E-2</c:v>
                </c:pt>
                <c:pt idx="112">
                  <c:v>1.7437995105005807E-2</c:v>
                </c:pt>
                <c:pt idx="113">
                  <c:v>1.7519425564119732E-2</c:v>
                </c:pt>
                <c:pt idx="114">
                  <c:v>1.7598043050216335E-2</c:v>
                </c:pt>
                <c:pt idx="115">
                  <c:v>1.7673816335730952E-2</c:v>
                </c:pt>
                <c:pt idx="116">
                  <c:v>1.7746715269911475E-2</c:v>
                </c:pt>
                <c:pt idx="117">
                  <c:v>1.781671073280074E-2</c:v>
                </c:pt>
                <c:pt idx="118">
                  <c:v>1.7883774591558779E-2</c:v>
                </c:pt>
                <c:pt idx="119">
                  <c:v>1.7947879658987281E-2</c:v>
                </c:pt>
                <c:pt idx="120">
                  <c:v>1.8008999654127937E-2</c:v>
                </c:pt>
                <c:pt idx="121">
                  <c:v>1.8067126595443551E-2</c:v>
                </c:pt>
                <c:pt idx="122">
                  <c:v>1.8122355764806582E-2</c:v>
                </c:pt>
                <c:pt idx="123">
                  <c:v>1.8174817027139831E-2</c:v>
                </c:pt>
                <c:pt idx="124">
                  <c:v>1.8224636117225405E-2</c:v>
                </c:pt>
                <c:pt idx="125">
                  <c:v>1.8271934746332413E-2</c:v>
                </c:pt>
                <c:pt idx="126">
                  <c:v>1.8316830761880131E-2</c:v>
                </c:pt>
                <c:pt idx="127">
                  <c:v>1.8359438299558099E-2</c:v>
                </c:pt>
                <c:pt idx="128">
                  <c:v>1.8399867928315564E-2</c:v>
                </c:pt>
                <c:pt idx="129">
                  <c:v>1.843822678860722E-2</c:v>
                </c:pt>
                <c:pt idx="130">
                  <c:v>1.847461872425837E-2</c:v>
                </c:pt>
                <c:pt idx="131">
                  <c:v>1.8509144408290532E-2</c:v>
                </c:pt>
                <c:pt idx="132">
                  <c:v>1.8541901463027543E-2</c:v>
                </c:pt>
                <c:pt idx="133">
                  <c:v>1.8572984574783558E-2</c:v>
                </c:pt>
                <c:pt idx="134">
                  <c:v>1.8602485603415556E-2</c:v>
                </c:pt>
                <c:pt idx="135">
                  <c:v>1.8630493687006994E-2</c:v>
                </c:pt>
                <c:pt idx="136">
                  <c:v>1.865709534193298E-2</c:v>
                </c:pt>
                <c:pt idx="137">
                  <c:v>1.8682374558543078E-2</c:v>
                </c:pt>
                <c:pt idx="138">
                  <c:v>1.8706412892683971E-2</c:v>
                </c:pt>
                <c:pt idx="139">
                  <c:v>1.872928955327148E-2</c:v>
                </c:pt>
                <c:pt idx="140">
                  <c:v>1.8751081486109586E-2</c:v>
                </c:pt>
                <c:pt idx="141">
                  <c:v>1.8771863454142543E-2</c:v>
                </c:pt>
                <c:pt idx="142">
                  <c:v>1.8791708114316203E-2</c:v>
                </c:pt>
                <c:pt idx="143">
                  <c:v>1.8810686091214269E-2</c:v>
                </c:pt>
                <c:pt idx="144">
                  <c:v>1.8828866047626475E-2</c:v>
                </c:pt>
                <c:pt idx="145">
                  <c:v>1.8846314752196624E-2</c:v>
                </c:pt>
                <c:pt idx="146">
                  <c:v>1.8863097144290606E-2</c:v>
                </c:pt>
                <c:pt idx="147">
                  <c:v>1.887927639621673E-2</c:v>
                </c:pt>
                <c:pt idx="148">
                  <c:v>1.8894913972923633E-2</c:v>
                </c:pt>
                <c:pt idx="149">
                  <c:v>1.891006968929421E-2</c:v>
                </c:pt>
                <c:pt idx="150">
                  <c:v>1.8924801765147815E-2</c:v>
                </c:pt>
                <c:pt idx="151">
                  <c:v>1.8939166878056923E-2</c:v>
                </c:pt>
                <c:pt idx="152">
                  <c:v>1.8953220214078963E-2</c:v>
                </c:pt>
                <c:pt idx="153">
                  <c:v>1.8967015516498594E-2</c:v>
                </c:pt>
                <c:pt idx="154">
                  <c:v>1.8980605132671021E-2</c:v>
                </c:pt>
                <c:pt idx="155">
                  <c:v>1.8994040059051972E-2</c:v>
                </c:pt>
                <c:pt idx="156">
                  <c:v>1.9007369984495703E-2</c:v>
                </c:pt>
                <c:pt idx="157">
                  <c:v>1.9020643331898443E-2</c:v>
                </c:pt>
                <c:pt idx="158">
                  <c:v>1.9033907298260308E-2</c:v>
                </c:pt>
                <c:pt idx="159">
                  <c:v>1.9047207893235465E-2</c:v>
                </c:pt>
                <c:pt idx="160">
                  <c:v>1.9060589976236771E-2</c:v>
                </c:pt>
                <c:pt idx="161">
                  <c:v>1.9074091262200971E-2</c:v>
                </c:pt>
                <c:pt idx="162">
                  <c:v>1.9087710314519026E-2</c:v>
                </c:pt>
                <c:pt idx="163">
                  <c:v>1.910143081023408E-2</c:v>
                </c:pt>
                <c:pt idx="164">
                  <c:v>1.9115236789274338E-2</c:v>
                </c:pt>
                <c:pt idx="165">
                  <c:v>1.9129112678478812E-2</c:v>
                </c:pt>
                <c:pt idx="166">
                  <c:v>1.9143043279943414E-2</c:v>
                </c:pt>
                <c:pt idx="167">
                  <c:v>1.9157013759785728E-2</c:v>
                </c:pt>
                <c:pt idx="168">
                  <c:v>1.9171009637310978E-2</c:v>
                </c:pt>
                <c:pt idx="169">
                  <c:v>1.9185016774562764E-2</c:v>
                </c:pt>
                <c:pt idx="170">
                  <c:v>1.9199021366242453E-2</c:v>
                </c:pt>
                <c:pt idx="171">
                  <c:v>1.9213009929982393E-2</c:v>
                </c:pt>
                <c:pt idx="172">
                  <c:v>1.9226969296958357E-2</c:v>
                </c:pt>
                <c:pt idx="173">
                  <c:v>1.9240886602827616E-2</c:v>
                </c:pt>
                <c:pt idx="174">
                  <c:v>1.9254749278979438E-2</c:v>
                </c:pt>
                <c:pt idx="175">
                  <c:v>1.9268545044085636E-2</c:v>
                </c:pt>
                <c:pt idx="176">
                  <c:v>1.928226189593912E-2</c:v>
                </c:pt>
                <c:pt idx="177">
                  <c:v>1.9295888103569095E-2</c:v>
                </c:pt>
                <c:pt idx="178">
                  <c:v>1.9309412199622126E-2</c:v>
                </c:pt>
                <c:pt idx="179">
                  <c:v>1.9322822972998449E-2</c:v>
                </c:pt>
                <c:pt idx="180">
                  <c:v>1.9336109461733877E-2</c:v>
                </c:pt>
                <c:pt idx="181">
                  <c:v>1.9349260946117559E-2</c:v>
                </c:pt>
                <c:pt idx="182">
                  <c:v>1.9362266942036688E-2</c:v>
                </c:pt>
                <c:pt idx="183">
                  <c:v>1.9375117194539396E-2</c:v>
                </c:pt>
                <c:pt idx="184">
                  <c:v>1.9387801671607554E-2</c:v>
                </c:pt>
                <c:pt idx="185">
                  <c:v>1.9400310558131528E-2</c:v>
                </c:pt>
                <c:pt idx="186">
                  <c:v>1.9412634250079303E-2</c:v>
                </c:pt>
                <c:pt idx="187">
                  <c:v>1.9424763348852726E-2</c:v>
                </c:pt>
                <c:pt idx="188">
                  <c:v>1.9436688655823795E-2</c:v>
                </c:pt>
                <c:pt idx="189">
                  <c:v>1.944840116704448E-2</c:v>
                </c:pt>
                <c:pt idx="190">
                  <c:v>1.9459892068123548E-2</c:v>
                </c:pt>
                <c:pt idx="191">
                  <c:v>1.9471152729264335E-2</c:v>
                </c:pt>
                <c:pt idx="192">
                  <c:v>1.9482174700457624E-2</c:v>
                </c:pt>
                <c:pt idx="193">
                  <c:v>1.9492949706823921E-2</c:v>
                </c:pt>
                <c:pt idx="194">
                  <c:v>1.9503469644099786E-2</c:v>
                </c:pt>
                <c:pt idx="195">
                  <c:v>1.9513726574263111E-2</c:v>
                </c:pt>
                <c:pt idx="196">
                  <c:v>1.9523712721292205E-2</c:v>
                </c:pt>
                <c:pt idx="197">
                  <c:v>1.9533420467054176E-2</c:v>
                </c:pt>
                <c:pt idx="198">
                  <c:v>1.954284234731777E-2</c:v>
                </c:pt>
                <c:pt idx="199">
                  <c:v>1.9551971047886571E-2</c:v>
                </c:pt>
                <c:pt idx="200">
                  <c:v>1.956079940084806E-2</c:v>
                </c:pt>
                <c:pt idx="201">
                  <c:v>1.9569323162209922E-2</c:v>
                </c:pt>
                <c:pt idx="202">
                  <c:v>1.957755844664627E-2</c:v>
                </c:pt>
                <c:pt idx="203">
                  <c:v>1.9585530024462713E-2</c:v>
                </c:pt>
                <c:pt idx="204">
                  <c:v>1.9593262220936037E-2</c:v>
                </c:pt>
                <c:pt idx="205">
                  <c:v>1.9600778886703488E-2</c:v>
                </c:pt>
                <c:pt idx="206">
                  <c:v>1.9608103409283133E-2</c:v>
                </c:pt>
                <c:pt idx="207">
                  <c:v>1.961525872426035E-2</c:v>
                </c:pt>
                <c:pt idx="208">
                  <c:v>1.9622267326151539E-2</c:v>
                </c:pt>
                <c:pt idx="209">
                  <c:v>1.9629151278956074E-2</c:v>
                </c:pt>
                <c:pt idx="210">
                  <c:v>1.9635932226406628E-2</c:v>
                </c:pt>
                <c:pt idx="211">
                  <c:v>1.9642631401928175E-2</c:v>
                </c:pt>
                <c:pt idx="212">
                  <c:v>1.964926963831504E-2</c:v>
                </c:pt>
                <c:pt idx="213">
                  <c:v>1.9655867377135327E-2</c:v>
                </c:pt>
                <c:pt idx="214">
                  <c:v>1.9662444677871788E-2</c:v>
                </c:pt>
                <c:pt idx="215">
                  <c:v>1.9669021226807484E-2</c:v>
                </c:pt>
                <c:pt idx="216">
                  <c:v>1.9675616345664663E-2</c:v>
                </c:pt>
                <c:pt idx="217">
                  <c:v>1.9682249000004828E-2</c:v>
                </c:pt>
                <c:pt idx="218">
                  <c:v>1.96889378073975E-2</c:v>
                </c:pt>
                <c:pt idx="219">
                  <c:v>1.9695701045365267E-2</c:v>
                </c:pt>
                <c:pt idx="220">
                  <c:v>1.9702556659112153E-2</c:v>
                </c:pt>
                <c:pt idx="221">
                  <c:v>1.9709522269042084E-2</c:v>
                </c:pt>
                <c:pt idx="222">
                  <c:v>1.9716615178074229E-2</c:v>
                </c:pt>
                <c:pt idx="223">
                  <c:v>1.9723852378761512E-2</c:v>
                </c:pt>
                <c:pt idx="224">
                  <c:v>1.9731250560218402E-2</c:v>
                </c:pt>
                <c:pt idx="225">
                  <c:v>1.9738826114863991E-2</c:v>
                </c:pt>
                <c:pt idx="226">
                  <c:v>1.974659514498607E-2</c:v>
                </c:pt>
                <c:pt idx="227">
                  <c:v>1.9754573469131686E-2</c:v>
                </c:pt>
                <c:pt idx="228">
                  <c:v>1.9762776628329492E-2</c:v>
                </c:pt>
                <c:pt idx="229">
                  <c:v>1.9771219892149142E-2</c:v>
                </c:pt>
                <c:pt idx="230">
                  <c:v>1.9779918264602556E-2</c:v>
                </c:pt>
                <c:pt idx="231">
                  <c:v>1.9788886489891917E-2</c:v>
                </c:pt>
                <c:pt idx="232">
                  <c:v>1.9798139058009041E-2</c:v>
                </c:pt>
                <c:pt idx="233">
                  <c:v>1.9807690210190496E-2</c:v>
                </c:pt>
                <c:pt idx="234">
                  <c:v>1.9817553944232909E-2</c:v>
                </c:pt>
                <c:pt idx="235">
                  <c:v>1.9827744019672584E-2</c:v>
                </c:pt>
                <c:pt idx="236">
                  <c:v>1.9838273962833292E-2</c:v>
                </c:pt>
                <c:pt idx="237">
                  <c:v>1.9849157071746431E-2</c:v>
                </c:pt>
                <c:pt idx="238">
                  <c:v>1.9860406420947101E-2</c:v>
                </c:pt>
                <c:pt idx="239">
                  <c:v>1.9872034866149694E-2</c:v>
                </c:pt>
                <c:pt idx="240">
                  <c:v>1.9884055048806724E-2</c:v>
                </c:pt>
                <c:pt idx="241">
                  <c:v>1.9896477623636607E-2</c:v>
                </c:pt>
                <c:pt idx="242">
                  <c:v>1.9909298116520799E-2</c:v>
                </c:pt>
                <c:pt idx="243">
                  <c:v>1.9922504645157588E-2</c:v>
                </c:pt>
                <c:pt idx="244">
                  <c:v>1.993608546576366E-2</c:v>
                </c:pt>
                <c:pt idx="245">
                  <c:v>1.9950029026290939E-2</c:v>
                </c:pt>
                <c:pt idx="246">
                  <c:v>1.9964323962529545E-2</c:v>
                </c:pt>
                <c:pt idx="247">
                  <c:v>1.997895909430537E-2</c:v>
                </c:pt>
                <c:pt idx="248">
                  <c:v>1.9993923421769706E-2</c:v>
                </c:pt>
                <c:pt idx="249">
                  <c:v>2.0009206121778245E-2</c:v>
                </c:pt>
                <c:pt idx="250">
                  <c:v>2.0024796544356963E-2</c:v>
                </c:pt>
                <c:pt idx="251">
                  <c:v>2.004068420925258E-2</c:v>
                </c:pt>
                <c:pt idx="252">
                  <c:v>2.0056858802564994E-2</c:v>
                </c:pt>
                <c:pt idx="253">
                  <c:v>2.0073310173459744E-2</c:v>
                </c:pt>
                <c:pt idx="254">
                  <c:v>2.0090028330958049E-2</c:v>
                </c:pt>
                <c:pt idx="255">
                  <c:v>2.0107003440802323E-2</c:v>
                </c:pt>
                <c:pt idx="256">
                  <c:v>2.0124225822395272E-2</c:v>
                </c:pt>
                <c:pt idx="257">
                  <c:v>2.0141685945810391E-2</c:v>
                </c:pt>
                <c:pt idx="258">
                  <c:v>2.0159374428871946E-2</c:v>
                </c:pt>
                <c:pt idx="259">
                  <c:v>2.0177282034302704E-2</c:v>
                </c:pt>
                <c:pt idx="260">
                  <c:v>2.0195399666937352E-2</c:v>
                </c:pt>
                <c:pt idx="261">
                  <c:v>2.0213718371000111E-2</c:v>
                </c:pt>
                <c:pt idx="262">
                  <c:v>2.0232229327444593E-2</c:v>
                </c:pt>
                <c:pt idx="263">
                  <c:v>2.0250923851354394E-2</c:v>
                </c:pt>
                <c:pt idx="264">
                  <c:v>2.0269793389402758E-2</c:v>
                </c:pt>
                <c:pt idx="265">
                  <c:v>2.0288829517369732E-2</c:v>
                </c:pt>
                <c:pt idx="266">
                  <c:v>2.0308023937715389E-2</c:v>
                </c:pt>
                <c:pt idx="267">
                  <c:v>2.032736847720748E-2</c:v>
                </c:pt>
                <c:pt idx="268">
                  <c:v>2.034685508460234E-2</c:v>
                </c:pt>
                <c:pt idx="269">
                  <c:v>2.0366475828377358E-2</c:v>
                </c:pt>
                <c:pt idx="270">
                  <c:v>2.0386222894513993E-2</c:v>
                </c:pt>
                <c:pt idx="271">
                  <c:v>2.0406088584329751E-2</c:v>
                </c:pt>
                <c:pt idx="272">
                  <c:v>2.0426065312358074E-2</c:v>
                </c:pt>
                <c:pt idx="273">
                  <c:v>2.0446145604274754E-2</c:v>
                </c:pt>
                <c:pt idx="274">
                  <c:v>2.0466322094869812E-2</c:v>
                </c:pt>
                <c:pt idx="275">
                  <c:v>2.0486587526063599E-2</c:v>
                </c:pt>
                <c:pt idx="276">
                  <c:v>2.0506934744966024E-2</c:v>
                </c:pt>
                <c:pt idx="277">
                  <c:v>2.0527356701977827E-2</c:v>
                </c:pt>
                <c:pt idx="278">
                  <c:v>2.0547846448932833E-2</c:v>
                </c:pt>
                <c:pt idx="279">
                  <c:v>2.0568397137280151E-2</c:v>
                </c:pt>
                <c:pt idx="280">
                  <c:v>2.0589002016305331E-2</c:v>
                </c:pt>
                <c:pt idx="281">
                  <c:v>2.0609654431389499E-2</c:v>
                </c:pt>
                <c:pt idx="282">
                  <c:v>2.063034782230555E-2</c:v>
                </c:pt>
                <c:pt idx="283">
                  <c:v>2.0651075721550421E-2</c:v>
                </c:pt>
                <c:pt idx="284">
                  <c:v>2.0671831752712658E-2</c:v>
                </c:pt>
                <c:pt idx="285">
                  <c:v>2.069260962887428E-2</c:v>
                </c:pt>
                <c:pt idx="286">
                  <c:v>2.0713403151046247E-2</c:v>
                </c:pt>
                <c:pt idx="287">
                  <c:v>2.0734206206636581E-2</c:v>
                </c:pt>
                <c:pt idx="288">
                  <c:v>2.0755012767950397E-2</c:v>
                </c:pt>
                <c:pt idx="289">
                  <c:v>2.0775816890721124E-2</c:v>
                </c:pt>
                <c:pt idx="290">
                  <c:v>2.0796612712672077E-2</c:v>
                </c:pt>
                <c:pt idx="291">
                  <c:v>2.0817394452107681E-2</c:v>
                </c:pt>
                <c:pt idx="292">
                  <c:v>2.0838156406533699E-2</c:v>
                </c:pt>
                <c:pt idx="293">
                  <c:v>2.0858892951305601E-2</c:v>
                </c:pt>
                <c:pt idx="294">
                  <c:v>2.0879598538304671E-2</c:v>
                </c:pt>
                <c:pt idx="295">
                  <c:v>2.0900267694640911E-2</c:v>
                </c:pt>
                <c:pt idx="296">
                  <c:v>2.0920895021382283E-2</c:v>
                </c:pt>
                <c:pt idx="297">
                  <c:v>2.0941475192309648E-2</c:v>
                </c:pt>
                <c:pt idx="298">
                  <c:v>2.0962002952696752E-2</c:v>
                </c:pt>
                <c:pt idx="299">
                  <c:v>2.0982473118114658E-2</c:v>
                </c:pt>
                <c:pt idx="300">
                  <c:v>2.100288057326017E-2</c:v>
                </c:pt>
                <c:pt idx="301">
                  <c:v>2.1023220270807535E-2</c:v>
                </c:pt>
                <c:pt idx="302">
                  <c:v>2.104348723028299E-2</c:v>
                </c:pt>
                <c:pt idx="303">
                  <c:v>2.1063676536961607E-2</c:v>
                </c:pt>
                <c:pt idx="304">
                  <c:v>2.1083783340785898E-2</c:v>
                </c:pt>
                <c:pt idx="305">
                  <c:v>2.1103802855305678E-2</c:v>
                </c:pt>
                <c:pt idx="306">
                  <c:v>2.1123730356638736E-2</c:v>
                </c:pt>
                <c:pt idx="307">
                  <c:v>2.1143561182451819E-2</c:v>
                </c:pt>
                <c:pt idx="308">
                  <c:v>2.1163290730961459E-2</c:v>
                </c:pt>
                <c:pt idx="309">
                  <c:v>2.1182914459954197E-2</c:v>
                </c:pt>
                <c:pt idx="310">
                  <c:v>2.1202427885825773E-2</c:v>
                </c:pt>
                <c:pt idx="311">
                  <c:v>2.1221826582638888E-2</c:v>
                </c:pt>
                <c:pt idx="312">
                  <c:v>2.1241106181198992E-2</c:v>
                </c:pt>
                <c:pt idx="313">
                  <c:v>2.1260262368147917E-2</c:v>
                </c:pt>
                <c:pt idx="314">
                  <c:v>2.1279290885074721E-2</c:v>
                </c:pt>
                <c:pt idx="315">
                  <c:v>2.1298187527643519E-2</c:v>
                </c:pt>
                <c:pt idx="316">
                  <c:v>2.1316948144737877E-2</c:v>
                </c:pt>
                <c:pt idx="317">
                  <c:v>2.1335568637621368E-2</c:v>
                </c:pt>
                <c:pt idx="318">
                  <c:v>2.1354044959114003E-2</c:v>
                </c:pt>
                <c:pt idx="319">
                  <c:v>2.1372373112784136E-2</c:v>
                </c:pt>
                <c:pt idx="320">
                  <c:v>2.1390549152155523E-2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91616"/>
        <c:axId val="336992176"/>
      </c:scatterChart>
      <c:valAx>
        <c:axId val="3369916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7174432497013"/>
              <c:y val="0.91497867803837896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336992176"/>
        <c:crosses val="autoZero"/>
        <c:crossBetween val="midCat"/>
      </c:valAx>
      <c:valAx>
        <c:axId val="33699217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748506571087198E-2"/>
              <c:y val="0.4876066098081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336991616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25</xdr:row>
      <xdr:rowOff>16920</xdr:rowOff>
    </xdr:from>
    <xdr:to>
      <xdr:col>5</xdr:col>
      <xdr:colOff>860040</xdr:colOff>
      <xdr:row>41</xdr:row>
      <xdr:rowOff>42840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45000</xdr:colOff>
      <xdr:row>25</xdr:row>
      <xdr:rowOff>16920</xdr:rowOff>
    </xdr:from>
    <xdr:to>
      <xdr:col>11</xdr:col>
      <xdr:colOff>846720</xdr:colOff>
      <xdr:row>41</xdr:row>
      <xdr:rowOff>42840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38520</xdr:colOff>
      <xdr:row>25</xdr:row>
      <xdr:rowOff>16920</xdr:rowOff>
    </xdr:from>
    <xdr:to>
      <xdr:col>17</xdr:col>
      <xdr:colOff>822600</xdr:colOff>
      <xdr:row>41</xdr:row>
      <xdr:rowOff>46080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AV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finmath.ne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2"/>
  <sheetViews>
    <sheetView zoomScale="75" zoomScaleNormal="75" workbookViewId="0">
      <selection activeCell="B2" sqref="B2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ht="12.75" customHeight="1" x14ac:dyDescent="0.25">
      <c r="B2" s="3" t="s">
        <v>0</v>
      </c>
    </row>
    <row r="3" spans="2:6" ht="12.75" customHeight="1" x14ac:dyDescent="0.25">
      <c r="B3" s="4"/>
    </row>
    <row r="5" spans="2:6" ht="12.75" customHeight="1" x14ac:dyDescent="0.25">
      <c r="B5" s="5" t="s">
        <v>1</v>
      </c>
      <c r="C5" s="5"/>
      <c r="E5" s="5" t="s">
        <v>2</v>
      </c>
      <c r="F5" s="5"/>
    </row>
    <row r="7" spans="2:6" ht="12.75" customHeight="1" x14ac:dyDescent="0.25">
      <c r="B7" s="6" t="s">
        <v>3</v>
      </c>
      <c r="C7" s="6"/>
      <c r="E7" s="6" t="s">
        <v>4</v>
      </c>
      <c r="F7" s="6"/>
    </row>
    <row r="8" spans="2:6" ht="12.75" customHeight="1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25">
      <c r="E9" s="1" t="s">
        <v>8</v>
      </c>
      <c r="F9" s="9" t="b">
        <f>TRUE()</f>
        <v>1</v>
      </c>
    </row>
    <row r="10" spans="2:6" ht="12.75" customHeight="1" x14ac:dyDescent="0.25">
      <c r="B10" s="6" t="s">
        <v>9</v>
      </c>
      <c r="C10" s="6"/>
    </row>
    <row r="11" spans="2:6" ht="12.75" customHeight="1" x14ac:dyDescent="0.2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25">
      <c r="E12" s="1" t="s">
        <v>10</v>
      </c>
      <c r="F12" s="1" t="str">
        <f>[1]!OBADDALLJARS(F8,F9)</f>
        <v>Z:\finmath-spreadsheets\spreadsheets\Curve Calibration\lib</v>
      </c>
    </row>
    <row r="14" spans="2:6" ht="12.75" customHeight="1" x14ac:dyDescent="0.25">
      <c r="B14" s="5" t="s">
        <v>11</v>
      </c>
      <c r="C14" s="5"/>
      <c r="E14" s="5" t="s">
        <v>12</v>
      </c>
      <c r="F14" s="5"/>
    </row>
    <row r="16" spans="2:6" ht="12.75" customHeight="1" x14ac:dyDescent="0.25">
      <c r="B16" s="6" t="s">
        <v>9</v>
      </c>
      <c r="C16" s="6"/>
      <c r="E16" s="6" t="s">
        <v>13</v>
      </c>
      <c r="F16" s="6"/>
    </row>
    <row r="17" spans="2:7" ht="12.75" customHeight="1" x14ac:dyDescent="0.25">
      <c r="B17" s="1" t="s">
        <v>14</v>
      </c>
      <c r="C17" s="1" t="str">
        <f>[1]!OBGETPROPERTY("version")</f>
        <v>6.2.1</v>
      </c>
      <c r="E17" s="1" t="s">
        <v>6</v>
      </c>
      <c r="F17" s="8"/>
    </row>
    <row r="18" spans="2:7" ht="12.75" customHeight="1" x14ac:dyDescent="0.25">
      <c r="B18" s="1" t="s">
        <v>15</v>
      </c>
      <c r="C18" s="1" t="str">
        <f>[1]!OBGETPROPERTY("build")</f>
        <v>60102</v>
      </c>
      <c r="E18" s="1" t="s">
        <v>8</v>
      </c>
      <c r="F18" s="9" t="b">
        <f>TRUE()</f>
        <v>1</v>
      </c>
    </row>
    <row r="20" spans="2:7" ht="12.75" customHeight="1" x14ac:dyDescent="0.25">
      <c r="E20" s="6" t="s">
        <v>9</v>
      </c>
      <c r="F20" s="6"/>
    </row>
    <row r="21" spans="2:7" ht="12.75" customHeight="1" x14ac:dyDescent="0.25">
      <c r="B21" s="5" t="s">
        <v>16</v>
      </c>
      <c r="C21" s="5"/>
      <c r="E21" s="1" t="s">
        <v>10</v>
      </c>
      <c r="F21" s="1" t="str">
        <f>[1]!OBADDCLASSES(F17,F18)</f>
        <v>Z:\finmath-spreadsheets\spreadsheets\Curve Calibration\</v>
      </c>
    </row>
    <row r="23" spans="2:7" ht="12.75" customHeight="1" x14ac:dyDescent="0.25">
      <c r="B23" s="6" t="s">
        <v>9</v>
      </c>
      <c r="C23" s="6"/>
    </row>
    <row r="24" spans="2:7" ht="12.75" customHeight="1" x14ac:dyDescent="0.25">
      <c r="B24" s="1" t="s">
        <v>14</v>
      </c>
      <c r="C24" s="1" t="str">
        <f>[1]!OBGET([1]!OBCALL("",obLibs&amp;"net.finmath.information.Library","getVersionString"))</f>
        <v>4.1.2</v>
      </c>
    </row>
    <row r="25" spans="2:7" ht="12.75" customHeight="1" x14ac:dyDescent="0.25">
      <c r="E25" s="5" t="s">
        <v>17</v>
      </c>
      <c r="F25" s="5"/>
    </row>
    <row r="27" spans="2:7" ht="12.75" customHeight="1" x14ac:dyDescent="0.25">
      <c r="E27" s="11" t="s">
        <v>18</v>
      </c>
      <c r="F27" s="11" t="s">
        <v>19</v>
      </c>
      <c r="G27" s="11" t="s">
        <v>20</v>
      </c>
    </row>
    <row r="28" spans="2:7" ht="12.75" customHeight="1" x14ac:dyDescent="0.25">
      <c r="E28" s="12" t="str">
        <f>[1]!OBCALL("","java.lang.System","setProperty",[1]!OBMAKE("","String",G28),[1]!OBMAKE("","String",F28))</f>
        <v>ob.trans.8841 
[12194]</v>
      </c>
      <c r="F28" s="1" t="s">
        <v>21</v>
      </c>
      <c r="G28" s="1" t="s">
        <v>22</v>
      </c>
    </row>
    <row r="31" spans="2:7" ht="12.75" customHeight="1" x14ac:dyDescent="0.25">
      <c r="E31" s="5" t="s">
        <v>23</v>
      </c>
      <c r="F31" s="5"/>
    </row>
    <row r="32" spans="2:7" ht="12.75" customHeight="1" x14ac:dyDescent="0.25">
      <c r="E32" s="1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230" width="14.33203125" style="14" customWidth="1"/>
    <col min="231" max="1025" width="14.33203125" customWidth="1"/>
  </cols>
  <sheetData>
    <row r="1" spans="2:1024" ht="13.2" customHeight="1" x14ac:dyDescent="0.25">
      <c r="HW1" s="14"/>
      <c r="HX1" s="14"/>
    </row>
    <row r="2" spans="2:1024" ht="15" customHeight="1" x14ac:dyDescent="0.25">
      <c r="B2" s="15" t="s">
        <v>24</v>
      </c>
      <c r="C2" s="15"/>
      <c r="E2" s="16" t="s">
        <v>25</v>
      </c>
      <c r="F2" s="16"/>
      <c r="H2" s="17" t="s">
        <v>26</v>
      </c>
      <c r="HW2" s="14"/>
      <c r="HX2" s="14"/>
    </row>
    <row r="3" spans="2:1024" ht="12.75" customHeight="1" x14ac:dyDescent="0.25">
      <c r="E3" s="18" t="str">
        <f>[1]!OBMAKE("referenceDate "&amp;COLUMN(),"LocalDate",F3)</f>
        <v>referenceDate 5 
[12247]</v>
      </c>
      <c r="F3" s="19">
        <v>40918</v>
      </c>
      <c r="H3" s="17" t="s">
        <v>27</v>
      </c>
    </row>
    <row r="5" spans="2:1024" ht="12.75" customHeight="1" x14ac:dyDescent="0.25">
      <c r="B5" s="20" t="s">
        <v>28</v>
      </c>
      <c r="C5" s="20"/>
      <c r="E5" s="20" t="s">
        <v>28</v>
      </c>
      <c r="F5" s="20"/>
      <c r="H5" s="17" t="s">
        <v>29</v>
      </c>
    </row>
    <row r="6" spans="2:1024" ht="12.75" customHeight="1" x14ac:dyDescent="0.25">
      <c r="H6" s="17" t="s">
        <v>30</v>
      </c>
    </row>
    <row r="7" spans="2:1024" ht="12.75" customHeight="1" x14ac:dyDescent="0.25">
      <c r="B7" s="16" t="s">
        <v>31</v>
      </c>
      <c r="C7" s="16"/>
      <c r="E7" s="16" t="s">
        <v>31</v>
      </c>
      <c r="F7" s="16"/>
      <c r="H7" s="17"/>
    </row>
    <row r="8" spans="2:1024" ht="12.75" customHeight="1" x14ac:dyDescent="0.25">
      <c r="B8" s="18" t="str">
        <f>[1]!OBMAKE("curveModelDiscounting-curveDef",obLibs&amp;"net.finmath.marketdata.model.AnalyticModelFromCurvesAndVols",[1]!OBMAKE("",obLibs&amp;"net.finmath.marketdata.model.curves.Curve[]",B34))</f>
        <v>curveModelDiscounting-curveDef 
[13328]</v>
      </c>
      <c r="E8" s="18" t="str">
        <f>[1]!OBMAKE("curveModelForward-curveDef",obLibs&amp;"net.finmath.marketdata.model.AnalyticModelFromCurvesAndVols",[1]!OBMAKE("",obLibs&amp;"net.finmath.marketdata.model.curves.Curve[]",B34,F34,J34,N34))</f>
        <v>curveModelForward-curveDef 
[13818]</v>
      </c>
      <c r="H8" s="17" t="s">
        <v>32</v>
      </c>
    </row>
    <row r="9" spans="2:1024" ht="12.75" customHeight="1" x14ac:dyDescent="0.25">
      <c r="B9" s="18"/>
      <c r="D9" s="14" t="s">
        <v>33</v>
      </c>
    </row>
    <row r="10" spans="2:1024" ht="12.75" customHeight="1" x14ac:dyDescent="0.25">
      <c r="B10" s="18"/>
      <c r="C10" s="18"/>
      <c r="D10" s="21"/>
      <c r="H10" s="17" t="str">
        <f>"To use these curves as a starting point for calibration, reference the cell containing the modell name "&amp;E8</f>
        <v>To use these curves as a starting point for calibration, reference the cell containing the modell name curveModelForward-curveDef 
[13818]</v>
      </c>
    </row>
    <row r="12" spans="2:1024" s="22" customFormat="1" ht="13.2" customHeight="1" x14ac:dyDescent="0.25">
      <c r="B12" s="22" t="s">
        <v>34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2" customHeight="1" x14ac:dyDescent="0.25">
      <c r="B14" s="22" t="s">
        <v>35</v>
      </c>
      <c r="C14" s="22"/>
      <c r="D14" s="22"/>
      <c r="F14" s="22" t="s">
        <v>35</v>
      </c>
      <c r="G14" s="22"/>
      <c r="H14" s="22"/>
      <c r="J14" s="22" t="s">
        <v>35</v>
      </c>
      <c r="K14" s="22"/>
      <c r="L14" s="22"/>
      <c r="N14" s="22" t="s">
        <v>35</v>
      </c>
      <c r="O14" s="22"/>
      <c r="P14" s="22"/>
      <c r="HW14" s="14"/>
      <c r="HX14" s="14"/>
      <c r="HY14" s="14"/>
      <c r="HZ14" s="14"/>
    </row>
    <row r="15" spans="2:1024" ht="13.2" customHeight="1" x14ac:dyDescent="0.25">
      <c r="HW15" s="14"/>
      <c r="HX15" s="14"/>
      <c r="HY15" s="14"/>
      <c r="HZ15" s="14"/>
    </row>
    <row r="16" spans="2:1024" ht="13.2" customHeight="1" x14ac:dyDescent="0.25">
      <c r="B16" s="16" t="s">
        <v>36</v>
      </c>
      <c r="C16" s="16"/>
      <c r="D16" s="16"/>
      <c r="F16" s="16" t="s">
        <v>36</v>
      </c>
      <c r="G16" s="16"/>
      <c r="H16" s="16"/>
      <c r="J16" s="16" t="s">
        <v>36</v>
      </c>
      <c r="K16" s="16"/>
      <c r="L16" s="16"/>
      <c r="N16" s="16" t="s">
        <v>36</v>
      </c>
      <c r="O16" s="16"/>
      <c r="P16" s="16"/>
      <c r="HW16" s="14"/>
      <c r="HX16" s="14"/>
      <c r="HY16" s="14"/>
      <c r="HZ16" s="14"/>
    </row>
    <row r="17" spans="2:234" ht="13.2" customHeight="1" x14ac:dyDescent="0.25">
      <c r="B17" s="18" t="s">
        <v>37</v>
      </c>
      <c r="C17" s="23" t="s">
        <v>38</v>
      </c>
      <c r="F17" s="18" t="s">
        <v>37</v>
      </c>
      <c r="G17" s="23" t="s">
        <v>39</v>
      </c>
      <c r="J17" s="18" t="s">
        <v>37</v>
      </c>
      <c r="K17" s="23" t="s">
        <v>40</v>
      </c>
      <c r="N17" s="18" t="s">
        <v>37</v>
      </c>
      <c r="O17" s="23" t="s">
        <v>41</v>
      </c>
      <c r="HW17" s="14"/>
      <c r="HX17" s="14"/>
      <c r="HY17" s="14"/>
      <c r="HZ17" s="14"/>
    </row>
    <row r="18" spans="2:234" ht="13.2" customHeight="1" x14ac:dyDescent="0.25">
      <c r="B18" s="21" t="str">
        <f>[1]!OBCALL("interpolationMethod "&amp;COLUMN(),obLibs&amp;"net.finmath.marketdata.model.curves.CurveInterpolation$InterpolationMethod","valueOf",[1]!OBMAKE("","String",C18))</f>
        <v>interpolationMethod 2 
[12383]</v>
      </c>
      <c r="C18" s="23" t="s">
        <v>42</v>
      </c>
      <c r="F18" s="18" t="str">
        <f>[1]!OBMAKE("indexMaturity "&amp;COLUMN(),"String",G18)</f>
        <v>indexMaturity 6 
[11532]</v>
      </c>
      <c r="G18" s="23" t="s">
        <v>43</v>
      </c>
      <c r="J18" s="18" t="str">
        <f>[1]!OBMAKE("indexMaturity "&amp;COLUMN(),"String",K18)</f>
        <v>indexMaturity 10 
[11547]</v>
      </c>
      <c r="K18" s="23" t="s">
        <v>43</v>
      </c>
      <c r="N18" s="18" t="str">
        <f>[1]!OBMAKE("indexMaturity "&amp;COLUMN(),"String",O18)</f>
        <v>indexMaturity 14 
[11976]</v>
      </c>
      <c r="O18" s="23" t="s">
        <v>44</v>
      </c>
      <c r="HW18" s="14"/>
      <c r="HX18" s="14"/>
      <c r="HY18" s="14"/>
      <c r="HZ18" s="14"/>
    </row>
    <row r="19" spans="2:234" ht="13.2" customHeight="1" x14ac:dyDescent="0.25">
      <c r="B19" s="21" t="str">
        <f>[1]!OBCALL("extrapolationMethod "&amp;COLUMN(),obLibs&amp;"net.finmath.marketdata.model.curves.CurveInterpolation$ExtrapolationMethod","valueOf",[1]!OBMAKE("","String",C19))</f>
        <v>extrapolationMethod 2 
[12367]</v>
      </c>
      <c r="C19" s="23" t="s">
        <v>45</v>
      </c>
      <c r="F19" s="18"/>
      <c r="G19" s="18"/>
      <c r="J19" s="18" t="str">
        <f>[1]!OBMAKE("businessDayCal "&amp;COLUMN(),obLibs&amp;"net.finmath.time.businessdaycalendar."&amp;K19)</f>
        <v>businessDayCal 10 
[13310]</v>
      </c>
      <c r="K19" s="23" t="s">
        <v>46</v>
      </c>
      <c r="N19" s="18" t="str">
        <f>[1]!OBMAKE("businessDayCal "&amp;COLUMN(),obLibs&amp;"net.finmath.time.businessdaycalendar."&amp;O19)</f>
        <v>businessDayCal 14 
[13257]</v>
      </c>
      <c r="O19" s="23" t="s">
        <v>46</v>
      </c>
      <c r="HW19" s="14"/>
      <c r="HX19" s="14"/>
      <c r="HY19" s="14"/>
      <c r="HZ19" s="14"/>
    </row>
    <row r="20" spans="2:234" ht="13.2" customHeight="1" x14ac:dyDescent="0.25">
      <c r="B20" s="21" t="str">
        <f>[1]!OBCALL("interpolationEntity "&amp;COLUMN(),obLibs&amp;"net.finmath.marketdata.model.curves.CurveInterpolation$InterpolationEntity","valueOf",[1]!OBMAKE("","String",C20))</f>
        <v>interpolationEntity 2 
[13322]</v>
      </c>
      <c r="C20" s="23" t="s">
        <v>47</v>
      </c>
      <c r="F20" s="18"/>
      <c r="G20" s="18"/>
      <c r="J20" s="18" t="str">
        <f>[1]!OBCALL("dateRollConvention"&amp;COLUMN(),obLibs&amp;"net.finmath.time.businessdaycalendar.BusinessdayCalendar$DateRollConvention","valueOf",[1]!OBMAKE("","String",K20))</f>
        <v>dateRollConvention10 
[13312]</v>
      </c>
      <c r="K20" s="23" t="s">
        <v>48</v>
      </c>
      <c r="N20" s="18" t="str">
        <f>[1]!OBCALL("dateRollConvention"&amp;COLUMN(),obLibs&amp;"net.finmath.time.businessdaycalendar.BusinessdayCalendar$DateRollConvention","valueOf",[1]!OBMAKE("","String",O20))</f>
        <v>dateRollConvention14 
[13320]</v>
      </c>
      <c r="O20" s="23" t="s">
        <v>48</v>
      </c>
      <c r="HW20" s="14"/>
      <c r="HX20" s="14"/>
      <c r="HY20" s="14"/>
      <c r="HZ20" s="14"/>
    </row>
    <row r="21" spans="2:234" ht="13.2" customHeight="1" x14ac:dyDescent="0.25">
      <c r="C21" s="18"/>
      <c r="F21" s="18"/>
      <c r="G21" s="18"/>
      <c r="J21" s="21" t="str">
        <f>[1]!OBCALL("interpolationMethod "&amp;COLUMN(),obLibs&amp;"net.finmath.marketdata.model.curves.CurveInterpolation$InterpolationMethod","valueOf",[1]!OBMAKE("","String",K21))</f>
        <v>interpolationMethod 10 
[12812]</v>
      </c>
      <c r="K21" s="23" t="s">
        <v>45</v>
      </c>
      <c r="N21" s="21" t="str">
        <f>[1]!OBCALL("interpolationMethod "&amp;COLUMN(),obLibs&amp;"net.finmath.marketdata.model.curves.CurveInterpolation$InterpolationMethod","valueOf",[1]!OBMAKE("","String",O21))</f>
        <v>interpolationMethod 14 
[13810]</v>
      </c>
      <c r="O21" s="23" t="s">
        <v>45</v>
      </c>
      <c r="HW21" s="14"/>
      <c r="HX21" s="14"/>
      <c r="HY21" s="14"/>
      <c r="HZ21" s="14"/>
    </row>
    <row r="22" spans="2:234" ht="13.2" customHeight="1" x14ac:dyDescent="0.25">
      <c r="C22" s="18"/>
      <c r="F22" s="18"/>
      <c r="G22" s="18"/>
      <c r="J22" s="21" t="str">
        <f>[1]!OBCALL("extrapolationMethod "&amp;COLUMN(),obLibs&amp;"net.finmath.marketdata.model.curves.CurveInterpolation$ExtrapolationMethod","valueOf",[1]!OBMAKE("","String",K22))</f>
        <v>extrapolationMethod 10 
[12385]</v>
      </c>
      <c r="K22" s="23" t="s">
        <v>45</v>
      </c>
      <c r="N22" s="21" t="str">
        <f>[1]!OBCALL("extrapolationMethod "&amp;COLUMN(),obLibs&amp;"net.finmath.marketdata.model.curves.CurveInterpolation$ExtrapolationMethod","valueOf",[1]!OBMAKE("","String",O22))</f>
        <v>extrapolationMethod 14 
[12387]</v>
      </c>
      <c r="O22" s="23" t="s">
        <v>49</v>
      </c>
      <c r="HW22" s="14"/>
      <c r="HX22" s="14"/>
      <c r="HY22" s="14"/>
      <c r="HZ22" s="14"/>
    </row>
    <row r="23" spans="2:234" ht="13.2" customHeight="1" x14ac:dyDescent="0.25">
      <c r="C23" s="18"/>
      <c r="F23" s="18"/>
      <c r="G23" s="18"/>
      <c r="J23" s="21" t="str">
        <f>[1]!OBCALL("interpolationEntity "&amp;COLUMN(),obLibs&amp;"net.finmath.marketdata.model.curves.CurveInterpolation$InterpolationEntity","valueOf",[1]!OBMAKE("","String",K23))</f>
        <v>interpolationEntity 10 
[12793]</v>
      </c>
      <c r="K23" s="23" t="s">
        <v>50</v>
      </c>
      <c r="N23" s="21" t="str">
        <f>[1]!OBCALL("interpolationEntity "&amp;COLUMN(),obLibs&amp;"net.finmath.marketdata.model.curves.CurveInterpolation$InterpolationEntity","valueOf",[1]!OBMAKE("","String",O23))</f>
        <v>interpolationEntity 14 
[13259]</v>
      </c>
      <c r="O23" s="23" t="s">
        <v>50</v>
      </c>
      <c r="HW23" s="14"/>
      <c r="HX23" s="14"/>
      <c r="HY23" s="14"/>
      <c r="HZ23" s="14"/>
    </row>
    <row r="24" spans="2:234" ht="13.2" customHeight="1" x14ac:dyDescent="0.25">
      <c r="C24" s="18"/>
      <c r="F24" s="18"/>
      <c r="G24" s="18"/>
      <c r="J24" s="18" t="str">
        <f>[1]!OBCALL("forwardInterpolationEntity"&amp;COLUMN(),obLibs&amp;"net.finmath.marketdata.model.curves.ForwardCurveInterpolation$InterpolationEntityForward","valueOf",[1]!OBMAKE("","String",K24))</f>
        <v>forwardInterpolationEntity10 
[12796]</v>
      </c>
      <c r="K24" s="23" t="s">
        <v>51</v>
      </c>
      <c r="N24" s="18" t="str">
        <f>[1]!OBCALL("forwardInterpolationEntity"&amp;COLUMN(),obLibs&amp;"net.finmath.marketdata.model.curves.ForwardCurveInterpolation$InterpolationEntityForward","valueOf",[1]!OBMAKE("","String",O24))</f>
        <v>forwardInterpolationEntity14 
[12381]</v>
      </c>
      <c r="O24" s="23" t="s">
        <v>51</v>
      </c>
      <c r="HW24" s="14"/>
      <c r="HX24" s="14"/>
      <c r="HY24" s="14"/>
      <c r="HZ24" s="14"/>
    </row>
    <row r="25" spans="2:234" ht="13.2" customHeight="1" x14ac:dyDescent="0.25">
      <c r="C25" s="18"/>
      <c r="F25" s="18"/>
      <c r="G25" s="18"/>
      <c r="J25" s="18" t="str">
        <f>[1]!OBMAKE("discountCurve"&amp;COLUMN(),"String",K25)</f>
        <v>discountCurve10 
[11901]</v>
      </c>
      <c r="K25" s="23" t="str">
        <f>$C$17</f>
        <v>discount-EUR-OIS</v>
      </c>
      <c r="N25" s="18" t="str">
        <f>[1]!OBMAKE("discountCurve"&amp;COLUMN(),"String",O25)</f>
        <v>discountCurve14 
[11312]</v>
      </c>
      <c r="O25" s="23" t="str">
        <f>$C$17</f>
        <v>discount-EUR-OIS</v>
      </c>
      <c r="HW25" s="14"/>
      <c r="HX25" s="14"/>
      <c r="HY25" s="14"/>
      <c r="HZ25" s="14"/>
    </row>
    <row r="26" spans="2:234" ht="13.2" customHeight="1" x14ac:dyDescent="0.25">
      <c r="C26" s="18"/>
      <c r="F26" s="18"/>
      <c r="G26" s="18"/>
      <c r="J26" s="18"/>
      <c r="K26" s="18"/>
      <c r="N26" s="18"/>
      <c r="O26" s="18"/>
      <c r="HW26" s="14"/>
      <c r="HX26" s="14"/>
      <c r="HY26" s="14"/>
      <c r="HZ26" s="14"/>
    </row>
    <row r="27" spans="2:234" ht="13.2" customHeight="1" x14ac:dyDescent="0.25">
      <c r="C27" s="18"/>
      <c r="F27" s="18"/>
      <c r="G27" s="18"/>
      <c r="J27" s="16" t="s">
        <v>52</v>
      </c>
      <c r="K27" s="16"/>
      <c r="L27" s="16"/>
      <c r="N27" s="16" t="s">
        <v>52</v>
      </c>
      <c r="O27" s="16"/>
      <c r="P27" s="16"/>
      <c r="HW27" s="14"/>
      <c r="HX27" s="14"/>
      <c r="HY27" s="14"/>
      <c r="HZ27" s="14"/>
    </row>
    <row r="28" spans="2:234" ht="13.2" customHeight="1" x14ac:dyDescent="0.25">
      <c r="C28" s="18"/>
      <c r="F28" s="18"/>
      <c r="G28" s="18"/>
      <c r="J28" s="18" t="str">
        <f>[1]!OBMAKE("curve-"&amp;K17&amp;"-template",obLibs&amp;"net.finmath.marketdata.model.curves.ForwardCurveInterpolation",[1]!OBMAKE("","String",K17),$E$3,[1]!OBMAKE("","String",K18),J19:J25)</f>
        <v>curve-forward-EUR-3M-template 
[13315]</v>
      </c>
      <c r="N28" s="18" t="str">
        <f>[1]!OBMAKE("curve-"&amp;O17&amp;"-template",obLibs&amp;"net.finmath.marketdata.model.curves.ForwardCurveInterpolation",[1]!OBMAKE("","String",O17),$E$3,[1]!OBMAKE("","String",O18),N19:N25)</f>
        <v>curve-forward-EUR-6M-template 
[13813]</v>
      </c>
      <c r="HW28" s="14"/>
      <c r="HX28" s="14"/>
      <c r="HY28" s="14"/>
      <c r="HZ28" s="14"/>
    </row>
    <row r="29" spans="2:234" ht="13.2" customHeight="1" x14ac:dyDescent="0.25">
      <c r="C29" s="18"/>
      <c r="F29" s="18"/>
      <c r="G29" s="18"/>
      <c r="J29" s="18"/>
      <c r="N29" s="18"/>
      <c r="HW29" s="14"/>
      <c r="HX29" s="14"/>
      <c r="HY29" s="14"/>
      <c r="HZ29" s="14"/>
    </row>
    <row r="30" spans="2:234" ht="13.2" customHeight="1" x14ac:dyDescent="0.25">
      <c r="C30" s="18"/>
      <c r="F30" s="18"/>
      <c r="G30" s="18"/>
      <c r="J30" s="16" t="s">
        <v>53</v>
      </c>
      <c r="K30" s="16"/>
      <c r="L30" s="16"/>
      <c r="N30" s="16" t="s">
        <v>53</v>
      </c>
      <c r="O30" s="16"/>
      <c r="P30" s="16"/>
      <c r="HW30" s="14"/>
      <c r="HX30" s="14"/>
      <c r="HY30" s="14"/>
      <c r="HZ30" s="14"/>
    </row>
    <row r="31" spans="2:234" ht="13.2" customHeight="1" x14ac:dyDescent="0.25">
      <c r="C31" s="18"/>
      <c r="F31" s="18"/>
      <c r="G31" s="18"/>
      <c r="J31" s="18" t="str">
        <f>[1]!OBCALL("fixing curve "&amp;COLUMN(),obLibs&amp;"net.finmath.marketdata.model.curves.ForwardCurveInterpolation","createForwardCurveFromForwards",[1]!OBMAKE("","String",K17),[1]!OBMAKE("","double[]",K37:K357),[1]!OBMAKE("","double[]",L37:L357),[1]!OBMAKE("","double",0.25))</f>
        <v>fixing curve 10 
[12789]</v>
      </c>
      <c r="N31" s="18" t="str">
        <f>[1]!OBCALL("fixing curve "&amp;COLUMN(),obLibs&amp;"net.finmath.marketdata.model.curves.ForwardCurveInterpolation","createForwardCurveFromForwards",[1]!OBMAKE("","String",O17),[1]!OBMAKE("","double[]",O37:O357),[1]!OBMAKE("","double[]",P37:P357),[1]!OBMAKE("","double",0.25))</f>
        <v>fixing curve 14 
[13264]</v>
      </c>
      <c r="HW31" s="14"/>
      <c r="HX31" s="14"/>
      <c r="HY31" s="14"/>
      <c r="HZ31" s="14"/>
    </row>
    <row r="32" spans="2:234" ht="13.2" customHeight="1" x14ac:dyDescent="0.25">
      <c r="C32" s="18"/>
      <c r="G32" s="18"/>
      <c r="K32" s="18"/>
      <c r="O32" s="18"/>
      <c r="HW32" s="14"/>
      <c r="HX32" s="14"/>
      <c r="HY32" s="14"/>
      <c r="HZ32" s="14"/>
    </row>
    <row r="33" spans="2:234" ht="13.2" customHeight="1" x14ac:dyDescent="0.25">
      <c r="B33" s="16" t="s">
        <v>54</v>
      </c>
      <c r="C33" s="16"/>
      <c r="D33" s="16"/>
      <c r="F33" s="16" t="s">
        <v>54</v>
      </c>
      <c r="G33" s="16"/>
      <c r="H33" s="16"/>
      <c r="J33" s="16" t="s">
        <v>54</v>
      </c>
      <c r="K33" s="16"/>
      <c r="L33" s="16"/>
      <c r="N33" s="16" t="s">
        <v>54</v>
      </c>
      <c r="O33" s="16"/>
      <c r="P33" s="16"/>
      <c r="HW33" s="14"/>
      <c r="HX33" s="14"/>
      <c r="HY33" s="14"/>
      <c r="HZ33" s="14"/>
    </row>
    <row r="34" spans="2:234" ht="13.2" customHeight="1" x14ac:dyDescent="0.25">
      <c r="B34" s="24" t="str">
        <f>[1]!OBCALL("curveObject-"&amp;C17&amp;"-curveDef",obLibs&amp;"net.finmath.marketdata.model.curves.DiscountCurveInterpolation","createDiscountCurveFromZeroRates",[1]!OBMAKE("","String",C17),E3,[1]!OBMAKE("","double[]",C37:C357),[1]!OBMAKE("","double[]",D37:D357),B18:B20)</f>
        <v>curveObject-discount-EUR-OIS-curveDef 
[13326]</v>
      </c>
      <c r="C34" s="24"/>
      <c r="F34" s="24" t="str">
        <f>[1]!OBMAKE("curveObject-"&amp;G17&amp;"-curveDef",obLibs&amp;"net.finmath.marketdata.model.curves.ForwardCurveFromDiscountCurve",[1]!OBMAKE("","String",G17),[1]!OBMAKE("","String",C17),E3,F18)</f>
        <v>curveObject-forward-EUR-OIS-curveDef 
[13308]</v>
      </c>
      <c r="G34" s="24"/>
      <c r="J34" s="24" t="str">
        <f>[1]!OBMAKE("curveObject-"&amp;K17&amp;"-curveDef",obLibs&amp;"net.finmath.marketdata.model.curves.ForwardCurveWithFixings",J28,J31,[1]!OBMAKE("","double",-100),[1]!OBMAKE("","double",0))</f>
        <v>curveObject-forward-EUR-3M-curveDef 
[13318]</v>
      </c>
      <c r="K34" s="24"/>
      <c r="N34" s="24" t="str">
        <f>[1]!OBMAKE("curveObject-"&amp;O17&amp;"-curveDef",obLibs&amp;"net.finmath.marketdata.model.curves.ForwardCurveWithFixings",N28,N31,[1]!OBMAKE("","double",-100),[1]!OBMAKE("","double",0))</f>
        <v>curveObject-forward-EUR-6M-curveDef 
[13816]</v>
      </c>
      <c r="O34" s="24"/>
      <c r="HW34" s="14"/>
      <c r="HX34" s="14"/>
      <c r="HY34" s="14"/>
      <c r="HZ34" s="14"/>
    </row>
    <row r="35" spans="2:234" ht="12.75" customHeight="1" x14ac:dyDescent="0.25">
      <c r="HW35" s="14"/>
      <c r="HX35" s="14"/>
      <c r="HY35" s="14"/>
      <c r="HZ35" s="14"/>
    </row>
    <row r="36" spans="2:234" ht="13.2" customHeight="1" x14ac:dyDescent="0.25">
      <c r="B36" s="25" t="s">
        <v>55</v>
      </c>
      <c r="C36" s="25" t="s">
        <v>56</v>
      </c>
      <c r="D36" s="25" t="s">
        <v>57</v>
      </c>
      <c r="J36" s="25" t="s">
        <v>55</v>
      </c>
      <c r="K36" s="25" t="s">
        <v>56</v>
      </c>
      <c r="L36" s="25" t="s">
        <v>57</v>
      </c>
      <c r="N36" s="25" t="s">
        <v>55</v>
      </c>
      <c r="O36" s="25" t="s">
        <v>56</v>
      </c>
      <c r="P36" s="25" t="s">
        <v>57</v>
      </c>
      <c r="HW36" s="14"/>
      <c r="HX36" s="14"/>
      <c r="HY36" s="14"/>
      <c r="HZ36" s="14"/>
    </row>
    <row r="37" spans="2:234" ht="13.2" customHeight="1" x14ac:dyDescent="0.25">
      <c r="B37" s="26">
        <v>40917</v>
      </c>
      <c r="C37" s="27">
        <f t="shared" ref="C37:C100" si="0">IF($F$3&lt;B37,1,-1)*YEARFRAC($F$3,B37,3)</f>
        <v>-2.7397260273972603E-3</v>
      </c>
      <c r="D37" s="28">
        <v>2.01918209105E-3</v>
      </c>
      <c r="J37" s="26">
        <v>40917</v>
      </c>
      <c r="K37" s="27">
        <f t="shared" ref="K37:K100" si="1">IF($F$3&lt;J37,1,-1)*YEARFRAC($F$3,J37,3)</f>
        <v>-2.7397260273972603E-3</v>
      </c>
      <c r="L37" s="28">
        <v>3.2000000000000002E-3</v>
      </c>
      <c r="N37" s="26">
        <v>40917</v>
      </c>
      <c r="O37" s="27">
        <f t="shared" ref="O37:O100" si="2">IF($F$3&lt;N37,1,-1)*YEARFRAC($F$3,N37,3)</f>
        <v>-2.7397260273972603E-3</v>
      </c>
      <c r="P37" s="28">
        <v>6.1999999999999998E-3</v>
      </c>
      <c r="HW37" s="14"/>
      <c r="HX37" s="14"/>
      <c r="HY37" s="14"/>
      <c r="HZ37" s="14"/>
    </row>
    <row r="38" spans="2:234" ht="13.2" customHeight="1" x14ac:dyDescent="0.25">
      <c r="B38" s="26">
        <v>40916</v>
      </c>
      <c r="C38" s="27">
        <f t="shared" si="0"/>
        <v>-5.4794520547945206E-3</v>
      </c>
      <c r="D38" s="28">
        <v>2.01918209105E-3</v>
      </c>
      <c r="J38" s="26">
        <v>40916</v>
      </c>
      <c r="K38" s="27">
        <f t="shared" si="1"/>
        <v>-5.4794520547945206E-3</v>
      </c>
      <c r="L38" s="28">
        <v>3.2000000000000002E-3</v>
      </c>
      <c r="N38" s="26">
        <v>40916</v>
      </c>
      <c r="O38" s="27">
        <f t="shared" si="2"/>
        <v>-5.4794520547945206E-3</v>
      </c>
      <c r="P38" s="28">
        <v>6.1999999999999998E-3</v>
      </c>
      <c r="HW38" s="14"/>
      <c r="HX38" s="14"/>
      <c r="HY38" s="14"/>
      <c r="HZ38" s="14"/>
    </row>
    <row r="39" spans="2:234" ht="13.2" customHeight="1" x14ac:dyDescent="0.25">
      <c r="B39" s="26">
        <v>40915</v>
      </c>
      <c r="C39" s="27">
        <f t="shared" si="0"/>
        <v>-8.21917808219178E-3</v>
      </c>
      <c r="D39" s="28">
        <v>2.01918209105E-3</v>
      </c>
      <c r="J39" s="26">
        <v>40915</v>
      </c>
      <c r="K39" s="27">
        <f t="shared" si="1"/>
        <v>-8.21917808219178E-3</v>
      </c>
      <c r="L39" s="28">
        <v>3.2000000000000002E-3</v>
      </c>
      <c r="N39" s="26">
        <v>40915</v>
      </c>
      <c r="O39" s="27">
        <f t="shared" si="2"/>
        <v>-8.21917808219178E-3</v>
      </c>
      <c r="P39" s="28">
        <v>6.1999999999999998E-3</v>
      </c>
      <c r="HW39" s="14"/>
      <c r="HX39" s="14"/>
      <c r="HY39" s="14"/>
      <c r="HZ39" s="14"/>
    </row>
    <row r="40" spans="2:234" ht="13.2" customHeight="1" x14ac:dyDescent="0.25">
      <c r="B40" s="26">
        <v>40914</v>
      </c>
      <c r="C40" s="27">
        <f t="shared" si="0"/>
        <v>-1.0958904109589041E-2</v>
      </c>
      <c r="D40" s="28">
        <v>2.01918209105E-3</v>
      </c>
      <c r="J40" s="26">
        <v>40914</v>
      </c>
      <c r="K40" s="27">
        <f t="shared" si="1"/>
        <v>-1.0958904109589041E-2</v>
      </c>
      <c r="L40" s="28">
        <v>3.2000000000000002E-3</v>
      </c>
      <c r="N40" s="26">
        <v>40914</v>
      </c>
      <c r="O40" s="27">
        <f t="shared" si="2"/>
        <v>-1.0958904109589041E-2</v>
      </c>
      <c r="P40" s="28">
        <v>6.1999999999999998E-3</v>
      </c>
      <c r="HW40" s="14"/>
      <c r="HX40" s="14"/>
      <c r="HY40" s="14"/>
      <c r="HZ40" s="14"/>
    </row>
    <row r="41" spans="2:234" ht="13.2" customHeight="1" x14ac:dyDescent="0.25">
      <c r="B41" s="26">
        <v>40913</v>
      </c>
      <c r="C41" s="27">
        <f t="shared" si="0"/>
        <v>-1.3698630136986301E-2</v>
      </c>
      <c r="D41" s="28">
        <v>2.01918209105E-3</v>
      </c>
      <c r="J41" s="26">
        <v>40913</v>
      </c>
      <c r="K41" s="27">
        <f t="shared" si="1"/>
        <v>-1.3698630136986301E-2</v>
      </c>
      <c r="L41" s="28">
        <v>3.2000000000000002E-3</v>
      </c>
      <c r="N41" s="26">
        <v>40913</v>
      </c>
      <c r="O41" s="27">
        <f t="shared" si="2"/>
        <v>-1.3698630136986301E-2</v>
      </c>
      <c r="P41" s="28">
        <v>6.1999999999999998E-3</v>
      </c>
      <c r="HW41" s="14"/>
      <c r="HX41" s="14"/>
      <c r="HY41" s="14"/>
      <c r="HZ41" s="14"/>
    </row>
    <row r="42" spans="2:234" ht="13.2" customHeight="1" x14ac:dyDescent="0.25">
      <c r="B42" s="26">
        <v>40912</v>
      </c>
      <c r="C42" s="27">
        <f t="shared" si="0"/>
        <v>-1.643835616438356E-2</v>
      </c>
      <c r="D42" s="28">
        <v>2.01918209105E-3</v>
      </c>
      <c r="J42" s="26">
        <v>40912</v>
      </c>
      <c r="K42" s="27">
        <f t="shared" si="1"/>
        <v>-1.643835616438356E-2</v>
      </c>
      <c r="L42" s="28">
        <v>3.2000000000000002E-3</v>
      </c>
      <c r="N42" s="26">
        <v>40912</v>
      </c>
      <c r="O42" s="27">
        <f t="shared" si="2"/>
        <v>-1.643835616438356E-2</v>
      </c>
      <c r="P42" s="28">
        <v>6.1999999999999998E-3</v>
      </c>
      <c r="HW42" s="14"/>
      <c r="HX42" s="14"/>
      <c r="HY42" s="14"/>
      <c r="HZ42" s="14"/>
    </row>
    <row r="43" spans="2:234" ht="13.2" customHeight="1" x14ac:dyDescent="0.25">
      <c r="B43" s="26">
        <v>40911</v>
      </c>
      <c r="C43" s="27">
        <f t="shared" si="0"/>
        <v>-1.9178082191780823E-2</v>
      </c>
      <c r="D43" s="28">
        <v>2.01918209105E-3</v>
      </c>
      <c r="J43" s="26">
        <v>40911</v>
      </c>
      <c r="K43" s="27">
        <f t="shared" si="1"/>
        <v>-1.9178082191780823E-2</v>
      </c>
      <c r="L43" s="28">
        <v>3.2000000000000002E-3</v>
      </c>
      <c r="N43" s="26">
        <v>40911</v>
      </c>
      <c r="O43" s="27">
        <f t="shared" si="2"/>
        <v>-1.9178082191780823E-2</v>
      </c>
      <c r="P43" s="28">
        <v>6.1999999999999998E-3</v>
      </c>
      <c r="HW43" s="14"/>
      <c r="HX43" s="14"/>
      <c r="HY43" s="14"/>
      <c r="HZ43" s="14"/>
    </row>
    <row r="44" spans="2:234" ht="13.2" customHeight="1" x14ac:dyDescent="0.25">
      <c r="B44" s="26">
        <v>40910</v>
      </c>
      <c r="C44" s="27">
        <f t="shared" si="0"/>
        <v>-2.1917808219178082E-2</v>
      </c>
      <c r="D44" s="28">
        <v>2.01918209105E-3</v>
      </c>
      <c r="J44" s="26">
        <v>40910</v>
      </c>
      <c r="K44" s="27">
        <f t="shared" si="1"/>
        <v>-2.1917808219178082E-2</v>
      </c>
      <c r="L44" s="28">
        <v>3.2000000000000002E-3</v>
      </c>
      <c r="N44" s="26">
        <v>40910</v>
      </c>
      <c r="O44" s="27">
        <f t="shared" si="2"/>
        <v>-2.1917808219178082E-2</v>
      </c>
      <c r="P44" s="28">
        <v>6.1999999999999998E-3</v>
      </c>
      <c r="HW44" s="14"/>
      <c r="HX44" s="14"/>
      <c r="HY44" s="14"/>
      <c r="HZ44" s="14"/>
    </row>
    <row r="45" spans="2:234" ht="13.2" customHeight="1" x14ac:dyDescent="0.25">
      <c r="B45" s="26">
        <v>40909</v>
      </c>
      <c r="C45" s="27">
        <f t="shared" si="0"/>
        <v>-2.4657534246575342E-2</v>
      </c>
      <c r="D45" s="28">
        <v>2.01918209105E-3</v>
      </c>
      <c r="J45" s="26">
        <v>40909</v>
      </c>
      <c r="K45" s="27">
        <f t="shared" si="1"/>
        <v>-2.4657534246575342E-2</v>
      </c>
      <c r="L45" s="28">
        <v>3.2000000000000002E-3</v>
      </c>
      <c r="N45" s="26">
        <v>40909</v>
      </c>
      <c r="O45" s="27">
        <f t="shared" si="2"/>
        <v>-2.4657534246575342E-2</v>
      </c>
      <c r="P45" s="28">
        <v>6.1999999999999998E-3</v>
      </c>
      <c r="HW45" s="14"/>
      <c r="HX45" s="14"/>
      <c r="HY45" s="14"/>
      <c r="HZ45" s="14"/>
    </row>
    <row r="46" spans="2:234" ht="13.2" customHeight="1" x14ac:dyDescent="0.25">
      <c r="B46" s="26">
        <v>40908</v>
      </c>
      <c r="C46" s="27">
        <f t="shared" si="0"/>
        <v>-2.7397260273972601E-2</v>
      </c>
      <c r="D46" s="28">
        <v>2.01918209105E-3</v>
      </c>
      <c r="J46" s="26">
        <v>40908</v>
      </c>
      <c r="K46" s="27">
        <f t="shared" si="1"/>
        <v>-2.7397260273972601E-2</v>
      </c>
      <c r="L46" s="28">
        <v>3.2000000000000002E-3</v>
      </c>
      <c r="N46" s="26">
        <v>40908</v>
      </c>
      <c r="O46" s="27">
        <f t="shared" si="2"/>
        <v>-2.7397260273972601E-2</v>
      </c>
      <c r="P46" s="28">
        <v>6.1999999999999998E-3</v>
      </c>
      <c r="HW46" s="14"/>
      <c r="HX46" s="14"/>
      <c r="HY46" s="14"/>
      <c r="HZ46" s="14"/>
    </row>
    <row r="47" spans="2:234" ht="13.2" customHeight="1" x14ac:dyDescent="0.25">
      <c r="B47" s="26">
        <v>40907</v>
      </c>
      <c r="C47" s="27">
        <f t="shared" si="0"/>
        <v>-3.0136986301369864E-2</v>
      </c>
      <c r="D47" s="28">
        <v>2.01918209105E-3</v>
      </c>
      <c r="J47" s="26">
        <v>40907</v>
      </c>
      <c r="K47" s="27">
        <f t="shared" si="1"/>
        <v>-3.0136986301369864E-2</v>
      </c>
      <c r="L47" s="28">
        <v>3.2000000000000002E-3</v>
      </c>
      <c r="N47" s="26">
        <v>40907</v>
      </c>
      <c r="O47" s="27">
        <f t="shared" si="2"/>
        <v>-3.0136986301369864E-2</v>
      </c>
      <c r="P47" s="28">
        <v>6.1999999999999998E-3</v>
      </c>
      <c r="HW47" s="14"/>
      <c r="HX47" s="14"/>
      <c r="HY47" s="14"/>
      <c r="HZ47" s="14"/>
    </row>
    <row r="48" spans="2:234" ht="13.2" customHeight="1" x14ac:dyDescent="0.25">
      <c r="B48" s="26">
        <v>40906</v>
      </c>
      <c r="C48" s="27">
        <f t="shared" si="0"/>
        <v>-3.287671232876712E-2</v>
      </c>
      <c r="D48" s="28">
        <v>2.01918209105E-3</v>
      </c>
      <c r="J48" s="26">
        <v>40906</v>
      </c>
      <c r="K48" s="27">
        <f t="shared" si="1"/>
        <v>-3.287671232876712E-2</v>
      </c>
      <c r="L48" s="28">
        <v>3.2000000000000002E-3</v>
      </c>
      <c r="N48" s="26">
        <v>40906</v>
      </c>
      <c r="O48" s="27">
        <f t="shared" si="2"/>
        <v>-3.287671232876712E-2</v>
      </c>
      <c r="P48" s="28">
        <v>6.1999999999999998E-3</v>
      </c>
      <c r="HW48" s="14"/>
      <c r="HX48" s="14"/>
      <c r="HY48" s="14"/>
      <c r="HZ48" s="14"/>
    </row>
    <row r="49" spans="2:234" ht="13.2" customHeight="1" x14ac:dyDescent="0.25">
      <c r="B49" s="26">
        <v>40905</v>
      </c>
      <c r="C49" s="27">
        <f t="shared" si="0"/>
        <v>-3.5616438356164383E-2</v>
      </c>
      <c r="D49" s="28">
        <v>2.01918209105E-3</v>
      </c>
      <c r="J49" s="26">
        <v>40905</v>
      </c>
      <c r="K49" s="27">
        <f t="shared" si="1"/>
        <v>-3.5616438356164383E-2</v>
      </c>
      <c r="L49" s="28">
        <v>3.2000000000000002E-3</v>
      </c>
      <c r="N49" s="26">
        <v>40905</v>
      </c>
      <c r="O49" s="27">
        <f t="shared" si="2"/>
        <v>-3.5616438356164383E-2</v>
      </c>
      <c r="P49" s="28">
        <v>6.1999999999999998E-3</v>
      </c>
      <c r="HW49" s="14"/>
      <c r="HX49" s="14"/>
      <c r="HY49" s="14"/>
      <c r="HZ49" s="14"/>
    </row>
    <row r="50" spans="2:234" ht="13.2" customHeight="1" x14ac:dyDescent="0.25">
      <c r="B50" s="26">
        <v>40904</v>
      </c>
      <c r="C50" s="27">
        <f t="shared" si="0"/>
        <v>-3.8356164383561646E-2</v>
      </c>
      <c r="D50" s="28">
        <v>2.01918209105E-3</v>
      </c>
      <c r="J50" s="26">
        <v>40904</v>
      </c>
      <c r="K50" s="27">
        <f t="shared" si="1"/>
        <v>-3.8356164383561646E-2</v>
      </c>
      <c r="L50" s="28">
        <v>3.2000000000000002E-3</v>
      </c>
      <c r="N50" s="26">
        <v>40904</v>
      </c>
      <c r="O50" s="27">
        <f t="shared" si="2"/>
        <v>-3.8356164383561646E-2</v>
      </c>
      <c r="P50" s="28">
        <v>6.1999999999999998E-3</v>
      </c>
      <c r="HW50" s="14"/>
      <c r="HX50" s="14"/>
      <c r="HY50" s="14"/>
      <c r="HZ50" s="14"/>
    </row>
    <row r="51" spans="2:234" ht="13.2" customHeight="1" x14ac:dyDescent="0.25">
      <c r="B51" s="26">
        <v>40903</v>
      </c>
      <c r="C51" s="27">
        <f t="shared" si="0"/>
        <v>-4.1095890410958902E-2</v>
      </c>
      <c r="D51" s="28">
        <v>2.01918209105E-3</v>
      </c>
      <c r="J51" s="26">
        <v>40903</v>
      </c>
      <c r="K51" s="27">
        <f t="shared" si="1"/>
        <v>-4.1095890410958902E-2</v>
      </c>
      <c r="L51" s="28">
        <v>3.2000000000000002E-3</v>
      </c>
      <c r="N51" s="26">
        <v>40903</v>
      </c>
      <c r="O51" s="27">
        <f t="shared" si="2"/>
        <v>-4.1095890410958902E-2</v>
      </c>
      <c r="P51" s="28">
        <v>6.1999999999999998E-3</v>
      </c>
      <c r="HW51" s="14"/>
      <c r="HX51" s="14"/>
      <c r="HY51" s="14"/>
      <c r="HZ51" s="14"/>
    </row>
    <row r="52" spans="2:234" ht="13.2" customHeight="1" x14ac:dyDescent="0.25">
      <c r="B52" s="26">
        <v>40902</v>
      </c>
      <c r="C52" s="27">
        <f t="shared" si="0"/>
        <v>-4.3835616438356165E-2</v>
      </c>
      <c r="D52" s="28">
        <v>2.01918209105E-3</v>
      </c>
      <c r="J52" s="26">
        <v>40902</v>
      </c>
      <c r="K52" s="27">
        <f t="shared" si="1"/>
        <v>-4.3835616438356165E-2</v>
      </c>
      <c r="L52" s="28">
        <v>3.2000000000000002E-3</v>
      </c>
      <c r="N52" s="26">
        <v>40902</v>
      </c>
      <c r="O52" s="27">
        <f t="shared" si="2"/>
        <v>-4.3835616438356165E-2</v>
      </c>
      <c r="P52" s="28">
        <v>6.1999999999999998E-3</v>
      </c>
      <c r="HW52" s="14"/>
      <c r="HX52" s="14"/>
      <c r="HY52" s="14"/>
      <c r="HZ52" s="14"/>
    </row>
    <row r="53" spans="2:234" ht="13.2" customHeight="1" x14ac:dyDescent="0.25">
      <c r="B53" s="26">
        <v>40901</v>
      </c>
      <c r="C53" s="27">
        <f t="shared" si="0"/>
        <v>-4.6575342465753428E-2</v>
      </c>
      <c r="D53" s="28">
        <v>2.01918209105E-3</v>
      </c>
      <c r="J53" s="26">
        <v>40901</v>
      </c>
      <c r="K53" s="27">
        <f t="shared" si="1"/>
        <v>-4.6575342465753428E-2</v>
      </c>
      <c r="L53" s="28">
        <v>3.2000000000000002E-3</v>
      </c>
      <c r="N53" s="26">
        <v>40901</v>
      </c>
      <c r="O53" s="27">
        <f t="shared" si="2"/>
        <v>-4.6575342465753428E-2</v>
      </c>
      <c r="P53" s="28">
        <v>6.1999999999999998E-3</v>
      </c>
      <c r="HW53" s="14"/>
      <c r="HX53" s="14"/>
      <c r="HY53" s="14"/>
      <c r="HZ53" s="14"/>
    </row>
    <row r="54" spans="2:234" ht="13.2" customHeight="1" x14ac:dyDescent="0.25">
      <c r="B54" s="26">
        <v>40900</v>
      </c>
      <c r="C54" s="27">
        <f t="shared" si="0"/>
        <v>-4.9315068493150684E-2</v>
      </c>
      <c r="D54" s="28">
        <v>2.01918209105E-3</v>
      </c>
      <c r="J54" s="26">
        <v>40900</v>
      </c>
      <c r="K54" s="27">
        <f t="shared" si="1"/>
        <v>-4.9315068493150684E-2</v>
      </c>
      <c r="L54" s="28">
        <v>3.2000000000000002E-3</v>
      </c>
      <c r="N54" s="26">
        <v>40900</v>
      </c>
      <c r="O54" s="27">
        <f t="shared" si="2"/>
        <v>-4.9315068493150684E-2</v>
      </c>
      <c r="P54" s="28">
        <v>6.1999999999999998E-3</v>
      </c>
      <c r="HW54" s="14"/>
      <c r="HX54" s="14"/>
      <c r="HY54" s="14"/>
      <c r="HZ54" s="14"/>
    </row>
    <row r="55" spans="2:234" ht="13.2" customHeight="1" x14ac:dyDescent="0.25">
      <c r="B55" s="26">
        <v>40899</v>
      </c>
      <c r="C55" s="27">
        <f t="shared" si="0"/>
        <v>-5.2054794520547946E-2</v>
      </c>
      <c r="D55" s="28">
        <v>2.01918209105E-3</v>
      </c>
      <c r="J55" s="26">
        <v>40899</v>
      </c>
      <c r="K55" s="27">
        <f t="shared" si="1"/>
        <v>-5.2054794520547946E-2</v>
      </c>
      <c r="L55" s="28">
        <v>3.2000000000000002E-3</v>
      </c>
      <c r="N55" s="26">
        <v>40899</v>
      </c>
      <c r="O55" s="27">
        <f t="shared" si="2"/>
        <v>-5.2054794520547946E-2</v>
      </c>
      <c r="P55" s="28">
        <v>6.1999999999999998E-3</v>
      </c>
      <c r="HW55" s="14"/>
      <c r="HX55" s="14"/>
      <c r="HY55" s="14"/>
      <c r="HZ55" s="14"/>
    </row>
    <row r="56" spans="2:234" ht="13.2" customHeight="1" x14ac:dyDescent="0.25">
      <c r="B56" s="26">
        <v>40898</v>
      </c>
      <c r="C56" s="27">
        <f t="shared" si="0"/>
        <v>-5.4794520547945202E-2</v>
      </c>
      <c r="D56" s="28">
        <v>2.01918209105E-3</v>
      </c>
      <c r="J56" s="26">
        <v>40898</v>
      </c>
      <c r="K56" s="27">
        <f t="shared" si="1"/>
        <v>-5.4794520547945202E-2</v>
      </c>
      <c r="L56" s="28">
        <v>3.2000000000000002E-3</v>
      </c>
      <c r="N56" s="26">
        <v>40898</v>
      </c>
      <c r="O56" s="27">
        <f t="shared" si="2"/>
        <v>-5.4794520547945202E-2</v>
      </c>
      <c r="P56" s="28">
        <v>6.1999999999999998E-3</v>
      </c>
      <c r="HW56" s="14"/>
      <c r="HX56" s="14"/>
      <c r="HY56" s="14"/>
      <c r="HZ56" s="14"/>
    </row>
    <row r="57" spans="2:234" ht="13.2" customHeight="1" x14ac:dyDescent="0.25">
      <c r="B57" s="26">
        <v>40897</v>
      </c>
      <c r="C57" s="27">
        <f t="shared" si="0"/>
        <v>-5.7534246575342465E-2</v>
      </c>
      <c r="D57" s="28">
        <v>2.01918209105E-3</v>
      </c>
      <c r="J57" s="26">
        <v>40897</v>
      </c>
      <c r="K57" s="27">
        <f t="shared" si="1"/>
        <v>-5.7534246575342465E-2</v>
      </c>
      <c r="L57" s="28">
        <v>3.2000000000000002E-3</v>
      </c>
      <c r="N57" s="26">
        <v>40897</v>
      </c>
      <c r="O57" s="27">
        <f t="shared" si="2"/>
        <v>-5.7534246575342465E-2</v>
      </c>
      <c r="P57" s="28">
        <v>6.1999999999999998E-3</v>
      </c>
      <c r="HW57" s="14"/>
      <c r="HX57" s="14"/>
      <c r="HY57" s="14"/>
      <c r="HZ57" s="14"/>
    </row>
    <row r="58" spans="2:234" ht="13.2" customHeight="1" x14ac:dyDescent="0.25">
      <c r="B58" s="26">
        <v>40896</v>
      </c>
      <c r="C58" s="27">
        <f t="shared" si="0"/>
        <v>-6.0273972602739728E-2</v>
      </c>
      <c r="D58" s="28">
        <v>2.01918209105E-3</v>
      </c>
      <c r="J58" s="26">
        <v>40896</v>
      </c>
      <c r="K58" s="27">
        <f t="shared" si="1"/>
        <v>-6.0273972602739728E-2</v>
      </c>
      <c r="L58" s="28">
        <v>3.2000000000000002E-3</v>
      </c>
      <c r="N58" s="26">
        <v>40896</v>
      </c>
      <c r="O58" s="27">
        <f t="shared" si="2"/>
        <v>-6.0273972602739728E-2</v>
      </c>
      <c r="P58" s="28">
        <v>6.1999999999999998E-3</v>
      </c>
      <c r="HW58" s="14"/>
      <c r="HX58" s="14"/>
      <c r="HY58" s="14"/>
      <c r="HZ58" s="14"/>
    </row>
    <row r="59" spans="2:234" ht="13.2" customHeight="1" x14ac:dyDescent="0.25">
      <c r="B59" s="26">
        <v>40895</v>
      </c>
      <c r="C59" s="27">
        <f t="shared" si="0"/>
        <v>-6.3013698630136991E-2</v>
      </c>
      <c r="D59" s="28">
        <v>2.01918209105E-3</v>
      </c>
      <c r="J59" s="26">
        <v>40895</v>
      </c>
      <c r="K59" s="27">
        <f t="shared" si="1"/>
        <v>-6.3013698630136991E-2</v>
      </c>
      <c r="L59" s="28">
        <v>3.2000000000000002E-3</v>
      </c>
      <c r="N59" s="26">
        <v>40895</v>
      </c>
      <c r="O59" s="27">
        <f t="shared" si="2"/>
        <v>-6.3013698630136991E-2</v>
      </c>
      <c r="P59" s="28">
        <v>6.1999999999999998E-3</v>
      </c>
      <c r="HW59" s="14"/>
      <c r="HX59" s="14"/>
      <c r="HY59" s="14"/>
      <c r="HZ59" s="14"/>
    </row>
    <row r="60" spans="2:234" ht="13.2" customHeight="1" x14ac:dyDescent="0.25">
      <c r="B60" s="26">
        <v>40894</v>
      </c>
      <c r="C60" s="27">
        <f t="shared" si="0"/>
        <v>-6.575342465753424E-2</v>
      </c>
      <c r="D60" s="28">
        <v>2.01918209105E-3</v>
      </c>
      <c r="J60" s="26">
        <v>40894</v>
      </c>
      <c r="K60" s="27">
        <f t="shared" si="1"/>
        <v>-6.575342465753424E-2</v>
      </c>
      <c r="L60" s="28">
        <v>3.2000000000000002E-3</v>
      </c>
      <c r="N60" s="26">
        <v>40894</v>
      </c>
      <c r="O60" s="27">
        <f t="shared" si="2"/>
        <v>-6.575342465753424E-2</v>
      </c>
      <c r="P60" s="28">
        <v>6.1999999999999998E-3</v>
      </c>
      <c r="HW60" s="14"/>
      <c r="HX60" s="14"/>
      <c r="HY60" s="14"/>
      <c r="HZ60" s="14"/>
    </row>
    <row r="61" spans="2:234" ht="13.2" customHeight="1" x14ac:dyDescent="0.25">
      <c r="B61" s="26">
        <v>40893</v>
      </c>
      <c r="C61" s="27">
        <f t="shared" si="0"/>
        <v>-6.8493150684931503E-2</v>
      </c>
      <c r="D61" s="28">
        <v>2.01918209105E-3</v>
      </c>
      <c r="J61" s="26">
        <v>40893</v>
      </c>
      <c r="K61" s="27">
        <f t="shared" si="1"/>
        <v>-6.8493150684931503E-2</v>
      </c>
      <c r="L61" s="28">
        <v>3.2000000000000002E-3</v>
      </c>
      <c r="N61" s="26">
        <v>40893</v>
      </c>
      <c r="O61" s="27">
        <f t="shared" si="2"/>
        <v>-6.8493150684931503E-2</v>
      </c>
      <c r="P61" s="28">
        <v>6.1999999999999998E-3</v>
      </c>
      <c r="HW61" s="14"/>
      <c r="HX61" s="14"/>
      <c r="HY61" s="14"/>
      <c r="HZ61" s="14"/>
    </row>
    <row r="62" spans="2:234" ht="13.2" customHeight="1" x14ac:dyDescent="0.25">
      <c r="B62" s="26">
        <v>40892</v>
      </c>
      <c r="C62" s="27">
        <f t="shared" si="0"/>
        <v>-7.1232876712328766E-2</v>
      </c>
      <c r="D62" s="28">
        <v>2.01918209105E-3</v>
      </c>
      <c r="J62" s="26">
        <v>40892</v>
      </c>
      <c r="K62" s="27">
        <f t="shared" si="1"/>
        <v>-7.1232876712328766E-2</v>
      </c>
      <c r="L62" s="28">
        <v>3.2000000000000002E-3</v>
      </c>
      <c r="N62" s="26">
        <v>40892</v>
      </c>
      <c r="O62" s="27">
        <f t="shared" si="2"/>
        <v>-7.1232876712328766E-2</v>
      </c>
      <c r="P62" s="28">
        <v>6.1999999999999998E-3</v>
      </c>
      <c r="HW62" s="14"/>
      <c r="HX62" s="14"/>
      <c r="HY62" s="14"/>
      <c r="HZ62" s="14"/>
    </row>
    <row r="63" spans="2:234" ht="13.2" customHeight="1" x14ac:dyDescent="0.25">
      <c r="B63" s="26">
        <v>40891</v>
      </c>
      <c r="C63" s="27">
        <f t="shared" si="0"/>
        <v>-7.3972602739726029E-2</v>
      </c>
      <c r="D63" s="28">
        <v>2.01918209105E-3</v>
      </c>
      <c r="J63" s="26">
        <v>40891</v>
      </c>
      <c r="K63" s="27">
        <f t="shared" si="1"/>
        <v>-7.3972602739726029E-2</v>
      </c>
      <c r="L63" s="28">
        <v>3.2000000000000002E-3</v>
      </c>
      <c r="N63" s="26">
        <v>40891</v>
      </c>
      <c r="O63" s="27">
        <f t="shared" si="2"/>
        <v>-7.3972602739726029E-2</v>
      </c>
      <c r="P63" s="28">
        <v>6.1999999999999998E-3</v>
      </c>
      <c r="HW63" s="14"/>
      <c r="HX63" s="14"/>
      <c r="HY63" s="14"/>
      <c r="HZ63" s="14"/>
    </row>
    <row r="64" spans="2:234" ht="13.2" customHeight="1" x14ac:dyDescent="0.25">
      <c r="B64" s="26">
        <v>40890</v>
      </c>
      <c r="C64" s="27">
        <f t="shared" si="0"/>
        <v>-7.6712328767123292E-2</v>
      </c>
      <c r="D64" s="28">
        <v>2.01918209105E-3</v>
      </c>
      <c r="J64" s="26">
        <v>40890</v>
      </c>
      <c r="K64" s="27">
        <f t="shared" si="1"/>
        <v>-7.6712328767123292E-2</v>
      </c>
      <c r="L64" s="28">
        <v>3.2000000000000002E-3</v>
      </c>
      <c r="N64" s="26">
        <v>40890</v>
      </c>
      <c r="O64" s="27">
        <f t="shared" si="2"/>
        <v>-7.6712328767123292E-2</v>
      </c>
      <c r="P64" s="28">
        <v>6.1999999999999998E-3</v>
      </c>
      <c r="HW64" s="14"/>
      <c r="HX64" s="14"/>
      <c r="HY64" s="14"/>
      <c r="HZ64" s="14"/>
    </row>
    <row r="65" spans="2:234" ht="13.2" customHeight="1" x14ac:dyDescent="0.25">
      <c r="B65" s="26">
        <v>40889</v>
      </c>
      <c r="C65" s="27">
        <f t="shared" si="0"/>
        <v>-7.9452054794520555E-2</v>
      </c>
      <c r="D65" s="28">
        <v>2.01918209105E-3</v>
      </c>
      <c r="J65" s="26">
        <v>40889</v>
      </c>
      <c r="K65" s="27">
        <f t="shared" si="1"/>
        <v>-7.9452054794520555E-2</v>
      </c>
      <c r="L65" s="28">
        <v>3.2000000000000002E-3</v>
      </c>
      <c r="N65" s="26">
        <v>40889</v>
      </c>
      <c r="O65" s="27">
        <f t="shared" si="2"/>
        <v>-7.9452054794520555E-2</v>
      </c>
      <c r="P65" s="28">
        <v>6.1999999999999998E-3</v>
      </c>
      <c r="HW65" s="14"/>
      <c r="HX65" s="14"/>
      <c r="HY65" s="14"/>
      <c r="HZ65" s="14"/>
    </row>
    <row r="66" spans="2:234" ht="13.2" customHeight="1" x14ac:dyDescent="0.25">
      <c r="B66" s="26">
        <v>40888</v>
      </c>
      <c r="C66" s="27">
        <f t="shared" si="0"/>
        <v>-8.2191780821917804E-2</v>
      </c>
      <c r="D66" s="28">
        <v>2.01918209105E-3</v>
      </c>
      <c r="J66" s="26">
        <v>40888</v>
      </c>
      <c r="K66" s="27">
        <f t="shared" si="1"/>
        <v>-8.2191780821917804E-2</v>
      </c>
      <c r="L66" s="28">
        <v>3.2000000000000002E-3</v>
      </c>
      <c r="N66" s="26">
        <v>40888</v>
      </c>
      <c r="O66" s="27">
        <f t="shared" si="2"/>
        <v>-8.2191780821917804E-2</v>
      </c>
      <c r="P66" s="28">
        <v>6.1999999999999998E-3</v>
      </c>
      <c r="HW66" s="14"/>
      <c r="HX66" s="14"/>
      <c r="HY66" s="14"/>
      <c r="HZ66" s="14"/>
    </row>
    <row r="67" spans="2:234" ht="13.2" customHeight="1" x14ac:dyDescent="0.25">
      <c r="B67" s="26">
        <v>40887</v>
      </c>
      <c r="C67" s="27">
        <f t="shared" si="0"/>
        <v>-8.4931506849315067E-2</v>
      </c>
      <c r="D67" s="28">
        <v>2.01918209105E-3</v>
      </c>
      <c r="J67" s="26">
        <v>40887</v>
      </c>
      <c r="K67" s="27">
        <f t="shared" si="1"/>
        <v>-8.4931506849315067E-2</v>
      </c>
      <c r="L67" s="28">
        <v>3.2000000000000002E-3</v>
      </c>
      <c r="N67" s="26">
        <v>40887</v>
      </c>
      <c r="O67" s="27">
        <f t="shared" si="2"/>
        <v>-8.4931506849315067E-2</v>
      </c>
      <c r="P67" s="28">
        <v>6.1999999999999998E-3</v>
      </c>
      <c r="HW67" s="14"/>
      <c r="HX67" s="14"/>
      <c r="HY67" s="14"/>
      <c r="HZ67" s="14"/>
    </row>
    <row r="68" spans="2:234" ht="13.2" customHeight="1" x14ac:dyDescent="0.25">
      <c r="B68" s="26">
        <v>40886</v>
      </c>
      <c r="C68" s="27">
        <f t="shared" si="0"/>
        <v>-8.7671232876712329E-2</v>
      </c>
      <c r="D68" s="28">
        <v>2.01918209105E-3</v>
      </c>
      <c r="J68" s="26">
        <v>40886</v>
      </c>
      <c r="K68" s="27">
        <f t="shared" si="1"/>
        <v>-8.7671232876712329E-2</v>
      </c>
      <c r="L68" s="28">
        <v>3.2000000000000002E-3</v>
      </c>
      <c r="N68" s="26">
        <v>40886</v>
      </c>
      <c r="O68" s="27">
        <f t="shared" si="2"/>
        <v>-8.7671232876712329E-2</v>
      </c>
      <c r="P68" s="28">
        <v>6.1999999999999998E-3</v>
      </c>
      <c r="HW68" s="14"/>
      <c r="HX68" s="14"/>
      <c r="HY68" s="14"/>
      <c r="HZ68" s="14"/>
    </row>
    <row r="69" spans="2:234" ht="13.2" customHeight="1" x14ac:dyDescent="0.25">
      <c r="B69" s="26">
        <v>40885</v>
      </c>
      <c r="C69" s="27">
        <f t="shared" si="0"/>
        <v>-9.0410958904109592E-2</v>
      </c>
      <c r="D69" s="28">
        <v>2.01918209105E-3</v>
      </c>
      <c r="J69" s="26">
        <v>40885</v>
      </c>
      <c r="K69" s="27">
        <f t="shared" si="1"/>
        <v>-9.0410958904109592E-2</v>
      </c>
      <c r="L69" s="28">
        <v>3.2000000000000002E-3</v>
      </c>
      <c r="N69" s="26">
        <v>40885</v>
      </c>
      <c r="O69" s="27">
        <f t="shared" si="2"/>
        <v>-9.0410958904109592E-2</v>
      </c>
      <c r="P69" s="28">
        <v>6.1999999999999998E-3</v>
      </c>
      <c r="HW69" s="14"/>
      <c r="HX69" s="14"/>
      <c r="HY69" s="14"/>
      <c r="HZ69" s="14"/>
    </row>
    <row r="70" spans="2:234" ht="13.2" customHeight="1" x14ac:dyDescent="0.25">
      <c r="B70" s="26">
        <v>40884</v>
      </c>
      <c r="C70" s="27">
        <f t="shared" si="0"/>
        <v>-9.3150684931506855E-2</v>
      </c>
      <c r="D70" s="28">
        <v>2.01918209105E-3</v>
      </c>
      <c r="J70" s="26">
        <v>40884</v>
      </c>
      <c r="K70" s="27">
        <f t="shared" si="1"/>
        <v>-9.3150684931506855E-2</v>
      </c>
      <c r="L70" s="28">
        <v>3.2000000000000002E-3</v>
      </c>
      <c r="N70" s="26">
        <v>40884</v>
      </c>
      <c r="O70" s="27">
        <f t="shared" si="2"/>
        <v>-9.3150684931506855E-2</v>
      </c>
      <c r="P70" s="28">
        <v>6.1999999999999998E-3</v>
      </c>
      <c r="HW70" s="14"/>
      <c r="HX70" s="14"/>
      <c r="HY70" s="14"/>
      <c r="HZ70" s="14"/>
    </row>
    <row r="71" spans="2:234" ht="13.2" customHeight="1" x14ac:dyDescent="0.25">
      <c r="B71" s="26">
        <v>40883</v>
      </c>
      <c r="C71" s="27">
        <f t="shared" si="0"/>
        <v>-9.5890410958904104E-2</v>
      </c>
      <c r="D71" s="28">
        <v>2.01918209105E-3</v>
      </c>
      <c r="J71" s="26">
        <v>40883</v>
      </c>
      <c r="K71" s="27">
        <f t="shared" si="1"/>
        <v>-9.5890410958904104E-2</v>
      </c>
      <c r="L71" s="28">
        <v>3.2000000000000002E-3</v>
      </c>
      <c r="N71" s="26">
        <v>40883</v>
      </c>
      <c r="O71" s="27">
        <f t="shared" si="2"/>
        <v>-9.5890410958904104E-2</v>
      </c>
      <c r="P71" s="28">
        <v>6.1999999999999998E-3</v>
      </c>
      <c r="HW71" s="14"/>
      <c r="HX71" s="14"/>
      <c r="HY71" s="14"/>
      <c r="HZ71" s="14"/>
    </row>
    <row r="72" spans="2:234" ht="13.2" customHeight="1" x14ac:dyDescent="0.25">
      <c r="B72" s="26">
        <v>40882</v>
      </c>
      <c r="C72" s="27">
        <f t="shared" si="0"/>
        <v>-9.8630136986301367E-2</v>
      </c>
      <c r="D72" s="28">
        <v>2.01918209105E-3</v>
      </c>
      <c r="J72" s="26">
        <v>40882</v>
      </c>
      <c r="K72" s="27">
        <f t="shared" si="1"/>
        <v>-9.8630136986301367E-2</v>
      </c>
      <c r="L72" s="28">
        <v>3.2000000000000002E-3</v>
      </c>
      <c r="N72" s="26">
        <v>40882</v>
      </c>
      <c r="O72" s="27">
        <f t="shared" si="2"/>
        <v>-9.8630136986301367E-2</v>
      </c>
      <c r="P72" s="28">
        <v>6.1999999999999998E-3</v>
      </c>
      <c r="HW72" s="14"/>
      <c r="HX72" s="14"/>
      <c r="HY72" s="14"/>
      <c r="HZ72" s="14"/>
    </row>
    <row r="73" spans="2:234" ht="13.2" customHeight="1" x14ac:dyDescent="0.25">
      <c r="B73" s="26">
        <v>40881</v>
      </c>
      <c r="C73" s="27">
        <f t="shared" si="0"/>
        <v>-0.10136986301369863</v>
      </c>
      <c r="D73" s="28">
        <v>2.01918209105E-3</v>
      </c>
      <c r="J73" s="26">
        <v>40881</v>
      </c>
      <c r="K73" s="27">
        <f t="shared" si="1"/>
        <v>-0.10136986301369863</v>
      </c>
      <c r="L73" s="28">
        <v>3.2000000000000002E-3</v>
      </c>
      <c r="N73" s="26">
        <v>40881</v>
      </c>
      <c r="O73" s="27">
        <f t="shared" si="2"/>
        <v>-0.10136986301369863</v>
      </c>
      <c r="P73" s="28">
        <v>6.1999999999999998E-3</v>
      </c>
      <c r="HW73" s="14"/>
      <c r="HX73" s="14"/>
      <c r="HY73" s="14"/>
      <c r="HZ73" s="14"/>
    </row>
    <row r="74" spans="2:234" ht="13.2" customHeight="1" x14ac:dyDescent="0.25">
      <c r="B74" s="26">
        <v>40880</v>
      </c>
      <c r="C74" s="27">
        <f t="shared" si="0"/>
        <v>-0.10410958904109589</v>
      </c>
      <c r="D74" s="28">
        <v>2.01918209105E-3</v>
      </c>
      <c r="J74" s="26">
        <v>40880</v>
      </c>
      <c r="K74" s="27">
        <f t="shared" si="1"/>
        <v>-0.10410958904109589</v>
      </c>
      <c r="L74" s="28">
        <v>3.2000000000000002E-3</v>
      </c>
      <c r="N74" s="26">
        <v>40880</v>
      </c>
      <c r="O74" s="27">
        <f t="shared" si="2"/>
        <v>-0.10410958904109589</v>
      </c>
      <c r="P74" s="28">
        <v>6.1999999999999998E-3</v>
      </c>
      <c r="HW74" s="14"/>
      <c r="HX74" s="14"/>
      <c r="HY74" s="14"/>
      <c r="HZ74" s="14"/>
    </row>
    <row r="75" spans="2:234" ht="13.2" customHeight="1" x14ac:dyDescent="0.25">
      <c r="B75" s="26">
        <v>40879</v>
      </c>
      <c r="C75" s="27">
        <f t="shared" si="0"/>
        <v>-0.10684931506849316</v>
      </c>
      <c r="D75" s="28">
        <v>2.01918209105E-3</v>
      </c>
      <c r="J75" s="26">
        <v>40879</v>
      </c>
      <c r="K75" s="27">
        <f t="shared" si="1"/>
        <v>-0.10684931506849316</v>
      </c>
      <c r="L75" s="28">
        <v>3.2000000000000002E-3</v>
      </c>
      <c r="N75" s="26">
        <v>40879</v>
      </c>
      <c r="O75" s="27">
        <f t="shared" si="2"/>
        <v>-0.10684931506849316</v>
      </c>
      <c r="P75" s="28">
        <v>6.1999999999999998E-3</v>
      </c>
      <c r="HW75" s="14"/>
      <c r="HX75" s="14"/>
      <c r="HY75" s="14"/>
      <c r="HZ75" s="14"/>
    </row>
    <row r="76" spans="2:234" ht="13.2" customHeight="1" x14ac:dyDescent="0.25">
      <c r="B76" s="26">
        <v>40878</v>
      </c>
      <c r="C76" s="27">
        <f t="shared" si="0"/>
        <v>-0.1095890410958904</v>
      </c>
      <c r="D76" s="28">
        <v>2.01918209105E-3</v>
      </c>
      <c r="J76" s="26">
        <v>40878</v>
      </c>
      <c r="K76" s="27">
        <f t="shared" si="1"/>
        <v>-0.1095890410958904</v>
      </c>
      <c r="L76" s="28">
        <v>3.2000000000000002E-3</v>
      </c>
      <c r="N76" s="26">
        <v>40878</v>
      </c>
      <c r="O76" s="27">
        <f t="shared" si="2"/>
        <v>-0.1095890410958904</v>
      </c>
      <c r="P76" s="28">
        <v>6.1999999999999998E-3</v>
      </c>
      <c r="HW76" s="14"/>
      <c r="HX76" s="14"/>
      <c r="HY76" s="14"/>
      <c r="HZ76" s="14"/>
    </row>
    <row r="77" spans="2:234" ht="13.2" customHeight="1" x14ac:dyDescent="0.25">
      <c r="B77" s="26">
        <v>40877</v>
      </c>
      <c r="C77" s="27">
        <f t="shared" si="0"/>
        <v>-0.11232876712328767</v>
      </c>
      <c r="D77" s="28">
        <v>2.01918209105E-3</v>
      </c>
      <c r="J77" s="26">
        <v>40877</v>
      </c>
      <c r="K77" s="27">
        <f t="shared" si="1"/>
        <v>-0.11232876712328767</v>
      </c>
      <c r="L77" s="28">
        <v>3.2000000000000002E-3</v>
      </c>
      <c r="N77" s="26">
        <v>40877</v>
      </c>
      <c r="O77" s="27">
        <f t="shared" si="2"/>
        <v>-0.11232876712328767</v>
      </c>
      <c r="P77" s="28">
        <v>6.1999999999999998E-3</v>
      </c>
      <c r="HW77" s="14"/>
      <c r="HX77" s="14"/>
      <c r="HY77" s="14"/>
      <c r="HZ77" s="14"/>
    </row>
    <row r="78" spans="2:234" ht="13.2" customHeight="1" x14ac:dyDescent="0.25">
      <c r="B78" s="26">
        <v>40876</v>
      </c>
      <c r="C78" s="27">
        <f t="shared" si="0"/>
        <v>-0.11506849315068493</v>
      </c>
      <c r="D78" s="28">
        <v>2.01918209105E-3</v>
      </c>
      <c r="J78" s="26">
        <v>40876</v>
      </c>
      <c r="K78" s="27">
        <f t="shared" si="1"/>
        <v>-0.11506849315068493</v>
      </c>
      <c r="L78" s="28">
        <v>3.2000000000000002E-3</v>
      </c>
      <c r="N78" s="26">
        <v>40876</v>
      </c>
      <c r="O78" s="27">
        <f t="shared" si="2"/>
        <v>-0.11506849315068493</v>
      </c>
      <c r="P78" s="28">
        <v>6.1999999999999998E-3</v>
      </c>
      <c r="HW78" s="14"/>
      <c r="HX78" s="14"/>
      <c r="HY78" s="14"/>
      <c r="HZ78" s="14"/>
    </row>
    <row r="79" spans="2:234" ht="13.2" customHeight="1" x14ac:dyDescent="0.25">
      <c r="B79" s="26">
        <v>40875</v>
      </c>
      <c r="C79" s="27">
        <f t="shared" si="0"/>
        <v>-0.11780821917808219</v>
      </c>
      <c r="D79" s="28">
        <v>2.01918209105E-3</v>
      </c>
      <c r="J79" s="26">
        <v>40875</v>
      </c>
      <c r="K79" s="27">
        <f t="shared" si="1"/>
        <v>-0.11780821917808219</v>
      </c>
      <c r="L79" s="28">
        <v>3.2000000000000002E-3</v>
      </c>
      <c r="N79" s="26">
        <v>40875</v>
      </c>
      <c r="O79" s="27">
        <f t="shared" si="2"/>
        <v>-0.11780821917808219</v>
      </c>
      <c r="P79" s="28">
        <v>6.1999999999999998E-3</v>
      </c>
      <c r="HW79" s="14"/>
      <c r="HX79" s="14"/>
      <c r="HY79" s="14"/>
      <c r="HZ79" s="14"/>
    </row>
    <row r="80" spans="2:234" ht="13.2" customHeight="1" x14ac:dyDescent="0.25">
      <c r="B80" s="26">
        <v>40874</v>
      </c>
      <c r="C80" s="27">
        <f t="shared" si="0"/>
        <v>-0.12054794520547946</v>
      </c>
      <c r="D80" s="28">
        <v>2.01918209105E-3</v>
      </c>
      <c r="J80" s="26">
        <v>40874</v>
      </c>
      <c r="K80" s="27">
        <f t="shared" si="1"/>
        <v>-0.12054794520547946</v>
      </c>
      <c r="L80" s="28">
        <v>3.2000000000000002E-3</v>
      </c>
      <c r="N80" s="26">
        <v>40874</v>
      </c>
      <c r="O80" s="27">
        <f t="shared" si="2"/>
        <v>-0.12054794520547946</v>
      </c>
      <c r="P80" s="28">
        <v>6.1999999999999998E-3</v>
      </c>
      <c r="HW80" s="14"/>
      <c r="HX80" s="14"/>
      <c r="HY80" s="14"/>
      <c r="HZ80" s="14"/>
    </row>
    <row r="81" spans="2:234" ht="13.2" customHeight="1" x14ac:dyDescent="0.25">
      <c r="B81" s="26">
        <v>40873</v>
      </c>
      <c r="C81" s="27">
        <f t="shared" si="0"/>
        <v>-0.12328767123287671</v>
      </c>
      <c r="D81" s="28">
        <v>2.01918209105E-3</v>
      </c>
      <c r="J81" s="26">
        <v>40873</v>
      </c>
      <c r="K81" s="27">
        <f t="shared" si="1"/>
        <v>-0.12328767123287671</v>
      </c>
      <c r="L81" s="28">
        <v>3.2000000000000002E-3</v>
      </c>
      <c r="N81" s="26">
        <v>40873</v>
      </c>
      <c r="O81" s="27">
        <f t="shared" si="2"/>
        <v>-0.12328767123287671</v>
      </c>
      <c r="P81" s="28">
        <v>6.1999999999999998E-3</v>
      </c>
      <c r="HW81" s="14"/>
      <c r="HX81" s="14"/>
      <c r="HY81" s="14"/>
      <c r="HZ81" s="14"/>
    </row>
    <row r="82" spans="2:234" ht="13.2" customHeight="1" x14ac:dyDescent="0.25">
      <c r="B82" s="26">
        <v>40872</v>
      </c>
      <c r="C82" s="27">
        <f t="shared" si="0"/>
        <v>-0.12602739726027398</v>
      </c>
      <c r="D82" s="28">
        <v>2.01918209105E-3</v>
      </c>
      <c r="J82" s="26">
        <v>40872</v>
      </c>
      <c r="K82" s="27">
        <f t="shared" si="1"/>
        <v>-0.12602739726027398</v>
      </c>
      <c r="L82" s="28">
        <v>3.2000000000000002E-3</v>
      </c>
      <c r="N82" s="26">
        <v>40872</v>
      </c>
      <c r="O82" s="27">
        <f t="shared" si="2"/>
        <v>-0.12602739726027398</v>
      </c>
      <c r="P82" s="28">
        <v>6.1999999999999998E-3</v>
      </c>
      <c r="HW82" s="14"/>
      <c r="HX82" s="14"/>
      <c r="HY82" s="14"/>
      <c r="HZ82" s="14"/>
    </row>
    <row r="83" spans="2:234" ht="13.2" customHeight="1" x14ac:dyDescent="0.25">
      <c r="B83" s="26">
        <v>40871</v>
      </c>
      <c r="C83" s="27">
        <f t="shared" si="0"/>
        <v>-0.12876712328767123</v>
      </c>
      <c r="D83" s="28">
        <v>2.01918209105E-3</v>
      </c>
      <c r="J83" s="26">
        <v>40871</v>
      </c>
      <c r="K83" s="27">
        <f t="shared" si="1"/>
        <v>-0.12876712328767123</v>
      </c>
      <c r="L83" s="28">
        <v>3.2000000000000002E-3</v>
      </c>
      <c r="N83" s="26">
        <v>40871</v>
      </c>
      <c r="O83" s="27">
        <f t="shared" si="2"/>
        <v>-0.12876712328767123</v>
      </c>
      <c r="P83" s="28">
        <v>6.1999999999999998E-3</v>
      </c>
      <c r="HW83" s="14"/>
      <c r="HX83" s="14"/>
      <c r="HY83" s="14"/>
      <c r="HZ83" s="14"/>
    </row>
    <row r="84" spans="2:234" ht="13.2" customHeight="1" x14ac:dyDescent="0.25">
      <c r="B84" s="26">
        <v>40870</v>
      </c>
      <c r="C84" s="27">
        <f t="shared" si="0"/>
        <v>-0.13150684931506848</v>
      </c>
      <c r="D84" s="28">
        <v>2.01918209105E-3</v>
      </c>
      <c r="J84" s="26">
        <v>40870</v>
      </c>
      <c r="K84" s="27">
        <f t="shared" si="1"/>
        <v>-0.13150684931506848</v>
      </c>
      <c r="L84" s="28">
        <v>3.2000000000000002E-3</v>
      </c>
      <c r="N84" s="26">
        <v>40870</v>
      </c>
      <c r="O84" s="27">
        <f t="shared" si="2"/>
        <v>-0.13150684931506848</v>
      </c>
      <c r="P84" s="28">
        <v>6.1999999999999998E-3</v>
      </c>
      <c r="HW84" s="14"/>
      <c r="HX84" s="14"/>
      <c r="HY84" s="14"/>
      <c r="HZ84" s="14"/>
    </row>
    <row r="85" spans="2:234" ht="13.2" customHeight="1" x14ac:dyDescent="0.25">
      <c r="B85" s="26">
        <v>40869</v>
      </c>
      <c r="C85" s="27">
        <f t="shared" si="0"/>
        <v>-0.13424657534246576</v>
      </c>
      <c r="D85" s="28">
        <v>2.01918209105E-3</v>
      </c>
      <c r="J85" s="26">
        <v>40869</v>
      </c>
      <c r="K85" s="27">
        <f t="shared" si="1"/>
        <v>-0.13424657534246576</v>
      </c>
      <c r="L85" s="28">
        <v>3.2000000000000002E-3</v>
      </c>
      <c r="N85" s="26">
        <v>40869</v>
      </c>
      <c r="O85" s="27">
        <f t="shared" si="2"/>
        <v>-0.13424657534246576</v>
      </c>
      <c r="P85" s="28">
        <v>6.1999999999999998E-3</v>
      </c>
      <c r="HW85" s="14"/>
      <c r="HX85" s="14"/>
      <c r="HY85" s="14"/>
      <c r="HZ85" s="14"/>
    </row>
    <row r="86" spans="2:234" ht="13.2" customHeight="1" x14ac:dyDescent="0.25">
      <c r="B86" s="26">
        <v>40868</v>
      </c>
      <c r="C86" s="27">
        <f t="shared" si="0"/>
        <v>-0.13698630136986301</v>
      </c>
      <c r="D86" s="28">
        <v>2.01918209105E-3</v>
      </c>
      <c r="J86" s="26">
        <v>40868</v>
      </c>
      <c r="K86" s="27">
        <f t="shared" si="1"/>
        <v>-0.13698630136986301</v>
      </c>
      <c r="L86" s="28">
        <v>3.2000000000000002E-3</v>
      </c>
      <c r="N86" s="26">
        <v>40868</v>
      </c>
      <c r="O86" s="27">
        <f t="shared" si="2"/>
        <v>-0.13698630136986301</v>
      </c>
      <c r="P86" s="28">
        <v>6.1999999999999998E-3</v>
      </c>
      <c r="HW86" s="14"/>
      <c r="HX86" s="14"/>
      <c r="HY86" s="14"/>
      <c r="HZ86" s="14"/>
    </row>
    <row r="87" spans="2:234" ht="13.2" customHeight="1" x14ac:dyDescent="0.25">
      <c r="B87" s="26">
        <v>40867</v>
      </c>
      <c r="C87" s="27">
        <f t="shared" si="0"/>
        <v>-0.13972602739726028</v>
      </c>
      <c r="D87" s="28">
        <v>2.01918209105E-3</v>
      </c>
      <c r="J87" s="26">
        <v>40867</v>
      </c>
      <c r="K87" s="27">
        <f t="shared" si="1"/>
        <v>-0.13972602739726028</v>
      </c>
      <c r="L87" s="28">
        <v>3.2000000000000002E-3</v>
      </c>
      <c r="N87" s="26">
        <v>40867</v>
      </c>
      <c r="O87" s="27">
        <f t="shared" si="2"/>
        <v>-0.13972602739726028</v>
      </c>
      <c r="P87" s="28">
        <v>6.1999999999999998E-3</v>
      </c>
      <c r="HW87" s="14"/>
      <c r="HX87" s="14"/>
      <c r="HY87" s="14"/>
      <c r="HZ87" s="14"/>
    </row>
    <row r="88" spans="2:234" ht="13.2" customHeight="1" x14ac:dyDescent="0.25">
      <c r="B88" s="26">
        <v>40866</v>
      </c>
      <c r="C88" s="27">
        <f t="shared" si="0"/>
        <v>-0.14246575342465753</v>
      </c>
      <c r="D88" s="28">
        <v>2.01918209105E-3</v>
      </c>
      <c r="J88" s="26">
        <v>40866</v>
      </c>
      <c r="K88" s="27">
        <f t="shared" si="1"/>
        <v>-0.14246575342465753</v>
      </c>
      <c r="L88" s="28">
        <v>3.2000000000000002E-3</v>
      </c>
      <c r="N88" s="26">
        <v>40866</v>
      </c>
      <c r="O88" s="27">
        <f t="shared" si="2"/>
        <v>-0.14246575342465753</v>
      </c>
      <c r="P88" s="28">
        <v>6.1999999999999998E-3</v>
      </c>
      <c r="HW88" s="14"/>
      <c r="HX88" s="14"/>
      <c r="HY88" s="14"/>
      <c r="HZ88" s="14"/>
    </row>
    <row r="89" spans="2:234" ht="13.2" customHeight="1" x14ac:dyDescent="0.25">
      <c r="B89" s="26">
        <v>40865</v>
      </c>
      <c r="C89" s="27">
        <f t="shared" si="0"/>
        <v>-0.14520547945205478</v>
      </c>
      <c r="D89" s="28">
        <v>2.01918209105E-3</v>
      </c>
      <c r="J89" s="26">
        <v>40865</v>
      </c>
      <c r="K89" s="27">
        <f t="shared" si="1"/>
        <v>-0.14520547945205478</v>
      </c>
      <c r="L89" s="28">
        <v>3.2000000000000002E-3</v>
      </c>
      <c r="N89" s="26">
        <v>40865</v>
      </c>
      <c r="O89" s="27">
        <f t="shared" si="2"/>
        <v>-0.14520547945205478</v>
      </c>
      <c r="P89" s="28">
        <v>6.1999999999999998E-3</v>
      </c>
      <c r="HW89" s="14"/>
      <c r="HX89" s="14"/>
      <c r="HY89" s="14"/>
      <c r="HZ89" s="14"/>
    </row>
    <row r="90" spans="2:234" ht="13.2" customHeight="1" x14ac:dyDescent="0.25">
      <c r="B90" s="26">
        <v>40864</v>
      </c>
      <c r="C90" s="27">
        <f t="shared" si="0"/>
        <v>-0.14794520547945206</v>
      </c>
      <c r="D90" s="28">
        <v>2.01918209105E-3</v>
      </c>
      <c r="J90" s="26">
        <v>40864</v>
      </c>
      <c r="K90" s="27">
        <f t="shared" si="1"/>
        <v>-0.14794520547945206</v>
      </c>
      <c r="L90" s="28">
        <v>3.2000000000000002E-3</v>
      </c>
      <c r="N90" s="26">
        <v>40864</v>
      </c>
      <c r="O90" s="27">
        <f t="shared" si="2"/>
        <v>-0.14794520547945206</v>
      </c>
      <c r="P90" s="28">
        <v>6.1999999999999998E-3</v>
      </c>
      <c r="HW90" s="14"/>
      <c r="HX90" s="14"/>
      <c r="HY90" s="14"/>
      <c r="HZ90" s="14"/>
    </row>
    <row r="91" spans="2:234" ht="13.2" customHeight="1" x14ac:dyDescent="0.25">
      <c r="B91" s="26">
        <v>40863</v>
      </c>
      <c r="C91" s="27">
        <f t="shared" si="0"/>
        <v>-0.15068493150684931</v>
      </c>
      <c r="D91" s="28">
        <v>2.01918209105E-3</v>
      </c>
      <c r="J91" s="26">
        <v>40863</v>
      </c>
      <c r="K91" s="27">
        <f t="shared" si="1"/>
        <v>-0.15068493150684931</v>
      </c>
      <c r="L91" s="28">
        <v>3.2000000000000002E-3</v>
      </c>
      <c r="N91" s="26">
        <v>40863</v>
      </c>
      <c r="O91" s="27">
        <f t="shared" si="2"/>
        <v>-0.15068493150684931</v>
      </c>
      <c r="P91" s="28">
        <v>6.1999999999999998E-3</v>
      </c>
      <c r="HW91" s="14"/>
      <c r="HX91" s="14"/>
      <c r="HY91" s="14"/>
      <c r="HZ91" s="14"/>
    </row>
    <row r="92" spans="2:234" ht="13.2" customHeight="1" x14ac:dyDescent="0.25">
      <c r="B92" s="26">
        <v>40862</v>
      </c>
      <c r="C92" s="27">
        <f t="shared" si="0"/>
        <v>-0.15342465753424658</v>
      </c>
      <c r="D92" s="28">
        <v>2.01918209105E-3</v>
      </c>
      <c r="J92" s="26">
        <v>40862</v>
      </c>
      <c r="K92" s="27">
        <f t="shared" si="1"/>
        <v>-0.15342465753424658</v>
      </c>
      <c r="L92" s="28">
        <v>3.2000000000000002E-3</v>
      </c>
      <c r="N92" s="26">
        <v>40862</v>
      </c>
      <c r="O92" s="27">
        <f t="shared" si="2"/>
        <v>-0.15342465753424658</v>
      </c>
      <c r="P92" s="28">
        <v>6.1999999999999998E-3</v>
      </c>
      <c r="HW92" s="14"/>
      <c r="HX92" s="14"/>
      <c r="HY92" s="14"/>
      <c r="HZ92" s="14"/>
    </row>
    <row r="93" spans="2:234" ht="13.2" customHeight="1" x14ac:dyDescent="0.25">
      <c r="B93" s="26">
        <v>40861</v>
      </c>
      <c r="C93" s="27">
        <f t="shared" si="0"/>
        <v>-0.15616438356164383</v>
      </c>
      <c r="D93" s="28">
        <v>2.01918209105E-3</v>
      </c>
      <c r="J93" s="26">
        <v>40861</v>
      </c>
      <c r="K93" s="27">
        <f t="shared" si="1"/>
        <v>-0.15616438356164383</v>
      </c>
      <c r="L93" s="28">
        <v>3.2000000000000002E-3</v>
      </c>
      <c r="N93" s="26">
        <v>40861</v>
      </c>
      <c r="O93" s="27">
        <f t="shared" si="2"/>
        <v>-0.15616438356164383</v>
      </c>
      <c r="P93" s="28">
        <v>6.1999999999999998E-3</v>
      </c>
      <c r="HW93" s="14"/>
      <c r="HX93" s="14"/>
      <c r="HY93" s="14"/>
      <c r="HZ93" s="14"/>
    </row>
    <row r="94" spans="2:234" ht="13.2" customHeight="1" x14ac:dyDescent="0.25">
      <c r="B94" s="26">
        <v>40860</v>
      </c>
      <c r="C94" s="27">
        <f t="shared" si="0"/>
        <v>-0.15890410958904111</v>
      </c>
      <c r="D94" s="28">
        <v>2.01918209105E-3</v>
      </c>
      <c r="J94" s="26">
        <v>40860</v>
      </c>
      <c r="K94" s="27">
        <f t="shared" si="1"/>
        <v>-0.15890410958904111</v>
      </c>
      <c r="L94" s="28">
        <v>3.2000000000000002E-3</v>
      </c>
      <c r="N94" s="26">
        <v>40860</v>
      </c>
      <c r="O94" s="27">
        <f t="shared" si="2"/>
        <v>-0.15890410958904111</v>
      </c>
      <c r="P94" s="28">
        <v>6.1999999999999998E-3</v>
      </c>
      <c r="HW94" s="14"/>
      <c r="HX94" s="14"/>
      <c r="HY94" s="14"/>
      <c r="HZ94" s="14"/>
    </row>
    <row r="95" spans="2:234" ht="13.2" customHeight="1" x14ac:dyDescent="0.25">
      <c r="B95" s="26">
        <v>40859</v>
      </c>
      <c r="C95" s="27">
        <f t="shared" si="0"/>
        <v>-0.16164383561643836</v>
      </c>
      <c r="D95" s="28">
        <v>2.01918209105E-3</v>
      </c>
      <c r="J95" s="26">
        <v>40859</v>
      </c>
      <c r="K95" s="27">
        <f t="shared" si="1"/>
        <v>-0.16164383561643836</v>
      </c>
      <c r="L95" s="28">
        <v>3.2000000000000002E-3</v>
      </c>
      <c r="N95" s="26">
        <v>40859</v>
      </c>
      <c r="O95" s="27">
        <f t="shared" si="2"/>
        <v>-0.16164383561643836</v>
      </c>
      <c r="P95" s="28">
        <v>6.1999999999999998E-3</v>
      </c>
      <c r="HW95" s="14"/>
      <c r="HX95" s="14"/>
      <c r="HY95" s="14"/>
      <c r="HZ95" s="14"/>
    </row>
    <row r="96" spans="2:234" ht="13.2" customHeight="1" x14ac:dyDescent="0.25">
      <c r="B96" s="26">
        <v>40858</v>
      </c>
      <c r="C96" s="27">
        <f t="shared" si="0"/>
        <v>-0.16438356164383561</v>
      </c>
      <c r="D96" s="28">
        <v>2.01918209105E-3</v>
      </c>
      <c r="J96" s="26">
        <v>40858</v>
      </c>
      <c r="K96" s="27">
        <f t="shared" si="1"/>
        <v>-0.16438356164383561</v>
      </c>
      <c r="L96" s="28">
        <v>3.2000000000000002E-3</v>
      </c>
      <c r="N96" s="26">
        <v>40858</v>
      </c>
      <c r="O96" s="27">
        <f t="shared" si="2"/>
        <v>-0.16438356164383561</v>
      </c>
      <c r="P96" s="28">
        <v>6.1999999999999998E-3</v>
      </c>
      <c r="HW96" s="14"/>
      <c r="HX96" s="14"/>
      <c r="HY96" s="14"/>
      <c r="HZ96" s="14"/>
    </row>
    <row r="97" spans="2:234" ht="13.2" customHeight="1" x14ac:dyDescent="0.25">
      <c r="B97" s="26">
        <v>40857</v>
      </c>
      <c r="C97" s="27">
        <f t="shared" si="0"/>
        <v>-0.16712328767123288</v>
      </c>
      <c r="D97" s="28">
        <v>2.01918209105E-3</v>
      </c>
      <c r="J97" s="26">
        <v>40857</v>
      </c>
      <c r="K97" s="27">
        <f t="shared" si="1"/>
        <v>-0.16712328767123288</v>
      </c>
      <c r="L97" s="28">
        <v>3.2000000000000002E-3</v>
      </c>
      <c r="N97" s="26">
        <v>40857</v>
      </c>
      <c r="O97" s="27">
        <f t="shared" si="2"/>
        <v>-0.16712328767123288</v>
      </c>
      <c r="P97" s="28">
        <v>6.1999999999999998E-3</v>
      </c>
      <c r="HW97" s="14"/>
      <c r="HX97" s="14"/>
      <c r="HY97" s="14"/>
      <c r="HZ97" s="14"/>
    </row>
    <row r="98" spans="2:234" ht="13.2" customHeight="1" x14ac:dyDescent="0.25">
      <c r="B98" s="26">
        <v>40856</v>
      </c>
      <c r="C98" s="27">
        <f t="shared" si="0"/>
        <v>-0.16986301369863013</v>
      </c>
      <c r="D98" s="28">
        <v>2.01918209105E-3</v>
      </c>
      <c r="J98" s="26">
        <v>40856</v>
      </c>
      <c r="K98" s="27">
        <f t="shared" si="1"/>
        <v>-0.16986301369863013</v>
      </c>
      <c r="L98" s="28">
        <v>3.2000000000000002E-3</v>
      </c>
      <c r="N98" s="26">
        <v>40856</v>
      </c>
      <c r="O98" s="27">
        <f t="shared" si="2"/>
        <v>-0.16986301369863013</v>
      </c>
      <c r="P98" s="28">
        <v>6.1999999999999998E-3</v>
      </c>
      <c r="HW98" s="14"/>
      <c r="HX98" s="14"/>
      <c r="HY98" s="14"/>
      <c r="HZ98" s="14"/>
    </row>
    <row r="99" spans="2:234" ht="13.2" customHeight="1" x14ac:dyDescent="0.25">
      <c r="B99" s="26">
        <v>40855</v>
      </c>
      <c r="C99" s="27">
        <f t="shared" si="0"/>
        <v>-0.17260273972602741</v>
      </c>
      <c r="D99" s="28">
        <v>2.01918209105E-3</v>
      </c>
      <c r="J99" s="26">
        <v>40855</v>
      </c>
      <c r="K99" s="27">
        <f t="shared" si="1"/>
        <v>-0.17260273972602741</v>
      </c>
      <c r="L99" s="28">
        <v>3.2000000000000002E-3</v>
      </c>
      <c r="N99" s="26">
        <v>40855</v>
      </c>
      <c r="O99" s="27">
        <f t="shared" si="2"/>
        <v>-0.17260273972602741</v>
      </c>
      <c r="P99" s="28">
        <v>6.1999999999999998E-3</v>
      </c>
      <c r="HW99" s="14"/>
      <c r="HX99" s="14"/>
      <c r="HY99" s="14"/>
      <c r="HZ99" s="14"/>
    </row>
    <row r="100" spans="2:234" ht="13.2" customHeight="1" x14ac:dyDescent="0.25">
      <c r="B100" s="26">
        <v>40854</v>
      </c>
      <c r="C100" s="27">
        <f t="shared" si="0"/>
        <v>-0.17534246575342466</v>
      </c>
      <c r="D100" s="28">
        <v>2.01918209105E-3</v>
      </c>
      <c r="J100" s="26">
        <v>40854</v>
      </c>
      <c r="K100" s="27">
        <f t="shared" si="1"/>
        <v>-0.17534246575342466</v>
      </c>
      <c r="L100" s="28">
        <v>3.2000000000000002E-3</v>
      </c>
      <c r="N100" s="26">
        <v>40854</v>
      </c>
      <c r="O100" s="27">
        <f t="shared" si="2"/>
        <v>-0.17534246575342466</v>
      </c>
      <c r="P100" s="28">
        <v>6.1999999999999998E-3</v>
      </c>
      <c r="HW100" s="14"/>
      <c r="HX100" s="14"/>
      <c r="HY100" s="14"/>
      <c r="HZ100" s="14"/>
    </row>
    <row r="101" spans="2:234" ht="13.2" customHeight="1" x14ac:dyDescent="0.25">
      <c r="B101" s="26">
        <v>40853</v>
      </c>
      <c r="C101" s="27">
        <f t="shared" ref="C101:C164" si="3">IF($F$3&lt;B101,1,-1)*YEARFRAC($F$3,B101,3)</f>
        <v>-0.17808219178082191</v>
      </c>
      <c r="D101" s="28">
        <v>2.01918209105E-3</v>
      </c>
      <c r="J101" s="26">
        <v>40853</v>
      </c>
      <c r="K101" s="27">
        <f t="shared" ref="K101:K164" si="4">IF($F$3&lt;J101,1,-1)*YEARFRAC($F$3,J101,3)</f>
        <v>-0.17808219178082191</v>
      </c>
      <c r="L101" s="28">
        <v>3.2000000000000002E-3</v>
      </c>
      <c r="N101" s="26">
        <v>40853</v>
      </c>
      <c r="O101" s="27">
        <f t="shared" ref="O101:O164" si="5">IF($F$3&lt;N101,1,-1)*YEARFRAC($F$3,N101,3)</f>
        <v>-0.17808219178082191</v>
      </c>
      <c r="P101" s="28">
        <v>6.1999999999999998E-3</v>
      </c>
      <c r="HW101" s="14"/>
      <c r="HX101" s="14"/>
      <c r="HY101" s="14"/>
      <c r="HZ101" s="14"/>
    </row>
    <row r="102" spans="2:234" ht="13.2" customHeight="1" x14ac:dyDescent="0.25">
      <c r="B102" s="26">
        <v>40852</v>
      </c>
      <c r="C102" s="27">
        <f t="shared" si="3"/>
        <v>-0.18082191780821918</v>
      </c>
      <c r="D102" s="28">
        <v>2.01918209105E-3</v>
      </c>
      <c r="J102" s="26">
        <v>40852</v>
      </c>
      <c r="K102" s="27">
        <f t="shared" si="4"/>
        <v>-0.18082191780821918</v>
      </c>
      <c r="L102" s="28">
        <v>3.2000000000000002E-3</v>
      </c>
      <c r="N102" s="26">
        <v>40852</v>
      </c>
      <c r="O102" s="27">
        <f t="shared" si="5"/>
        <v>-0.18082191780821918</v>
      </c>
      <c r="P102" s="28">
        <v>6.1999999999999998E-3</v>
      </c>
      <c r="HW102" s="14"/>
      <c r="HX102" s="14"/>
      <c r="HY102" s="14"/>
      <c r="HZ102" s="14"/>
    </row>
    <row r="103" spans="2:234" ht="13.2" customHeight="1" x14ac:dyDescent="0.25">
      <c r="B103" s="26">
        <v>40851</v>
      </c>
      <c r="C103" s="27">
        <f t="shared" si="3"/>
        <v>-0.18356164383561643</v>
      </c>
      <c r="D103" s="28">
        <v>2.01918209105E-3</v>
      </c>
      <c r="J103" s="26">
        <v>40851</v>
      </c>
      <c r="K103" s="27">
        <f t="shared" si="4"/>
        <v>-0.18356164383561643</v>
      </c>
      <c r="L103" s="28">
        <v>3.2000000000000002E-3</v>
      </c>
      <c r="N103" s="26">
        <v>40851</v>
      </c>
      <c r="O103" s="27">
        <f t="shared" si="5"/>
        <v>-0.18356164383561643</v>
      </c>
      <c r="P103" s="28">
        <v>6.1999999999999998E-3</v>
      </c>
      <c r="HW103" s="14"/>
      <c r="HX103" s="14"/>
      <c r="HY103" s="14"/>
      <c r="HZ103" s="14"/>
    </row>
    <row r="104" spans="2:234" ht="13.2" customHeight="1" x14ac:dyDescent="0.25">
      <c r="B104" s="26">
        <v>40850</v>
      </c>
      <c r="C104" s="27">
        <f t="shared" si="3"/>
        <v>-0.18630136986301371</v>
      </c>
      <c r="D104" s="28">
        <v>2.01918209105E-3</v>
      </c>
      <c r="J104" s="26">
        <v>40850</v>
      </c>
      <c r="K104" s="27">
        <f t="shared" si="4"/>
        <v>-0.18630136986301371</v>
      </c>
      <c r="L104" s="28">
        <v>3.2000000000000002E-3</v>
      </c>
      <c r="N104" s="26">
        <v>40850</v>
      </c>
      <c r="O104" s="27">
        <f t="shared" si="5"/>
        <v>-0.18630136986301371</v>
      </c>
      <c r="P104" s="28">
        <v>6.1999999999999998E-3</v>
      </c>
      <c r="HW104" s="14"/>
      <c r="HX104" s="14"/>
      <c r="HY104" s="14"/>
      <c r="HZ104" s="14"/>
    </row>
    <row r="105" spans="2:234" ht="13.2" customHeight="1" x14ac:dyDescent="0.25">
      <c r="B105" s="26">
        <v>40849</v>
      </c>
      <c r="C105" s="27">
        <f t="shared" si="3"/>
        <v>-0.18904109589041096</v>
      </c>
      <c r="D105" s="28">
        <v>2.01918209105E-3</v>
      </c>
      <c r="J105" s="26">
        <v>40849</v>
      </c>
      <c r="K105" s="27">
        <f t="shared" si="4"/>
        <v>-0.18904109589041096</v>
      </c>
      <c r="L105" s="28">
        <v>3.2000000000000002E-3</v>
      </c>
      <c r="N105" s="26">
        <v>40849</v>
      </c>
      <c r="O105" s="27">
        <f t="shared" si="5"/>
        <v>-0.18904109589041096</v>
      </c>
      <c r="P105" s="28">
        <v>6.1999999999999998E-3</v>
      </c>
      <c r="HW105" s="14"/>
      <c r="HX105" s="14"/>
      <c r="HY105" s="14"/>
      <c r="HZ105" s="14"/>
    </row>
    <row r="106" spans="2:234" ht="13.2" customHeight="1" x14ac:dyDescent="0.25">
      <c r="B106" s="26">
        <v>40848</v>
      </c>
      <c r="C106" s="27">
        <f t="shared" si="3"/>
        <v>-0.19178082191780821</v>
      </c>
      <c r="D106" s="28">
        <v>2.01918209105E-3</v>
      </c>
      <c r="J106" s="26">
        <v>40848</v>
      </c>
      <c r="K106" s="27">
        <f t="shared" si="4"/>
        <v>-0.19178082191780821</v>
      </c>
      <c r="L106" s="28">
        <v>3.2000000000000002E-3</v>
      </c>
      <c r="N106" s="26">
        <v>40848</v>
      </c>
      <c r="O106" s="27">
        <f t="shared" si="5"/>
        <v>-0.19178082191780821</v>
      </c>
      <c r="P106" s="28">
        <v>6.1999999999999998E-3</v>
      </c>
      <c r="HW106" s="14"/>
      <c r="HX106" s="14"/>
      <c r="HY106" s="14"/>
      <c r="HZ106" s="14"/>
    </row>
    <row r="107" spans="2:234" ht="13.2" customHeight="1" x14ac:dyDescent="0.25">
      <c r="B107" s="26">
        <v>40847</v>
      </c>
      <c r="C107" s="27">
        <f t="shared" si="3"/>
        <v>-0.19452054794520549</v>
      </c>
      <c r="D107" s="28">
        <v>2.01918209105E-3</v>
      </c>
      <c r="J107" s="26">
        <v>40847</v>
      </c>
      <c r="K107" s="27">
        <f t="shared" si="4"/>
        <v>-0.19452054794520549</v>
      </c>
      <c r="L107" s="28">
        <v>3.2000000000000002E-3</v>
      </c>
      <c r="N107" s="26">
        <v>40847</v>
      </c>
      <c r="O107" s="27">
        <f t="shared" si="5"/>
        <v>-0.19452054794520549</v>
      </c>
      <c r="P107" s="28">
        <v>6.1999999999999998E-3</v>
      </c>
      <c r="HW107" s="14"/>
      <c r="HX107" s="14"/>
      <c r="HY107" s="14"/>
      <c r="HZ107" s="14"/>
    </row>
    <row r="108" spans="2:234" ht="13.2" customHeight="1" x14ac:dyDescent="0.25">
      <c r="B108" s="26">
        <v>40846</v>
      </c>
      <c r="C108" s="27">
        <f t="shared" si="3"/>
        <v>-0.19726027397260273</v>
      </c>
      <c r="D108" s="28">
        <v>2.01918209105E-3</v>
      </c>
      <c r="J108" s="26">
        <v>40846</v>
      </c>
      <c r="K108" s="27">
        <f t="shared" si="4"/>
        <v>-0.19726027397260273</v>
      </c>
      <c r="L108" s="28">
        <v>3.2000000000000002E-3</v>
      </c>
      <c r="N108" s="26">
        <v>40846</v>
      </c>
      <c r="O108" s="27">
        <f t="shared" si="5"/>
        <v>-0.19726027397260273</v>
      </c>
      <c r="P108" s="28">
        <v>6.1999999999999998E-3</v>
      </c>
      <c r="HW108" s="14"/>
      <c r="HX108" s="14"/>
      <c r="HY108" s="14"/>
      <c r="HZ108" s="14"/>
    </row>
    <row r="109" spans="2:234" ht="13.2" customHeight="1" x14ac:dyDescent="0.25">
      <c r="B109" s="26">
        <v>40845</v>
      </c>
      <c r="C109" s="27">
        <f t="shared" si="3"/>
        <v>-0.2</v>
      </c>
      <c r="D109" s="28">
        <v>2.01918209105E-3</v>
      </c>
      <c r="J109" s="26">
        <v>40845</v>
      </c>
      <c r="K109" s="27">
        <f t="shared" si="4"/>
        <v>-0.2</v>
      </c>
      <c r="L109" s="28">
        <v>3.2000000000000002E-3</v>
      </c>
      <c r="N109" s="26">
        <v>40845</v>
      </c>
      <c r="O109" s="27">
        <f t="shared" si="5"/>
        <v>-0.2</v>
      </c>
      <c r="P109" s="28">
        <v>6.1999999999999998E-3</v>
      </c>
      <c r="HW109" s="14"/>
      <c r="HX109" s="14"/>
      <c r="HY109" s="14"/>
      <c r="HZ109" s="14"/>
    </row>
    <row r="110" spans="2:234" ht="13.2" customHeight="1" x14ac:dyDescent="0.25">
      <c r="B110" s="26">
        <v>40844</v>
      </c>
      <c r="C110" s="27">
        <f t="shared" si="3"/>
        <v>-0.20273972602739726</v>
      </c>
      <c r="D110" s="28">
        <v>2.01918209105E-3</v>
      </c>
      <c r="J110" s="26">
        <v>40844</v>
      </c>
      <c r="K110" s="27">
        <f t="shared" si="4"/>
        <v>-0.20273972602739726</v>
      </c>
      <c r="L110" s="28">
        <v>3.2000000000000002E-3</v>
      </c>
      <c r="N110" s="26">
        <v>40844</v>
      </c>
      <c r="O110" s="27">
        <f t="shared" si="5"/>
        <v>-0.20273972602739726</v>
      </c>
      <c r="P110" s="28">
        <v>6.1999999999999998E-3</v>
      </c>
      <c r="HW110" s="14"/>
      <c r="HX110" s="14"/>
      <c r="HY110" s="14"/>
      <c r="HZ110" s="14"/>
    </row>
    <row r="111" spans="2:234" ht="13.2" customHeight="1" x14ac:dyDescent="0.25">
      <c r="B111" s="26">
        <v>40843</v>
      </c>
      <c r="C111" s="27">
        <f t="shared" si="3"/>
        <v>-0.20547945205479451</v>
      </c>
      <c r="D111" s="28">
        <v>2.01918209105E-3</v>
      </c>
      <c r="J111" s="26">
        <v>40843</v>
      </c>
      <c r="K111" s="27">
        <f t="shared" si="4"/>
        <v>-0.20547945205479451</v>
      </c>
      <c r="L111" s="28">
        <v>3.2000000000000002E-3</v>
      </c>
      <c r="N111" s="26">
        <v>40843</v>
      </c>
      <c r="O111" s="27">
        <f t="shared" si="5"/>
        <v>-0.20547945205479451</v>
      </c>
      <c r="P111" s="28">
        <v>6.1999999999999998E-3</v>
      </c>
      <c r="HW111" s="14"/>
      <c r="HX111" s="14"/>
      <c r="HY111" s="14"/>
      <c r="HZ111" s="14"/>
    </row>
    <row r="112" spans="2:234" ht="13.2" customHeight="1" x14ac:dyDescent="0.25">
      <c r="B112" s="26">
        <v>40842</v>
      </c>
      <c r="C112" s="27">
        <f t="shared" si="3"/>
        <v>-0.20821917808219179</v>
      </c>
      <c r="D112" s="28">
        <v>2.01918209105E-3</v>
      </c>
      <c r="J112" s="26">
        <v>40842</v>
      </c>
      <c r="K112" s="27">
        <f t="shared" si="4"/>
        <v>-0.20821917808219179</v>
      </c>
      <c r="L112" s="28">
        <v>3.2000000000000002E-3</v>
      </c>
      <c r="N112" s="26">
        <v>40842</v>
      </c>
      <c r="O112" s="27">
        <f t="shared" si="5"/>
        <v>-0.20821917808219179</v>
      </c>
      <c r="P112" s="28">
        <v>6.1999999999999998E-3</v>
      </c>
      <c r="HW112" s="14"/>
      <c r="HX112" s="14"/>
      <c r="HY112" s="14"/>
      <c r="HZ112" s="14"/>
    </row>
    <row r="113" spans="2:234" ht="13.2" customHeight="1" x14ac:dyDescent="0.25">
      <c r="B113" s="26">
        <v>40841</v>
      </c>
      <c r="C113" s="27">
        <f t="shared" si="3"/>
        <v>-0.21095890410958903</v>
      </c>
      <c r="D113" s="28">
        <v>2.01918209105E-3</v>
      </c>
      <c r="J113" s="26">
        <v>40841</v>
      </c>
      <c r="K113" s="27">
        <f t="shared" si="4"/>
        <v>-0.21095890410958903</v>
      </c>
      <c r="L113" s="28">
        <v>3.2000000000000002E-3</v>
      </c>
      <c r="N113" s="26">
        <v>40841</v>
      </c>
      <c r="O113" s="27">
        <f t="shared" si="5"/>
        <v>-0.21095890410958903</v>
      </c>
      <c r="P113" s="28">
        <v>6.1999999999999998E-3</v>
      </c>
      <c r="HW113" s="14"/>
      <c r="HX113" s="14"/>
      <c r="HY113" s="14"/>
      <c r="HZ113" s="14"/>
    </row>
    <row r="114" spans="2:234" ht="13.2" customHeight="1" x14ac:dyDescent="0.25">
      <c r="B114" s="26">
        <v>40840</v>
      </c>
      <c r="C114" s="27">
        <f t="shared" si="3"/>
        <v>-0.21369863013698631</v>
      </c>
      <c r="D114" s="28">
        <v>2.01918209105E-3</v>
      </c>
      <c r="J114" s="26">
        <v>40840</v>
      </c>
      <c r="K114" s="27">
        <f t="shared" si="4"/>
        <v>-0.21369863013698631</v>
      </c>
      <c r="L114" s="28">
        <v>3.2000000000000002E-3</v>
      </c>
      <c r="N114" s="26">
        <v>40840</v>
      </c>
      <c r="O114" s="27">
        <f t="shared" si="5"/>
        <v>-0.21369863013698631</v>
      </c>
      <c r="P114" s="28">
        <v>6.1999999999999998E-3</v>
      </c>
      <c r="HW114" s="14"/>
      <c r="HX114" s="14"/>
      <c r="HY114" s="14"/>
      <c r="HZ114" s="14"/>
    </row>
    <row r="115" spans="2:234" ht="13.2" customHeight="1" x14ac:dyDescent="0.25">
      <c r="B115" s="26">
        <v>40839</v>
      </c>
      <c r="C115" s="27">
        <f t="shared" si="3"/>
        <v>-0.21643835616438356</v>
      </c>
      <c r="D115" s="28">
        <v>2.01918209105E-3</v>
      </c>
      <c r="J115" s="26">
        <v>40839</v>
      </c>
      <c r="K115" s="27">
        <f t="shared" si="4"/>
        <v>-0.21643835616438356</v>
      </c>
      <c r="L115" s="28">
        <v>3.2000000000000002E-3</v>
      </c>
      <c r="N115" s="26">
        <v>40839</v>
      </c>
      <c r="O115" s="27">
        <f t="shared" si="5"/>
        <v>-0.21643835616438356</v>
      </c>
      <c r="P115" s="28">
        <v>6.1999999999999998E-3</v>
      </c>
      <c r="HW115" s="14"/>
      <c r="HX115" s="14"/>
      <c r="HY115" s="14"/>
      <c r="HZ115" s="14"/>
    </row>
    <row r="116" spans="2:234" ht="13.2" customHeight="1" x14ac:dyDescent="0.25">
      <c r="B116" s="26">
        <v>40838</v>
      </c>
      <c r="C116" s="27">
        <f t="shared" si="3"/>
        <v>-0.21917808219178081</v>
      </c>
      <c r="D116" s="28">
        <v>2.01918209105E-3</v>
      </c>
      <c r="J116" s="26">
        <v>40838</v>
      </c>
      <c r="K116" s="27">
        <f t="shared" si="4"/>
        <v>-0.21917808219178081</v>
      </c>
      <c r="L116" s="28">
        <v>3.2000000000000002E-3</v>
      </c>
      <c r="N116" s="26">
        <v>40838</v>
      </c>
      <c r="O116" s="27">
        <f t="shared" si="5"/>
        <v>-0.21917808219178081</v>
      </c>
      <c r="P116" s="28">
        <v>6.1999999999999998E-3</v>
      </c>
      <c r="HW116" s="14"/>
      <c r="HX116" s="14"/>
      <c r="HY116" s="14"/>
      <c r="HZ116" s="14"/>
    </row>
    <row r="117" spans="2:234" ht="13.2" customHeight="1" x14ac:dyDescent="0.25">
      <c r="B117" s="26">
        <v>40837</v>
      </c>
      <c r="C117" s="27">
        <f t="shared" si="3"/>
        <v>-0.22191780821917809</v>
      </c>
      <c r="D117" s="28">
        <v>2.01918209105E-3</v>
      </c>
      <c r="J117" s="26">
        <v>40837</v>
      </c>
      <c r="K117" s="27">
        <f t="shared" si="4"/>
        <v>-0.22191780821917809</v>
      </c>
      <c r="L117" s="28">
        <v>3.2000000000000002E-3</v>
      </c>
      <c r="N117" s="26">
        <v>40837</v>
      </c>
      <c r="O117" s="27">
        <f t="shared" si="5"/>
        <v>-0.22191780821917809</v>
      </c>
      <c r="P117" s="28">
        <v>6.1999999999999998E-3</v>
      </c>
      <c r="HW117" s="14"/>
      <c r="HX117" s="14"/>
      <c r="HY117" s="14"/>
      <c r="HZ117" s="14"/>
    </row>
    <row r="118" spans="2:234" ht="13.2" customHeight="1" x14ac:dyDescent="0.25">
      <c r="B118" s="26">
        <v>40836</v>
      </c>
      <c r="C118" s="27">
        <f t="shared" si="3"/>
        <v>-0.22465753424657534</v>
      </c>
      <c r="D118" s="28">
        <v>2.01918209105E-3</v>
      </c>
      <c r="J118" s="26">
        <v>40836</v>
      </c>
      <c r="K118" s="27">
        <f t="shared" si="4"/>
        <v>-0.22465753424657534</v>
      </c>
      <c r="L118" s="28">
        <v>3.2000000000000002E-3</v>
      </c>
      <c r="N118" s="26">
        <v>40836</v>
      </c>
      <c r="O118" s="27">
        <f t="shared" si="5"/>
        <v>-0.22465753424657534</v>
      </c>
      <c r="P118" s="28">
        <v>6.1999999999999998E-3</v>
      </c>
      <c r="HW118" s="14"/>
      <c r="HX118" s="14"/>
      <c r="HY118" s="14"/>
      <c r="HZ118" s="14"/>
    </row>
    <row r="119" spans="2:234" ht="13.2" customHeight="1" x14ac:dyDescent="0.25">
      <c r="B119" s="26">
        <v>40835</v>
      </c>
      <c r="C119" s="27">
        <f t="shared" si="3"/>
        <v>-0.22739726027397261</v>
      </c>
      <c r="D119" s="28">
        <v>2.01918209105E-3</v>
      </c>
      <c r="J119" s="26">
        <v>40835</v>
      </c>
      <c r="K119" s="27">
        <f t="shared" si="4"/>
        <v>-0.22739726027397261</v>
      </c>
      <c r="L119" s="28">
        <v>3.2000000000000002E-3</v>
      </c>
      <c r="N119" s="26">
        <v>40835</v>
      </c>
      <c r="O119" s="27">
        <f t="shared" si="5"/>
        <v>-0.22739726027397261</v>
      </c>
      <c r="P119" s="28">
        <v>6.1999999999999998E-3</v>
      </c>
      <c r="HW119" s="14"/>
      <c r="HX119" s="14"/>
      <c r="HY119" s="14"/>
      <c r="HZ119" s="14"/>
    </row>
    <row r="120" spans="2:234" ht="13.2" customHeight="1" x14ac:dyDescent="0.25">
      <c r="B120" s="26">
        <v>40834</v>
      </c>
      <c r="C120" s="27">
        <f t="shared" si="3"/>
        <v>-0.23013698630136986</v>
      </c>
      <c r="D120" s="28">
        <v>2.01918209105E-3</v>
      </c>
      <c r="J120" s="26">
        <v>40834</v>
      </c>
      <c r="K120" s="27">
        <f t="shared" si="4"/>
        <v>-0.23013698630136986</v>
      </c>
      <c r="L120" s="28">
        <v>3.2000000000000002E-3</v>
      </c>
      <c r="N120" s="26">
        <v>40834</v>
      </c>
      <c r="O120" s="27">
        <f t="shared" si="5"/>
        <v>-0.23013698630136986</v>
      </c>
      <c r="P120" s="28">
        <v>6.1999999999999998E-3</v>
      </c>
      <c r="HW120" s="14"/>
      <c r="HX120" s="14"/>
      <c r="HY120" s="14"/>
      <c r="HZ120" s="14"/>
    </row>
    <row r="121" spans="2:234" ht="13.2" customHeight="1" x14ac:dyDescent="0.25">
      <c r="B121" s="26">
        <v>40833</v>
      </c>
      <c r="C121" s="27">
        <f t="shared" si="3"/>
        <v>-0.23287671232876711</v>
      </c>
      <c r="D121" s="28">
        <v>2.01918209105E-3</v>
      </c>
      <c r="J121" s="26">
        <v>40833</v>
      </c>
      <c r="K121" s="27">
        <f t="shared" si="4"/>
        <v>-0.23287671232876711</v>
      </c>
      <c r="L121" s="28">
        <v>3.2000000000000002E-3</v>
      </c>
      <c r="N121" s="26">
        <v>40833</v>
      </c>
      <c r="O121" s="27">
        <f t="shared" si="5"/>
        <v>-0.23287671232876711</v>
      </c>
      <c r="P121" s="28">
        <v>6.1999999999999998E-3</v>
      </c>
      <c r="HW121" s="14"/>
      <c r="HX121" s="14"/>
      <c r="HY121" s="14"/>
      <c r="HZ121" s="14"/>
    </row>
    <row r="122" spans="2:234" ht="13.2" customHeight="1" x14ac:dyDescent="0.25">
      <c r="B122" s="26">
        <v>40832</v>
      </c>
      <c r="C122" s="27">
        <f t="shared" si="3"/>
        <v>-0.23561643835616439</v>
      </c>
      <c r="D122" s="28">
        <v>2.01918209105E-3</v>
      </c>
      <c r="J122" s="26">
        <v>40832</v>
      </c>
      <c r="K122" s="27">
        <f t="shared" si="4"/>
        <v>-0.23561643835616439</v>
      </c>
      <c r="L122" s="28">
        <v>3.2000000000000002E-3</v>
      </c>
      <c r="N122" s="26">
        <v>40832</v>
      </c>
      <c r="O122" s="27">
        <f t="shared" si="5"/>
        <v>-0.23561643835616439</v>
      </c>
      <c r="P122" s="28">
        <v>6.1999999999999998E-3</v>
      </c>
      <c r="HW122" s="14"/>
      <c r="HX122" s="14"/>
      <c r="HY122" s="14"/>
      <c r="HZ122" s="14"/>
    </row>
    <row r="123" spans="2:234" ht="13.2" customHeight="1" x14ac:dyDescent="0.25">
      <c r="B123" s="26">
        <v>40831</v>
      </c>
      <c r="C123" s="27">
        <f t="shared" si="3"/>
        <v>-0.23835616438356164</v>
      </c>
      <c r="D123" s="28">
        <v>2.01918209105E-3</v>
      </c>
      <c r="J123" s="26">
        <v>40831</v>
      </c>
      <c r="K123" s="27">
        <f t="shared" si="4"/>
        <v>-0.23835616438356164</v>
      </c>
      <c r="L123" s="28">
        <v>3.2000000000000002E-3</v>
      </c>
      <c r="N123" s="26">
        <v>40831</v>
      </c>
      <c r="O123" s="27">
        <f t="shared" si="5"/>
        <v>-0.23835616438356164</v>
      </c>
      <c r="P123" s="28">
        <v>6.1999999999999998E-3</v>
      </c>
      <c r="HW123" s="14"/>
      <c r="HX123" s="14"/>
      <c r="HY123" s="14"/>
      <c r="HZ123" s="14"/>
    </row>
    <row r="124" spans="2:234" ht="13.2" customHeight="1" x14ac:dyDescent="0.25">
      <c r="B124" s="26">
        <v>40830</v>
      </c>
      <c r="C124" s="27">
        <f t="shared" si="3"/>
        <v>-0.24109589041095891</v>
      </c>
      <c r="D124" s="28">
        <v>2.01918209105E-3</v>
      </c>
      <c r="J124" s="26">
        <v>40830</v>
      </c>
      <c r="K124" s="27">
        <f t="shared" si="4"/>
        <v>-0.24109589041095891</v>
      </c>
      <c r="L124" s="28">
        <v>3.2000000000000002E-3</v>
      </c>
      <c r="N124" s="26">
        <v>40830</v>
      </c>
      <c r="O124" s="27">
        <f t="shared" si="5"/>
        <v>-0.24109589041095891</v>
      </c>
      <c r="P124" s="28">
        <v>6.1999999999999998E-3</v>
      </c>
      <c r="HW124" s="14"/>
      <c r="HX124" s="14"/>
      <c r="HY124" s="14"/>
      <c r="HZ124" s="14"/>
    </row>
    <row r="125" spans="2:234" ht="13.2" customHeight="1" x14ac:dyDescent="0.25">
      <c r="B125" s="26">
        <v>40829</v>
      </c>
      <c r="C125" s="27">
        <f t="shared" si="3"/>
        <v>-0.24383561643835616</v>
      </c>
      <c r="D125" s="28">
        <v>2.01918209105E-3</v>
      </c>
      <c r="J125" s="26">
        <v>40829</v>
      </c>
      <c r="K125" s="27">
        <f t="shared" si="4"/>
        <v>-0.24383561643835616</v>
      </c>
      <c r="L125" s="28">
        <v>3.2000000000000002E-3</v>
      </c>
      <c r="N125" s="26">
        <v>40829</v>
      </c>
      <c r="O125" s="27">
        <f t="shared" si="5"/>
        <v>-0.24383561643835616</v>
      </c>
      <c r="P125" s="28">
        <v>6.1999999999999998E-3</v>
      </c>
      <c r="HW125" s="14"/>
      <c r="HX125" s="14"/>
      <c r="HY125" s="14"/>
      <c r="HZ125" s="14"/>
    </row>
    <row r="126" spans="2:234" ht="13.2" customHeight="1" x14ac:dyDescent="0.25">
      <c r="B126" s="26">
        <v>40828</v>
      </c>
      <c r="C126" s="27">
        <f t="shared" si="3"/>
        <v>-0.24657534246575341</v>
      </c>
      <c r="D126" s="28">
        <v>2.01918209105E-3</v>
      </c>
      <c r="J126" s="26">
        <v>40828</v>
      </c>
      <c r="K126" s="27">
        <f t="shared" si="4"/>
        <v>-0.24657534246575341</v>
      </c>
      <c r="L126" s="28">
        <v>3.2000000000000002E-3</v>
      </c>
      <c r="N126" s="26">
        <v>40828</v>
      </c>
      <c r="O126" s="27">
        <f t="shared" si="5"/>
        <v>-0.24657534246575341</v>
      </c>
      <c r="P126" s="28">
        <v>6.1999999999999998E-3</v>
      </c>
      <c r="HW126" s="14"/>
      <c r="HX126" s="14"/>
      <c r="HY126" s="14"/>
      <c r="HZ126" s="14"/>
    </row>
    <row r="127" spans="2:234" ht="13.2" customHeight="1" x14ac:dyDescent="0.25">
      <c r="B127" s="26">
        <v>40827</v>
      </c>
      <c r="C127" s="27">
        <f t="shared" si="3"/>
        <v>-0.24931506849315069</v>
      </c>
      <c r="D127" s="28">
        <v>2.01918209105E-3</v>
      </c>
      <c r="J127" s="26">
        <v>40827</v>
      </c>
      <c r="K127" s="27">
        <f t="shared" si="4"/>
        <v>-0.24931506849315069</v>
      </c>
      <c r="L127" s="28">
        <v>3.2000000000000002E-3</v>
      </c>
      <c r="N127" s="26">
        <v>40827</v>
      </c>
      <c r="O127" s="27">
        <f t="shared" si="5"/>
        <v>-0.24931506849315069</v>
      </c>
      <c r="P127" s="28">
        <v>6.1999999999999998E-3</v>
      </c>
      <c r="HW127" s="14"/>
      <c r="HX127" s="14"/>
      <c r="HY127" s="14"/>
      <c r="HZ127" s="14"/>
    </row>
    <row r="128" spans="2:234" ht="13.2" customHeight="1" x14ac:dyDescent="0.25">
      <c r="B128" s="26">
        <v>40826</v>
      </c>
      <c r="C128" s="27">
        <f t="shared" si="3"/>
        <v>-0.25205479452054796</v>
      </c>
      <c r="D128" s="28">
        <v>2.01918209105E-3</v>
      </c>
      <c r="J128" s="26">
        <v>40826</v>
      </c>
      <c r="K128" s="27">
        <f t="shared" si="4"/>
        <v>-0.25205479452054796</v>
      </c>
      <c r="L128" s="28">
        <v>3.2000000000000002E-3</v>
      </c>
      <c r="N128" s="26">
        <v>40826</v>
      </c>
      <c r="O128" s="27">
        <f t="shared" si="5"/>
        <v>-0.25205479452054796</v>
      </c>
      <c r="P128" s="28">
        <v>6.1999999999999998E-3</v>
      </c>
      <c r="HW128" s="14"/>
      <c r="HX128" s="14"/>
      <c r="HY128" s="14"/>
      <c r="HZ128" s="14"/>
    </row>
    <row r="129" spans="2:234" ht="13.2" customHeight="1" x14ac:dyDescent="0.25">
      <c r="B129" s="26">
        <v>40825</v>
      </c>
      <c r="C129" s="27">
        <f t="shared" si="3"/>
        <v>-0.25479452054794521</v>
      </c>
      <c r="D129" s="28">
        <v>2.01918209105E-3</v>
      </c>
      <c r="J129" s="26">
        <v>40825</v>
      </c>
      <c r="K129" s="27">
        <f t="shared" si="4"/>
        <v>-0.25479452054794521</v>
      </c>
      <c r="L129" s="28">
        <v>3.2000000000000002E-3</v>
      </c>
      <c r="N129" s="26">
        <v>40825</v>
      </c>
      <c r="O129" s="27">
        <f t="shared" si="5"/>
        <v>-0.25479452054794521</v>
      </c>
      <c r="P129" s="28">
        <v>6.1999999999999998E-3</v>
      </c>
      <c r="HW129" s="14"/>
      <c r="HX129" s="14"/>
      <c r="HY129" s="14"/>
      <c r="HZ129" s="14"/>
    </row>
    <row r="130" spans="2:234" ht="13.2" customHeight="1" x14ac:dyDescent="0.25">
      <c r="B130" s="26">
        <v>40824</v>
      </c>
      <c r="C130" s="27">
        <f t="shared" si="3"/>
        <v>-0.25753424657534246</v>
      </c>
      <c r="D130" s="28">
        <v>2.01918209105E-3</v>
      </c>
      <c r="J130" s="26">
        <v>40824</v>
      </c>
      <c r="K130" s="27">
        <f t="shared" si="4"/>
        <v>-0.25753424657534246</v>
      </c>
      <c r="L130" s="28">
        <v>3.2000000000000002E-3</v>
      </c>
      <c r="N130" s="26">
        <v>40824</v>
      </c>
      <c r="O130" s="27">
        <f t="shared" si="5"/>
        <v>-0.25753424657534246</v>
      </c>
      <c r="P130" s="28">
        <v>6.1999999999999998E-3</v>
      </c>
      <c r="HW130" s="14"/>
      <c r="HX130" s="14"/>
      <c r="HY130" s="14"/>
      <c r="HZ130" s="14"/>
    </row>
    <row r="131" spans="2:234" ht="13.2" customHeight="1" x14ac:dyDescent="0.25">
      <c r="B131" s="26">
        <v>40823</v>
      </c>
      <c r="C131" s="27">
        <f t="shared" si="3"/>
        <v>-0.26027397260273971</v>
      </c>
      <c r="D131" s="28">
        <v>2.01918209105E-3</v>
      </c>
      <c r="J131" s="26">
        <v>40823</v>
      </c>
      <c r="K131" s="27">
        <f t="shared" si="4"/>
        <v>-0.26027397260273971</v>
      </c>
      <c r="L131" s="28">
        <v>3.2000000000000002E-3</v>
      </c>
      <c r="N131" s="26">
        <v>40823</v>
      </c>
      <c r="O131" s="27">
        <f t="shared" si="5"/>
        <v>-0.26027397260273971</v>
      </c>
      <c r="P131" s="28">
        <v>6.1999999999999998E-3</v>
      </c>
      <c r="HW131" s="14"/>
      <c r="HX131" s="14"/>
      <c r="HY131" s="14"/>
      <c r="HZ131" s="14"/>
    </row>
    <row r="132" spans="2:234" ht="13.2" customHeight="1" x14ac:dyDescent="0.25">
      <c r="B132" s="26">
        <v>40822</v>
      </c>
      <c r="C132" s="27">
        <f t="shared" si="3"/>
        <v>-0.26301369863013696</v>
      </c>
      <c r="D132" s="28">
        <v>2.01918209105E-3</v>
      </c>
      <c r="J132" s="26">
        <v>40822</v>
      </c>
      <c r="K132" s="27">
        <f t="shared" si="4"/>
        <v>-0.26301369863013696</v>
      </c>
      <c r="L132" s="28">
        <v>3.2000000000000002E-3</v>
      </c>
      <c r="N132" s="26">
        <v>40822</v>
      </c>
      <c r="O132" s="27">
        <f t="shared" si="5"/>
        <v>-0.26301369863013696</v>
      </c>
      <c r="P132" s="28">
        <v>6.1999999999999998E-3</v>
      </c>
      <c r="HW132" s="14"/>
      <c r="HX132" s="14"/>
      <c r="HY132" s="14"/>
      <c r="HZ132" s="14"/>
    </row>
    <row r="133" spans="2:234" ht="13.2" customHeight="1" x14ac:dyDescent="0.25">
      <c r="B133" s="26">
        <v>40821</v>
      </c>
      <c r="C133" s="27">
        <f t="shared" si="3"/>
        <v>-0.26575342465753427</v>
      </c>
      <c r="D133" s="28">
        <v>2.01918209105E-3</v>
      </c>
      <c r="J133" s="26">
        <v>40821</v>
      </c>
      <c r="K133" s="27">
        <f t="shared" si="4"/>
        <v>-0.26575342465753427</v>
      </c>
      <c r="L133" s="28">
        <v>3.2000000000000002E-3</v>
      </c>
      <c r="N133" s="26">
        <v>40821</v>
      </c>
      <c r="O133" s="27">
        <f t="shared" si="5"/>
        <v>-0.26575342465753427</v>
      </c>
      <c r="P133" s="28">
        <v>6.1999999999999998E-3</v>
      </c>
      <c r="HW133" s="14"/>
      <c r="HX133" s="14"/>
      <c r="HY133" s="14"/>
      <c r="HZ133" s="14"/>
    </row>
    <row r="134" spans="2:234" ht="13.2" customHeight="1" x14ac:dyDescent="0.25">
      <c r="B134" s="26">
        <v>40820</v>
      </c>
      <c r="C134" s="27">
        <f t="shared" si="3"/>
        <v>-0.26849315068493151</v>
      </c>
      <c r="D134" s="28">
        <v>2.01918209105E-3</v>
      </c>
      <c r="J134" s="26">
        <v>40820</v>
      </c>
      <c r="K134" s="27">
        <f t="shared" si="4"/>
        <v>-0.26849315068493151</v>
      </c>
      <c r="L134" s="28">
        <v>3.2000000000000002E-3</v>
      </c>
      <c r="N134" s="26">
        <v>40820</v>
      </c>
      <c r="O134" s="27">
        <f t="shared" si="5"/>
        <v>-0.26849315068493151</v>
      </c>
      <c r="P134" s="28">
        <v>6.1999999999999998E-3</v>
      </c>
      <c r="HW134" s="14"/>
      <c r="HX134" s="14"/>
      <c r="HY134" s="14"/>
      <c r="HZ134" s="14"/>
    </row>
    <row r="135" spans="2:234" ht="13.2" customHeight="1" x14ac:dyDescent="0.25">
      <c r="B135" s="26">
        <v>40819</v>
      </c>
      <c r="C135" s="27">
        <f t="shared" si="3"/>
        <v>-0.27123287671232876</v>
      </c>
      <c r="D135" s="28">
        <v>2.01918209105E-3</v>
      </c>
      <c r="J135" s="26">
        <v>40819</v>
      </c>
      <c r="K135" s="27">
        <f t="shared" si="4"/>
        <v>-0.27123287671232876</v>
      </c>
      <c r="L135" s="28">
        <v>3.2000000000000002E-3</v>
      </c>
      <c r="N135" s="26">
        <v>40819</v>
      </c>
      <c r="O135" s="27">
        <f t="shared" si="5"/>
        <v>-0.27123287671232876</v>
      </c>
      <c r="P135" s="28">
        <v>6.1999999999999998E-3</v>
      </c>
      <c r="HW135" s="14"/>
      <c r="HX135" s="14"/>
      <c r="HY135" s="14"/>
      <c r="HZ135" s="14"/>
    </row>
    <row r="136" spans="2:234" ht="13.2" customHeight="1" x14ac:dyDescent="0.25">
      <c r="B136" s="26">
        <v>40818</v>
      </c>
      <c r="C136" s="27">
        <f t="shared" si="3"/>
        <v>-0.27397260273972601</v>
      </c>
      <c r="D136" s="28">
        <v>2.01918209105E-3</v>
      </c>
      <c r="J136" s="26">
        <v>40818</v>
      </c>
      <c r="K136" s="27">
        <f t="shared" si="4"/>
        <v>-0.27397260273972601</v>
      </c>
      <c r="L136" s="28">
        <v>3.2000000000000002E-3</v>
      </c>
      <c r="N136" s="26">
        <v>40818</v>
      </c>
      <c r="O136" s="27">
        <f t="shared" si="5"/>
        <v>-0.27397260273972601</v>
      </c>
      <c r="P136" s="28">
        <v>6.1999999999999998E-3</v>
      </c>
      <c r="HW136" s="14"/>
      <c r="HX136" s="14"/>
      <c r="HY136" s="14"/>
      <c r="HZ136" s="14"/>
    </row>
    <row r="137" spans="2:234" ht="13.2" customHeight="1" x14ac:dyDescent="0.25">
      <c r="B137" s="26">
        <v>40817</v>
      </c>
      <c r="C137" s="27">
        <f t="shared" si="3"/>
        <v>-0.27671232876712326</v>
      </c>
      <c r="D137" s="28">
        <v>2.01918209105E-3</v>
      </c>
      <c r="J137" s="26">
        <v>40817</v>
      </c>
      <c r="K137" s="27">
        <f t="shared" si="4"/>
        <v>-0.27671232876712326</v>
      </c>
      <c r="L137" s="28">
        <v>3.2000000000000002E-3</v>
      </c>
      <c r="N137" s="26">
        <v>40817</v>
      </c>
      <c r="O137" s="27">
        <f t="shared" si="5"/>
        <v>-0.27671232876712326</v>
      </c>
      <c r="P137" s="28">
        <v>6.1999999999999998E-3</v>
      </c>
      <c r="HW137" s="14"/>
      <c r="HX137" s="14"/>
      <c r="HY137" s="14"/>
      <c r="HZ137" s="14"/>
    </row>
    <row r="138" spans="2:234" ht="13.2" customHeight="1" x14ac:dyDescent="0.25">
      <c r="B138" s="26">
        <v>40816</v>
      </c>
      <c r="C138" s="27">
        <f t="shared" si="3"/>
        <v>-0.27945205479452057</v>
      </c>
      <c r="D138" s="28">
        <v>2.01918209105E-3</v>
      </c>
      <c r="J138" s="26">
        <v>40816</v>
      </c>
      <c r="K138" s="27">
        <f t="shared" si="4"/>
        <v>-0.27945205479452057</v>
      </c>
      <c r="L138" s="28">
        <v>3.2000000000000002E-3</v>
      </c>
      <c r="N138" s="26">
        <v>40816</v>
      </c>
      <c r="O138" s="27">
        <f t="shared" si="5"/>
        <v>-0.27945205479452057</v>
      </c>
      <c r="P138" s="28">
        <v>6.1999999999999998E-3</v>
      </c>
      <c r="HW138" s="14"/>
      <c r="HX138" s="14"/>
      <c r="HY138" s="14"/>
      <c r="HZ138" s="14"/>
    </row>
    <row r="139" spans="2:234" ht="13.2" customHeight="1" x14ac:dyDescent="0.25">
      <c r="B139" s="26">
        <v>40815</v>
      </c>
      <c r="C139" s="27">
        <f t="shared" si="3"/>
        <v>-0.28219178082191781</v>
      </c>
      <c r="D139" s="28">
        <v>2.01918209105E-3</v>
      </c>
      <c r="J139" s="26">
        <v>40815</v>
      </c>
      <c r="K139" s="27">
        <f t="shared" si="4"/>
        <v>-0.28219178082191781</v>
      </c>
      <c r="L139" s="28">
        <v>3.2000000000000002E-3</v>
      </c>
      <c r="N139" s="26">
        <v>40815</v>
      </c>
      <c r="O139" s="27">
        <f t="shared" si="5"/>
        <v>-0.28219178082191781</v>
      </c>
      <c r="P139" s="28">
        <v>6.1999999999999998E-3</v>
      </c>
      <c r="HW139" s="14"/>
      <c r="HX139" s="14"/>
      <c r="HY139" s="14"/>
      <c r="HZ139" s="14"/>
    </row>
    <row r="140" spans="2:234" ht="13.2" customHeight="1" x14ac:dyDescent="0.25">
      <c r="B140" s="26">
        <v>40814</v>
      </c>
      <c r="C140" s="27">
        <f t="shared" si="3"/>
        <v>-0.28493150684931506</v>
      </c>
      <c r="D140" s="28">
        <v>2.01918209105E-3</v>
      </c>
      <c r="J140" s="26">
        <v>40814</v>
      </c>
      <c r="K140" s="27">
        <f t="shared" si="4"/>
        <v>-0.28493150684931506</v>
      </c>
      <c r="L140" s="28">
        <v>3.2000000000000002E-3</v>
      </c>
      <c r="N140" s="26">
        <v>40814</v>
      </c>
      <c r="O140" s="27">
        <f t="shared" si="5"/>
        <v>-0.28493150684931506</v>
      </c>
      <c r="P140" s="28">
        <v>6.1999999999999998E-3</v>
      </c>
      <c r="HW140" s="14"/>
      <c r="HX140" s="14"/>
      <c r="HY140" s="14"/>
      <c r="HZ140" s="14"/>
    </row>
    <row r="141" spans="2:234" ht="13.2" customHeight="1" x14ac:dyDescent="0.25">
      <c r="B141" s="26">
        <v>40813</v>
      </c>
      <c r="C141" s="27">
        <f t="shared" si="3"/>
        <v>-0.28767123287671231</v>
      </c>
      <c r="D141" s="28">
        <v>2.01918209105E-3</v>
      </c>
      <c r="J141" s="26">
        <v>40813</v>
      </c>
      <c r="K141" s="27">
        <f t="shared" si="4"/>
        <v>-0.28767123287671231</v>
      </c>
      <c r="L141" s="28">
        <v>3.2000000000000002E-3</v>
      </c>
      <c r="N141" s="26">
        <v>40813</v>
      </c>
      <c r="O141" s="27">
        <f t="shared" si="5"/>
        <v>-0.28767123287671231</v>
      </c>
      <c r="P141" s="28">
        <v>6.1999999999999998E-3</v>
      </c>
      <c r="HW141" s="14"/>
      <c r="HX141" s="14"/>
      <c r="HY141" s="14"/>
      <c r="HZ141" s="14"/>
    </row>
    <row r="142" spans="2:234" ht="13.2" customHeight="1" x14ac:dyDescent="0.25">
      <c r="B142" s="26">
        <v>40812</v>
      </c>
      <c r="C142" s="27">
        <f t="shared" si="3"/>
        <v>-0.29041095890410956</v>
      </c>
      <c r="D142" s="28">
        <v>2.01918209105E-3</v>
      </c>
      <c r="J142" s="26">
        <v>40812</v>
      </c>
      <c r="K142" s="27">
        <f t="shared" si="4"/>
        <v>-0.29041095890410956</v>
      </c>
      <c r="L142" s="28">
        <v>3.2000000000000002E-3</v>
      </c>
      <c r="N142" s="26">
        <v>40812</v>
      </c>
      <c r="O142" s="27">
        <f t="shared" si="5"/>
        <v>-0.29041095890410956</v>
      </c>
      <c r="P142" s="28">
        <v>6.1999999999999998E-3</v>
      </c>
      <c r="HW142" s="14"/>
      <c r="HX142" s="14"/>
      <c r="HY142" s="14"/>
      <c r="HZ142" s="14"/>
    </row>
    <row r="143" spans="2:234" ht="13.2" customHeight="1" x14ac:dyDescent="0.25">
      <c r="B143" s="26">
        <v>40811</v>
      </c>
      <c r="C143" s="27">
        <f t="shared" si="3"/>
        <v>-0.29315068493150687</v>
      </c>
      <c r="D143" s="28">
        <v>2.01918209105E-3</v>
      </c>
      <c r="J143" s="26">
        <v>40811</v>
      </c>
      <c r="K143" s="27">
        <f t="shared" si="4"/>
        <v>-0.29315068493150687</v>
      </c>
      <c r="L143" s="28">
        <v>3.2000000000000002E-3</v>
      </c>
      <c r="N143" s="26">
        <v>40811</v>
      </c>
      <c r="O143" s="27">
        <f t="shared" si="5"/>
        <v>-0.29315068493150687</v>
      </c>
      <c r="P143" s="28">
        <v>6.1999999999999998E-3</v>
      </c>
      <c r="HW143" s="14"/>
      <c r="HX143" s="14"/>
      <c r="HY143" s="14"/>
      <c r="HZ143" s="14"/>
    </row>
    <row r="144" spans="2:234" ht="13.2" customHeight="1" x14ac:dyDescent="0.25">
      <c r="B144" s="26">
        <v>40810</v>
      </c>
      <c r="C144" s="27">
        <f t="shared" si="3"/>
        <v>-0.29589041095890412</v>
      </c>
      <c r="D144" s="28">
        <v>2.01918209105E-3</v>
      </c>
      <c r="J144" s="26">
        <v>40810</v>
      </c>
      <c r="K144" s="27">
        <f t="shared" si="4"/>
        <v>-0.29589041095890412</v>
      </c>
      <c r="L144" s="28">
        <v>3.2000000000000002E-3</v>
      </c>
      <c r="N144" s="26">
        <v>40810</v>
      </c>
      <c r="O144" s="27">
        <f t="shared" si="5"/>
        <v>-0.29589041095890412</v>
      </c>
      <c r="P144" s="28">
        <v>6.1999999999999998E-3</v>
      </c>
      <c r="HW144" s="14"/>
      <c r="HX144" s="14"/>
      <c r="HY144" s="14"/>
      <c r="HZ144" s="14"/>
    </row>
    <row r="145" spans="2:234" ht="13.2" customHeight="1" x14ac:dyDescent="0.25">
      <c r="B145" s="26">
        <v>40809</v>
      </c>
      <c r="C145" s="27">
        <f t="shared" si="3"/>
        <v>-0.29863013698630136</v>
      </c>
      <c r="D145" s="28">
        <v>2.01918209105E-3</v>
      </c>
      <c r="J145" s="26">
        <v>40809</v>
      </c>
      <c r="K145" s="27">
        <f t="shared" si="4"/>
        <v>-0.29863013698630136</v>
      </c>
      <c r="L145" s="28">
        <v>3.2000000000000002E-3</v>
      </c>
      <c r="N145" s="26">
        <v>40809</v>
      </c>
      <c r="O145" s="27">
        <f t="shared" si="5"/>
        <v>-0.29863013698630136</v>
      </c>
      <c r="P145" s="28">
        <v>6.1999999999999998E-3</v>
      </c>
      <c r="HW145" s="14"/>
      <c r="HX145" s="14"/>
      <c r="HY145" s="14"/>
      <c r="HZ145" s="14"/>
    </row>
    <row r="146" spans="2:234" ht="13.2" customHeight="1" x14ac:dyDescent="0.25">
      <c r="B146" s="26">
        <v>40808</v>
      </c>
      <c r="C146" s="27">
        <f t="shared" si="3"/>
        <v>-0.30136986301369861</v>
      </c>
      <c r="D146" s="28">
        <v>2.01918209105E-3</v>
      </c>
      <c r="J146" s="26">
        <v>40808</v>
      </c>
      <c r="K146" s="27">
        <f t="shared" si="4"/>
        <v>-0.30136986301369861</v>
      </c>
      <c r="L146" s="28">
        <v>3.2000000000000002E-3</v>
      </c>
      <c r="N146" s="26">
        <v>40808</v>
      </c>
      <c r="O146" s="27">
        <f t="shared" si="5"/>
        <v>-0.30136986301369861</v>
      </c>
      <c r="P146" s="28">
        <v>6.1999999999999998E-3</v>
      </c>
      <c r="HW146" s="14"/>
      <c r="HX146" s="14"/>
      <c r="HY146" s="14"/>
      <c r="HZ146" s="14"/>
    </row>
    <row r="147" spans="2:234" ht="13.2" customHeight="1" x14ac:dyDescent="0.25">
      <c r="B147" s="26">
        <v>40807</v>
      </c>
      <c r="C147" s="27">
        <f t="shared" si="3"/>
        <v>-0.30410958904109592</v>
      </c>
      <c r="D147" s="28">
        <v>2.01918209105E-3</v>
      </c>
      <c r="J147" s="26">
        <v>40807</v>
      </c>
      <c r="K147" s="27">
        <f t="shared" si="4"/>
        <v>-0.30410958904109592</v>
      </c>
      <c r="L147" s="28">
        <v>3.2000000000000002E-3</v>
      </c>
      <c r="N147" s="26">
        <v>40807</v>
      </c>
      <c r="O147" s="27">
        <f t="shared" si="5"/>
        <v>-0.30410958904109592</v>
      </c>
      <c r="P147" s="28">
        <v>6.1999999999999998E-3</v>
      </c>
      <c r="HW147" s="14"/>
      <c r="HX147" s="14"/>
      <c r="HY147" s="14"/>
      <c r="HZ147" s="14"/>
    </row>
    <row r="148" spans="2:234" ht="13.2" customHeight="1" x14ac:dyDescent="0.25">
      <c r="B148" s="26">
        <v>40806</v>
      </c>
      <c r="C148" s="27">
        <f t="shared" si="3"/>
        <v>-0.30684931506849317</v>
      </c>
      <c r="D148" s="28">
        <v>2.01918209105E-3</v>
      </c>
      <c r="J148" s="26">
        <v>40806</v>
      </c>
      <c r="K148" s="27">
        <f t="shared" si="4"/>
        <v>-0.30684931506849317</v>
      </c>
      <c r="L148" s="28">
        <v>3.2000000000000002E-3</v>
      </c>
      <c r="N148" s="26">
        <v>40806</v>
      </c>
      <c r="O148" s="27">
        <f t="shared" si="5"/>
        <v>-0.30684931506849317</v>
      </c>
      <c r="P148" s="28">
        <v>6.1999999999999998E-3</v>
      </c>
      <c r="HW148" s="14"/>
      <c r="HX148" s="14"/>
      <c r="HY148" s="14"/>
      <c r="HZ148" s="14"/>
    </row>
    <row r="149" spans="2:234" ht="13.2" customHeight="1" x14ac:dyDescent="0.25">
      <c r="B149" s="26">
        <v>40805</v>
      </c>
      <c r="C149" s="27">
        <f t="shared" si="3"/>
        <v>-0.30958904109589042</v>
      </c>
      <c r="D149" s="28">
        <v>2.01918209105E-3</v>
      </c>
      <c r="J149" s="26">
        <v>40805</v>
      </c>
      <c r="K149" s="27">
        <f t="shared" si="4"/>
        <v>-0.30958904109589042</v>
      </c>
      <c r="L149" s="28">
        <v>3.2000000000000002E-3</v>
      </c>
      <c r="N149" s="26">
        <v>40805</v>
      </c>
      <c r="O149" s="27">
        <f t="shared" si="5"/>
        <v>-0.30958904109589042</v>
      </c>
      <c r="P149" s="28">
        <v>6.1999999999999998E-3</v>
      </c>
      <c r="HW149" s="14"/>
      <c r="HX149" s="14"/>
      <c r="HY149" s="14"/>
      <c r="HZ149" s="14"/>
    </row>
    <row r="150" spans="2:234" ht="13.2" customHeight="1" x14ac:dyDescent="0.25">
      <c r="B150" s="26">
        <v>40804</v>
      </c>
      <c r="C150" s="27">
        <f t="shared" si="3"/>
        <v>-0.31232876712328766</v>
      </c>
      <c r="D150" s="28">
        <v>2.01918209105E-3</v>
      </c>
      <c r="J150" s="26">
        <v>40804</v>
      </c>
      <c r="K150" s="27">
        <f t="shared" si="4"/>
        <v>-0.31232876712328766</v>
      </c>
      <c r="L150" s="28">
        <v>3.2000000000000002E-3</v>
      </c>
      <c r="N150" s="26">
        <v>40804</v>
      </c>
      <c r="O150" s="27">
        <f t="shared" si="5"/>
        <v>-0.31232876712328766</v>
      </c>
      <c r="P150" s="28">
        <v>6.1999999999999998E-3</v>
      </c>
      <c r="HW150" s="14"/>
      <c r="HX150" s="14"/>
      <c r="HY150" s="14"/>
      <c r="HZ150" s="14"/>
    </row>
    <row r="151" spans="2:234" ht="13.2" customHeight="1" x14ac:dyDescent="0.25">
      <c r="B151" s="26">
        <v>40803</v>
      </c>
      <c r="C151" s="27">
        <f t="shared" si="3"/>
        <v>-0.31506849315068491</v>
      </c>
      <c r="D151" s="28">
        <v>2.01918209105E-3</v>
      </c>
      <c r="J151" s="26">
        <v>40803</v>
      </c>
      <c r="K151" s="27">
        <f t="shared" si="4"/>
        <v>-0.31506849315068491</v>
      </c>
      <c r="L151" s="28">
        <v>3.2000000000000002E-3</v>
      </c>
      <c r="N151" s="26">
        <v>40803</v>
      </c>
      <c r="O151" s="27">
        <f t="shared" si="5"/>
        <v>-0.31506849315068491</v>
      </c>
      <c r="P151" s="28">
        <v>6.1999999999999998E-3</v>
      </c>
      <c r="HW151" s="14"/>
      <c r="HX151" s="14"/>
      <c r="HY151" s="14"/>
      <c r="HZ151" s="14"/>
    </row>
    <row r="152" spans="2:234" ht="13.2" customHeight="1" x14ac:dyDescent="0.25">
      <c r="B152" s="26">
        <v>40802</v>
      </c>
      <c r="C152" s="27">
        <f t="shared" si="3"/>
        <v>-0.31780821917808222</v>
      </c>
      <c r="D152" s="28">
        <v>2.01918209105E-3</v>
      </c>
      <c r="J152" s="26">
        <v>40802</v>
      </c>
      <c r="K152" s="27">
        <f t="shared" si="4"/>
        <v>-0.31780821917808222</v>
      </c>
      <c r="L152" s="28">
        <v>3.2000000000000002E-3</v>
      </c>
      <c r="N152" s="26">
        <v>40802</v>
      </c>
      <c r="O152" s="27">
        <f t="shared" si="5"/>
        <v>-0.31780821917808222</v>
      </c>
      <c r="P152" s="28">
        <v>6.1999999999999998E-3</v>
      </c>
      <c r="HW152" s="14"/>
      <c r="HX152" s="14"/>
      <c r="HY152" s="14"/>
      <c r="HZ152" s="14"/>
    </row>
    <row r="153" spans="2:234" ht="13.2" customHeight="1" x14ac:dyDescent="0.25">
      <c r="B153" s="26">
        <v>40801</v>
      </c>
      <c r="C153" s="27">
        <f t="shared" si="3"/>
        <v>-0.32054794520547947</v>
      </c>
      <c r="D153" s="28">
        <v>2.01918209105E-3</v>
      </c>
      <c r="J153" s="26">
        <v>40801</v>
      </c>
      <c r="K153" s="27">
        <f t="shared" si="4"/>
        <v>-0.32054794520547947</v>
      </c>
      <c r="L153" s="28">
        <v>3.2000000000000002E-3</v>
      </c>
      <c r="N153" s="26">
        <v>40801</v>
      </c>
      <c r="O153" s="27">
        <f t="shared" si="5"/>
        <v>-0.32054794520547947</v>
      </c>
      <c r="P153" s="28">
        <v>6.1999999999999998E-3</v>
      </c>
      <c r="HW153" s="14"/>
      <c r="HX153" s="14"/>
      <c r="HY153" s="14"/>
      <c r="HZ153" s="14"/>
    </row>
    <row r="154" spans="2:234" ht="13.2" customHeight="1" x14ac:dyDescent="0.25">
      <c r="B154" s="26">
        <v>40800</v>
      </c>
      <c r="C154" s="27">
        <f t="shared" si="3"/>
        <v>-0.32328767123287672</v>
      </c>
      <c r="D154" s="28">
        <v>2.01918209105E-3</v>
      </c>
      <c r="J154" s="26">
        <v>40800</v>
      </c>
      <c r="K154" s="27">
        <f t="shared" si="4"/>
        <v>-0.32328767123287672</v>
      </c>
      <c r="L154" s="28">
        <v>3.2000000000000002E-3</v>
      </c>
      <c r="N154" s="26">
        <v>40800</v>
      </c>
      <c r="O154" s="27">
        <f t="shared" si="5"/>
        <v>-0.32328767123287672</v>
      </c>
      <c r="P154" s="28">
        <v>6.1999999999999998E-3</v>
      </c>
      <c r="HW154" s="14"/>
      <c r="HX154" s="14"/>
      <c r="HY154" s="14"/>
      <c r="HZ154" s="14"/>
    </row>
    <row r="155" spans="2:234" ht="13.2" customHeight="1" x14ac:dyDescent="0.25">
      <c r="B155" s="26">
        <v>40799</v>
      </c>
      <c r="C155" s="27">
        <f t="shared" si="3"/>
        <v>-0.32602739726027397</v>
      </c>
      <c r="D155" s="28">
        <v>2.01918209105E-3</v>
      </c>
      <c r="J155" s="26">
        <v>40799</v>
      </c>
      <c r="K155" s="27">
        <f t="shared" si="4"/>
        <v>-0.32602739726027397</v>
      </c>
      <c r="L155" s="28">
        <v>3.2000000000000002E-3</v>
      </c>
      <c r="N155" s="26">
        <v>40799</v>
      </c>
      <c r="O155" s="27">
        <f t="shared" si="5"/>
        <v>-0.32602739726027397</v>
      </c>
      <c r="P155" s="28">
        <v>6.1999999999999998E-3</v>
      </c>
      <c r="HW155" s="14"/>
      <c r="HX155" s="14"/>
      <c r="HY155" s="14"/>
      <c r="HZ155" s="14"/>
    </row>
    <row r="156" spans="2:234" ht="13.2" customHeight="1" x14ac:dyDescent="0.25">
      <c r="B156" s="26">
        <v>40798</v>
      </c>
      <c r="C156" s="27">
        <f t="shared" si="3"/>
        <v>-0.32876712328767121</v>
      </c>
      <c r="D156" s="28">
        <v>2.01918209105E-3</v>
      </c>
      <c r="J156" s="26">
        <v>40798</v>
      </c>
      <c r="K156" s="27">
        <f t="shared" si="4"/>
        <v>-0.32876712328767121</v>
      </c>
      <c r="L156" s="28">
        <v>3.2000000000000002E-3</v>
      </c>
      <c r="N156" s="26">
        <v>40798</v>
      </c>
      <c r="O156" s="27">
        <f t="shared" si="5"/>
        <v>-0.32876712328767121</v>
      </c>
      <c r="P156" s="28">
        <v>6.1999999999999998E-3</v>
      </c>
      <c r="HW156" s="14"/>
      <c r="HX156" s="14"/>
      <c r="HY156" s="14"/>
      <c r="HZ156" s="14"/>
    </row>
    <row r="157" spans="2:234" ht="13.2" customHeight="1" x14ac:dyDescent="0.25">
      <c r="B157" s="26">
        <v>40797</v>
      </c>
      <c r="C157" s="27">
        <f t="shared" si="3"/>
        <v>-0.33150684931506852</v>
      </c>
      <c r="D157" s="28">
        <v>2.01918209105E-3</v>
      </c>
      <c r="J157" s="26">
        <v>40797</v>
      </c>
      <c r="K157" s="27">
        <f t="shared" si="4"/>
        <v>-0.33150684931506852</v>
      </c>
      <c r="L157" s="28">
        <v>3.2000000000000002E-3</v>
      </c>
      <c r="N157" s="26">
        <v>40797</v>
      </c>
      <c r="O157" s="27">
        <f t="shared" si="5"/>
        <v>-0.33150684931506852</v>
      </c>
      <c r="P157" s="28">
        <v>6.1999999999999998E-3</v>
      </c>
      <c r="HW157" s="14"/>
      <c r="HX157" s="14"/>
      <c r="HY157" s="14"/>
      <c r="HZ157" s="14"/>
    </row>
    <row r="158" spans="2:234" ht="13.2" customHeight="1" x14ac:dyDescent="0.25">
      <c r="B158" s="26">
        <v>40796</v>
      </c>
      <c r="C158" s="27">
        <f t="shared" si="3"/>
        <v>-0.33424657534246577</v>
      </c>
      <c r="D158" s="28">
        <v>2.01918209105E-3</v>
      </c>
      <c r="J158" s="26">
        <v>40796</v>
      </c>
      <c r="K158" s="27">
        <f t="shared" si="4"/>
        <v>-0.33424657534246577</v>
      </c>
      <c r="L158" s="28">
        <v>3.2000000000000002E-3</v>
      </c>
      <c r="N158" s="26">
        <v>40796</v>
      </c>
      <c r="O158" s="27">
        <f t="shared" si="5"/>
        <v>-0.33424657534246577</v>
      </c>
      <c r="P158" s="28">
        <v>6.1999999999999998E-3</v>
      </c>
      <c r="HW158" s="14"/>
      <c r="HX158" s="14"/>
      <c r="HY158" s="14"/>
      <c r="HZ158" s="14"/>
    </row>
    <row r="159" spans="2:234" ht="13.2" customHeight="1" x14ac:dyDescent="0.25">
      <c r="B159" s="26">
        <v>40795</v>
      </c>
      <c r="C159" s="27">
        <f t="shared" si="3"/>
        <v>-0.33698630136986302</v>
      </c>
      <c r="D159" s="28">
        <v>2.01918209105E-3</v>
      </c>
      <c r="J159" s="26">
        <v>40795</v>
      </c>
      <c r="K159" s="27">
        <f t="shared" si="4"/>
        <v>-0.33698630136986302</v>
      </c>
      <c r="L159" s="28">
        <v>3.2000000000000002E-3</v>
      </c>
      <c r="N159" s="26">
        <v>40795</v>
      </c>
      <c r="O159" s="27">
        <f t="shared" si="5"/>
        <v>-0.33698630136986302</v>
      </c>
      <c r="P159" s="28">
        <v>6.1999999999999998E-3</v>
      </c>
      <c r="HW159" s="14"/>
      <c r="HX159" s="14"/>
      <c r="HY159" s="14"/>
      <c r="HZ159" s="14"/>
    </row>
    <row r="160" spans="2:234" ht="13.2" customHeight="1" x14ac:dyDescent="0.25">
      <c r="B160" s="26">
        <v>40794</v>
      </c>
      <c r="C160" s="27">
        <f t="shared" si="3"/>
        <v>-0.33972602739726027</v>
      </c>
      <c r="D160" s="28">
        <v>2.01918209105E-3</v>
      </c>
      <c r="J160" s="26">
        <v>40794</v>
      </c>
      <c r="K160" s="27">
        <f t="shared" si="4"/>
        <v>-0.33972602739726027</v>
      </c>
      <c r="L160" s="28">
        <v>3.2000000000000002E-3</v>
      </c>
      <c r="N160" s="26">
        <v>40794</v>
      </c>
      <c r="O160" s="27">
        <f t="shared" si="5"/>
        <v>-0.33972602739726027</v>
      </c>
      <c r="P160" s="28">
        <v>6.1999999999999998E-3</v>
      </c>
      <c r="HW160" s="14"/>
      <c r="HX160" s="14"/>
      <c r="HY160" s="14"/>
      <c r="HZ160" s="14"/>
    </row>
    <row r="161" spans="2:234" ht="13.2" customHeight="1" x14ac:dyDescent="0.25">
      <c r="B161" s="26">
        <v>40793</v>
      </c>
      <c r="C161" s="27">
        <f t="shared" si="3"/>
        <v>-0.34246575342465752</v>
      </c>
      <c r="D161" s="28">
        <v>2.01918209105E-3</v>
      </c>
      <c r="J161" s="26">
        <v>40793</v>
      </c>
      <c r="K161" s="27">
        <f t="shared" si="4"/>
        <v>-0.34246575342465752</v>
      </c>
      <c r="L161" s="28">
        <v>3.2000000000000002E-3</v>
      </c>
      <c r="N161" s="26">
        <v>40793</v>
      </c>
      <c r="O161" s="27">
        <f t="shared" si="5"/>
        <v>-0.34246575342465752</v>
      </c>
      <c r="P161" s="28">
        <v>6.1999999999999998E-3</v>
      </c>
      <c r="HW161" s="14"/>
      <c r="HX161" s="14"/>
      <c r="HY161" s="14"/>
      <c r="HZ161" s="14"/>
    </row>
    <row r="162" spans="2:234" ht="13.2" customHeight="1" x14ac:dyDescent="0.25">
      <c r="B162" s="26">
        <v>40792</v>
      </c>
      <c r="C162" s="27">
        <f t="shared" si="3"/>
        <v>-0.34520547945205482</v>
      </c>
      <c r="D162" s="28">
        <v>2.01918209105E-3</v>
      </c>
      <c r="J162" s="26">
        <v>40792</v>
      </c>
      <c r="K162" s="27">
        <f t="shared" si="4"/>
        <v>-0.34520547945205482</v>
      </c>
      <c r="L162" s="28">
        <v>3.2000000000000002E-3</v>
      </c>
      <c r="N162" s="26">
        <v>40792</v>
      </c>
      <c r="O162" s="27">
        <f t="shared" si="5"/>
        <v>-0.34520547945205482</v>
      </c>
      <c r="P162" s="28">
        <v>6.1999999999999998E-3</v>
      </c>
      <c r="HW162" s="14"/>
      <c r="HX162" s="14"/>
      <c r="HY162" s="14"/>
      <c r="HZ162" s="14"/>
    </row>
    <row r="163" spans="2:234" ht="13.2" customHeight="1" x14ac:dyDescent="0.25">
      <c r="B163" s="26">
        <v>40791</v>
      </c>
      <c r="C163" s="27">
        <f t="shared" si="3"/>
        <v>-0.34794520547945207</v>
      </c>
      <c r="D163" s="28">
        <v>2.01918209105E-3</v>
      </c>
      <c r="J163" s="26">
        <v>40791</v>
      </c>
      <c r="K163" s="27">
        <f t="shared" si="4"/>
        <v>-0.34794520547945207</v>
      </c>
      <c r="L163" s="28">
        <v>3.2000000000000002E-3</v>
      </c>
      <c r="N163" s="26">
        <v>40791</v>
      </c>
      <c r="O163" s="27">
        <f t="shared" si="5"/>
        <v>-0.34794520547945207</v>
      </c>
      <c r="P163" s="28">
        <v>6.1999999999999998E-3</v>
      </c>
      <c r="HW163" s="14"/>
      <c r="HX163" s="14"/>
      <c r="HY163" s="14"/>
      <c r="HZ163" s="14"/>
    </row>
    <row r="164" spans="2:234" ht="13.2" customHeight="1" x14ac:dyDescent="0.25">
      <c r="B164" s="26">
        <v>40790</v>
      </c>
      <c r="C164" s="27">
        <f t="shared" si="3"/>
        <v>-0.35068493150684932</v>
      </c>
      <c r="D164" s="28">
        <v>2.01918209105E-3</v>
      </c>
      <c r="J164" s="26">
        <v>40790</v>
      </c>
      <c r="K164" s="27">
        <f t="shared" si="4"/>
        <v>-0.35068493150684932</v>
      </c>
      <c r="L164" s="28">
        <v>3.2000000000000002E-3</v>
      </c>
      <c r="N164" s="26">
        <v>40790</v>
      </c>
      <c r="O164" s="27">
        <f t="shared" si="5"/>
        <v>-0.35068493150684932</v>
      </c>
      <c r="P164" s="28">
        <v>6.1999999999999998E-3</v>
      </c>
      <c r="HW164" s="14"/>
      <c r="HX164" s="14"/>
      <c r="HY164" s="14"/>
      <c r="HZ164" s="14"/>
    </row>
    <row r="165" spans="2:234" ht="13.2" customHeight="1" x14ac:dyDescent="0.25">
      <c r="B165" s="26">
        <v>40789</v>
      </c>
      <c r="C165" s="27">
        <f t="shared" ref="C165:C228" si="6">IF($F$3&lt;B165,1,-1)*YEARFRAC($F$3,B165,3)</f>
        <v>-0.35342465753424657</v>
      </c>
      <c r="D165" s="28">
        <v>2.01918209105E-3</v>
      </c>
      <c r="J165" s="26">
        <v>40789</v>
      </c>
      <c r="K165" s="27">
        <f t="shared" ref="K165:K228" si="7">IF($F$3&lt;J165,1,-1)*YEARFRAC($F$3,J165,3)</f>
        <v>-0.35342465753424657</v>
      </c>
      <c r="L165" s="28">
        <v>3.2000000000000002E-3</v>
      </c>
      <c r="N165" s="26">
        <v>40789</v>
      </c>
      <c r="O165" s="27">
        <f t="shared" ref="O165:O228" si="8">IF($F$3&lt;N165,1,-1)*YEARFRAC($F$3,N165,3)</f>
        <v>-0.35342465753424657</v>
      </c>
      <c r="P165" s="28">
        <v>6.1999999999999998E-3</v>
      </c>
      <c r="HW165" s="14"/>
      <c r="HX165" s="14"/>
      <c r="HY165" s="14"/>
      <c r="HZ165" s="14"/>
    </row>
    <row r="166" spans="2:234" ht="13.2" customHeight="1" x14ac:dyDescent="0.25">
      <c r="B166" s="26">
        <v>40788</v>
      </c>
      <c r="C166" s="27">
        <f t="shared" si="6"/>
        <v>-0.35616438356164382</v>
      </c>
      <c r="D166" s="28">
        <v>2.01918209105E-3</v>
      </c>
      <c r="J166" s="26">
        <v>40788</v>
      </c>
      <c r="K166" s="27">
        <f t="shared" si="7"/>
        <v>-0.35616438356164382</v>
      </c>
      <c r="L166" s="28">
        <v>3.2000000000000002E-3</v>
      </c>
      <c r="N166" s="26">
        <v>40788</v>
      </c>
      <c r="O166" s="27">
        <f t="shared" si="8"/>
        <v>-0.35616438356164382</v>
      </c>
      <c r="P166" s="28">
        <v>6.1999999999999998E-3</v>
      </c>
      <c r="HW166" s="14"/>
      <c r="HX166" s="14"/>
      <c r="HY166" s="14"/>
      <c r="HZ166" s="14"/>
    </row>
    <row r="167" spans="2:234" ht="13.2" customHeight="1" x14ac:dyDescent="0.25">
      <c r="B167" s="26">
        <v>40787</v>
      </c>
      <c r="C167" s="27">
        <f t="shared" si="6"/>
        <v>-0.35890410958904112</v>
      </c>
      <c r="D167" s="28">
        <v>2.01918209105E-3</v>
      </c>
      <c r="J167" s="26">
        <v>40787</v>
      </c>
      <c r="K167" s="27">
        <f t="shared" si="7"/>
        <v>-0.35890410958904112</v>
      </c>
      <c r="L167" s="28">
        <v>3.2000000000000002E-3</v>
      </c>
      <c r="N167" s="26">
        <v>40787</v>
      </c>
      <c r="O167" s="27">
        <f t="shared" si="8"/>
        <v>-0.35890410958904112</v>
      </c>
      <c r="P167" s="28">
        <v>6.1999999999999998E-3</v>
      </c>
      <c r="HW167" s="14"/>
      <c r="HX167" s="14"/>
      <c r="HY167" s="14"/>
      <c r="HZ167" s="14"/>
    </row>
    <row r="168" spans="2:234" ht="13.2" customHeight="1" x14ac:dyDescent="0.25">
      <c r="B168" s="26">
        <v>40786</v>
      </c>
      <c r="C168" s="27">
        <f t="shared" si="6"/>
        <v>-0.36164383561643837</v>
      </c>
      <c r="D168" s="28">
        <v>2.01918209105E-3</v>
      </c>
      <c r="J168" s="26">
        <v>40786</v>
      </c>
      <c r="K168" s="27">
        <f t="shared" si="7"/>
        <v>-0.36164383561643837</v>
      </c>
      <c r="L168" s="28">
        <v>3.2000000000000002E-3</v>
      </c>
      <c r="N168" s="26">
        <v>40786</v>
      </c>
      <c r="O168" s="27">
        <f t="shared" si="8"/>
        <v>-0.36164383561643837</v>
      </c>
      <c r="P168" s="28">
        <v>6.1999999999999998E-3</v>
      </c>
      <c r="HW168" s="14"/>
      <c r="HX168" s="14"/>
      <c r="HY168" s="14"/>
      <c r="HZ168" s="14"/>
    </row>
    <row r="169" spans="2:234" ht="13.2" customHeight="1" x14ac:dyDescent="0.25">
      <c r="B169" s="26">
        <v>40785</v>
      </c>
      <c r="C169" s="27">
        <f t="shared" si="6"/>
        <v>-0.36438356164383562</v>
      </c>
      <c r="D169" s="28">
        <v>2.01918209105E-3</v>
      </c>
      <c r="J169" s="26">
        <v>40785</v>
      </c>
      <c r="K169" s="27">
        <f t="shared" si="7"/>
        <v>-0.36438356164383562</v>
      </c>
      <c r="L169" s="28">
        <v>3.2000000000000002E-3</v>
      </c>
      <c r="N169" s="26">
        <v>40785</v>
      </c>
      <c r="O169" s="27">
        <f t="shared" si="8"/>
        <v>-0.36438356164383562</v>
      </c>
      <c r="P169" s="28">
        <v>6.1999999999999998E-3</v>
      </c>
      <c r="HW169" s="14"/>
      <c r="HX169" s="14"/>
      <c r="HY169" s="14"/>
      <c r="HZ169" s="14"/>
    </row>
    <row r="170" spans="2:234" ht="13.2" customHeight="1" x14ac:dyDescent="0.25">
      <c r="B170" s="26">
        <v>40784</v>
      </c>
      <c r="C170" s="27">
        <f t="shared" si="6"/>
        <v>-0.36712328767123287</v>
      </c>
      <c r="D170" s="28">
        <v>2.01918209105E-3</v>
      </c>
      <c r="J170" s="26">
        <v>40784</v>
      </c>
      <c r="K170" s="27">
        <f t="shared" si="7"/>
        <v>-0.36712328767123287</v>
      </c>
      <c r="L170" s="28">
        <v>3.2000000000000002E-3</v>
      </c>
      <c r="N170" s="26">
        <v>40784</v>
      </c>
      <c r="O170" s="27">
        <f t="shared" si="8"/>
        <v>-0.36712328767123287</v>
      </c>
      <c r="P170" s="28">
        <v>6.1999999999999998E-3</v>
      </c>
      <c r="HW170" s="14"/>
      <c r="HX170" s="14"/>
      <c r="HY170" s="14"/>
      <c r="HZ170" s="14"/>
    </row>
    <row r="171" spans="2:234" ht="13.2" customHeight="1" x14ac:dyDescent="0.25">
      <c r="B171" s="26">
        <v>40783</v>
      </c>
      <c r="C171" s="27">
        <f t="shared" si="6"/>
        <v>-0.36986301369863012</v>
      </c>
      <c r="D171" s="28">
        <v>2.01918209105E-3</v>
      </c>
      <c r="J171" s="26">
        <v>40783</v>
      </c>
      <c r="K171" s="27">
        <f t="shared" si="7"/>
        <v>-0.36986301369863012</v>
      </c>
      <c r="L171" s="28">
        <v>3.2000000000000002E-3</v>
      </c>
      <c r="N171" s="26">
        <v>40783</v>
      </c>
      <c r="O171" s="27">
        <f t="shared" si="8"/>
        <v>-0.36986301369863012</v>
      </c>
      <c r="P171" s="28">
        <v>6.1999999999999998E-3</v>
      </c>
      <c r="HW171" s="14"/>
      <c r="HX171" s="14"/>
      <c r="HY171" s="14"/>
      <c r="HZ171" s="14"/>
    </row>
    <row r="172" spans="2:234" ht="13.2" customHeight="1" x14ac:dyDescent="0.25">
      <c r="B172" s="26">
        <v>40782</v>
      </c>
      <c r="C172" s="27">
        <f t="shared" si="6"/>
        <v>-0.37260273972602742</v>
      </c>
      <c r="D172" s="28">
        <v>2.01918209105E-3</v>
      </c>
      <c r="J172" s="26">
        <v>40782</v>
      </c>
      <c r="K172" s="27">
        <f t="shared" si="7"/>
        <v>-0.37260273972602742</v>
      </c>
      <c r="L172" s="28">
        <v>3.2000000000000002E-3</v>
      </c>
      <c r="N172" s="26">
        <v>40782</v>
      </c>
      <c r="O172" s="27">
        <f t="shared" si="8"/>
        <v>-0.37260273972602742</v>
      </c>
      <c r="P172" s="28">
        <v>6.1999999999999998E-3</v>
      </c>
      <c r="HW172" s="14"/>
      <c r="HX172" s="14"/>
      <c r="HY172" s="14"/>
      <c r="HZ172" s="14"/>
    </row>
    <row r="173" spans="2:234" ht="13.2" customHeight="1" x14ac:dyDescent="0.25">
      <c r="B173" s="26">
        <v>40781</v>
      </c>
      <c r="C173" s="27">
        <f t="shared" si="6"/>
        <v>-0.37534246575342467</v>
      </c>
      <c r="D173" s="28">
        <v>2.01918209105E-3</v>
      </c>
      <c r="J173" s="26">
        <v>40781</v>
      </c>
      <c r="K173" s="27">
        <f t="shared" si="7"/>
        <v>-0.37534246575342467</v>
      </c>
      <c r="L173" s="28">
        <v>3.2000000000000002E-3</v>
      </c>
      <c r="N173" s="26">
        <v>40781</v>
      </c>
      <c r="O173" s="27">
        <f t="shared" si="8"/>
        <v>-0.37534246575342467</v>
      </c>
      <c r="P173" s="28">
        <v>6.1999999999999998E-3</v>
      </c>
      <c r="HW173" s="14"/>
      <c r="HX173" s="14"/>
      <c r="HY173" s="14"/>
      <c r="HZ173" s="14"/>
    </row>
    <row r="174" spans="2:234" ht="13.2" customHeight="1" x14ac:dyDescent="0.25">
      <c r="B174" s="26">
        <v>40780</v>
      </c>
      <c r="C174" s="27">
        <f t="shared" si="6"/>
        <v>-0.37808219178082192</v>
      </c>
      <c r="D174" s="28">
        <v>2.01918209105E-3</v>
      </c>
      <c r="J174" s="26">
        <v>40780</v>
      </c>
      <c r="K174" s="27">
        <f t="shared" si="7"/>
        <v>-0.37808219178082192</v>
      </c>
      <c r="L174" s="28">
        <v>3.2000000000000002E-3</v>
      </c>
      <c r="N174" s="26">
        <v>40780</v>
      </c>
      <c r="O174" s="27">
        <f t="shared" si="8"/>
        <v>-0.37808219178082192</v>
      </c>
      <c r="P174" s="28">
        <v>6.1999999999999998E-3</v>
      </c>
      <c r="HW174" s="14"/>
      <c r="HX174" s="14"/>
      <c r="HY174" s="14"/>
      <c r="HZ174" s="14"/>
    </row>
    <row r="175" spans="2:234" ht="13.2" customHeight="1" x14ac:dyDescent="0.25">
      <c r="B175" s="26">
        <v>40779</v>
      </c>
      <c r="C175" s="27">
        <f t="shared" si="6"/>
        <v>-0.38082191780821917</v>
      </c>
      <c r="D175" s="28">
        <v>2.01918209105E-3</v>
      </c>
      <c r="J175" s="26">
        <v>40779</v>
      </c>
      <c r="K175" s="27">
        <f t="shared" si="7"/>
        <v>-0.38082191780821917</v>
      </c>
      <c r="L175" s="28">
        <v>3.2000000000000002E-3</v>
      </c>
      <c r="N175" s="26">
        <v>40779</v>
      </c>
      <c r="O175" s="27">
        <f t="shared" si="8"/>
        <v>-0.38082191780821917</v>
      </c>
      <c r="P175" s="28">
        <v>6.1999999999999998E-3</v>
      </c>
      <c r="HW175" s="14"/>
      <c r="HX175" s="14"/>
      <c r="HY175" s="14"/>
      <c r="HZ175" s="14"/>
    </row>
    <row r="176" spans="2:234" ht="13.2" customHeight="1" x14ac:dyDescent="0.25">
      <c r="B176" s="26">
        <v>40778</v>
      </c>
      <c r="C176" s="27">
        <f t="shared" si="6"/>
        <v>-0.38356164383561642</v>
      </c>
      <c r="D176" s="28">
        <v>2.01918209105E-3</v>
      </c>
      <c r="J176" s="26">
        <v>40778</v>
      </c>
      <c r="K176" s="27">
        <f t="shared" si="7"/>
        <v>-0.38356164383561642</v>
      </c>
      <c r="L176" s="28">
        <v>3.2000000000000002E-3</v>
      </c>
      <c r="N176" s="26">
        <v>40778</v>
      </c>
      <c r="O176" s="27">
        <f t="shared" si="8"/>
        <v>-0.38356164383561642</v>
      </c>
      <c r="P176" s="28">
        <v>6.1999999999999998E-3</v>
      </c>
      <c r="HW176" s="14"/>
      <c r="HX176" s="14"/>
      <c r="HY176" s="14"/>
      <c r="HZ176" s="14"/>
    </row>
    <row r="177" spans="2:234" ht="13.2" customHeight="1" x14ac:dyDescent="0.25">
      <c r="B177" s="26">
        <v>40777</v>
      </c>
      <c r="C177" s="27">
        <f t="shared" si="6"/>
        <v>-0.38630136986301372</v>
      </c>
      <c r="D177" s="28">
        <v>2.01918209105E-3</v>
      </c>
      <c r="J177" s="26">
        <v>40777</v>
      </c>
      <c r="K177" s="27">
        <f t="shared" si="7"/>
        <v>-0.38630136986301372</v>
      </c>
      <c r="L177" s="28">
        <v>3.2000000000000002E-3</v>
      </c>
      <c r="N177" s="26">
        <v>40777</v>
      </c>
      <c r="O177" s="27">
        <f t="shared" si="8"/>
        <v>-0.38630136986301372</v>
      </c>
      <c r="P177" s="28">
        <v>6.1999999999999998E-3</v>
      </c>
      <c r="HW177" s="14"/>
      <c r="HX177" s="14"/>
      <c r="HY177" s="14"/>
      <c r="HZ177" s="14"/>
    </row>
    <row r="178" spans="2:234" ht="13.2" customHeight="1" x14ac:dyDescent="0.25">
      <c r="B178" s="26">
        <v>40776</v>
      </c>
      <c r="C178" s="27">
        <f t="shared" si="6"/>
        <v>-0.38904109589041097</v>
      </c>
      <c r="D178" s="28">
        <v>2.01918209105E-3</v>
      </c>
      <c r="J178" s="26">
        <v>40776</v>
      </c>
      <c r="K178" s="27">
        <f t="shared" si="7"/>
        <v>-0.38904109589041097</v>
      </c>
      <c r="L178" s="28">
        <v>3.2000000000000002E-3</v>
      </c>
      <c r="N178" s="26">
        <v>40776</v>
      </c>
      <c r="O178" s="27">
        <f t="shared" si="8"/>
        <v>-0.38904109589041097</v>
      </c>
      <c r="P178" s="28">
        <v>6.1999999999999998E-3</v>
      </c>
      <c r="HW178" s="14"/>
      <c r="HX178" s="14"/>
      <c r="HY178" s="14"/>
      <c r="HZ178" s="14"/>
    </row>
    <row r="179" spans="2:234" ht="13.2" customHeight="1" x14ac:dyDescent="0.25">
      <c r="B179" s="26">
        <v>40775</v>
      </c>
      <c r="C179" s="27">
        <f t="shared" si="6"/>
        <v>-0.39178082191780822</v>
      </c>
      <c r="D179" s="28">
        <v>2.01918209105E-3</v>
      </c>
      <c r="J179" s="26">
        <v>40775</v>
      </c>
      <c r="K179" s="27">
        <f t="shared" si="7"/>
        <v>-0.39178082191780822</v>
      </c>
      <c r="L179" s="28">
        <v>3.2000000000000002E-3</v>
      </c>
      <c r="N179" s="26">
        <v>40775</v>
      </c>
      <c r="O179" s="27">
        <f t="shared" si="8"/>
        <v>-0.39178082191780822</v>
      </c>
      <c r="P179" s="28">
        <v>6.1999999999999998E-3</v>
      </c>
      <c r="HW179" s="14"/>
      <c r="HX179" s="14"/>
      <c r="HY179" s="14"/>
      <c r="HZ179" s="14"/>
    </row>
    <row r="180" spans="2:234" ht="13.2" customHeight="1" x14ac:dyDescent="0.25">
      <c r="B180" s="26">
        <v>40774</v>
      </c>
      <c r="C180" s="27">
        <f t="shared" si="6"/>
        <v>-0.39452054794520547</v>
      </c>
      <c r="D180" s="28">
        <v>2.01918209105E-3</v>
      </c>
      <c r="J180" s="26">
        <v>40774</v>
      </c>
      <c r="K180" s="27">
        <f t="shared" si="7"/>
        <v>-0.39452054794520547</v>
      </c>
      <c r="L180" s="28">
        <v>3.2000000000000002E-3</v>
      </c>
      <c r="N180" s="26">
        <v>40774</v>
      </c>
      <c r="O180" s="27">
        <f t="shared" si="8"/>
        <v>-0.39452054794520547</v>
      </c>
      <c r="P180" s="28">
        <v>6.1999999999999998E-3</v>
      </c>
      <c r="HW180" s="14"/>
      <c r="HX180" s="14"/>
      <c r="HY180" s="14"/>
      <c r="HZ180" s="14"/>
    </row>
    <row r="181" spans="2:234" ht="13.2" customHeight="1" x14ac:dyDescent="0.25">
      <c r="B181" s="26">
        <v>40773</v>
      </c>
      <c r="C181" s="27">
        <f t="shared" si="6"/>
        <v>-0.39726027397260272</v>
      </c>
      <c r="D181" s="28">
        <v>2.01918209105E-3</v>
      </c>
      <c r="J181" s="26">
        <v>40773</v>
      </c>
      <c r="K181" s="27">
        <f t="shared" si="7"/>
        <v>-0.39726027397260272</v>
      </c>
      <c r="L181" s="28">
        <v>3.2000000000000002E-3</v>
      </c>
      <c r="N181" s="26">
        <v>40773</v>
      </c>
      <c r="O181" s="27">
        <f t="shared" si="8"/>
        <v>-0.39726027397260272</v>
      </c>
      <c r="P181" s="28">
        <v>6.1999999999999998E-3</v>
      </c>
      <c r="HW181" s="14"/>
      <c r="HX181" s="14"/>
      <c r="HY181" s="14"/>
      <c r="HZ181" s="14"/>
    </row>
    <row r="182" spans="2:234" ht="13.2" customHeight="1" x14ac:dyDescent="0.25">
      <c r="B182" s="26">
        <v>40772</v>
      </c>
      <c r="C182" s="27">
        <f t="shared" si="6"/>
        <v>-0.4</v>
      </c>
      <c r="D182" s="28">
        <v>2.01918209105E-3</v>
      </c>
      <c r="J182" s="26">
        <v>40772</v>
      </c>
      <c r="K182" s="27">
        <f t="shared" si="7"/>
        <v>-0.4</v>
      </c>
      <c r="L182" s="28">
        <v>3.2000000000000002E-3</v>
      </c>
      <c r="N182" s="26">
        <v>40772</v>
      </c>
      <c r="O182" s="27">
        <f t="shared" si="8"/>
        <v>-0.4</v>
      </c>
      <c r="P182" s="28">
        <v>6.1999999999999998E-3</v>
      </c>
      <c r="HW182" s="14"/>
      <c r="HX182" s="14"/>
      <c r="HY182" s="14"/>
      <c r="HZ182" s="14"/>
    </row>
    <row r="183" spans="2:234" ht="13.2" customHeight="1" x14ac:dyDescent="0.25">
      <c r="B183" s="26">
        <v>40771</v>
      </c>
      <c r="C183" s="27">
        <f t="shared" si="6"/>
        <v>-0.40273972602739727</v>
      </c>
      <c r="D183" s="28">
        <v>2.01918209105E-3</v>
      </c>
      <c r="J183" s="26">
        <v>40771</v>
      </c>
      <c r="K183" s="27">
        <f t="shared" si="7"/>
        <v>-0.40273972602739727</v>
      </c>
      <c r="L183" s="28">
        <v>3.2000000000000002E-3</v>
      </c>
      <c r="N183" s="26">
        <v>40771</v>
      </c>
      <c r="O183" s="27">
        <f t="shared" si="8"/>
        <v>-0.40273972602739727</v>
      </c>
      <c r="P183" s="28">
        <v>6.1999999999999998E-3</v>
      </c>
      <c r="HW183" s="14"/>
      <c r="HX183" s="14"/>
      <c r="HY183" s="14"/>
      <c r="HZ183" s="14"/>
    </row>
    <row r="184" spans="2:234" ht="13.2" customHeight="1" x14ac:dyDescent="0.25">
      <c r="B184" s="26">
        <v>40770</v>
      </c>
      <c r="C184" s="27">
        <f t="shared" si="6"/>
        <v>-0.40547945205479452</v>
      </c>
      <c r="D184" s="28">
        <v>2.01918209105E-3</v>
      </c>
      <c r="J184" s="26">
        <v>40770</v>
      </c>
      <c r="K184" s="27">
        <f t="shared" si="7"/>
        <v>-0.40547945205479452</v>
      </c>
      <c r="L184" s="28">
        <v>3.2000000000000002E-3</v>
      </c>
      <c r="N184" s="26">
        <v>40770</v>
      </c>
      <c r="O184" s="27">
        <f t="shared" si="8"/>
        <v>-0.40547945205479452</v>
      </c>
      <c r="P184" s="28">
        <v>6.1999999999999998E-3</v>
      </c>
      <c r="HW184" s="14"/>
      <c r="HX184" s="14"/>
      <c r="HY184" s="14"/>
      <c r="HZ184" s="14"/>
    </row>
    <row r="185" spans="2:234" ht="13.2" customHeight="1" x14ac:dyDescent="0.25">
      <c r="B185" s="26">
        <v>40769</v>
      </c>
      <c r="C185" s="27">
        <f t="shared" si="6"/>
        <v>-0.40821917808219177</v>
      </c>
      <c r="D185" s="28">
        <v>2.01918209105E-3</v>
      </c>
      <c r="J185" s="26">
        <v>40769</v>
      </c>
      <c r="K185" s="27">
        <f t="shared" si="7"/>
        <v>-0.40821917808219177</v>
      </c>
      <c r="L185" s="28">
        <v>3.2000000000000002E-3</v>
      </c>
      <c r="N185" s="26">
        <v>40769</v>
      </c>
      <c r="O185" s="27">
        <f t="shared" si="8"/>
        <v>-0.40821917808219177</v>
      </c>
      <c r="P185" s="28">
        <v>6.1999999999999998E-3</v>
      </c>
      <c r="HW185" s="14"/>
      <c r="HX185" s="14"/>
      <c r="HY185" s="14"/>
      <c r="HZ185" s="14"/>
    </row>
    <row r="186" spans="2:234" ht="13.2" customHeight="1" x14ac:dyDescent="0.25">
      <c r="B186" s="26">
        <v>40768</v>
      </c>
      <c r="C186" s="27">
        <f t="shared" si="6"/>
        <v>-0.41095890410958902</v>
      </c>
      <c r="D186" s="28">
        <v>2.01918209105E-3</v>
      </c>
      <c r="J186" s="26">
        <v>40768</v>
      </c>
      <c r="K186" s="27">
        <f t="shared" si="7"/>
        <v>-0.41095890410958902</v>
      </c>
      <c r="L186" s="28">
        <v>3.2000000000000002E-3</v>
      </c>
      <c r="N186" s="26">
        <v>40768</v>
      </c>
      <c r="O186" s="27">
        <f t="shared" si="8"/>
        <v>-0.41095890410958902</v>
      </c>
      <c r="P186" s="28">
        <v>6.1999999999999998E-3</v>
      </c>
      <c r="HW186" s="14"/>
      <c r="HX186" s="14"/>
      <c r="HY186" s="14"/>
      <c r="HZ186" s="14"/>
    </row>
    <row r="187" spans="2:234" ht="13.2" customHeight="1" x14ac:dyDescent="0.25">
      <c r="B187" s="26">
        <v>40767</v>
      </c>
      <c r="C187" s="27">
        <f t="shared" si="6"/>
        <v>-0.41369863013698632</v>
      </c>
      <c r="D187" s="28">
        <v>2.01918209105E-3</v>
      </c>
      <c r="J187" s="26">
        <v>40767</v>
      </c>
      <c r="K187" s="27">
        <f t="shared" si="7"/>
        <v>-0.41369863013698632</v>
      </c>
      <c r="L187" s="28">
        <v>3.2000000000000002E-3</v>
      </c>
      <c r="N187" s="26">
        <v>40767</v>
      </c>
      <c r="O187" s="27">
        <f t="shared" si="8"/>
        <v>-0.41369863013698632</v>
      </c>
      <c r="P187" s="28">
        <v>6.1999999999999998E-3</v>
      </c>
      <c r="HW187" s="14"/>
      <c r="HX187" s="14"/>
      <c r="HY187" s="14"/>
      <c r="HZ187" s="14"/>
    </row>
    <row r="188" spans="2:234" ht="13.2" customHeight="1" x14ac:dyDescent="0.25">
      <c r="B188" s="26">
        <v>40766</v>
      </c>
      <c r="C188" s="27">
        <f t="shared" si="6"/>
        <v>-0.41643835616438357</v>
      </c>
      <c r="D188" s="28">
        <v>2.01918209105E-3</v>
      </c>
      <c r="J188" s="26">
        <v>40766</v>
      </c>
      <c r="K188" s="27">
        <f t="shared" si="7"/>
        <v>-0.41643835616438357</v>
      </c>
      <c r="L188" s="28">
        <v>3.2000000000000002E-3</v>
      </c>
      <c r="N188" s="26">
        <v>40766</v>
      </c>
      <c r="O188" s="27">
        <f t="shared" si="8"/>
        <v>-0.41643835616438357</v>
      </c>
      <c r="P188" s="28">
        <v>6.1999999999999998E-3</v>
      </c>
      <c r="HW188" s="14"/>
      <c r="HX188" s="14"/>
      <c r="HY188" s="14"/>
      <c r="HZ188" s="14"/>
    </row>
    <row r="189" spans="2:234" ht="13.2" customHeight="1" x14ac:dyDescent="0.25">
      <c r="B189" s="26">
        <v>40765</v>
      </c>
      <c r="C189" s="27">
        <f t="shared" si="6"/>
        <v>-0.41917808219178082</v>
      </c>
      <c r="D189" s="28">
        <v>2.01918209105E-3</v>
      </c>
      <c r="J189" s="26">
        <v>40765</v>
      </c>
      <c r="K189" s="27">
        <f t="shared" si="7"/>
        <v>-0.41917808219178082</v>
      </c>
      <c r="L189" s="28">
        <v>3.2000000000000002E-3</v>
      </c>
      <c r="N189" s="26">
        <v>40765</v>
      </c>
      <c r="O189" s="27">
        <f t="shared" si="8"/>
        <v>-0.41917808219178082</v>
      </c>
      <c r="P189" s="28">
        <v>6.1999999999999998E-3</v>
      </c>
      <c r="HW189" s="14"/>
      <c r="HX189" s="14"/>
      <c r="HY189" s="14"/>
      <c r="HZ189" s="14"/>
    </row>
    <row r="190" spans="2:234" ht="13.2" customHeight="1" x14ac:dyDescent="0.25">
      <c r="B190" s="26">
        <v>40764</v>
      </c>
      <c r="C190" s="27">
        <f t="shared" si="6"/>
        <v>-0.42191780821917807</v>
      </c>
      <c r="D190" s="28">
        <v>2.01918209105E-3</v>
      </c>
      <c r="J190" s="26">
        <v>40764</v>
      </c>
      <c r="K190" s="27">
        <f t="shared" si="7"/>
        <v>-0.42191780821917807</v>
      </c>
      <c r="L190" s="28">
        <v>3.2000000000000002E-3</v>
      </c>
      <c r="N190" s="26">
        <v>40764</v>
      </c>
      <c r="O190" s="27">
        <f t="shared" si="8"/>
        <v>-0.42191780821917807</v>
      </c>
      <c r="P190" s="28">
        <v>6.1999999999999998E-3</v>
      </c>
      <c r="HW190" s="14"/>
      <c r="HX190" s="14"/>
      <c r="HY190" s="14"/>
      <c r="HZ190" s="14"/>
    </row>
    <row r="191" spans="2:234" ht="13.2" customHeight="1" x14ac:dyDescent="0.25">
      <c r="B191" s="26">
        <v>40763</v>
      </c>
      <c r="C191" s="27">
        <f t="shared" si="6"/>
        <v>-0.42465753424657532</v>
      </c>
      <c r="D191" s="28">
        <v>2.01918209105E-3</v>
      </c>
      <c r="J191" s="26">
        <v>40763</v>
      </c>
      <c r="K191" s="27">
        <f t="shared" si="7"/>
        <v>-0.42465753424657532</v>
      </c>
      <c r="L191" s="28">
        <v>3.2000000000000002E-3</v>
      </c>
      <c r="N191" s="26">
        <v>40763</v>
      </c>
      <c r="O191" s="27">
        <f t="shared" si="8"/>
        <v>-0.42465753424657532</v>
      </c>
      <c r="P191" s="28">
        <v>6.1999999999999998E-3</v>
      </c>
      <c r="HW191" s="14"/>
      <c r="HX191" s="14"/>
      <c r="HY191" s="14"/>
      <c r="HZ191" s="14"/>
    </row>
    <row r="192" spans="2:234" ht="13.2" customHeight="1" x14ac:dyDescent="0.25">
      <c r="B192" s="26">
        <v>40762</v>
      </c>
      <c r="C192" s="27">
        <f t="shared" si="6"/>
        <v>-0.42739726027397262</v>
      </c>
      <c r="D192" s="28">
        <v>2.01918209105E-3</v>
      </c>
      <c r="J192" s="26">
        <v>40762</v>
      </c>
      <c r="K192" s="27">
        <f t="shared" si="7"/>
        <v>-0.42739726027397262</v>
      </c>
      <c r="L192" s="28">
        <v>3.2000000000000002E-3</v>
      </c>
      <c r="N192" s="26">
        <v>40762</v>
      </c>
      <c r="O192" s="27">
        <f t="shared" si="8"/>
        <v>-0.42739726027397262</v>
      </c>
      <c r="P192" s="28">
        <v>6.1999999999999998E-3</v>
      </c>
      <c r="HW192" s="14"/>
      <c r="HX192" s="14"/>
      <c r="HY192" s="14"/>
      <c r="HZ192" s="14"/>
    </row>
    <row r="193" spans="2:234" ht="13.2" customHeight="1" x14ac:dyDescent="0.25">
      <c r="B193" s="26">
        <v>40761</v>
      </c>
      <c r="C193" s="27">
        <f t="shared" si="6"/>
        <v>-0.43013698630136987</v>
      </c>
      <c r="D193" s="28">
        <v>2.01918209105E-3</v>
      </c>
      <c r="J193" s="26">
        <v>40761</v>
      </c>
      <c r="K193" s="27">
        <f t="shared" si="7"/>
        <v>-0.43013698630136987</v>
      </c>
      <c r="L193" s="28">
        <v>3.2000000000000002E-3</v>
      </c>
      <c r="N193" s="26">
        <v>40761</v>
      </c>
      <c r="O193" s="27">
        <f t="shared" si="8"/>
        <v>-0.43013698630136987</v>
      </c>
      <c r="P193" s="28">
        <v>6.1999999999999998E-3</v>
      </c>
      <c r="HW193" s="14"/>
      <c r="HX193" s="14"/>
      <c r="HY193" s="14"/>
      <c r="HZ193" s="14"/>
    </row>
    <row r="194" spans="2:234" ht="13.2" customHeight="1" x14ac:dyDescent="0.25">
      <c r="B194" s="26">
        <v>40760</v>
      </c>
      <c r="C194" s="27">
        <f t="shared" si="6"/>
        <v>-0.43287671232876712</v>
      </c>
      <c r="D194" s="28">
        <v>2.01918209105E-3</v>
      </c>
      <c r="J194" s="26">
        <v>40760</v>
      </c>
      <c r="K194" s="27">
        <f t="shared" si="7"/>
        <v>-0.43287671232876712</v>
      </c>
      <c r="L194" s="28">
        <v>3.2000000000000002E-3</v>
      </c>
      <c r="N194" s="26">
        <v>40760</v>
      </c>
      <c r="O194" s="27">
        <f t="shared" si="8"/>
        <v>-0.43287671232876712</v>
      </c>
      <c r="P194" s="28">
        <v>6.1999999999999998E-3</v>
      </c>
      <c r="HW194" s="14"/>
      <c r="HX194" s="14"/>
      <c r="HY194" s="14"/>
      <c r="HZ194" s="14"/>
    </row>
    <row r="195" spans="2:234" ht="13.2" customHeight="1" x14ac:dyDescent="0.25">
      <c r="B195" s="26">
        <v>40759</v>
      </c>
      <c r="C195" s="27">
        <f t="shared" si="6"/>
        <v>-0.43561643835616437</v>
      </c>
      <c r="D195" s="28">
        <v>2.01918209105E-3</v>
      </c>
      <c r="J195" s="26">
        <v>40759</v>
      </c>
      <c r="K195" s="27">
        <f t="shared" si="7"/>
        <v>-0.43561643835616437</v>
      </c>
      <c r="L195" s="28">
        <v>3.2000000000000002E-3</v>
      </c>
      <c r="N195" s="26">
        <v>40759</v>
      </c>
      <c r="O195" s="27">
        <f t="shared" si="8"/>
        <v>-0.43561643835616437</v>
      </c>
      <c r="P195" s="28">
        <v>6.1999999999999998E-3</v>
      </c>
      <c r="HW195" s="14"/>
      <c r="HX195" s="14"/>
      <c r="HY195" s="14"/>
      <c r="HZ195" s="14"/>
    </row>
    <row r="196" spans="2:234" ht="13.2" customHeight="1" x14ac:dyDescent="0.25">
      <c r="B196" s="26">
        <v>40758</v>
      </c>
      <c r="C196" s="27">
        <f t="shared" si="6"/>
        <v>-0.43835616438356162</v>
      </c>
      <c r="D196" s="28">
        <v>2.01918209105E-3</v>
      </c>
      <c r="J196" s="26">
        <v>40758</v>
      </c>
      <c r="K196" s="27">
        <f t="shared" si="7"/>
        <v>-0.43835616438356162</v>
      </c>
      <c r="L196" s="28">
        <v>3.2000000000000002E-3</v>
      </c>
      <c r="N196" s="26">
        <v>40758</v>
      </c>
      <c r="O196" s="27">
        <f t="shared" si="8"/>
        <v>-0.43835616438356162</v>
      </c>
      <c r="P196" s="28">
        <v>6.1999999999999998E-3</v>
      </c>
      <c r="HW196" s="14"/>
      <c r="HX196" s="14"/>
      <c r="HY196" s="14"/>
      <c r="HZ196" s="14"/>
    </row>
    <row r="197" spans="2:234" ht="13.2" customHeight="1" x14ac:dyDescent="0.25">
      <c r="B197" s="26">
        <v>40757</v>
      </c>
      <c r="C197" s="27">
        <f t="shared" si="6"/>
        <v>-0.44109589041095892</v>
      </c>
      <c r="D197" s="28">
        <v>2.01918209105E-3</v>
      </c>
      <c r="J197" s="26">
        <v>40757</v>
      </c>
      <c r="K197" s="27">
        <f t="shared" si="7"/>
        <v>-0.44109589041095892</v>
      </c>
      <c r="L197" s="28">
        <v>3.2000000000000002E-3</v>
      </c>
      <c r="N197" s="26">
        <v>40757</v>
      </c>
      <c r="O197" s="27">
        <f t="shared" si="8"/>
        <v>-0.44109589041095892</v>
      </c>
      <c r="P197" s="28">
        <v>6.1999999999999998E-3</v>
      </c>
      <c r="HW197" s="14"/>
      <c r="HX197" s="14"/>
      <c r="HY197" s="14"/>
      <c r="HZ197" s="14"/>
    </row>
    <row r="198" spans="2:234" ht="13.2" customHeight="1" x14ac:dyDescent="0.25">
      <c r="B198" s="26">
        <v>40756</v>
      </c>
      <c r="C198" s="27">
        <f t="shared" si="6"/>
        <v>-0.44383561643835617</v>
      </c>
      <c r="D198" s="28">
        <v>2.01918209105E-3</v>
      </c>
      <c r="J198" s="26">
        <v>40756</v>
      </c>
      <c r="K198" s="27">
        <f t="shared" si="7"/>
        <v>-0.44383561643835617</v>
      </c>
      <c r="L198" s="28">
        <v>3.2000000000000002E-3</v>
      </c>
      <c r="N198" s="26">
        <v>40756</v>
      </c>
      <c r="O198" s="27">
        <f t="shared" si="8"/>
        <v>-0.44383561643835617</v>
      </c>
      <c r="P198" s="28">
        <v>6.1999999999999998E-3</v>
      </c>
      <c r="HW198" s="14"/>
      <c r="HX198" s="14"/>
      <c r="HY198" s="14"/>
      <c r="HZ198" s="14"/>
    </row>
    <row r="199" spans="2:234" ht="13.2" customHeight="1" x14ac:dyDescent="0.25">
      <c r="B199" s="26">
        <v>40755</v>
      </c>
      <c r="C199" s="27">
        <f t="shared" si="6"/>
        <v>-0.44657534246575342</v>
      </c>
      <c r="D199" s="28">
        <v>2.01918209105E-3</v>
      </c>
      <c r="J199" s="26">
        <v>40755</v>
      </c>
      <c r="K199" s="27">
        <f t="shared" si="7"/>
        <v>-0.44657534246575342</v>
      </c>
      <c r="L199" s="28">
        <v>3.2000000000000002E-3</v>
      </c>
      <c r="N199" s="26">
        <v>40755</v>
      </c>
      <c r="O199" s="27">
        <f t="shared" si="8"/>
        <v>-0.44657534246575342</v>
      </c>
      <c r="P199" s="28">
        <v>6.1999999999999998E-3</v>
      </c>
      <c r="HW199" s="14"/>
      <c r="HX199" s="14"/>
      <c r="HY199" s="14"/>
      <c r="HZ199" s="14"/>
    </row>
    <row r="200" spans="2:234" ht="13.2" customHeight="1" x14ac:dyDescent="0.25">
      <c r="B200" s="26">
        <v>40754</v>
      </c>
      <c r="C200" s="27">
        <f t="shared" si="6"/>
        <v>-0.44931506849315067</v>
      </c>
      <c r="D200" s="28">
        <v>2.01918209105E-3</v>
      </c>
      <c r="J200" s="26">
        <v>40754</v>
      </c>
      <c r="K200" s="27">
        <f t="shared" si="7"/>
        <v>-0.44931506849315067</v>
      </c>
      <c r="L200" s="28">
        <v>3.2000000000000002E-3</v>
      </c>
      <c r="N200" s="26">
        <v>40754</v>
      </c>
      <c r="O200" s="27">
        <f t="shared" si="8"/>
        <v>-0.44931506849315067</v>
      </c>
      <c r="P200" s="28">
        <v>6.1999999999999998E-3</v>
      </c>
      <c r="HW200" s="14"/>
      <c r="HX200" s="14"/>
      <c r="HY200" s="14"/>
      <c r="HZ200" s="14"/>
    </row>
    <row r="201" spans="2:234" ht="13.2" customHeight="1" x14ac:dyDescent="0.25">
      <c r="B201" s="26">
        <v>40753</v>
      </c>
      <c r="C201" s="27">
        <f t="shared" si="6"/>
        <v>-0.45205479452054792</v>
      </c>
      <c r="D201" s="28">
        <v>2.01918209105E-3</v>
      </c>
      <c r="J201" s="26">
        <v>40753</v>
      </c>
      <c r="K201" s="27">
        <f t="shared" si="7"/>
        <v>-0.45205479452054792</v>
      </c>
      <c r="L201" s="28">
        <v>3.2000000000000002E-3</v>
      </c>
      <c r="N201" s="26">
        <v>40753</v>
      </c>
      <c r="O201" s="27">
        <f t="shared" si="8"/>
        <v>-0.45205479452054792</v>
      </c>
      <c r="P201" s="28">
        <v>6.1999999999999998E-3</v>
      </c>
      <c r="HW201" s="14"/>
      <c r="HX201" s="14"/>
      <c r="HY201" s="14"/>
      <c r="HZ201" s="14"/>
    </row>
    <row r="202" spans="2:234" ht="13.2" customHeight="1" x14ac:dyDescent="0.25">
      <c r="B202" s="26">
        <v>40752</v>
      </c>
      <c r="C202" s="27">
        <f t="shared" si="6"/>
        <v>-0.45479452054794522</v>
      </c>
      <c r="D202" s="28">
        <v>2.01918209105E-3</v>
      </c>
      <c r="J202" s="26">
        <v>40752</v>
      </c>
      <c r="K202" s="27">
        <f t="shared" si="7"/>
        <v>-0.45479452054794522</v>
      </c>
      <c r="L202" s="28">
        <v>3.2000000000000002E-3</v>
      </c>
      <c r="N202" s="26">
        <v>40752</v>
      </c>
      <c r="O202" s="27">
        <f t="shared" si="8"/>
        <v>-0.45479452054794522</v>
      </c>
      <c r="P202" s="28">
        <v>6.1999999999999998E-3</v>
      </c>
      <c r="HW202" s="14"/>
      <c r="HX202" s="14"/>
      <c r="HY202" s="14"/>
      <c r="HZ202" s="14"/>
    </row>
    <row r="203" spans="2:234" ht="13.2" customHeight="1" x14ac:dyDescent="0.25">
      <c r="B203" s="26">
        <v>40751</v>
      </c>
      <c r="C203" s="27">
        <f t="shared" si="6"/>
        <v>-0.45753424657534247</v>
      </c>
      <c r="D203" s="28">
        <v>2.01918209105E-3</v>
      </c>
      <c r="J203" s="26">
        <v>40751</v>
      </c>
      <c r="K203" s="27">
        <f t="shared" si="7"/>
        <v>-0.45753424657534247</v>
      </c>
      <c r="L203" s="28">
        <v>3.2000000000000002E-3</v>
      </c>
      <c r="N203" s="26">
        <v>40751</v>
      </c>
      <c r="O203" s="27">
        <f t="shared" si="8"/>
        <v>-0.45753424657534247</v>
      </c>
      <c r="P203" s="28">
        <v>6.1999999999999998E-3</v>
      </c>
      <c r="HW203" s="14"/>
      <c r="HX203" s="14"/>
      <c r="HY203" s="14"/>
      <c r="HZ203" s="14"/>
    </row>
    <row r="204" spans="2:234" ht="13.2" customHeight="1" x14ac:dyDescent="0.25">
      <c r="B204" s="26">
        <v>40750</v>
      </c>
      <c r="C204" s="27">
        <f t="shared" si="6"/>
        <v>-0.46027397260273972</v>
      </c>
      <c r="D204" s="28">
        <v>2.01918209105E-3</v>
      </c>
      <c r="J204" s="26">
        <v>40750</v>
      </c>
      <c r="K204" s="27">
        <f t="shared" si="7"/>
        <v>-0.46027397260273972</v>
      </c>
      <c r="L204" s="28">
        <v>3.2000000000000002E-3</v>
      </c>
      <c r="N204" s="26">
        <v>40750</v>
      </c>
      <c r="O204" s="27">
        <f t="shared" si="8"/>
        <v>-0.46027397260273972</v>
      </c>
      <c r="P204" s="28">
        <v>6.1999999999999998E-3</v>
      </c>
      <c r="HW204" s="14"/>
      <c r="HX204" s="14"/>
      <c r="HY204" s="14"/>
      <c r="HZ204" s="14"/>
    </row>
    <row r="205" spans="2:234" ht="13.2" customHeight="1" x14ac:dyDescent="0.25">
      <c r="B205" s="26">
        <v>40749</v>
      </c>
      <c r="C205" s="27">
        <f t="shared" si="6"/>
        <v>-0.46301369863013697</v>
      </c>
      <c r="D205" s="28">
        <v>2.01918209105E-3</v>
      </c>
      <c r="J205" s="26">
        <v>40749</v>
      </c>
      <c r="K205" s="27">
        <f t="shared" si="7"/>
        <v>-0.46301369863013697</v>
      </c>
      <c r="L205" s="28">
        <v>3.2000000000000002E-3</v>
      </c>
      <c r="N205" s="26">
        <v>40749</v>
      </c>
      <c r="O205" s="27">
        <f t="shared" si="8"/>
        <v>-0.46301369863013697</v>
      </c>
      <c r="P205" s="28">
        <v>6.1999999999999998E-3</v>
      </c>
      <c r="HW205" s="14"/>
      <c r="HX205" s="14"/>
      <c r="HY205" s="14"/>
      <c r="HZ205" s="14"/>
    </row>
    <row r="206" spans="2:234" ht="13.2" customHeight="1" x14ac:dyDescent="0.25">
      <c r="B206" s="26">
        <v>40748</v>
      </c>
      <c r="C206" s="27">
        <f t="shared" si="6"/>
        <v>-0.46575342465753422</v>
      </c>
      <c r="D206" s="28">
        <v>2.01918209105E-3</v>
      </c>
      <c r="J206" s="26">
        <v>40748</v>
      </c>
      <c r="K206" s="27">
        <f t="shared" si="7"/>
        <v>-0.46575342465753422</v>
      </c>
      <c r="L206" s="28">
        <v>3.2000000000000002E-3</v>
      </c>
      <c r="N206" s="26">
        <v>40748</v>
      </c>
      <c r="O206" s="27">
        <f t="shared" si="8"/>
        <v>-0.46575342465753422</v>
      </c>
      <c r="P206" s="28">
        <v>6.1999999999999998E-3</v>
      </c>
      <c r="HW206" s="14"/>
      <c r="HX206" s="14"/>
      <c r="HY206" s="14"/>
      <c r="HZ206" s="14"/>
    </row>
    <row r="207" spans="2:234" ht="13.2" customHeight="1" x14ac:dyDescent="0.25">
      <c r="B207" s="26">
        <v>40747</v>
      </c>
      <c r="C207" s="27">
        <f t="shared" si="6"/>
        <v>-0.46849315068493153</v>
      </c>
      <c r="D207" s="28">
        <v>2.01918209105E-3</v>
      </c>
      <c r="J207" s="26">
        <v>40747</v>
      </c>
      <c r="K207" s="27">
        <f t="shared" si="7"/>
        <v>-0.46849315068493153</v>
      </c>
      <c r="L207" s="28">
        <v>3.2000000000000002E-3</v>
      </c>
      <c r="N207" s="26">
        <v>40747</v>
      </c>
      <c r="O207" s="27">
        <f t="shared" si="8"/>
        <v>-0.46849315068493153</v>
      </c>
      <c r="P207" s="28">
        <v>6.1999999999999998E-3</v>
      </c>
      <c r="HW207" s="14"/>
      <c r="HX207" s="14"/>
      <c r="HY207" s="14"/>
      <c r="HZ207" s="14"/>
    </row>
    <row r="208" spans="2:234" ht="13.2" customHeight="1" x14ac:dyDescent="0.25">
      <c r="B208" s="26">
        <v>40746</v>
      </c>
      <c r="C208" s="27">
        <f t="shared" si="6"/>
        <v>-0.47123287671232877</v>
      </c>
      <c r="D208" s="28">
        <v>2.01918209105E-3</v>
      </c>
      <c r="J208" s="26">
        <v>40746</v>
      </c>
      <c r="K208" s="27">
        <f t="shared" si="7"/>
        <v>-0.47123287671232877</v>
      </c>
      <c r="L208" s="28">
        <v>3.2000000000000002E-3</v>
      </c>
      <c r="N208" s="26">
        <v>40746</v>
      </c>
      <c r="O208" s="27">
        <f t="shared" si="8"/>
        <v>-0.47123287671232877</v>
      </c>
      <c r="P208" s="28">
        <v>6.1999999999999998E-3</v>
      </c>
      <c r="HW208" s="14"/>
      <c r="HX208" s="14"/>
      <c r="HY208" s="14"/>
      <c r="HZ208" s="14"/>
    </row>
    <row r="209" spans="2:234" ht="13.2" customHeight="1" x14ac:dyDescent="0.25">
      <c r="B209" s="26">
        <v>40745</v>
      </c>
      <c r="C209" s="27">
        <f t="shared" si="6"/>
        <v>-0.47397260273972602</v>
      </c>
      <c r="D209" s="28">
        <v>2.01918209105E-3</v>
      </c>
      <c r="J209" s="26">
        <v>40745</v>
      </c>
      <c r="K209" s="27">
        <f t="shared" si="7"/>
        <v>-0.47397260273972602</v>
      </c>
      <c r="L209" s="28">
        <v>3.2000000000000002E-3</v>
      </c>
      <c r="N209" s="26">
        <v>40745</v>
      </c>
      <c r="O209" s="27">
        <f t="shared" si="8"/>
        <v>-0.47397260273972602</v>
      </c>
      <c r="P209" s="28">
        <v>6.1999999999999998E-3</v>
      </c>
      <c r="HW209" s="14"/>
      <c r="HX209" s="14"/>
      <c r="HY209" s="14"/>
      <c r="HZ209" s="14"/>
    </row>
    <row r="210" spans="2:234" ht="13.2" customHeight="1" x14ac:dyDescent="0.25">
      <c r="B210" s="26">
        <v>40744</v>
      </c>
      <c r="C210" s="27">
        <f t="shared" si="6"/>
        <v>-0.47671232876712327</v>
      </c>
      <c r="D210" s="28">
        <v>2.01918209105E-3</v>
      </c>
      <c r="J210" s="26">
        <v>40744</v>
      </c>
      <c r="K210" s="27">
        <f t="shared" si="7"/>
        <v>-0.47671232876712327</v>
      </c>
      <c r="L210" s="28">
        <v>3.2000000000000002E-3</v>
      </c>
      <c r="N210" s="26">
        <v>40744</v>
      </c>
      <c r="O210" s="27">
        <f t="shared" si="8"/>
        <v>-0.47671232876712327</v>
      </c>
      <c r="P210" s="28">
        <v>6.1999999999999998E-3</v>
      </c>
      <c r="HW210" s="14"/>
      <c r="HX210" s="14"/>
      <c r="HY210" s="14"/>
      <c r="HZ210" s="14"/>
    </row>
    <row r="211" spans="2:234" ht="13.2" customHeight="1" x14ac:dyDescent="0.25">
      <c r="B211" s="26">
        <v>40743</v>
      </c>
      <c r="C211" s="27">
        <f t="shared" si="6"/>
        <v>-0.47945205479452052</v>
      </c>
      <c r="D211" s="28">
        <v>2.01918209105E-3</v>
      </c>
      <c r="J211" s="26">
        <v>40743</v>
      </c>
      <c r="K211" s="27">
        <f t="shared" si="7"/>
        <v>-0.47945205479452052</v>
      </c>
      <c r="L211" s="28">
        <v>3.2000000000000002E-3</v>
      </c>
      <c r="N211" s="26">
        <v>40743</v>
      </c>
      <c r="O211" s="27">
        <f t="shared" si="8"/>
        <v>-0.47945205479452052</v>
      </c>
      <c r="P211" s="28">
        <v>6.1999999999999998E-3</v>
      </c>
      <c r="HW211" s="14"/>
      <c r="HX211" s="14"/>
      <c r="HY211" s="14"/>
      <c r="HZ211" s="14"/>
    </row>
    <row r="212" spans="2:234" ht="13.2" customHeight="1" x14ac:dyDescent="0.25">
      <c r="B212" s="26">
        <v>40742</v>
      </c>
      <c r="C212" s="27">
        <f t="shared" si="6"/>
        <v>-0.48219178082191783</v>
      </c>
      <c r="D212" s="28">
        <v>2.01918209105E-3</v>
      </c>
      <c r="J212" s="26">
        <v>40742</v>
      </c>
      <c r="K212" s="27">
        <f t="shared" si="7"/>
        <v>-0.48219178082191783</v>
      </c>
      <c r="L212" s="28">
        <v>3.2000000000000002E-3</v>
      </c>
      <c r="N212" s="26">
        <v>40742</v>
      </c>
      <c r="O212" s="27">
        <f t="shared" si="8"/>
        <v>-0.48219178082191783</v>
      </c>
      <c r="P212" s="28">
        <v>6.1999999999999998E-3</v>
      </c>
      <c r="HW212" s="14"/>
      <c r="HX212" s="14"/>
      <c r="HY212" s="14"/>
      <c r="HZ212" s="14"/>
    </row>
    <row r="213" spans="2:234" ht="13.2" customHeight="1" x14ac:dyDescent="0.25">
      <c r="B213" s="26">
        <v>40741</v>
      </c>
      <c r="C213" s="27">
        <f t="shared" si="6"/>
        <v>-0.48493150684931507</v>
      </c>
      <c r="D213" s="28">
        <v>2.01918209105E-3</v>
      </c>
      <c r="J213" s="26">
        <v>40741</v>
      </c>
      <c r="K213" s="27">
        <f t="shared" si="7"/>
        <v>-0.48493150684931507</v>
      </c>
      <c r="L213" s="28">
        <v>3.2000000000000002E-3</v>
      </c>
      <c r="N213" s="26">
        <v>40741</v>
      </c>
      <c r="O213" s="27">
        <f t="shared" si="8"/>
        <v>-0.48493150684931507</v>
      </c>
      <c r="P213" s="28">
        <v>6.1999999999999998E-3</v>
      </c>
      <c r="HW213" s="14"/>
      <c r="HX213" s="14"/>
      <c r="HY213" s="14"/>
      <c r="HZ213" s="14"/>
    </row>
    <row r="214" spans="2:234" ht="13.2" customHeight="1" x14ac:dyDescent="0.25">
      <c r="B214" s="26">
        <v>40740</v>
      </c>
      <c r="C214" s="27">
        <f t="shared" si="6"/>
        <v>-0.48767123287671232</v>
      </c>
      <c r="D214" s="28">
        <v>2.01918209105E-3</v>
      </c>
      <c r="J214" s="26">
        <v>40740</v>
      </c>
      <c r="K214" s="27">
        <f t="shared" si="7"/>
        <v>-0.48767123287671232</v>
      </c>
      <c r="L214" s="28">
        <v>3.2000000000000002E-3</v>
      </c>
      <c r="N214" s="26">
        <v>40740</v>
      </c>
      <c r="O214" s="27">
        <f t="shared" si="8"/>
        <v>-0.48767123287671232</v>
      </c>
      <c r="P214" s="28">
        <v>6.1999999999999998E-3</v>
      </c>
      <c r="HW214" s="14"/>
      <c r="HX214" s="14"/>
      <c r="HY214" s="14"/>
      <c r="HZ214" s="14"/>
    </row>
    <row r="215" spans="2:234" ht="13.2" customHeight="1" x14ac:dyDescent="0.25">
      <c r="B215" s="26">
        <v>40739</v>
      </c>
      <c r="C215" s="27">
        <f t="shared" si="6"/>
        <v>-0.49041095890410957</v>
      </c>
      <c r="D215" s="28">
        <v>2.01918209105E-3</v>
      </c>
      <c r="J215" s="26">
        <v>40739</v>
      </c>
      <c r="K215" s="27">
        <f t="shared" si="7"/>
        <v>-0.49041095890410957</v>
      </c>
      <c r="L215" s="28">
        <v>3.2000000000000002E-3</v>
      </c>
      <c r="N215" s="26">
        <v>40739</v>
      </c>
      <c r="O215" s="27">
        <f t="shared" si="8"/>
        <v>-0.49041095890410957</v>
      </c>
      <c r="P215" s="28">
        <v>6.1999999999999998E-3</v>
      </c>
      <c r="HW215" s="14"/>
      <c r="HX215" s="14"/>
      <c r="HY215" s="14"/>
      <c r="HZ215" s="14"/>
    </row>
    <row r="216" spans="2:234" ht="13.2" customHeight="1" x14ac:dyDescent="0.25">
      <c r="B216" s="26">
        <v>40738</v>
      </c>
      <c r="C216" s="27">
        <f t="shared" si="6"/>
        <v>-0.49315068493150682</v>
      </c>
      <c r="D216" s="28">
        <v>2.01918209105E-3</v>
      </c>
      <c r="J216" s="26">
        <v>40738</v>
      </c>
      <c r="K216" s="27">
        <f t="shared" si="7"/>
        <v>-0.49315068493150682</v>
      </c>
      <c r="L216" s="28">
        <v>3.2000000000000002E-3</v>
      </c>
      <c r="N216" s="26">
        <v>40738</v>
      </c>
      <c r="O216" s="27">
        <f t="shared" si="8"/>
        <v>-0.49315068493150682</v>
      </c>
      <c r="P216" s="28">
        <v>6.1999999999999998E-3</v>
      </c>
      <c r="HW216" s="14"/>
      <c r="HX216" s="14"/>
      <c r="HY216" s="14"/>
      <c r="HZ216" s="14"/>
    </row>
    <row r="217" spans="2:234" ht="13.2" customHeight="1" x14ac:dyDescent="0.25">
      <c r="B217" s="26">
        <v>40737</v>
      </c>
      <c r="C217" s="27">
        <f t="shared" si="6"/>
        <v>-0.49589041095890413</v>
      </c>
      <c r="D217" s="28">
        <v>2.01918209105E-3</v>
      </c>
      <c r="J217" s="26">
        <v>40737</v>
      </c>
      <c r="K217" s="27">
        <f t="shared" si="7"/>
        <v>-0.49589041095890413</v>
      </c>
      <c r="L217" s="28">
        <v>3.2000000000000002E-3</v>
      </c>
      <c r="N217" s="26">
        <v>40737</v>
      </c>
      <c r="O217" s="27">
        <f t="shared" si="8"/>
        <v>-0.49589041095890413</v>
      </c>
      <c r="P217" s="28">
        <v>6.1999999999999998E-3</v>
      </c>
      <c r="HW217" s="14"/>
      <c r="HX217" s="14"/>
      <c r="HY217" s="14"/>
      <c r="HZ217" s="14"/>
    </row>
    <row r="218" spans="2:234" ht="13.2" customHeight="1" x14ac:dyDescent="0.25">
      <c r="B218" s="26">
        <v>40736</v>
      </c>
      <c r="C218" s="27">
        <f t="shared" si="6"/>
        <v>-0.49863013698630138</v>
      </c>
      <c r="D218" s="28">
        <v>2.01918209105E-3</v>
      </c>
      <c r="J218" s="26">
        <v>40736</v>
      </c>
      <c r="K218" s="27">
        <f t="shared" si="7"/>
        <v>-0.49863013698630138</v>
      </c>
      <c r="L218" s="28">
        <v>3.2000000000000002E-3</v>
      </c>
      <c r="N218" s="26">
        <v>40736</v>
      </c>
      <c r="O218" s="27">
        <f t="shared" si="8"/>
        <v>-0.49863013698630138</v>
      </c>
      <c r="P218" s="28">
        <v>6.1999999999999998E-3</v>
      </c>
      <c r="HW218" s="14"/>
      <c r="HX218" s="14"/>
      <c r="HY218" s="14"/>
      <c r="HZ218" s="14"/>
    </row>
    <row r="219" spans="2:234" ht="13.2" customHeight="1" x14ac:dyDescent="0.25">
      <c r="B219" s="26">
        <v>40735</v>
      </c>
      <c r="C219" s="27">
        <f t="shared" si="6"/>
        <v>-0.50136986301369868</v>
      </c>
      <c r="D219" s="28">
        <v>2.01918209105E-3</v>
      </c>
      <c r="J219" s="26">
        <v>40735</v>
      </c>
      <c r="K219" s="27">
        <f t="shared" si="7"/>
        <v>-0.50136986301369868</v>
      </c>
      <c r="L219" s="28">
        <v>3.2000000000000002E-3</v>
      </c>
      <c r="N219" s="26">
        <v>40735</v>
      </c>
      <c r="O219" s="27">
        <f t="shared" si="8"/>
        <v>-0.50136986301369868</v>
      </c>
      <c r="P219" s="28">
        <v>6.1999999999999998E-3</v>
      </c>
      <c r="HW219" s="14"/>
      <c r="HX219" s="14"/>
      <c r="HY219" s="14"/>
      <c r="HZ219" s="14"/>
    </row>
    <row r="220" spans="2:234" ht="13.2" customHeight="1" x14ac:dyDescent="0.25">
      <c r="B220" s="26">
        <v>40734</v>
      </c>
      <c r="C220" s="27">
        <f t="shared" si="6"/>
        <v>-0.50410958904109593</v>
      </c>
      <c r="D220" s="28">
        <v>2.01918209105E-3</v>
      </c>
      <c r="J220" s="26">
        <v>40734</v>
      </c>
      <c r="K220" s="27">
        <f t="shared" si="7"/>
        <v>-0.50410958904109593</v>
      </c>
      <c r="L220" s="28">
        <v>3.2000000000000002E-3</v>
      </c>
      <c r="N220" s="26">
        <v>40734</v>
      </c>
      <c r="O220" s="27">
        <f t="shared" si="8"/>
        <v>-0.50410958904109593</v>
      </c>
      <c r="P220" s="28">
        <v>6.1999999999999998E-3</v>
      </c>
      <c r="HW220" s="14"/>
      <c r="HX220" s="14"/>
      <c r="HY220" s="14"/>
      <c r="HZ220" s="14"/>
    </row>
    <row r="221" spans="2:234" ht="13.2" customHeight="1" x14ac:dyDescent="0.25">
      <c r="B221" s="26">
        <v>40733</v>
      </c>
      <c r="C221" s="27">
        <f t="shared" si="6"/>
        <v>-0.50684931506849318</v>
      </c>
      <c r="D221" s="28">
        <v>2.01918209105E-3</v>
      </c>
      <c r="J221" s="26">
        <v>40733</v>
      </c>
      <c r="K221" s="27">
        <f t="shared" si="7"/>
        <v>-0.50684931506849318</v>
      </c>
      <c r="L221" s="28">
        <v>3.2000000000000002E-3</v>
      </c>
      <c r="N221" s="26">
        <v>40733</v>
      </c>
      <c r="O221" s="27">
        <f t="shared" si="8"/>
        <v>-0.50684931506849318</v>
      </c>
      <c r="P221" s="28">
        <v>6.1999999999999998E-3</v>
      </c>
      <c r="HW221" s="14"/>
      <c r="HX221" s="14"/>
      <c r="HY221" s="14"/>
      <c r="HZ221" s="14"/>
    </row>
    <row r="222" spans="2:234" ht="13.2" customHeight="1" x14ac:dyDescent="0.25">
      <c r="B222" s="26">
        <v>40732</v>
      </c>
      <c r="C222" s="27">
        <f t="shared" si="6"/>
        <v>-0.50958904109589043</v>
      </c>
      <c r="D222" s="28">
        <v>2.01918209105E-3</v>
      </c>
      <c r="J222" s="26">
        <v>40732</v>
      </c>
      <c r="K222" s="27">
        <f t="shared" si="7"/>
        <v>-0.50958904109589043</v>
      </c>
      <c r="L222" s="28">
        <v>3.2000000000000002E-3</v>
      </c>
      <c r="N222" s="26">
        <v>40732</v>
      </c>
      <c r="O222" s="27">
        <f t="shared" si="8"/>
        <v>-0.50958904109589043</v>
      </c>
      <c r="P222" s="28">
        <v>6.1999999999999998E-3</v>
      </c>
      <c r="HW222" s="14"/>
      <c r="HX222" s="14"/>
      <c r="HY222" s="14"/>
      <c r="HZ222" s="14"/>
    </row>
    <row r="223" spans="2:234" ht="13.2" customHeight="1" x14ac:dyDescent="0.25">
      <c r="B223" s="26">
        <v>40731</v>
      </c>
      <c r="C223" s="27">
        <f t="shared" si="6"/>
        <v>-0.51232876712328768</v>
      </c>
      <c r="D223" s="28">
        <v>2.01918209105E-3</v>
      </c>
      <c r="J223" s="26">
        <v>40731</v>
      </c>
      <c r="K223" s="27">
        <f t="shared" si="7"/>
        <v>-0.51232876712328768</v>
      </c>
      <c r="L223" s="28">
        <v>3.2000000000000002E-3</v>
      </c>
      <c r="N223" s="26">
        <v>40731</v>
      </c>
      <c r="O223" s="27">
        <f t="shared" si="8"/>
        <v>-0.51232876712328768</v>
      </c>
      <c r="P223" s="28">
        <v>6.1999999999999998E-3</v>
      </c>
      <c r="HW223" s="14"/>
      <c r="HX223" s="14"/>
      <c r="HY223" s="14"/>
      <c r="HZ223" s="14"/>
    </row>
    <row r="224" spans="2:234" ht="13.2" customHeight="1" x14ac:dyDescent="0.25">
      <c r="B224" s="26">
        <v>40730</v>
      </c>
      <c r="C224" s="27">
        <f t="shared" si="6"/>
        <v>-0.51506849315068493</v>
      </c>
      <c r="D224" s="28">
        <v>2.01918209105E-3</v>
      </c>
      <c r="J224" s="26">
        <v>40730</v>
      </c>
      <c r="K224" s="27">
        <f t="shared" si="7"/>
        <v>-0.51506849315068493</v>
      </c>
      <c r="L224" s="28">
        <v>3.2000000000000002E-3</v>
      </c>
      <c r="N224" s="26">
        <v>40730</v>
      </c>
      <c r="O224" s="27">
        <f t="shared" si="8"/>
        <v>-0.51506849315068493</v>
      </c>
      <c r="P224" s="28">
        <v>6.1999999999999998E-3</v>
      </c>
      <c r="HW224" s="14"/>
      <c r="HX224" s="14"/>
      <c r="HY224" s="14"/>
      <c r="HZ224" s="14"/>
    </row>
    <row r="225" spans="2:234" ht="13.2" customHeight="1" x14ac:dyDescent="0.25">
      <c r="B225" s="26">
        <v>40729</v>
      </c>
      <c r="C225" s="27">
        <f t="shared" si="6"/>
        <v>-0.51780821917808217</v>
      </c>
      <c r="D225" s="28">
        <v>2.01918209105E-3</v>
      </c>
      <c r="J225" s="26">
        <v>40729</v>
      </c>
      <c r="K225" s="27">
        <f t="shared" si="7"/>
        <v>-0.51780821917808217</v>
      </c>
      <c r="L225" s="28">
        <v>3.2000000000000002E-3</v>
      </c>
      <c r="N225" s="26">
        <v>40729</v>
      </c>
      <c r="O225" s="27">
        <f t="shared" si="8"/>
        <v>-0.51780821917808217</v>
      </c>
      <c r="P225" s="28">
        <v>6.1999999999999998E-3</v>
      </c>
      <c r="HW225" s="14"/>
      <c r="HX225" s="14"/>
      <c r="HY225" s="14"/>
      <c r="HZ225" s="14"/>
    </row>
    <row r="226" spans="2:234" ht="13.2" customHeight="1" x14ac:dyDescent="0.25">
      <c r="B226" s="26">
        <v>40728</v>
      </c>
      <c r="C226" s="27">
        <f t="shared" si="6"/>
        <v>-0.52054794520547942</v>
      </c>
      <c r="D226" s="28">
        <v>2.01918209105E-3</v>
      </c>
      <c r="J226" s="26">
        <v>40728</v>
      </c>
      <c r="K226" s="27">
        <f t="shared" si="7"/>
        <v>-0.52054794520547942</v>
      </c>
      <c r="L226" s="28">
        <v>3.2000000000000002E-3</v>
      </c>
      <c r="N226" s="26">
        <v>40728</v>
      </c>
      <c r="O226" s="27">
        <f t="shared" si="8"/>
        <v>-0.52054794520547942</v>
      </c>
      <c r="P226" s="28">
        <v>6.1999999999999998E-3</v>
      </c>
      <c r="HW226" s="14"/>
      <c r="HX226" s="14"/>
      <c r="HY226" s="14"/>
      <c r="HZ226" s="14"/>
    </row>
    <row r="227" spans="2:234" ht="13.2" customHeight="1" x14ac:dyDescent="0.25">
      <c r="B227" s="26">
        <v>40727</v>
      </c>
      <c r="C227" s="27">
        <f t="shared" si="6"/>
        <v>-0.52328767123287667</v>
      </c>
      <c r="D227" s="28">
        <v>2.01918209105E-3</v>
      </c>
      <c r="J227" s="26">
        <v>40727</v>
      </c>
      <c r="K227" s="27">
        <f t="shared" si="7"/>
        <v>-0.52328767123287667</v>
      </c>
      <c r="L227" s="28">
        <v>3.2000000000000002E-3</v>
      </c>
      <c r="N227" s="26">
        <v>40727</v>
      </c>
      <c r="O227" s="27">
        <f t="shared" si="8"/>
        <v>-0.52328767123287667</v>
      </c>
      <c r="P227" s="28">
        <v>6.1999999999999998E-3</v>
      </c>
      <c r="HW227" s="14"/>
      <c r="HX227" s="14"/>
      <c r="HY227" s="14"/>
      <c r="HZ227" s="14"/>
    </row>
    <row r="228" spans="2:234" ht="13.2" customHeight="1" x14ac:dyDescent="0.25">
      <c r="B228" s="26">
        <v>40726</v>
      </c>
      <c r="C228" s="27">
        <f t="shared" si="6"/>
        <v>-0.52602739726027392</v>
      </c>
      <c r="D228" s="28">
        <v>2.01918209105E-3</v>
      </c>
      <c r="J228" s="26">
        <v>40726</v>
      </c>
      <c r="K228" s="27">
        <f t="shared" si="7"/>
        <v>-0.52602739726027392</v>
      </c>
      <c r="L228" s="28">
        <v>3.2000000000000002E-3</v>
      </c>
      <c r="N228" s="26">
        <v>40726</v>
      </c>
      <c r="O228" s="27">
        <f t="shared" si="8"/>
        <v>-0.52602739726027392</v>
      </c>
      <c r="P228" s="28">
        <v>6.1999999999999998E-3</v>
      </c>
      <c r="HW228" s="14"/>
      <c r="HX228" s="14"/>
      <c r="HY228" s="14"/>
      <c r="HZ228" s="14"/>
    </row>
    <row r="229" spans="2:234" ht="13.2" customHeight="1" x14ac:dyDescent="0.25">
      <c r="B229" s="26">
        <v>40725</v>
      </c>
      <c r="C229" s="27">
        <f t="shared" ref="C229:C292" si="9">IF($F$3&lt;B229,1,-1)*YEARFRAC($F$3,B229,3)</f>
        <v>-0.52876712328767128</v>
      </c>
      <c r="D229" s="28">
        <v>2.01918209105E-3</v>
      </c>
      <c r="J229" s="26">
        <v>40725</v>
      </c>
      <c r="K229" s="27">
        <f t="shared" ref="K229:K292" si="10">IF($F$3&lt;J229,1,-1)*YEARFRAC($F$3,J229,3)</f>
        <v>-0.52876712328767128</v>
      </c>
      <c r="L229" s="28">
        <v>3.2000000000000002E-3</v>
      </c>
      <c r="N229" s="26">
        <v>40725</v>
      </c>
      <c r="O229" s="27">
        <f t="shared" ref="O229:O292" si="11">IF($F$3&lt;N229,1,-1)*YEARFRAC($F$3,N229,3)</f>
        <v>-0.52876712328767128</v>
      </c>
      <c r="P229" s="28">
        <v>6.1999999999999998E-3</v>
      </c>
      <c r="HW229" s="14"/>
      <c r="HX229" s="14"/>
      <c r="HY229" s="14"/>
      <c r="HZ229" s="14"/>
    </row>
    <row r="230" spans="2:234" ht="13.2" customHeight="1" x14ac:dyDescent="0.25">
      <c r="B230" s="26">
        <v>40724</v>
      </c>
      <c r="C230" s="27">
        <f t="shared" si="9"/>
        <v>-0.53150684931506853</v>
      </c>
      <c r="D230" s="28">
        <v>2.01918209105E-3</v>
      </c>
      <c r="J230" s="26">
        <v>40724</v>
      </c>
      <c r="K230" s="27">
        <f t="shared" si="10"/>
        <v>-0.53150684931506853</v>
      </c>
      <c r="L230" s="28">
        <v>3.2000000000000002E-3</v>
      </c>
      <c r="N230" s="26">
        <v>40724</v>
      </c>
      <c r="O230" s="27">
        <f t="shared" si="11"/>
        <v>-0.53150684931506853</v>
      </c>
      <c r="P230" s="28">
        <v>6.1999999999999998E-3</v>
      </c>
      <c r="HW230" s="14"/>
      <c r="HX230" s="14"/>
      <c r="HY230" s="14"/>
      <c r="HZ230" s="14"/>
    </row>
    <row r="231" spans="2:234" ht="13.2" customHeight="1" x14ac:dyDescent="0.25">
      <c r="B231" s="26">
        <v>40723</v>
      </c>
      <c r="C231" s="27">
        <f t="shared" si="9"/>
        <v>-0.53424657534246578</v>
      </c>
      <c r="D231" s="28">
        <v>2.01918209105E-3</v>
      </c>
      <c r="J231" s="26">
        <v>40723</v>
      </c>
      <c r="K231" s="27">
        <f t="shared" si="10"/>
        <v>-0.53424657534246578</v>
      </c>
      <c r="L231" s="28">
        <v>3.2000000000000002E-3</v>
      </c>
      <c r="N231" s="26">
        <v>40723</v>
      </c>
      <c r="O231" s="27">
        <f t="shared" si="11"/>
        <v>-0.53424657534246578</v>
      </c>
      <c r="P231" s="28">
        <v>6.1999999999999998E-3</v>
      </c>
      <c r="HW231" s="14"/>
      <c r="HX231" s="14"/>
      <c r="HY231" s="14"/>
      <c r="HZ231" s="14"/>
    </row>
    <row r="232" spans="2:234" ht="13.2" customHeight="1" x14ac:dyDescent="0.25">
      <c r="B232" s="26">
        <v>40722</v>
      </c>
      <c r="C232" s="27">
        <f t="shared" si="9"/>
        <v>-0.53698630136986303</v>
      </c>
      <c r="D232" s="28">
        <v>2.01918209105E-3</v>
      </c>
      <c r="J232" s="26">
        <v>40722</v>
      </c>
      <c r="K232" s="27">
        <f t="shared" si="10"/>
        <v>-0.53698630136986303</v>
      </c>
      <c r="L232" s="28">
        <v>3.2000000000000002E-3</v>
      </c>
      <c r="N232" s="26">
        <v>40722</v>
      </c>
      <c r="O232" s="27">
        <f t="shared" si="11"/>
        <v>-0.53698630136986303</v>
      </c>
      <c r="P232" s="28">
        <v>6.1999999999999998E-3</v>
      </c>
      <c r="HW232" s="14"/>
      <c r="HX232" s="14"/>
      <c r="HY232" s="14"/>
      <c r="HZ232" s="14"/>
    </row>
    <row r="233" spans="2:234" ht="13.2" customHeight="1" x14ac:dyDescent="0.25">
      <c r="B233" s="26">
        <v>40721</v>
      </c>
      <c r="C233" s="27">
        <f t="shared" si="9"/>
        <v>-0.53972602739726028</v>
      </c>
      <c r="D233" s="28">
        <v>2.01918209105E-3</v>
      </c>
      <c r="J233" s="26">
        <v>40721</v>
      </c>
      <c r="K233" s="27">
        <f t="shared" si="10"/>
        <v>-0.53972602739726028</v>
      </c>
      <c r="L233" s="28">
        <v>3.2000000000000002E-3</v>
      </c>
      <c r="N233" s="26">
        <v>40721</v>
      </c>
      <c r="O233" s="27">
        <f t="shared" si="11"/>
        <v>-0.53972602739726028</v>
      </c>
      <c r="P233" s="28">
        <v>6.1999999999999998E-3</v>
      </c>
      <c r="HW233" s="14"/>
      <c r="HX233" s="14"/>
      <c r="HY233" s="14"/>
      <c r="HZ233" s="14"/>
    </row>
    <row r="234" spans="2:234" ht="13.2" customHeight="1" x14ac:dyDescent="0.25">
      <c r="B234" s="26">
        <v>40720</v>
      </c>
      <c r="C234" s="27">
        <f t="shared" si="9"/>
        <v>-0.54246575342465753</v>
      </c>
      <c r="D234" s="28">
        <v>2.01918209105E-3</v>
      </c>
      <c r="J234" s="26">
        <v>40720</v>
      </c>
      <c r="K234" s="27">
        <f t="shared" si="10"/>
        <v>-0.54246575342465753</v>
      </c>
      <c r="L234" s="28">
        <v>3.2000000000000002E-3</v>
      </c>
      <c r="N234" s="26">
        <v>40720</v>
      </c>
      <c r="O234" s="27">
        <f t="shared" si="11"/>
        <v>-0.54246575342465753</v>
      </c>
      <c r="P234" s="28">
        <v>6.1999999999999998E-3</v>
      </c>
      <c r="HW234" s="14"/>
      <c r="HX234" s="14"/>
      <c r="HY234" s="14"/>
      <c r="HZ234" s="14"/>
    </row>
    <row r="235" spans="2:234" ht="13.2" customHeight="1" x14ac:dyDescent="0.25">
      <c r="B235" s="26">
        <v>40719</v>
      </c>
      <c r="C235" s="27">
        <f t="shared" si="9"/>
        <v>-0.54520547945205478</v>
      </c>
      <c r="D235" s="28">
        <v>2.01918209105E-3</v>
      </c>
      <c r="J235" s="26">
        <v>40719</v>
      </c>
      <c r="K235" s="27">
        <f t="shared" si="10"/>
        <v>-0.54520547945205478</v>
      </c>
      <c r="L235" s="28">
        <v>3.2000000000000002E-3</v>
      </c>
      <c r="N235" s="26">
        <v>40719</v>
      </c>
      <c r="O235" s="27">
        <f t="shared" si="11"/>
        <v>-0.54520547945205478</v>
      </c>
      <c r="P235" s="28">
        <v>6.1999999999999998E-3</v>
      </c>
      <c r="HW235" s="14"/>
      <c r="HX235" s="14"/>
      <c r="HY235" s="14"/>
      <c r="HZ235" s="14"/>
    </row>
    <row r="236" spans="2:234" ht="13.2" customHeight="1" x14ac:dyDescent="0.25">
      <c r="B236" s="26">
        <v>40718</v>
      </c>
      <c r="C236" s="27">
        <f t="shared" si="9"/>
        <v>-0.54794520547945202</v>
      </c>
      <c r="D236" s="28">
        <v>2.01918209105E-3</v>
      </c>
      <c r="J236" s="26">
        <v>40718</v>
      </c>
      <c r="K236" s="27">
        <f t="shared" si="10"/>
        <v>-0.54794520547945202</v>
      </c>
      <c r="L236" s="28">
        <v>3.2000000000000002E-3</v>
      </c>
      <c r="N236" s="26">
        <v>40718</v>
      </c>
      <c r="O236" s="27">
        <f t="shared" si="11"/>
        <v>-0.54794520547945202</v>
      </c>
      <c r="P236" s="28">
        <v>6.1999999999999998E-3</v>
      </c>
      <c r="HW236" s="14"/>
      <c r="HX236" s="14"/>
      <c r="HY236" s="14"/>
      <c r="HZ236" s="14"/>
    </row>
    <row r="237" spans="2:234" ht="13.2" customHeight="1" x14ac:dyDescent="0.25">
      <c r="B237" s="26">
        <v>40717</v>
      </c>
      <c r="C237" s="27">
        <f t="shared" si="9"/>
        <v>-0.55068493150684927</v>
      </c>
      <c r="D237" s="28">
        <v>2.01918209105E-3</v>
      </c>
      <c r="J237" s="26">
        <v>40717</v>
      </c>
      <c r="K237" s="27">
        <f t="shared" si="10"/>
        <v>-0.55068493150684927</v>
      </c>
      <c r="L237" s="28">
        <v>3.2000000000000002E-3</v>
      </c>
      <c r="N237" s="26">
        <v>40717</v>
      </c>
      <c r="O237" s="27">
        <f t="shared" si="11"/>
        <v>-0.55068493150684927</v>
      </c>
      <c r="P237" s="28">
        <v>6.1999999999999998E-3</v>
      </c>
      <c r="HW237" s="14"/>
      <c r="HX237" s="14"/>
      <c r="HY237" s="14"/>
      <c r="HZ237" s="14"/>
    </row>
    <row r="238" spans="2:234" ht="13.2" customHeight="1" x14ac:dyDescent="0.25">
      <c r="B238" s="26">
        <v>40716</v>
      </c>
      <c r="C238" s="27">
        <f t="shared" si="9"/>
        <v>-0.55342465753424652</v>
      </c>
      <c r="D238" s="28">
        <v>2.01918209105E-3</v>
      </c>
      <c r="J238" s="26">
        <v>40716</v>
      </c>
      <c r="K238" s="27">
        <f t="shared" si="10"/>
        <v>-0.55342465753424652</v>
      </c>
      <c r="L238" s="28">
        <v>3.2000000000000002E-3</v>
      </c>
      <c r="N238" s="26">
        <v>40716</v>
      </c>
      <c r="O238" s="27">
        <f t="shared" si="11"/>
        <v>-0.55342465753424652</v>
      </c>
      <c r="P238" s="28">
        <v>6.1999999999999998E-3</v>
      </c>
      <c r="HW238" s="14"/>
      <c r="HX238" s="14"/>
      <c r="HY238" s="14"/>
      <c r="HZ238" s="14"/>
    </row>
    <row r="239" spans="2:234" ht="13.2" customHeight="1" x14ac:dyDescent="0.25">
      <c r="B239" s="26">
        <v>40715</v>
      </c>
      <c r="C239" s="27">
        <f t="shared" si="9"/>
        <v>-0.55616438356164388</v>
      </c>
      <c r="D239" s="28">
        <v>2.01918209105E-3</v>
      </c>
      <c r="J239" s="26">
        <v>40715</v>
      </c>
      <c r="K239" s="27">
        <f t="shared" si="10"/>
        <v>-0.55616438356164388</v>
      </c>
      <c r="L239" s="28">
        <v>3.2000000000000002E-3</v>
      </c>
      <c r="N239" s="26">
        <v>40715</v>
      </c>
      <c r="O239" s="27">
        <f t="shared" si="11"/>
        <v>-0.55616438356164388</v>
      </c>
      <c r="P239" s="28">
        <v>6.1999999999999998E-3</v>
      </c>
      <c r="HW239" s="14"/>
      <c r="HX239" s="14"/>
      <c r="HY239" s="14"/>
      <c r="HZ239" s="14"/>
    </row>
    <row r="240" spans="2:234" ht="13.2" customHeight="1" x14ac:dyDescent="0.25">
      <c r="B240" s="26">
        <v>40714</v>
      </c>
      <c r="C240" s="27">
        <f t="shared" si="9"/>
        <v>-0.55890410958904113</v>
      </c>
      <c r="D240" s="28">
        <v>2.01918209105E-3</v>
      </c>
      <c r="J240" s="26">
        <v>40714</v>
      </c>
      <c r="K240" s="27">
        <f t="shared" si="10"/>
        <v>-0.55890410958904113</v>
      </c>
      <c r="L240" s="28">
        <v>3.2000000000000002E-3</v>
      </c>
      <c r="N240" s="26">
        <v>40714</v>
      </c>
      <c r="O240" s="27">
        <f t="shared" si="11"/>
        <v>-0.55890410958904113</v>
      </c>
      <c r="P240" s="28">
        <v>6.1999999999999998E-3</v>
      </c>
      <c r="HW240" s="14"/>
      <c r="HX240" s="14"/>
      <c r="HY240" s="14"/>
      <c r="HZ240" s="14"/>
    </row>
    <row r="241" spans="2:234" ht="13.2" customHeight="1" x14ac:dyDescent="0.25">
      <c r="B241" s="26">
        <v>40713</v>
      </c>
      <c r="C241" s="27">
        <f t="shared" si="9"/>
        <v>-0.56164383561643838</v>
      </c>
      <c r="D241" s="28">
        <v>2.01918209105E-3</v>
      </c>
      <c r="J241" s="26">
        <v>40713</v>
      </c>
      <c r="K241" s="27">
        <f t="shared" si="10"/>
        <v>-0.56164383561643838</v>
      </c>
      <c r="L241" s="28">
        <v>3.2000000000000002E-3</v>
      </c>
      <c r="N241" s="26">
        <v>40713</v>
      </c>
      <c r="O241" s="27">
        <f t="shared" si="11"/>
        <v>-0.56164383561643838</v>
      </c>
      <c r="P241" s="28">
        <v>6.1999999999999998E-3</v>
      </c>
      <c r="HW241" s="14"/>
      <c r="HX241" s="14"/>
      <c r="HY241" s="14"/>
      <c r="HZ241" s="14"/>
    </row>
    <row r="242" spans="2:234" ht="13.2" customHeight="1" x14ac:dyDescent="0.25">
      <c r="B242" s="26">
        <v>40712</v>
      </c>
      <c r="C242" s="27">
        <f t="shared" si="9"/>
        <v>-0.56438356164383563</v>
      </c>
      <c r="D242" s="28">
        <v>2.01918209105E-3</v>
      </c>
      <c r="J242" s="26">
        <v>40712</v>
      </c>
      <c r="K242" s="27">
        <f t="shared" si="10"/>
        <v>-0.56438356164383563</v>
      </c>
      <c r="L242" s="28">
        <v>3.2000000000000002E-3</v>
      </c>
      <c r="N242" s="26">
        <v>40712</v>
      </c>
      <c r="O242" s="27">
        <f t="shared" si="11"/>
        <v>-0.56438356164383563</v>
      </c>
      <c r="P242" s="28">
        <v>6.1999999999999998E-3</v>
      </c>
      <c r="HW242" s="14"/>
      <c r="HX242" s="14"/>
      <c r="HY242" s="14"/>
      <c r="HZ242" s="14"/>
    </row>
    <row r="243" spans="2:234" ht="13.2" customHeight="1" x14ac:dyDescent="0.25">
      <c r="B243" s="26">
        <v>40711</v>
      </c>
      <c r="C243" s="27">
        <f t="shared" si="9"/>
        <v>-0.56712328767123288</v>
      </c>
      <c r="D243" s="28">
        <v>2.01918209105E-3</v>
      </c>
      <c r="J243" s="26">
        <v>40711</v>
      </c>
      <c r="K243" s="27">
        <f t="shared" si="10"/>
        <v>-0.56712328767123288</v>
      </c>
      <c r="L243" s="28">
        <v>3.2000000000000002E-3</v>
      </c>
      <c r="N243" s="26">
        <v>40711</v>
      </c>
      <c r="O243" s="27">
        <f t="shared" si="11"/>
        <v>-0.56712328767123288</v>
      </c>
      <c r="P243" s="28">
        <v>6.1999999999999998E-3</v>
      </c>
      <c r="HW243" s="14"/>
      <c r="HX243" s="14"/>
      <c r="HY243" s="14"/>
      <c r="HZ243" s="14"/>
    </row>
    <row r="244" spans="2:234" ht="13.2" customHeight="1" x14ac:dyDescent="0.25">
      <c r="B244" s="26">
        <v>40710</v>
      </c>
      <c r="C244" s="27">
        <f t="shared" si="9"/>
        <v>-0.56986301369863013</v>
      </c>
      <c r="D244" s="28">
        <v>2.01918209105E-3</v>
      </c>
      <c r="J244" s="26">
        <v>40710</v>
      </c>
      <c r="K244" s="27">
        <f t="shared" si="10"/>
        <v>-0.56986301369863013</v>
      </c>
      <c r="L244" s="28">
        <v>3.2000000000000002E-3</v>
      </c>
      <c r="N244" s="26">
        <v>40710</v>
      </c>
      <c r="O244" s="27">
        <f t="shared" si="11"/>
        <v>-0.56986301369863013</v>
      </c>
      <c r="P244" s="28">
        <v>6.1999999999999998E-3</v>
      </c>
      <c r="HW244" s="14"/>
      <c r="HX244" s="14"/>
      <c r="HY244" s="14"/>
      <c r="HZ244" s="14"/>
    </row>
    <row r="245" spans="2:234" ht="13.2" customHeight="1" x14ac:dyDescent="0.25">
      <c r="B245" s="26">
        <v>40709</v>
      </c>
      <c r="C245" s="27">
        <f t="shared" si="9"/>
        <v>-0.57260273972602738</v>
      </c>
      <c r="D245" s="28">
        <v>2.01918209105E-3</v>
      </c>
      <c r="J245" s="26">
        <v>40709</v>
      </c>
      <c r="K245" s="27">
        <f t="shared" si="10"/>
        <v>-0.57260273972602738</v>
      </c>
      <c r="L245" s="28">
        <v>3.2000000000000002E-3</v>
      </c>
      <c r="N245" s="26">
        <v>40709</v>
      </c>
      <c r="O245" s="27">
        <f t="shared" si="11"/>
        <v>-0.57260273972602738</v>
      </c>
      <c r="P245" s="28">
        <v>6.1999999999999998E-3</v>
      </c>
      <c r="HW245" s="14"/>
      <c r="HX245" s="14"/>
      <c r="HY245" s="14"/>
      <c r="HZ245" s="14"/>
    </row>
    <row r="246" spans="2:234" ht="13.2" customHeight="1" x14ac:dyDescent="0.25">
      <c r="B246" s="26">
        <v>40708</v>
      </c>
      <c r="C246" s="27">
        <f t="shared" si="9"/>
        <v>-0.57534246575342463</v>
      </c>
      <c r="D246" s="28">
        <v>2.01918209105E-3</v>
      </c>
      <c r="J246" s="26">
        <v>40708</v>
      </c>
      <c r="K246" s="27">
        <f t="shared" si="10"/>
        <v>-0.57534246575342463</v>
      </c>
      <c r="L246" s="28">
        <v>3.2000000000000002E-3</v>
      </c>
      <c r="N246" s="26">
        <v>40708</v>
      </c>
      <c r="O246" s="27">
        <f t="shared" si="11"/>
        <v>-0.57534246575342463</v>
      </c>
      <c r="P246" s="28">
        <v>6.1999999999999998E-3</v>
      </c>
      <c r="HW246" s="14"/>
      <c r="HX246" s="14"/>
      <c r="HY246" s="14"/>
      <c r="HZ246" s="14"/>
    </row>
    <row r="247" spans="2:234" ht="13.2" customHeight="1" x14ac:dyDescent="0.25">
      <c r="B247" s="26">
        <v>40707</v>
      </c>
      <c r="C247" s="27">
        <f t="shared" si="9"/>
        <v>-0.57808219178082187</v>
      </c>
      <c r="D247" s="28">
        <v>2.01918209105E-3</v>
      </c>
      <c r="J247" s="26">
        <v>40707</v>
      </c>
      <c r="K247" s="27">
        <f t="shared" si="10"/>
        <v>-0.57808219178082187</v>
      </c>
      <c r="L247" s="28">
        <v>3.2000000000000002E-3</v>
      </c>
      <c r="N247" s="26">
        <v>40707</v>
      </c>
      <c r="O247" s="27">
        <f t="shared" si="11"/>
        <v>-0.57808219178082187</v>
      </c>
      <c r="P247" s="28">
        <v>6.1999999999999998E-3</v>
      </c>
      <c r="HW247" s="14"/>
      <c r="HX247" s="14"/>
      <c r="HY247" s="14"/>
      <c r="HZ247" s="14"/>
    </row>
    <row r="248" spans="2:234" ht="13.2" customHeight="1" x14ac:dyDescent="0.25">
      <c r="B248" s="26">
        <v>40706</v>
      </c>
      <c r="C248" s="27">
        <f t="shared" si="9"/>
        <v>-0.58082191780821912</v>
      </c>
      <c r="D248" s="28">
        <v>2.01918209105E-3</v>
      </c>
      <c r="J248" s="26">
        <v>40706</v>
      </c>
      <c r="K248" s="27">
        <f t="shared" si="10"/>
        <v>-0.58082191780821912</v>
      </c>
      <c r="L248" s="28">
        <v>3.2000000000000002E-3</v>
      </c>
      <c r="N248" s="26">
        <v>40706</v>
      </c>
      <c r="O248" s="27">
        <f t="shared" si="11"/>
        <v>-0.58082191780821912</v>
      </c>
      <c r="P248" s="28">
        <v>6.1999999999999998E-3</v>
      </c>
      <c r="HW248" s="14"/>
      <c r="HX248" s="14"/>
      <c r="HY248" s="14"/>
      <c r="HZ248" s="14"/>
    </row>
    <row r="249" spans="2:234" ht="13.2" customHeight="1" x14ac:dyDescent="0.25">
      <c r="B249" s="26">
        <v>40705</v>
      </c>
      <c r="C249" s="27">
        <f t="shared" si="9"/>
        <v>-0.58356164383561648</v>
      </c>
      <c r="D249" s="28">
        <v>2.01918209105E-3</v>
      </c>
      <c r="J249" s="26">
        <v>40705</v>
      </c>
      <c r="K249" s="27">
        <f t="shared" si="10"/>
        <v>-0.58356164383561648</v>
      </c>
      <c r="L249" s="28">
        <v>3.2000000000000002E-3</v>
      </c>
      <c r="N249" s="26">
        <v>40705</v>
      </c>
      <c r="O249" s="27">
        <f t="shared" si="11"/>
        <v>-0.58356164383561648</v>
      </c>
      <c r="P249" s="28">
        <v>6.1999999999999998E-3</v>
      </c>
      <c r="HW249" s="14"/>
      <c r="HX249" s="14"/>
      <c r="HY249" s="14"/>
      <c r="HZ249" s="14"/>
    </row>
    <row r="250" spans="2:234" ht="13.2" customHeight="1" x14ac:dyDescent="0.25">
      <c r="B250" s="26">
        <v>40704</v>
      </c>
      <c r="C250" s="27">
        <f t="shared" si="9"/>
        <v>-0.58630136986301373</v>
      </c>
      <c r="D250" s="28">
        <v>2.01918209105E-3</v>
      </c>
      <c r="J250" s="26">
        <v>40704</v>
      </c>
      <c r="K250" s="27">
        <f t="shared" si="10"/>
        <v>-0.58630136986301373</v>
      </c>
      <c r="L250" s="28">
        <v>3.2000000000000002E-3</v>
      </c>
      <c r="N250" s="26">
        <v>40704</v>
      </c>
      <c r="O250" s="27">
        <f t="shared" si="11"/>
        <v>-0.58630136986301373</v>
      </c>
      <c r="P250" s="28">
        <v>6.1999999999999998E-3</v>
      </c>
      <c r="HW250" s="14"/>
      <c r="HX250" s="14"/>
      <c r="HY250" s="14"/>
      <c r="HZ250" s="14"/>
    </row>
    <row r="251" spans="2:234" ht="13.2" customHeight="1" x14ac:dyDescent="0.25">
      <c r="B251" s="26">
        <v>40703</v>
      </c>
      <c r="C251" s="27">
        <f t="shared" si="9"/>
        <v>-0.58904109589041098</v>
      </c>
      <c r="D251" s="28">
        <v>2.01918209105E-3</v>
      </c>
      <c r="J251" s="26">
        <v>40703</v>
      </c>
      <c r="K251" s="27">
        <f t="shared" si="10"/>
        <v>-0.58904109589041098</v>
      </c>
      <c r="L251" s="28">
        <v>3.2000000000000002E-3</v>
      </c>
      <c r="N251" s="26">
        <v>40703</v>
      </c>
      <c r="O251" s="27">
        <f t="shared" si="11"/>
        <v>-0.58904109589041098</v>
      </c>
      <c r="P251" s="28">
        <v>6.1999999999999998E-3</v>
      </c>
      <c r="HW251" s="14"/>
      <c r="HX251" s="14"/>
      <c r="HY251" s="14"/>
      <c r="HZ251" s="14"/>
    </row>
    <row r="252" spans="2:234" ht="13.2" customHeight="1" x14ac:dyDescent="0.25">
      <c r="B252" s="26">
        <v>40702</v>
      </c>
      <c r="C252" s="27">
        <f t="shared" si="9"/>
        <v>-0.59178082191780823</v>
      </c>
      <c r="D252" s="28">
        <v>2.01918209105E-3</v>
      </c>
      <c r="J252" s="26">
        <v>40702</v>
      </c>
      <c r="K252" s="27">
        <f t="shared" si="10"/>
        <v>-0.59178082191780823</v>
      </c>
      <c r="L252" s="28">
        <v>3.2000000000000002E-3</v>
      </c>
      <c r="N252" s="26">
        <v>40702</v>
      </c>
      <c r="O252" s="27">
        <f t="shared" si="11"/>
        <v>-0.59178082191780823</v>
      </c>
      <c r="P252" s="28">
        <v>6.1999999999999998E-3</v>
      </c>
      <c r="HW252" s="14"/>
      <c r="HX252" s="14"/>
      <c r="HY252" s="14"/>
      <c r="HZ252" s="14"/>
    </row>
    <row r="253" spans="2:234" ht="13.2" customHeight="1" x14ac:dyDescent="0.25">
      <c r="B253" s="26">
        <v>40701</v>
      </c>
      <c r="C253" s="27">
        <f t="shared" si="9"/>
        <v>-0.59452054794520548</v>
      </c>
      <c r="D253" s="28">
        <v>2.01918209105E-3</v>
      </c>
      <c r="J253" s="26">
        <v>40701</v>
      </c>
      <c r="K253" s="27">
        <f t="shared" si="10"/>
        <v>-0.59452054794520548</v>
      </c>
      <c r="L253" s="28">
        <v>3.2000000000000002E-3</v>
      </c>
      <c r="N253" s="26">
        <v>40701</v>
      </c>
      <c r="O253" s="27">
        <f t="shared" si="11"/>
        <v>-0.59452054794520548</v>
      </c>
      <c r="P253" s="28">
        <v>6.1999999999999998E-3</v>
      </c>
      <c r="HW253" s="14"/>
      <c r="HX253" s="14"/>
      <c r="HY253" s="14"/>
      <c r="HZ253" s="14"/>
    </row>
    <row r="254" spans="2:234" ht="13.2" customHeight="1" x14ac:dyDescent="0.25">
      <c r="B254" s="26">
        <v>40700</v>
      </c>
      <c r="C254" s="27">
        <f t="shared" si="9"/>
        <v>-0.59726027397260273</v>
      </c>
      <c r="D254" s="28">
        <v>2.01918209105E-3</v>
      </c>
      <c r="J254" s="26">
        <v>40700</v>
      </c>
      <c r="K254" s="27">
        <f t="shared" si="10"/>
        <v>-0.59726027397260273</v>
      </c>
      <c r="L254" s="28">
        <v>3.2000000000000002E-3</v>
      </c>
      <c r="N254" s="26">
        <v>40700</v>
      </c>
      <c r="O254" s="27">
        <f t="shared" si="11"/>
        <v>-0.59726027397260273</v>
      </c>
      <c r="P254" s="28">
        <v>6.1999999999999998E-3</v>
      </c>
      <c r="HW254" s="14"/>
      <c r="HX254" s="14"/>
      <c r="HY254" s="14"/>
      <c r="HZ254" s="14"/>
    </row>
    <row r="255" spans="2:234" ht="13.2" customHeight="1" x14ac:dyDescent="0.25">
      <c r="B255" s="26">
        <v>40699</v>
      </c>
      <c r="C255" s="27">
        <f t="shared" si="9"/>
        <v>-0.6</v>
      </c>
      <c r="D255" s="28">
        <v>2.01918209105E-3</v>
      </c>
      <c r="J255" s="26">
        <v>40699</v>
      </c>
      <c r="K255" s="27">
        <f t="shared" si="10"/>
        <v>-0.6</v>
      </c>
      <c r="L255" s="28">
        <v>3.2000000000000002E-3</v>
      </c>
      <c r="N255" s="26">
        <v>40699</v>
      </c>
      <c r="O255" s="27">
        <f t="shared" si="11"/>
        <v>-0.6</v>
      </c>
      <c r="P255" s="28">
        <v>6.1999999999999998E-3</v>
      </c>
      <c r="HW255" s="14"/>
      <c r="HX255" s="14"/>
      <c r="HY255" s="14"/>
      <c r="HZ255" s="14"/>
    </row>
    <row r="256" spans="2:234" ht="13.2" customHeight="1" x14ac:dyDescent="0.25">
      <c r="B256" s="26">
        <v>40698</v>
      </c>
      <c r="C256" s="27">
        <f t="shared" si="9"/>
        <v>-0.60273972602739723</v>
      </c>
      <c r="D256" s="28">
        <v>2.01918209105E-3</v>
      </c>
      <c r="J256" s="26">
        <v>40698</v>
      </c>
      <c r="K256" s="27">
        <f t="shared" si="10"/>
        <v>-0.60273972602739723</v>
      </c>
      <c r="L256" s="28">
        <v>3.2000000000000002E-3</v>
      </c>
      <c r="N256" s="26">
        <v>40698</v>
      </c>
      <c r="O256" s="27">
        <f t="shared" si="11"/>
        <v>-0.60273972602739723</v>
      </c>
      <c r="P256" s="28">
        <v>6.1999999999999998E-3</v>
      </c>
      <c r="HW256" s="14"/>
      <c r="HX256" s="14"/>
      <c r="HY256" s="14"/>
      <c r="HZ256" s="14"/>
    </row>
    <row r="257" spans="2:234" ht="13.2" customHeight="1" x14ac:dyDescent="0.25">
      <c r="B257" s="26">
        <v>40697</v>
      </c>
      <c r="C257" s="27">
        <f t="shared" si="9"/>
        <v>-0.60547945205479448</v>
      </c>
      <c r="D257" s="28">
        <v>2.01918209105E-3</v>
      </c>
      <c r="J257" s="26">
        <v>40697</v>
      </c>
      <c r="K257" s="27">
        <f t="shared" si="10"/>
        <v>-0.60547945205479448</v>
      </c>
      <c r="L257" s="28">
        <v>3.2000000000000002E-3</v>
      </c>
      <c r="N257" s="26">
        <v>40697</v>
      </c>
      <c r="O257" s="27">
        <f t="shared" si="11"/>
        <v>-0.60547945205479448</v>
      </c>
      <c r="P257" s="28">
        <v>6.1999999999999998E-3</v>
      </c>
      <c r="HW257" s="14"/>
      <c r="HX257" s="14"/>
      <c r="HY257" s="14"/>
      <c r="HZ257" s="14"/>
    </row>
    <row r="258" spans="2:234" ht="13.2" customHeight="1" x14ac:dyDescent="0.25">
      <c r="B258" s="26">
        <v>40696</v>
      </c>
      <c r="C258" s="27">
        <f t="shared" si="9"/>
        <v>-0.60821917808219184</v>
      </c>
      <c r="D258" s="28">
        <v>2.01918209105E-3</v>
      </c>
      <c r="J258" s="26">
        <v>40696</v>
      </c>
      <c r="K258" s="27">
        <f t="shared" si="10"/>
        <v>-0.60821917808219184</v>
      </c>
      <c r="L258" s="28">
        <v>3.2000000000000002E-3</v>
      </c>
      <c r="N258" s="26">
        <v>40696</v>
      </c>
      <c r="O258" s="27">
        <f t="shared" si="11"/>
        <v>-0.60821917808219184</v>
      </c>
      <c r="P258" s="28">
        <v>6.1999999999999998E-3</v>
      </c>
      <c r="HW258" s="14"/>
      <c r="HX258" s="14"/>
      <c r="HY258" s="14"/>
      <c r="HZ258" s="14"/>
    </row>
    <row r="259" spans="2:234" ht="13.2" customHeight="1" x14ac:dyDescent="0.25">
      <c r="B259" s="26">
        <v>40695</v>
      </c>
      <c r="C259" s="27">
        <f t="shared" si="9"/>
        <v>-0.61095890410958908</v>
      </c>
      <c r="D259" s="28">
        <v>2.01918209105E-3</v>
      </c>
      <c r="J259" s="26">
        <v>40695</v>
      </c>
      <c r="K259" s="27">
        <f t="shared" si="10"/>
        <v>-0.61095890410958908</v>
      </c>
      <c r="L259" s="28">
        <v>3.2000000000000002E-3</v>
      </c>
      <c r="N259" s="26">
        <v>40695</v>
      </c>
      <c r="O259" s="27">
        <f t="shared" si="11"/>
        <v>-0.61095890410958908</v>
      </c>
      <c r="P259" s="28">
        <v>6.1999999999999998E-3</v>
      </c>
      <c r="HW259" s="14"/>
      <c r="HX259" s="14"/>
      <c r="HY259" s="14"/>
      <c r="HZ259" s="14"/>
    </row>
    <row r="260" spans="2:234" ht="13.2" customHeight="1" x14ac:dyDescent="0.25">
      <c r="B260" s="26">
        <v>40694</v>
      </c>
      <c r="C260" s="27">
        <f t="shared" si="9"/>
        <v>-0.61369863013698633</v>
      </c>
      <c r="D260" s="28">
        <v>2.01918209105E-3</v>
      </c>
      <c r="J260" s="26">
        <v>40694</v>
      </c>
      <c r="K260" s="27">
        <f t="shared" si="10"/>
        <v>-0.61369863013698633</v>
      </c>
      <c r="L260" s="28">
        <v>3.2000000000000002E-3</v>
      </c>
      <c r="N260" s="26">
        <v>40694</v>
      </c>
      <c r="O260" s="27">
        <f t="shared" si="11"/>
        <v>-0.61369863013698633</v>
      </c>
      <c r="P260" s="28">
        <v>6.1999999999999998E-3</v>
      </c>
      <c r="HW260" s="14"/>
      <c r="HX260" s="14"/>
      <c r="HY260" s="14"/>
      <c r="HZ260" s="14"/>
    </row>
    <row r="261" spans="2:234" ht="13.2" customHeight="1" x14ac:dyDescent="0.25">
      <c r="B261" s="26">
        <v>40693</v>
      </c>
      <c r="C261" s="27">
        <f t="shared" si="9"/>
        <v>-0.61643835616438358</v>
      </c>
      <c r="D261" s="28">
        <v>2.01918209105E-3</v>
      </c>
      <c r="J261" s="26">
        <v>40693</v>
      </c>
      <c r="K261" s="27">
        <f t="shared" si="10"/>
        <v>-0.61643835616438358</v>
      </c>
      <c r="L261" s="28">
        <v>3.2000000000000002E-3</v>
      </c>
      <c r="N261" s="26">
        <v>40693</v>
      </c>
      <c r="O261" s="27">
        <f t="shared" si="11"/>
        <v>-0.61643835616438358</v>
      </c>
      <c r="P261" s="28">
        <v>6.1999999999999998E-3</v>
      </c>
      <c r="HW261" s="14"/>
      <c r="HX261" s="14"/>
      <c r="HY261" s="14"/>
      <c r="HZ261" s="14"/>
    </row>
    <row r="262" spans="2:234" ht="13.2" customHeight="1" x14ac:dyDescent="0.25">
      <c r="B262" s="26">
        <v>40692</v>
      </c>
      <c r="C262" s="27">
        <f t="shared" si="9"/>
        <v>-0.61917808219178083</v>
      </c>
      <c r="D262" s="28">
        <v>2.01918209105E-3</v>
      </c>
      <c r="J262" s="26">
        <v>40692</v>
      </c>
      <c r="K262" s="27">
        <f t="shared" si="10"/>
        <v>-0.61917808219178083</v>
      </c>
      <c r="L262" s="28">
        <v>3.2000000000000002E-3</v>
      </c>
      <c r="N262" s="26">
        <v>40692</v>
      </c>
      <c r="O262" s="27">
        <f t="shared" si="11"/>
        <v>-0.61917808219178083</v>
      </c>
      <c r="P262" s="28">
        <v>6.1999999999999998E-3</v>
      </c>
      <c r="HW262" s="14"/>
      <c r="HX262" s="14"/>
      <c r="HY262" s="14"/>
      <c r="HZ262" s="14"/>
    </row>
    <row r="263" spans="2:234" ht="13.2" customHeight="1" x14ac:dyDescent="0.25">
      <c r="B263" s="26">
        <v>40691</v>
      </c>
      <c r="C263" s="27">
        <f t="shared" si="9"/>
        <v>-0.62191780821917808</v>
      </c>
      <c r="D263" s="28">
        <v>2.01918209105E-3</v>
      </c>
      <c r="J263" s="26">
        <v>40691</v>
      </c>
      <c r="K263" s="27">
        <f t="shared" si="10"/>
        <v>-0.62191780821917808</v>
      </c>
      <c r="L263" s="28">
        <v>3.2000000000000002E-3</v>
      </c>
      <c r="N263" s="26">
        <v>40691</v>
      </c>
      <c r="O263" s="27">
        <f t="shared" si="11"/>
        <v>-0.62191780821917808</v>
      </c>
      <c r="P263" s="28">
        <v>6.1999999999999998E-3</v>
      </c>
      <c r="HW263" s="14"/>
      <c r="HX263" s="14"/>
      <c r="HY263" s="14"/>
      <c r="HZ263" s="14"/>
    </row>
    <row r="264" spans="2:234" ht="13.2" customHeight="1" x14ac:dyDescent="0.25">
      <c r="B264" s="26">
        <v>40690</v>
      </c>
      <c r="C264" s="27">
        <f t="shared" si="9"/>
        <v>-0.62465753424657533</v>
      </c>
      <c r="D264" s="28">
        <v>2.01918209105E-3</v>
      </c>
      <c r="J264" s="26">
        <v>40690</v>
      </c>
      <c r="K264" s="27">
        <f t="shared" si="10"/>
        <v>-0.62465753424657533</v>
      </c>
      <c r="L264" s="28">
        <v>3.2000000000000002E-3</v>
      </c>
      <c r="N264" s="26">
        <v>40690</v>
      </c>
      <c r="O264" s="27">
        <f t="shared" si="11"/>
        <v>-0.62465753424657533</v>
      </c>
      <c r="P264" s="28">
        <v>6.1999999999999998E-3</v>
      </c>
      <c r="HW264" s="14"/>
      <c r="HX264" s="14"/>
      <c r="HY264" s="14"/>
      <c r="HZ264" s="14"/>
    </row>
    <row r="265" spans="2:234" ht="13.2" customHeight="1" x14ac:dyDescent="0.25">
      <c r="B265" s="26">
        <v>40689</v>
      </c>
      <c r="C265" s="27">
        <f t="shared" si="9"/>
        <v>-0.62739726027397258</v>
      </c>
      <c r="D265" s="28">
        <v>2.01918209105E-3</v>
      </c>
      <c r="J265" s="26">
        <v>40689</v>
      </c>
      <c r="K265" s="27">
        <f t="shared" si="10"/>
        <v>-0.62739726027397258</v>
      </c>
      <c r="L265" s="28">
        <v>3.2000000000000002E-3</v>
      </c>
      <c r="N265" s="26">
        <v>40689</v>
      </c>
      <c r="O265" s="27">
        <f t="shared" si="11"/>
        <v>-0.62739726027397258</v>
      </c>
      <c r="P265" s="28">
        <v>6.1999999999999998E-3</v>
      </c>
      <c r="HW265" s="14"/>
      <c r="HX265" s="14"/>
      <c r="HY265" s="14"/>
      <c r="HZ265" s="14"/>
    </row>
    <row r="266" spans="2:234" ht="13.2" customHeight="1" x14ac:dyDescent="0.25">
      <c r="B266" s="26">
        <v>40688</v>
      </c>
      <c r="C266" s="27">
        <f t="shared" si="9"/>
        <v>-0.63013698630136983</v>
      </c>
      <c r="D266" s="28">
        <v>2.01918209105E-3</v>
      </c>
      <c r="J266" s="26">
        <v>40688</v>
      </c>
      <c r="K266" s="27">
        <f t="shared" si="10"/>
        <v>-0.63013698630136983</v>
      </c>
      <c r="L266" s="28">
        <v>3.2000000000000002E-3</v>
      </c>
      <c r="N266" s="26">
        <v>40688</v>
      </c>
      <c r="O266" s="27">
        <f t="shared" si="11"/>
        <v>-0.63013698630136983</v>
      </c>
      <c r="P266" s="28">
        <v>6.1999999999999998E-3</v>
      </c>
      <c r="HW266" s="14"/>
      <c r="HX266" s="14"/>
      <c r="HY266" s="14"/>
      <c r="HZ266" s="14"/>
    </row>
    <row r="267" spans="2:234" ht="13.2" customHeight="1" x14ac:dyDescent="0.25">
      <c r="B267" s="26">
        <v>40687</v>
      </c>
      <c r="C267" s="27">
        <f t="shared" si="9"/>
        <v>-0.63287671232876708</v>
      </c>
      <c r="D267" s="28">
        <v>2.01918209105E-3</v>
      </c>
      <c r="J267" s="26">
        <v>40687</v>
      </c>
      <c r="K267" s="27">
        <f t="shared" si="10"/>
        <v>-0.63287671232876708</v>
      </c>
      <c r="L267" s="28">
        <v>3.2000000000000002E-3</v>
      </c>
      <c r="N267" s="26">
        <v>40687</v>
      </c>
      <c r="O267" s="27">
        <f t="shared" si="11"/>
        <v>-0.63287671232876708</v>
      </c>
      <c r="P267" s="28">
        <v>6.1999999999999998E-3</v>
      </c>
      <c r="HW267" s="14"/>
      <c r="HX267" s="14"/>
      <c r="HY267" s="14"/>
      <c r="HZ267" s="14"/>
    </row>
    <row r="268" spans="2:234" ht="13.2" customHeight="1" x14ac:dyDescent="0.25">
      <c r="B268" s="26">
        <v>40686</v>
      </c>
      <c r="C268" s="27">
        <f t="shared" si="9"/>
        <v>-0.63561643835616444</v>
      </c>
      <c r="D268" s="28">
        <v>2.01918209105E-3</v>
      </c>
      <c r="J268" s="26">
        <v>40686</v>
      </c>
      <c r="K268" s="27">
        <f t="shared" si="10"/>
        <v>-0.63561643835616444</v>
      </c>
      <c r="L268" s="28">
        <v>3.2000000000000002E-3</v>
      </c>
      <c r="N268" s="26">
        <v>40686</v>
      </c>
      <c r="O268" s="27">
        <f t="shared" si="11"/>
        <v>-0.63561643835616444</v>
      </c>
      <c r="P268" s="28">
        <v>6.1999999999999998E-3</v>
      </c>
      <c r="HW268" s="14"/>
      <c r="HX268" s="14"/>
      <c r="HY268" s="14"/>
      <c r="HZ268" s="14"/>
    </row>
    <row r="269" spans="2:234" ht="13.2" customHeight="1" x14ac:dyDescent="0.25">
      <c r="B269" s="26">
        <v>40685</v>
      </c>
      <c r="C269" s="27">
        <f t="shared" si="9"/>
        <v>-0.63835616438356169</v>
      </c>
      <c r="D269" s="28">
        <v>2.01918209105E-3</v>
      </c>
      <c r="J269" s="26">
        <v>40685</v>
      </c>
      <c r="K269" s="27">
        <f t="shared" si="10"/>
        <v>-0.63835616438356169</v>
      </c>
      <c r="L269" s="28">
        <v>3.2000000000000002E-3</v>
      </c>
      <c r="N269" s="26">
        <v>40685</v>
      </c>
      <c r="O269" s="27">
        <f t="shared" si="11"/>
        <v>-0.63835616438356169</v>
      </c>
      <c r="P269" s="28">
        <v>6.1999999999999998E-3</v>
      </c>
      <c r="HW269" s="14"/>
      <c r="HX269" s="14"/>
      <c r="HY269" s="14"/>
      <c r="HZ269" s="14"/>
    </row>
    <row r="270" spans="2:234" ht="13.2" customHeight="1" x14ac:dyDescent="0.25">
      <c r="B270" s="26">
        <v>40684</v>
      </c>
      <c r="C270" s="27">
        <f t="shared" si="9"/>
        <v>-0.64109589041095894</v>
      </c>
      <c r="D270" s="28">
        <v>2.01918209105E-3</v>
      </c>
      <c r="J270" s="26">
        <v>40684</v>
      </c>
      <c r="K270" s="27">
        <f t="shared" si="10"/>
        <v>-0.64109589041095894</v>
      </c>
      <c r="L270" s="28">
        <v>3.2000000000000002E-3</v>
      </c>
      <c r="N270" s="26">
        <v>40684</v>
      </c>
      <c r="O270" s="27">
        <f t="shared" si="11"/>
        <v>-0.64109589041095894</v>
      </c>
      <c r="P270" s="28">
        <v>6.1999999999999998E-3</v>
      </c>
      <c r="HW270" s="14"/>
      <c r="HX270" s="14"/>
      <c r="HY270" s="14"/>
      <c r="HZ270" s="14"/>
    </row>
    <row r="271" spans="2:234" ht="13.2" customHeight="1" x14ac:dyDescent="0.25">
      <c r="B271" s="26">
        <v>40683</v>
      </c>
      <c r="C271" s="27">
        <f t="shared" si="9"/>
        <v>-0.64383561643835618</v>
      </c>
      <c r="D271" s="28">
        <v>2.01918209105E-3</v>
      </c>
      <c r="J271" s="26">
        <v>40683</v>
      </c>
      <c r="K271" s="27">
        <f t="shared" si="10"/>
        <v>-0.64383561643835618</v>
      </c>
      <c r="L271" s="28">
        <v>3.2000000000000002E-3</v>
      </c>
      <c r="N271" s="26">
        <v>40683</v>
      </c>
      <c r="O271" s="27">
        <f t="shared" si="11"/>
        <v>-0.64383561643835618</v>
      </c>
      <c r="P271" s="28">
        <v>6.1999999999999998E-3</v>
      </c>
      <c r="HW271" s="14"/>
      <c r="HX271" s="14"/>
      <c r="HY271" s="14"/>
      <c r="HZ271" s="14"/>
    </row>
    <row r="272" spans="2:234" ht="13.2" customHeight="1" x14ac:dyDescent="0.25">
      <c r="B272" s="26">
        <v>40682</v>
      </c>
      <c r="C272" s="27">
        <f t="shared" si="9"/>
        <v>-0.64657534246575343</v>
      </c>
      <c r="D272" s="28">
        <v>2.01918209105E-3</v>
      </c>
      <c r="J272" s="26">
        <v>40682</v>
      </c>
      <c r="K272" s="27">
        <f t="shared" si="10"/>
        <v>-0.64657534246575343</v>
      </c>
      <c r="L272" s="28">
        <v>3.2000000000000002E-3</v>
      </c>
      <c r="N272" s="26">
        <v>40682</v>
      </c>
      <c r="O272" s="27">
        <f t="shared" si="11"/>
        <v>-0.64657534246575343</v>
      </c>
      <c r="P272" s="28">
        <v>6.1999999999999998E-3</v>
      </c>
      <c r="HW272" s="14"/>
      <c r="HX272" s="14"/>
      <c r="HY272" s="14"/>
      <c r="HZ272" s="14"/>
    </row>
    <row r="273" spans="2:234" ht="13.2" customHeight="1" x14ac:dyDescent="0.25">
      <c r="B273" s="26">
        <v>40681</v>
      </c>
      <c r="C273" s="27">
        <f t="shared" si="9"/>
        <v>-0.64931506849315068</v>
      </c>
      <c r="D273" s="28">
        <v>2.01918209105E-3</v>
      </c>
      <c r="J273" s="26">
        <v>40681</v>
      </c>
      <c r="K273" s="27">
        <f t="shared" si="10"/>
        <v>-0.64931506849315068</v>
      </c>
      <c r="L273" s="28">
        <v>3.2000000000000002E-3</v>
      </c>
      <c r="N273" s="26">
        <v>40681</v>
      </c>
      <c r="O273" s="27">
        <f t="shared" si="11"/>
        <v>-0.64931506849315068</v>
      </c>
      <c r="P273" s="28">
        <v>6.1999999999999998E-3</v>
      </c>
      <c r="HW273" s="14"/>
      <c r="HX273" s="14"/>
      <c r="HY273" s="14"/>
      <c r="HZ273" s="14"/>
    </row>
    <row r="274" spans="2:234" ht="13.2" customHeight="1" x14ac:dyDescent="0.25">
      <c r="B274" s="26">
        <v>40680</v>
      </c>
      <c r="C274" s="27">
        <f t="shared" si="9"/>
        <v>-0.65205479452054793</v>
      </c>
      <c r="D274" s="28">
        <v>2.01918209105E-3</v>
      </c>
      <c r="J274" s="26">
        <v>40680</v>
      </c>
      <c r="K274" s="27">
        <f t="shared" si="10"/>
        <v>-0.65205479452054793</v>
      </c>
      <c r="L274" s="28">
        <v>3.2000000000000002E-3</v>
      </c>
      <c r="N274" s="26">
        <v>40680</v>
      </c>
      <c r="O274" s="27">
        <f t="shared" si="11"/>
        <v>-0.65205479452054793</v>
      </c>
      <c r="P274" s="28">
        <v>6.1999999999999998E-3</v>
      </c>
      <c r="HW274" s="14"/>
      <c r="HX274" s="14"/>
      <c r="HY274" s="14"/>
      <c r="HZ274" s="14"/>
    </row>
    <row r="275" spans="2:234" ht="13.2" customHeight="1" x14ac:dyDescent="0.25">
      <c r="B275" s="26">
        <v>40679</v>
      </c>
      <c r="C275" s="27">
        <f t="shared" si="9"/>
        <v>-0.65479452054794518</v>
      </c>
      <c r="D275" s="28">
        <v>2.01918209105E-3</v>
      </c>
      <c r="J275" s="26">
        <v>40679</v>
      </c>
      <c r="K275" s="27">
        <f t="shared" si="10"/>
        <v>-0.65479452054794518</v>
      </c>
      <c r="L275" s="28">
        <v>3.2000000000000002E-3</v>
      </c>
      <c r="N275" s="26">
        <v>40679</v>
      </c>
      <c r="O275" s="27">
        <f t="shared" si="11"/>
        <v>-0.65479452054794518</v>
      </c>
      <c r="P275" s="28">
        <v>6.1999999999999998E-3</v>
      </c>
      <c r="HW275" s="14"/>
      <c r="HX275" s="14"/>
      <c r="HY275" s="14"/>
      <c r="HZ275" s="14"/>
    </row>
    <row r="276" spans="2:234" ht="13.2" customHeight="1" x14ac:dyDescent="0.25">
      <c r="B276" s="26">
        <v>40678</v>
      </c>
      <c r="C276" s="27">
        <f t="shared" si="9"/>
        <v>-0.65753424657534243</v>
      </c>
      <c r="D276" s="28">
        <v>2.01918209105E-3</v>
      </c>
      <c r="J276" s="26">
        <v>40678</v>
      </c>
      <c r="K276" s="27">
        <f t="shared" si="10"/>
        <v>-0.65753424657534243</v>
      </c>
      <c r="L276" s="28">
        <v>3.2000000000000002E-3</v>
      </c>
      <c r="N276" s="26">
        <v>40678</v>
      </c>
      <c r="O276" s="27">
        <f t="shared" si="11"/>
        <v>-0.65753424657534243</v>
      </c>
      <c r="P276" s="28">
        <v>6.1999999999999998E-3</v>
      </c>
      <c r="HW276" s="14"/>
      <c r="HX276" s="14"/>
      <c r="HY276" s="14"/>
      <c r="HZ276" s="14"/>
    </row>
    <row r="277" spans="2:234" ht="13.2" customHeight="1" x14ac:dyDescent="0.25">
      <c r="B277" s="26">
        <v>40677</v>
      </c>
      <c r="C277" s="27">
        <f t="shared" si="9"/>
        <v>-0.66027397260273968</v>
      </c>
      <c r="D277" s="28">
        <v>2.01918209105E-3</v>
      </c>
      <c r="J277" s="26">
        <v>40677</v>
      </c>
      <c r="K277" s="27">
        <f t="shared" si="10"/>
        <v>-0.66027397260273968</v>
      </c>
      <c r="L277" s="28">
        <v>3.2000000000000002E-3</v>
      </c>
      <c r="N277" s="26">
        <v>40677</v>
      </c>
      <c r="O277" s="27">
        <f t="shared" si="11"/>
        <v>-0.66027397260273968</v>
      </c>
      <c r="P277" s="28">
        <v>6.1999999999999998E-3</v>
      </c>
      <c r="HW277" s="14"/>
      <c r="HX277" s="14"/>
      <c r="HY277" s="14"/>
      <c r="HZ277" s="14"/>
    </row>
    <row r="278" spans="2:234" ht="13.2" customHeight="1" x14ac:dyDescent="0.25">
      <c r="B278" s="26">
        <v>40676</v>
      </c>
      <c r="C278" s="27">
        <f t="shared" si="9"/>
        <v>-0.66301369863013704</v>
      </c>
      <c r="D278" s="28">
        <v>2.01918209105E-3</v>
      </c>
      <c r="J278" s="26">
        <v>40676</v>
      </c>
      <c r="K278" s="27">
        <f t="shared" si="10"/>
        <v>-0.66301369863013704</v>
      </c>
      <c r="L278" s="28">
        <v>3.2000000000000002E-3</v>
      </c>
      <c r="N278" s="26">
        <v>40676</v>
      </c>
      <c r="O278" s="27">
        <f t="shared" si="11"/>
        <v>-0.66301369863013704</v>
      </c>
      <c r="P278" s="28">
        <v>6.1999999999999998E-3</v>
      </c>
      <c r="HW278" s="14"/>
      <c r="HX278" s="14"/>
      <c r="HY278" s="14"/>
      <c r="HZ278" s="14"/>
    </row>
    <row r="279" spans="2:234" ht="13.2" customHeight="1" x14ac:dyDescent="0.25">
      <c r="B279" s="26">
        <v>40675</v>
      </c>
      <c r="C279" s="27">
        <f t="shared" si="9"/>
        <v>-0.66575342465753429</v>
      </c>
      <c r="D279" s="28">
        <v>2.01918209105E-3</v>
      </c>
      <c r="J279" s="26">
        <v>40675</v>
      </c>
      <c r="K279" s="27">
        <f t="shared" si="10"/>
        <v>-0.66575342465753429</v>
      </c>
      <c r="L279" s="28">
        <v>3.2000000000000002E-3</v>
      </c>
      <c r="N279" s="26">
        <v>40675</v>
      </c>
      <c r="O279" s="27">
        <f t="shared" si="11"/>
        <v>-0.66575342465753429</v>
      </c>
      <c r="P279" s="28">
        <v>6.1999999999999998E-3</v>
      </c>
      <c r="HW279" s="14"/>
      <c r="HX279" s="14"/>
      <c r="HY279" s="14"/>
      <c r="HZ279" s="14"/>
    </row>
    <row r="280" spans="2:234" ht="13.2" customHeight="1" x14ac:dyDescent="0.25">
      <c r="B280" s="26">
        <v>40674</v>
      </c>
      <c r="C280" s="27">
        <f t="shared" si="9"/>
        <v>-0.66849315068493154</v>
      </c>
      <c r="D280" s="28">
        <v>2.01918209105E-3</v>
      </c>
      <c r="J280" s="26">
        <v>40674</v>
      </c>
      <c r="K280" s="27">
        <f t="shared" si="10"/>
        <v>-0.66849315068493154</v>
      </c>
      <c r="L280" s="28">
        <v>3.2000000000000002E-3</v>
      </c>
      <c r="N280" s="26">
        <v>40674</v>
      </c>
      <c r="O280" s="27">
        <f t="shared" si="11"/>
        <v>-0.66849315068493154</v>
      </c>
      <c r="P280" s="28">
        <v>6.1999999999999998E-3</v>
      </c>
      <c r="HW280" s="14"/>
      <c r="HX280" s="14"/>
      <c r="HY280" s="14"/>
      <c r="HZ280" s="14"/>
    </row>
    <row r="281" spans="2:234" ht="13.2" customHeight="1" x14ac:dyDescent="0.25">
      <c r="B281" s="26">
        <v>40673</v>
      </c>
      <c r="C281" s="27">
        <f t="shared" si="9"/>
        <v>-0.67123287671232879</v>
      </c>
      <c r="D281" s="28">
        <v>2.01918209105E-3</v>
      </c>
      <c r="J281" s="26">
        <v>40673</v>
      </c>
      <c r="K281" s="27">
        <f t="shared" si="10"/>
        <v>-0.67123287671232879</v>
      </c>
      <c r="L281" s="28">
        <v>3.2000000000000002E-3</v>
      </c>
      <c r="N281" s="26">
        <v>40673</v>
      </c>
      <c r="O281" s="27">
        <f t="shared" si="11"/>
        <v>-0.67123287671232879</v>
      </c>
      <c r="P281" s="28">
        <v>6.1999999999999998E-3</v>
      </c>
      <c r="HW281" s="14"/>
      <c r="HX281" s="14"/>
      <c r="HY281" s="14"/>
      <c r="HZ281" s="14"/>
    </row>
    <row r="282" spans="2:234" ht="13.2" customHeight="1" x14ac:dyDescent="0.25">
      <c r="B282" s="26">
        <v>40672</v>
      </c>
      <c r="C282" s="27">
        <f t="shared" si="9"/>
        <v>-0.67397260273972603</v>
      </c>
      <c r="D282" s="28">
        <v>2.01918209105E-3</v>
      </c>
      <c r="J282" s="26">
        <v>40672</v>
      </c>
      <c r="K282" s="27">
        <f t="shared" si="10"/>
        <v>-0.67397260273972603</v>
      </c>
      <c r="L282" s="28">
        <v>3.2000000000000002E-3</v>
      </c>
      <c r="N282" s="26">
        <v>40672</v>
      </c>
      <c r="O282" s="27">
        <f t="shared" si="11"/>
        <v>-0.67397260273972603</v>
      </c>
      <c r="P282" s="28">
        <v>6.1999999999999998E-3</v>
      </c>
      <c r="HW282" s="14"/>
      <c r="HX282" s="14"/>
      <c r="HY282" s="14"/>
      <c r="HZ282" s="14"/>
    </row>
    <row r="283" spans="2:234" ht="13.2" customHeight="1" x14ac:dyDescent="0.25">
      <c r="B283" s="26">
        <v>40671</v>
      </c>
      <c r="C283" s="27">
        <f t="shared" si="9"/>
        <v>-0.67671232876712328</v>
      </c>
      <c r="D283" s="28">
        <v>2.01918209105E-3</v>
      </c>
      <c r="J283" s="26">
        <v>40671</v>
      </c>
      <c r="K283" s="27">
        <f t="shared" si="10"/>
        <v>-0.67671232876712328</v>
      </c>
      <c r="L283" s="28">
        <v>3.2000000000000002E-3</v>
      </c>
      <c r="N283" s="26">
        <v>40671</v>
      </c>
      <c r="O283" s="27">
        <f t="shared" si="11"/>
        <v>-0.67671232876712328</v>
      </c>
      <c r="P283" s="28">
        <v>6.1999999999999998E-3</v>
      </c>
      <c r="HW283" s="14"/>
      <c r="HX283" s="14"/>
      <c r="HY283" s="14"/>
      <c r="HZ283" s="14"/>
    </row>
    <row r="284" spans="2:234" ht="13.2" customHeight="1" x14ac:dyDescent="0.25">
      <c r="B284" s="26">
        <v>40670</v>
      </c>
      <c r="C284" s="27">
        <f t="shared" si="9"/>
        <v>-0.67945205479452053</v>
      </c>
      <c r="D284" s="28">
        <v>2.01918209105E-3</v>
      </c>
      <c r="J284" s="26">
        <v>40670</v>
      </c>
      <c r="K284" s="27">
        <f t="shared" si="10"/>
        <v>-0.67945205479452053</v>
      </c>
      <c r="L284" s="28">
        <v>3.2000000000000002E-3</v>
      </c>
      <c r="N284" s="26">
        <v>40670</v>
      </c>
      <c r="O284" s="27">
        <f t="shared" si="11"/>
        <v>-0.67945205479452053</v>
      </c>
      <c r="P284" s="28">
        <v>6.1999999999999998E-3</v>
      </c>
      <c r="HW284" s="14"/>
      <c r="HX284" s="14"/>
      <c r="HY284" s="14"/>
      <c r="HZ284" s="14"/>
    </row>
    <row r="285" spans="2:234" ht="13.2" customHeight="1" x14ac:dyDescent="0.25">
      <c r="B285" s="26">
        <v>40669</v>
      </c>
      <c r="C285" s="27">
        <f t="shared" si="9"/>
        <v>-0.68219178082191778</v>
      </c>
      <c r="D285" s="28">
        <v>2.01918209105E-3</v>
      </c>
      <c r="J285" s="26">
        <v>40669</v>
      </c>
      <c r="K285" s="27">
        <f t="shared" si="10"/>
        <v>-0.68219178082191778</v>
      </c>
      <c r="L285" s="28">
        <v>3.2000000000000002E-3</v>
      </c>
      <c r="N285" s="26">
        <v>40669</v>
      </c>
      <c r="O285" s="27">
        <f t="shared" si="11"/>
        <v>-0.68219178082191778</v>
      </c>
      <c r="P285" s="28">
        <v>6.1999999999999998E-3</v>
      </c>
      <c r="HW285" s="14"/>
      <c r="HX285" s="14"/>
      <c r="HY285" s="14"/>
      <c r="HZ285" s="14"/>
    </row>
    <row r="286" spans="2:234" ht="13.2" customHeight="1" x14ac:dyDescent="0.25">
      <c r="B286" s="26">
        <v>40668</v>
      </c>
      <c r="C286" s="27">
        <f t="shared" si="9"/>
        <v>-0.68493150684931503</v>
      </c>
      <c r="D286" s="28">
        <v>2.01918209105E-3</v>
      </c>
      <c r="J286" s="26">
        <v>40668</v>
      </c>
      <c r="K286" s="27">
        <f t="shared" si="10"/>
        <v>-0.68493150684931503</v>
      </c>
      <c r="L286" s="28">
        <v>3.2000000000000002E-3</v>
      </c>
      <c r="N286" s="26">
        <v>40668</v>
      </c>
      <c r="O286" s="27">
        <f t="shared" si="11"/>
        <v>-0.68493150684931503</v>
      </c>
      <c r="P286" s="28">
        <v>6.1999999999999998E-3</v>
      </c>
      <c r="HW286" s="14"/>
      <c r="HX286" s="14"/>
      <c r="HY286" s="14"/>
      <c r="HZ286" s="14"/>
    </row>
    <row r="287" spans="2:234" ht="13.2" customHeight="1" x14ac:dyDescent="0.25">
      <c r="B287" s="26">
        <v>40667</v>
      </c>
      <c r="C287" s="27">
        <f t="shared" si="9"/>
        <v>-0.68767123287671228</v>
      </c>
      <c r="D287" s="28">
        <v>2.01918209105E-3</v>
      </c>
      <c r="J287" s="26">
        <v>40667</v>
      </c>
      <c r="K287" s="27">
        <f t="shared" si="10"/>
        <v>-0.68767123287671228</v>
      </c>
      <c r="L287" s="28">
        <v>3.2000000000000002E-3</v>
      </c>
      <c r="N287" s="26">
        <v>40667</v>
      </c>
      <c r="O287" s="27">
        <f t="shared" si="11"/>
        <v>-0.68767123287671228</v>
      </c>
      <c r="P287" s="28">
        <v>6.1999999999999998E-3</v>
      </c>
      <c r="HW287" s="14"/>
      <c r="HX287" s="14"/>
      <c r="HY287" s="14"/>
      <c r="HZ287" s="14"/>
    </row>
    <row r="288" spans="2:234" ht="13.2" customHeight="1" x14ac:dyDescent="0.25">
      <c r="B288" s="26">
        <v>40666</v>
      </c>
      <c r="C288" s="27">
        <f t="shared" si="9"/>
        <v>-0.69041095890410964</v>
      </c>
      <c r="D288" s="28">
        <v>2.01918209105E-3</v>
      </c>
      <c r="J288" s="26">
        <v>40666</v>
      </c>
      <c r="K288" s="27">
        <f t="shared" si="10"/>
        <v>-0.69041095890410964</v>
      </c>
      <c r="L288" s="28">
        <v>3.2000000000000002E-3</v>
      </c>
      <c r="N288" s="26">
        <v>40666</v>
      </c>
      <c r="O288" s="27">
        <f t="shared" si="11"/>
        <v>-0.69041095890410964</v>
      </c>
      <c r="P288" s="28">
        <v>6.1999999999999998E-3</v>
      </c>
      <c r="HW288" s="14"/>
      <c r="HX288" s="14"/>
      <c r="HY288" s="14"/>
      <c r="HZ288" s="14"/>
    </row>
    <row r="289" spans="2:234" ht="13.2" customHeight="1" x14ac:dyDescent="0.25">
      <c r="B289" s="26">
        <v>40665</v>
      </c>
      <c r="C289" s="27">
        <f t="shared" si="9"/>
        <v>-0.69315068493150689</v>
      </c>
      <c r="D289" s="28">
        <v>2.01918209105E-3</v>
      </c>
      <c r="J289" s="26">
        <v>40665</v>
      </c>
      <c r="K289" s="27">
        <f t="shared" si="10"/>
        <v>-0.69315068493150689</v>
      </c>
      <c r="L289" s="28">
        <v>3.2000000000000002E-3</v>
      </c>
      <c r="N289" s="26">
        <v>40665</v>
      </c>
      <c r="O289" s="27">
        <f t="shared" si="11"/>
        <v>-0.69315068493150689</v>
      </c>
      <c r="P289" s="28">
        <v>6.1999999999999998E-3</v>
      </c>
      <c r="HW289" s="14"/>
      <c r="HX289" s="14"/>
      <c r="HY289" s="14"/>
      <c r="HZ289" s="14"/>
    </row>
    <row r="290" spans="2:234" ht="13.2" customHeight="1" x14ac:dyDescent="0.25">
      <c r="B290" s="26">
        <v>40664</v>
      </c>
      <c r="C290" s="27">
        <f t="shared" si="9"/>
        <v>-0.69589041095890414</v>
      </c>
      <c r="D290" s="28">
        <v>2.01918209105E-3</v>
      </c>
      <c r="J290" s="26">
        <v>40664</v>
      </c>
      <c r="K290" s="27">
        <f t="shared" si="10"/>
        <v>-0.69589041095890414</v>
      </c>
      <c r="L290" s="28">
        <v>3.2000000000000002E-3</v>
      </c>
      <c r="N290" s="26">
        <v>40664</v>
      </c>
      <c r="O290" s="27">
        <f t="shared" si="11"/>
        <v>-0.69589041095890414</v>
      </c>
      <c r="P290" s="28">
        <v>6.1999999999999998E-3</v>
      </c>
      <c r="HW290" s="14"/>
      <c r="HX290" s="14"/>
      <c r="HY290" s="14"/>
      <c r="HZ290" s="14"/>
    </row>
    <row r="291" spans="2:234" ht="13.2" customHeight="1" x14ac:dyDescent="0.25">
      <c r="B291" s="26">
        <v>40663</v>
      </c>
      <c r="C291" s="27">
        <f t="shared" si="9"/>
        <v>-0.69863013698630139</v>
      </c>
      <c r="D291" s="28">
        <v>2.01918209105E-3</v>
      </c>
      <c r="J291" s="26">
        <v>40663</v>
      </c>
      <c r="K291" s="27">
        <f t="shared" si="10"/>
        <v>-0.69863013698630139</v>
      </c>
      <c r="L291" s="28">
        <v>3.2000000000000002E-3</v>
      </c>
      <c r="N291" s="26">
        <v>40663</v>
      </c>
      <c r="O291" s="27">
        <f t="shared" si="11"/>
        <v>-0.69863013698630139</v>
      </c>
      <c r="P291" s="28">
        <v>6.1999999999999998E-3</v>
      </c>
      <c r="HW291" s="14"/>
      <c r="HX291" s="14"/>
      <c r="HY291" s="14"/>
      <c r="HZ291" s="14"/>
    </row>
    <row r="292" spans="2:234" ht="13.2" customHeight="1" x14ac:dyDescent="0.25">
      <c r="B292" s="26">
        <v>40662</v>
      </c>
      <c r="C292" s="27">
        <f t="shared" si="9"/>
        <v>-0.70136986301369864</v>
      </c>
      <c r="D292" s="28">
        <v>2.01918209105E-3</v>
      </c>
      <c r="J292" s="26">
        <v>40662</v>
      </c>
      <c r="K292" s="27">
        <f t="shared" si="10"/>
        <v>-0.70136986301369864</v>
      </c>
      <c r="L292" s="28">
        <v>3.2000000000000002E-3</v>
      </c>
      <c r="N292" s="26">
        <v>40662</v>
      </c>
      <c r="O292" s="27">
        <f t="shared" si="11"/>
        <v>-0.70136986301369864</v>
      </c>
      <c r="P292" s="28">
        <v>6.1999999999999998E-3</v>
      </c>
      <c r="HW292" s="14"/>
      <c r="HX292" s="14"/>
      <c r="HY292" s="14"/>
      <c r="HZ292" s="14"/>
    </row>
    <row r="293" spans="2:234" ht="13.2" customHeight="1" x14ac:dyDescent="0.25">
      <c r="B293" s="26">
        <v>40661</v>
      </c>
      <c r="C293" s="27">
        <f t="shared" ref="C293:C356" si="12">IF($F$3&lt;B293,1,-1)*YEARFRAC($F$3,B293,3)</f>
        <v>-0.70410958904109588</v>
      </c>
      <c r="D293" s="28">
        <v>2.01918209105E-3</v>
      </c>
      <c r="J293" s="26">
        <v>40661</v>
      </c>
      <c r="K293" s="27">
        <f t="shared" ref="K293:K356" si="13">IF($F$3&lt;J293,1,-1)*YEARFRAC($F$3,J293,3)</f>
        <v>-0.70410958904109588</v>
      </c>
      <c r="L293" s="28">
        <v>3.2000000000000002E-3</v>
      </c>
      <c r="N293" s="26">
        <v>40661</v>
      </c>
      <c r="O293" s="27">
        <f t="shared" ref="O293:O356" si="14">IF($F$3&lt;N293,1,-1)*YEARFRAC($F$3,N293,3)</f>
        <v>-0.70410958904109588</v>
      </c>
      <c r="P293" s="28">
        <v>6.1999999999999998E-3</v>
      </c>
      <c r="HW293" s="14"/>
      <c r="HX293" s="14"/>
      <c r="HY293" s="14"/>
      <c r="HZ293" s="14"/>
    </row>
    <row r="294" spans="2:234" ht="13.2" customHeight="1" x14ac:dyDescent="0.25">
      <c r="B294" s="26">
        <v>40660</v>
      </c>
      <c r="C294" s="27">
        <f t="shared" si="12"/>
        <v>-0.70684931506849313</v>
      </c>
      <c r="D294" s="28">
        <v>2.01918209105E-3</v>
      </c>
      <c r="J294" s="26">
        <v>40660</v>
      </c>
      <c r="K294" s="27">
        <f t="shared" si="13"/>
        <v>-0.70684931506849313</v>
      </c>
      <c r="L294" s="28">
        <v>3.2000000000000002E-3</v>
      </c>
      <c r="N294" s="26">
        <v>40660</v>
      </c>
      <c r="O294" s="27">
        <f t="shared" si="14"/>
        <v>-0.70684931506849313</v>
      </c>
      <c r="P294" s="28">
        <v>6.1999999999999998E-3</v>
      </c>
      <c r="HW294" s="14"/>
      <c r="HX294" s="14"/>
      <c r="HY294" s="14"/>
      <c r="HZ294" s="14"/>
    </row>
    <row r="295" spans="2:234" ht="13.2" customHeight="1" x14ac:dyDescent="0.25">
      <c r="B295" s="26">
        <v>40659</v>
      </c>
      <c r="C295" s="27">
        <f t="shared" si="12"/>
        <v>-0.70958904109589038</v>
      </c>
      <c r="D295" s="28">
        <v>2.01918209105E-3</v>
      </c>
      <c r="J295" s="26">
        <v>40659</v>
      </c>
      <c r="K295" s="27">
        <f t="shared" si="13"/>
        <v>-0.70958904109589038</v>
      </c>
      <c r="L295" s="28">
        <v>3.2000000000000002E-3</v>
      </c>
      <c r="N295" s="26">
        <v>40659</v>
      </c>
      <c r="O295" s="27">
        <f t="shared" si="14"/>
        <v>-0.70958904109589038</v>
      </c>
      <c r="P295" s="28">
        <v>6.1999999999999998E-3</v>
      </c>
      <c r="HW295" s="14"/>
      <c r="HX295" s="14"/>
      <c r="HY295" s="14"/>
      <c r="HZ295" s="14"/>
    </row>
    <row r="296" spans="2:234" ht="13.2" customHeight="1" x14ac:dyDescent="0.25">
      <c r="B296" s="26">
        <v>40658</v>
      </c>
      <c r="C296" s="27">
        <f t="shared" si="12"/>
        <v>-0.71232876712328763</v>
      </c>
      <c r="D296" s="28">
        <v>2.01918209105E-3</v>
      </c>
      <c r="J296" s="26">
        <v>40658</v>
      </c>
      <c r="K296" s="27">
        <f t="shared" si="13"/>
        <v>-0.71232876712328763</v>
      </c>
      <c r="L296" s="28">
        <v>3.2000000000000002E-3</v>
      </c>
      <c r="N296" s="26">
        <v>40658</v>
      </c>
      <c r="O296" s="27">
        <f t="shared" si="14"/>
        <v>-0.71232876712328763</v>
      </c>
      <c r="P296" s="28">
        <v>6.1999999999999998E-3</v>
      </c>
      <c r="HW296" s="14"/>
      <c r="HX296" s="14"/>
      <c r="HY296" s="14"/>
      <c r="HZ296" s="14"/>
    </row>
    <row r="297" spans="2:234" ht="13.2" customHeight="1" x14ac:dyDescent="0.25">
      <c r="B297" s="26">
        <v>40657</v>
      </c>
      <c r="C297" s="27">
        <f t="shared" si="12"/>
        <v>-0.71506849315068488</v>
      </c>
      <c r="D297" s="28">
        <v>2.01918209105E-3</v>
      </c>
      <c r="J297" s="26">
        <v>40657</v>
      </c>
      <c r="K297" s="27">
        <f t="shared" si="13"/>
        <v>-0.71506849315068488</v>
      </c>
      <c r="L297" s="28">
        <v>3.2000000000000002E-3</v>
      </c>
      <c r="N297" s="26">
        <v>40657</v>
      </c>
      <c r="O297" s="27">
        <f t="shared" si="14"/>
        <v>-0.71506849315068488</v>
      </c>
      <c r="P297" s="28">
        <v>6.1999999999999998E-3</v>
      </c>
      <c r="HW297" s="14"/>
      <c r="HX297" s="14"/>
      <c r="HY297" s="14"/>
      <c r="HZ297" s="14"/>
    </row>
    <row r="298" spans="2:234" ht="13.2" customHeight="1" x14ac:dyDescent="0.25">
      <c r="B298" s="26">
        <v>40656</v>
      </c>
      <c r="C298" s="27">
        <f t="shared" si="12"/>
        <v>-0.71780821917808224</v>
      </c>
      <c r="D298" s="28">
        <v>2.01918209105E-3</v>
      </c>
      <c r="J298" s="26">
        <v>40656</v>
      </c>
      <c r="K298" s="27">
        <f t="shared" si="13"/>
        <v>-0.71780821917808224</v>
      </c>
      <c r="L298" s="28">
        <v>3.2000000000000002E-3</v>
      </c>
      <c r="N298" s="26">
        <v>40656</v>
      </c>
      <c r="O298" s="27">
        <f t="shared" si="14"/>
        <v>-0.71780821917808224</v>
      </c>
      <c r="P298" s="28">
        <v>6.1999999999999998E-3</v>
      </c>
      <c r="HW298" s="14"/>
      <c r="HX298" s="14"/>
      <c r="HY298" s="14"/>
      <c r="HZ298" s="14"/>
    </row>
    <row r="299" spans="2:234" ht="13.2" customHeight="1" x14ac:dyDescent="0.25">
      <c r="B299" s="26">
        <v>40655</v>
      </c>
      <c r="C299" s="27">
        <f t="shared" si="12"/>
        <v>-0.72054794520547949</v>
      </c>
      <c r="D299" s="28">
        <v>2.01918209105E-3</v>
      </c>
      <c r="J299" s="26">
        <v>40655</v>
      </c>
      <c r="K299" s="27">
        <f t="shared" si="13"/>
        <v>-0.72054794520547949</v>
      </c>
      <c r="L299" s="28">
        <v>3.2000000000000002E-3</v>
      </c>
      <c r="N299" s="26">
        <v>40655</v>
      </c>
      <c r="O299" s="27">
        <f t="shared" si="14"/>
        <v>-0.72054794520547949</v>
      </c>
      <c r="P299" s="28">
        <v>6.1999999999999998E-3</v>
      </c>
      <c r="HW299" s="14"/>
      <c r="HX299" s="14"/>
      <c r="HY299" s="14"/>
      <c r="HZ299" s="14"/>
    </row>
    <row r="300" spans="2:234" ht="13.2" customHeight="1" x14ac:dyDescent="0.25">
      <c r="B300" s="26">
        <v>40654</v>
      </c>
      <c r="C300" s="27">
        <f t="shared" si="12"/>
        <v>-0.72328767123287674</v>
      </c>
      <c r="D300" s="28">
        <v>2.01918209105E-3</v>
      </c>
      <c r="J300" s="26">
        <v>40654</v>
      </c>
      <c r="K300" s="27">
        <f t="shared" si="13"/>
        <v>-0.72328767123287674</v>
      </c>
      <c r="L300" s="28">
        <v>3.2000000000000002E-3</v>
      </c>
      <c r="N300" s="26">
        <v>40654</v>
      </c>
      <c r="O300" s="27">
        <f t="shared" si="14"/>
        <v>-0.72328767123287674</v>
      </c>
      <c r="P300" s="28">
        <v>6.1999999999999998E-3</v>
      </c>
      <c r="HW300" s="14"/>
      <c r="HX300" s="14"/>
      <c r="HY300" s="14"/>
      <c r="HZ300" s="14"/>
    </row>
    <row r="301" spans="2:234" ht="13.2" customHeight="1" x14ac:dyDescent="0.25">
      <c r="B301" s="26">
        <v>40653</v>
      </c>
      <c r="C301" s="27">
        <f t="shared" si="12"/>
        <v>-0.72602739726027399</v>
      </c>
      <c r="D301" s="28">
        <v>2.01918209105E-3</v>
      </c>
      <c r="J301" s="26">
        <v>40653</v>
      </c>
      <c r="K301" s="27">
        <f t="shared" si="13"/>
        <v>-0.72602739726027399</v>
      </c>
      <c r="L301" s="28">
        <v>3.2000000000000002E-3</v>
      </c>
      <c r="N301" s="26">
        <v>40653</v>
      </c>
      <c r="O301" s="27">
        <f t="shared" si="14"/>
        <v>-0.72602739726027399</v>
      </c>
      <c r="P301" s="28">
        <v>6.1999999999999998E-3</v>
      </c>
      <c r="HW301" s="14"/>
      <c r="HX301" s="14"/>
      <c r="HY301" s="14"/>
      <c r="HZ301" s="14"/>
    </row>
    <row r="302" spans="2:234" ht="13.2" customHeight="1" x14ac:dyDescent="0.25">
      <c r="B302" s="26">
        <v>40652</v>
      </c>
      <c r="C302" s="27">
        <f t="shared" si="12"/>
        <v>-0.72876712328767124</v>
      </c>
      <c r="D302" s="28">
        <v>2.01918209105E-3</v>
      </c>
      <c r="J302" s="26">
        <v>40652</v>
      </c>
      <c r="K302" s="27">
        <f t="shared" si="13"/>
        <v>-0.72876712328767124</v>
      </c>
      <c r="L302" s="28">
        <v>3.2000000000000002E-3</v>
      </c>
      <c r="N302" s="26">
        <v>40652</v>
      </c>
      <c r="O302" s="27">
        <f t="shared" si="14"/>
        <v>-0.72876712328767124</v>
      </c>
      <c r="P302" s="28">
        <v>6.1999999999999998E-3</v>
      </c>
      <c r="HW302" s="14"/>
      <c r="HX302" s="14"/>
      <c r="HY302" s="14"/>
      <c r="HZ302" s="14"/>
    </row>
    <row r="303" spans="2:234" ht="13.2" customHeight="1" x14ac:dyDescent="0.25">
      <c r="B303" s="26">
        <v>40651</v>
      </c>
      <c r="C303" s="27">
        <f t="shared" si="12"/>
        <v>-0.73150684931506849</v>
      </c>
      <c r="D303" s="28">
        <v>2.01918209105E-3</v>
      </c>
      <c r="J303" s="26">
        <v>40651</v>
      </c>
      <c r="K303" s="27">
        <f t="shared" si="13"/>
        <v>-0.73150684931506849</v>
      </c>
      <c r="L303" s="28">
        <v>3.2000000000000002E-3</v>
      </c>
      <c r="N303" s="26">
        <v>40651</v>
      </c>
      <c r="O303" s="27">
        <f t="shared" si="14"/>
        <v>-0.73150684931506849</v>
      </c>
      <c r="P303" s="28">
        <v>6.1999999999999998E-3</v>
      </c>
      <c r="HW303" s="14"/>
      <c r="HX303" s="14"/>
      <c r="HY303" s="14"/>
      <c r="HZ303" s="14"/>
    </row>
    <row r="304" spans="2:234" ht="13.2" customHeight="1" x14ac:dyDescent="0.25">
      <c r="B304" s="26">
        <v>40650</v>
      </c>
      <c r="C304" s="27">
        <f t="shared" si="12"/>
        <v>-0.73424657534246573</v>
      </c>
      <c r="D304" s="28">
        <v>2.01918209105E-3</v>
      </c>
      <c r="J304" s="26">
        <v>40650</v>
      </c>
      <c r="K304" s="27">
        <f t="shared" si="13"/>
        <v>-0.73424657534246573</v>
      </c>
      <c r="L304" s="28">
        <v>3.2000000000000002E-3</v>
      </c>
      <c r="N304" s="26">
        <v>40650</v>
      </c>
      <c r="O304" s="27">
        <f t="shared" si="14"/>
        <v>-0.73424657534246573</v>
      </c>
      <c r="P304" s="28">
        <v>6.1999999999999998E-3</v>
      </c>
      <c r="HW304" s="14"/>
      <c r="HX304" s="14"/>
      <c r="HY304" s="14"/>
      <c r="HZ304" s="14"/>
    </row>
    <row r="305" spans="2:234" ht="13.2" customHeight="1" x14ac:dyDescent="0.25">
      <c r="B305" s="26">
        <v>40649</v>
      </c>
      <c r="C305" s="27">
        <f t="shared" si="12"/>
        <v>-0.73698630136986298</v>
      </c>
      <c r="D305" s="28">
        <v>2.01918209105E-3</v>
      </c>
      <c r="J305" s="26">
        <v>40649</v>
      </c>
      <c r="K305" s="27">
        <f t="shared" si="13"/>
        <v>-0.73698630136986298</v>
      </c>
      <c r="L305" s="28">
        <v>3.2000000000000002E-3</v>
      </c>
      <c r="N305" s="26">
        <v>40649</v>
      </c>
      <c r="O305" s="27">
        <f t="shared" si="14"/>
        <v>-0.73698630136986298</v>
      </c>
      <c r="P305" s="28">
        <v>6.1999999999999998E-3</v>
      </c>
      <c r="HW305" s="14"/>
      <c r="HX305" s="14"/>
      <c r="HY305" s="14"/>
      <c r="HZ305" s="14"/>
    </row>
    <row r="306" spans="2:234" ht="13.2" customHeight="1" x14ac:dyDescent="0.25">
      <c r="B306" s="26">
        <v>40648</v>
      </c>
      <c r="C306" s="27">
        <f t="shared" si="12"/>
        <v>-0.73972602739726023</v>
      </c>
      <c r="D306" s="28">
        <v>2.01918209105E-3</v>
      </c>
      <c r="J306" s="26">
        <v>40648</v>
      </c>
      <c r="K306" s="27">
        <f t="shared" si="13"/>
        <v>-0.73972602739726023</v>
      </c>
      <c r="L306" s="28">
        <v>3.2000000000000002E-3</v>
      </c>
      <c r="N306" s="26">
        <v>40648</v>
      </c>
      <c r="O306" s="27">
        <f t="shared" si="14"/>
        <v>-0.73972602739726023</v>
      </c>
      <c r="P306" s="28">
        <v>6.1999999999999998E-3</v>
      </c>
      <c r="HW306" s="14"/>
      <c r="HX306" s="14"/>
      <c r="HY306" s="14"/>
      <c r="HZ306" s="14"/>
    </row>
    <row r="307" spans="2:234" ht="13.2" customHeight="1" x14ac:dyDescent="0.25">
      <c r="B307" s="26">
        <v>40647</v>
      </c>
      <c r="C307" s="27">
        <f t="shared" si="12"/>
        <v>-0.74246575342465748</v>
      </c>
      <c r="D307" s="28">
        <v>2.01918209105E-3</v>
      </c>
      <c r="J307" s="26">
        <v>40647</v>
      </c>
      <c r="K307" s="27">
        <f t="shared" si="13"/>
        <v>-0.74246575342465748</v>
      </c>
      <c r="L307" s="28">
        <v>3.2000000000000002E-3</v>
      </c>
      <c r="N307" s="26">
        <v>40647</v>
      </c>
      <c r="O307" s="27">
        <f t="shared" si="14"/>
        <v>-0.74246575342465748</v>
      </c>
      <c r="P307" s="28">
        <v>6.1999999999999998E-3</v>
      </c>
      <c r="HW307" s="14"/>
      <c r="HX307" s="14"/>
      <c r="HY307" s="14"/>
      <c r="HZ307" s="14"/>
    </row>
    <row r="308" spans="2:234" ht="13.2" customHeight="1" x14ac:dyDescent="0.25">
      <c r="B308" s="26">
        <v>40646</v>
      </c>
      <c r="C308" s="27">
        <f t="shared" si="12"/>
        <v>-0.74520547945205484</v>
      </c>
      <c r="D308" s="28">
        <v>2.01918209105E-3</v>
      </c>
      <c r="J308" s="26">
        <v>40646</v>
      </c>
      <c r="K308" s="27">
        <f t="shared" si="13"/>
        <v>-0.74520547945205484</v>
      </c>
      <c r="L308" s="28">
        <v>3.2000000000000002E-3</v>
      </c>
      <c r="N308" s="26">
        <v>40646</v>
      </c>
      <c r="O308" s="27">
        <f t="shared" si="14"/>
        <v>-0.74520547945205484</v>
      </c>
      <c r="P308" s="28">
        <v>6.1999999999999998E-3</v>
      </c>
      <c r="HW308" s="14"/>
      <c r="HX308" s="14"/>
      <c r="HY308" s="14"/>
      <c r="HZ308" s="14"/>
    </row>
    <row r="309" spans="2:234" ht="13.2" customHeight="1" x14ac:dyDescent="0.25">
      <c r="B309" s="26">
        <v>40645</v>
      </c>
      <c r="C309" s="27">
        <f t="shared" si="12"/>
        <v>-0.74794520547945209</v>
      </c>
      <c r="D309" s="28">
        <v>2.01918209105E-3</v>
      </c>
      <c r="J309" s="26">
        <v>40645</v>
      </c>
      <c r="K309" s="27">
        <f t="shared" si="13"/>
        <v>-0.74794520547945209</v>
      </c>
      <c r="L309" s="28">
        <v>3.2000000000000002E-3</v>
      </c>
      <c r="N309" s="26">
        <v>40645</v>
      </c>
      <c r="O309" s="27">
        <f t="shared" si="14"/>
        <v>-0.74794520547945209</v>
      </c>
      <c r="P309" s="28">
        <v>6.1999999999999998E-3</v>
      </c>
      <c r="HW309" s="14"/>
      <c r="HX309" s="14"/>
      <c r="HY309" s="14"/>
      <c r="HZ309" s="14"/>
    </row>
    <row r="310" spans="2:234" ht="13.2" customHeight="1" x14ac:dyDescent="0.25">
      <c r="B310" s="26">
        <v>40644</v>
      </c>
      <c r="C310" s="27">
        <f t="shared" si="12"/>
        <v>-0.75068493150684934</v>
      </c>
      <c r="D310" s="28">
        <v>2.01918209105E-3</v>
      </c>
      <c r="J310" s="26">
        <v>40644</v>
      </c>
      <c r="K310" s="27">
        <f t="shared" si="13"/>
        <v>-0.75068493150684934</v>
      </c>
      <c r="L310" s="28">
        <v>3.2000000000000002E-3</v>
      </c>
      <c r="N310" s="26">
        <v>40644</v>
      </c>
      <c r="O310" s="27">
        <f t="shared" si="14"/>
        <v>-0.75068493150684934</v>
      </c>
      <c r="P310" s="28">
        <v>6.1999999999999998E-3</v>
      </c>
      <c r="HW310" s="14"/>
      <c r="HX310" s="14"/>
      <c r="HY310" s="14"/>
      <c r="HZ310" s="14"/>
    </row>
    <row r="311" spans="2:234" ht="13.2" customHeight="1" x14ac:dyDescent="0.25">
      <c r="B311" s="26">
        <v>40643</v>
      </c>
      <c r="C311" s="27">
        <f t="shared" si="12"/>
        <v>-0.75342465753424659</v>
      </c>
      <c r="D311" s="28">
        <v>2.01918209105E-3</v>
      </c>
      <c r="J311" s="26">
        <v>40643</v>
      </c>
      <c r="K311" s="27">
        <f t="shared" si="13"/>
        <v>-0.75342465753424659</v>
      </c>
      <c r="L311" s="28">
        <v>3.2000000000000002E-3</v>
      </c>
      <c r="N311" s="26">
        <v>40643</v>
      </c>
      <c r="O311" s="27">
        <f t="shared" si="14"/>
        <v>-0.75342465753424659</v>
      </c>
      <c r="P311" s="28">
        <v>6.1999999999999998E-3</v>
      </c>
      <c r="HW311" s="14"/>
      <c r="HX311" s="14"/>
      <c r="HY311" s="14"/>
      <c r="HZ311" s="14"/>
    </row>
    <row r="312" spans="2:234" ht="13.2" customHeight="1" x14ac:dyDescent="0.25">
      <c r="B312" s="26">
        <v>40642</v>
      </c>
      <c r="C312" s="27">
        <f t="shared" si="12"/>
        <v>-0.75616438356164384</v>
      </c>
      <c r="D312" s="28">
        <v>2.01918209105E-3</v>
      </c>
      <c r="J312" s="26">
        <v>40642</v>
      </c>
      <c r="K312" s="27">
        <f t="shared" si="13"/>
        <v>-0.75616438356164384</v>
      </c>
      <c r="L312" s="28">
        <v>3.2000000000000002E-3</v>
      </c>
      <c r="N312" s="26">
        <v>40642</v>
      </c>
      <c r="O312" s="27">
        <f t="shared" si="14"/>
        <v>-0.75616438356164384</v>
      </c>
      <c r="P312" s="28">
        <v>6.1999999999999998E-3</v>
      </c>
      <c r="HW312" s="14"/>
      <c r="HX312" s="14"/>
      <c r="HY312" s="14"/>
      <c r="HZ312" s="14"/>
    </row>
    <row r="313" spans="2:234" ht="13.2" customHeight="1" x14ac:dyDescent="0.25">
      <c r="B313" s="26">
        <v>40641</v>
      </c>
      <c r="C313" s="27">
        <f t="shared" si="12"/>
        <v>-0.75890410958904109</v>
      </c>
      <c r="D313" s="28">
        <v>2.01918209105E-3</v>
      </c>
      <c r="J313" s="26">
        <v>40641</v>
      </c>
      <c r="K313" s="27">
        <f t="shared" si="13"/>
        <v>-0.75890410958904109</v>
      </c>
      <c r="L313" s="28">
        <v>3.2000000000000002E-3</v>
      </c>
      <c r="N313" s="26">
        <v>40641</v>
      </c>
      <c r="O313" s="27">
        <f t="shared" si="14"/>
        <v>-0.75890410958904109</v>
      </c>
      <c r="P313" s="28">
        <v>6.1999999999999998E-3</v>
      </c>
      <c r="HW313" s="14"/>
      <c r="HX313" s="14"/>
      <c r="HY313" s="14"/>
      <c r="HZ313" s="14"/>
    </row>
    <row r="314" spans="2:234" ht="13.2" customHeight="1" x14ac:dyDescent="0.25">
      <c r="B314" s="26">
        <v>40640</v>
      </c>
      <c r="C314" s="27">
        <f t="shared" si="12"/>
        <v>-0.76164383561643834</v>
      </c>
      <c r="D314" s="28">
        <v>2.01918209105E-3</v>
      </c>
      <c r="J314" s="26">
        <v>40640</v>
      </c>
      <c r="K314" s="27">
        <f t="shared" si="13"/>
        <v>-0.76164383561643834</v>
      </c>
      <c r="L314" s="28">
        <v>3.2000000000000002E-3</v>
      </c>
      <c r="N314" s="26">
        <v>40640</v>
      </c>
      <c r="O314" s="27">
        <f t="shared" si="14"/>
        <v>-0.76164383561643834</v>
      </c>
      <c r="P314" s="28">
        <v>6.1999999999999998E-3</v>
      </c>
      <c r="HW314" s="14"/>
      <c r="HX314" s="14"/>
      <c r="HY314" s="14"/>
      <c r="HZ314" s="14"/>
    </row>
    <row r="315" spans="2:234" ht="13.2" customHeight="1" x14ac:dyDescent="0.25">
      <c r="B315" s="26">
        <v>40639</v>
      </c>
      <c r="C315" s="27">
        <f t="shared" si="12"/>
        <v>-0.76438356164383559</v>
      </c>
      <c r="D315" s="28">
        <v>2.01918209105E-3</v>
      </c>
      <c r="J315" s="26">
        <v>40639</v>
      </c>
      <c r="K315" s="27">
        <f t="shared" si="13"/>
        <v>-0.76438356164383559</v>
      </c>
      <c r="L315" s="28">
        <v>3.2000000000000002E-3</v>
      </c>
      <c r="N315" s="26">
        <v>40639</v>
      </c>
      <c r="O315" s="27">
        <f t="shared" si="14"/>
        <v>-0.76438356164383559</v>
      </c>
      <c r="P315" s="28">
        <v>6.1999999999999998E-3</v>
      </c>
      <c r="HW315" s="14"/>
      <c r="HX315" s="14"/>
      <c r="HY315" s="14"/>
      <c r="HZ315" s="14"/>
    </row>
    <row r="316" spans="2:234" ht="13.2" customHeight="1" x14ac:dyDescent="0.25">
      <c r="B316" s="26">
        <v>40638</v>
      </c>
      <c r="C316" s="27">
        <f t="shared" si="12"/>
        <v>-0.76712328767123283</v>
      </c>
      <c r="D316" s="28">
        <v>2.01918209105E-3</v>
      </c>
      <c r="J316" s="26">
        <v>40638</v>
      </c>
      <c r="K316" s="27">
        <f t="shared" si="13"/>
        <v>-0.76712328767123283</v>
      </c>
      <c r="L316" s="28">
        <v>3.2000000000000002E-3</v>
      </c>
      <c r="N316" s="26">
        <v>40638</v>
      </c>
      <c r="O316" s="27">
        <f t="shared" si="14"/>
        <v>-0.76712328767123283</v>
      </c>
      <c r="P316" s="28">
        <v>6.1999999999999998E-3</v>
      </c>
      <c r="HW316" s="14"/>
      <c r="HX316" s="14"/>
      <c r="HY316" s="14"/>
      <c r="HZ316" s="14"/>
    </row>
    <row r="317" spans="2:234" ht="13.2" customHeight="1" x14ac:dyDescent="0.25">
      <c r="B317" s="26">
        <v>40637</v>
      </c>
      <c r="C317" s="27">
        <f t="shared" si="12"/>
        <v>-0.76986301369863008</v>
      </c>
      <c r="D317" s="28">
        <v>2.01918209105E-3</v>
      </c>
      <c r="J317" s="26">
        <v>40637</v>
      </c>
      <c r="K317" s="27">
        <f t="shared" si="13"/>
        <v>-0.76986301369863008</v>
      </c>
      <c r="L317" s="28">
        <v>3.2000000000000002E-3</v>
      </c>
      <c r="N317" s="26">
        <v>40637</v>
      </c>
      <c r="O317" s="27">
        <f t="shared" si="14"/>
        <v>-0.76986301369863008</v>
      </c>
      <c r="P317" s="28">
        <v>6.1999999999999998E-3</v>
      </c>
      <c r="HW317" s="14"/>
      <c r="HX317" s="14"/>
      <c r="HY317" s="14"/>
      <c r="HZ317" s="14"/>
    </row>
    <row r="318" spans="2:234" ht="13.2" customHeight="1" x14ac:dyDescent="0.25">
      <c r="B318" s="26">
        <v>40636</v>
      </c>
      <c r="C318" s="27">
        <f t="shared" si="12"/>
        <v>-0.77260273972602744</v>
      </c>
      <c r="D318" s="28">
        <v>2.01918209105E-3</v>
      </c>
      <c r="J318" s="26">
        <v>40636</v>
      </c>
      <c r="K318" s="27">
        <f t="shared" si="13"/>
        <v>-0.77260273972602744</v>
      </c>
      <c r="L318" s="28">
        <v>3.2000000000000002E-3</v>
      </c>
      <c r="N318" s="26">
        <v>40636</v>
      </c>
      <c r="O318" s="27">
        <f t="shared" si="14"/>
        <v>-0.77260273972602744</v>
      </c>
      <c r="P318" s="28">
        <v>6.1999999999999998E-3</v>
      </c>
      <c r="HW318" s="14"/>
      <c r="HX318" s="14"/>
      <c r="HY318" s="14"/>
      <c r="HZ318" s="14"/>
    </row>
    <row r="319" spans="2:234" ht="13.2" customHeight="1" x14ac:dyDescent="0.25">
      <c r="B319" s="26">
        <v>40635</v>
      </c>
      <c r="C319" s="27">
        <f t="shared" si="12"/>
        <v>-0.77534246575342469</v>
      </c>
      <c r="D319" s="28">
        <v>2.01918209105E-3</v>
      </c>
      <c r="J319" s="26">
        <v>40635</v>
      </c>
      <c r="K319" s="27">
        <f t="shared" si="13"/>
        <v>-0.77534246575342469</v>
      </c>
      <c r="L319" s="28">
        <v>3.2000000000000002E-3</v>
      </c>
      <c r="N319" s="26">
        <v>40635</v>
      </c>
      <c r="O319" s="27">
        <f t="shared" si="14"/>
        <v>-0.77534246575342469</v>
      </c>
      <c r="P319" s="28">
        <v>6.1999999999999998E-3</v>
      </c>
      <c r="HW319" s="14"/>
      <c r="HX319" s="14"/>
      <c r="HY319" s="14"/>
      <c r="HZ319" s="14"/>
    </row>
    <row r="320" spans="2:234" ht="13.2" customHeight="1" x14ac:dyDescent="0.25">
      <c r="B320" s="26">
        <v>40634</v>
      </c>
      <c r="C320" s="27">
        <f t="shared" si="12"/>
        <v>-0.77808219178082194</v>
      </c>
      <c r="D320" s="28">
        <v>2.01918209105E-3</v>
      </c>
      <c r="J320" s="26">
        <v>40634</v>
      </c>
      <c r="K320" s="27">
        <f t="shared" si="13"/>
        <v>-0.77808219178082194</v>
      </c>
      <c r="L320" s="28">
        <v>3.2000000000000002E-3</v>
      </c>
      <c r="N320" s="26">
        <v>40634</v>
      </c>
      <c r="O320" s="27">
        <f t="shared" si="14"/>
        <v>-0.77808219178082194</v>
      </c>
      <c r="P320" s="28">
        <v>6.1999999999999998E-3</v>
      </c>
      <c r="HW320" s="14"/>
      <c r="HX320" s="14"/>
      <c r="HY320" s="14"/>
      <c r="HZ320" s="14"/>
    </row>
    <row r="321" spans="2:234" ht="13.2" customHeight="1" x14ac:dyDescent="0.25">
      <c r="B321" s="26">
        <v>40633</v>
      </c>
      <c r="C321" s="27">
        <f t="shared" si="12"/>
        <v>-0.78082191780821919</v>
      </c>
      <c r="D321" s="28">
        <v>2.01918209105E-3</v>
      </c>
      <c r="J321" s="26">
        <v>40633</v>
      </c>
      <c r="K321" s="27">
        <f t="shared" si="13"/>
        <v>-0.78082191780821919</v>
      </c>
      <c r="L321" s="28">
        <v>3.2000000000000002E-3</v>
      </c>
      <c r="N321" s="26">
        <v>40633</v>
      </c>
      <c r="O321" s="27">
        <f t="shared" si="14"/>
        <v>-0.78082191780821919</v>
      </c>
      <c r="P321" s="28">
        <v>6.1999999999999998E-3</v>
      </c>
      <c r="HW321" s="14"/>
      <c r="HX321" s="14"/>
      <c r="HY321" s="14"/>
      <c r="HZ321" s="14"/>
    </row>
    <row r="322" spans="2:234" ht="13.2" customHeight="1" x14ac:dyDescent="0.25">
      <c r="B322" s="26">
        <v>40632</v>
      </c>
      <c r="C322" s="27">
        <f t="shared" si="12"/>
        <v>-0.78356164383561644</v>
      </c>
      <c r="D322" s="28">
        <v>2.01918209105E-3</v>
      </c>
      <c r="J322" s="26">
        <v>40632</v>
      </c>
      <c r="K322" s="27">
        <f t="shared" si="13"/>
        <v>-0.78356164383561644</v>
      </c>
      <c r="L322" s="28">
        <v>3.2000000000000002E-3</v>
      </c>
      <c r="N322" s="26">
        <v>40632</v>
      </c>
      <c r="O322" s="27">
        <f t="shared" si="14"/>
        <v>-0.78356164383561644</v>
      </c>
      <c r="P322" s="28">
        <v>6.1999999999999998E-3</v>
      </c>
      <c r="HW322" s="14"/>
      <c r="HX322" s="14"/>
      <c r="HY322" s="14"/>
      <c r="HZ322" s="14"/>
    </row>
    <row r="323" spans="2:234" ht="13.2" customHeight="1" x14ac:dyDescent="0.25">
      <c r="B323" s="26">
        <v>40631</v>
      </c>
      <c r="C323" s="27">
        <f t="shared" si="12"/>
        <v>-0.78630136986301369</v>
      </c>
      <c r="D323" s="28">
        <v>2.01918209105E-3</v>
      </c>
      <c r="J323" s="26">
        <v>40631</v>
      </c>
      <c r="K323" s="27">
        <f t="shared" si="13"/>
        <v>-0.78630136986301369</v>
      </c>
      <c r="L323" s="28">
        <v>3.2000000000000002E-3</v>
      </c>
      <c r="N323" s="26">
        <v>40631</v>
      </c>
      <c r="O323" s="27">
        <f t="shared" si="14"/>
        <v>-0.78630136986301369</v>
      </c>
      <c r="P323" s="28">
        <v>6.1999999999999998E-3</v>
      </c>
      <c r="HW323" s="14"/>
      <c r="HX323" s="14"/>
      <c r="HY323" s="14"/>
      <c r="HZ323" s="14"/>
    </row>
    <row r="324" spans="2:234" ht="13.2" customHeight="1" x14ac:dyDescent="0.25">
      <c r="B324" s="26">
        <v>40630</v>
      </c>
      <c r="C324" s="27">
        <f t="shared" si="12"/>
        <v>-0.78904109589041094</v>
      </c>
      <c r="D324" s="28">
        <v>2.01918209105E-3</v>
      </c>
      <c r="J324" s="26">
        <v>40630</v>
      </c>
      <c r="K324" s="27">
        <f t="shared" si="13"/>
        <v>-0.78904109589041094</v>
      </c>
      <c r="L324" s="28">
        <v>3.2000000000000002E-3</v>
      </c>
      <c r="N324" s="26">
        <v>40630</v>
      </c>
      <c r="O324" s="27">
        <f t="shared" si="14"/>
        <v>-0.78904109589041094</v>
      </c>
      <c r="P324" s="28">
        <v>6.1999999999999998E-3</v>
      </c>
      <c r="HW324" s="14"/>
      <c r="HX324" s="14"/>
      <c r="HY324" s="14"/>
      <c r="HZ324" s="14"/>
    </row>
    <row r="325" spans="2:234" ht="13.2" customHeight="1" x14ac:dyDescent="0.25">
      <c r="B325" s="26">
        <v>40629</v>
      </c>
      <c r="C325" s="27">
        <f t="shared" si="12"/>
        <v>-0.79178082191780819</v>
      </c>
      <c r="D325" s="28">
        <v>2.01918209105E-3</v>
      </c>
      <c r="J325" s="26">
        <v>40629</v>
      </c>
      <c r="K325" s="27">
        <f t="shared" si="13"/>
        <v>-0.79178082191780819</v>
      </c>
      <c r="L325" s="28">
        <v>3.2000000000000002E-3</v>
      </c>
      <c r="N325" s="26">
        <v>40629</v>
      </c>
      <c r="O325" s="27">
        <f t="shared" si="14"/>
        <v>-0.79178082191780819</v>
      </c>
      <c r="P325" s="28">
        <v>6.1999999999999998E-3</v>
      </c>
      <c r="HW325" s="14"/>
      <c r="HX325" s="14"/>
      <c r="HY325" s="14"/>
      <c r="HZ325" s="14"/>
    </row>
    <row r="326" spans="2:234" ht="13.2" customHeight="1" x14ac:dyDescent="0.25">
      <c r="B326" s="26">
        <v>40628</v>
      </c>
      <c r="C326" s="27">
        <f t="shared" si="12"/>
        <v>-0.79452054794520544</v>
      </c>
      <c r="D326" s="28">
        <v>2.01918209105E-3</v>
      </c>
      <c r="J326" s="26">
        <v>40628</v>
      </c>
      <c r="K326" s="27">
        <f t="shared" si="13"/>
        <v>-0.79452054794520544</v>
      </c>
      <c r="L326" s="28">
        <v>3.2000000000000002E-3</v>
      </c>
      <c r="N326" s="26">
        <v>40628</v>
      </c>
      <c r="O326" s="27">
        <f t="shared" si="14"/>
        <v>-0.79452054794520544</v>
      </c>
      <c r="P326" s="28">
        <v>6.1999999999999998E-3</v>
      </c>
      <c r="HW326" s="14"/>
      <c r="HX326" s="14"/>
      <c r="HY326" s="14"/>
      <c r="HZ326" s="14"/>
    </row>
    <row r="327" spans="2:234" ht="13.2" customHeight="1" x14ac:dyDescent="0.25">
      <c r="B327" s="26">
        <v>40627</v>
      </c>
      <c r="C327" s="27">
        <f t="shared" si="12"/>
        <v>-0.79726027397260268</v>
      </c>
      <c r="D327" s="28">
        <v>2.01918209105E-3</v>
      </c>
      <c r="J327" s="26">
        <v>40627</v>
      </c>
      <c r="K327" s="27">
        <f t="shared" si="13"/>
        <v>-0.79726027397260268</v>
      </c>
      <c r="L327" s="28">
        <v>3.2000000000000002E-3</v>
      </c>
      <c r="N327" s="26">
        <v>40627</v>
      </c>
      <c r="O327" s="27">
        <f t="shared" si="14"/>
        <v>-0.79726027397260268</v>
      </c>
      <c r="P327" s="28">
        <v>6.1999999999999998E-3</v>
      </c>
      <c r="HW327" s="14"/>
      <c r="HX327" s="14"/>
      <c r="HY327" s="14"/>
      <c r="HZ327" s="14"/>
    </row>
    <row r="328" spans="2:234" ht="13.2" customHeight="1" x14ac:dyDescent="0.25">
      <c r="B328" s="26">
        <v>40626</v>
      </c>
      <c r="C328" s="27">
        <f t="shared" si="12"/>
        <v>-0.8</v>
      </c>
      <c r="D328" s="28">
        <v>2.01918209105E-3</v>
      </c>
      <c r="J328" s="26">
        <v>40626</v>
      </c>
      <c r="K328" s="27">
        <f t="shared" si="13"/>
        <v>-0.8</v>
      </c>
      <c r="L328" s="28">
        <v>3.2000000000000002E-3</v>
      </c>
      <c r="N328" s="26">
        <v>40626</v>
      </c>
      <c r="O328" s="27">
        <f t="shared" si="14"/>
        <v>-0.8</v>
      </c>
      <c r="P328" s="28">
        <v>6.1999999999999998E-3</v>
      </c>
      <c r="HW328" s="14"/>
      <c r="HX328" s="14"/>
      <c r="HY328" s="14"/>
      <c r="HZ328" s="14"/>
    </row>
    <row r="329" spans="2:234" ht="13.2" customHeight="1" x14ac:dyDescent="0.25">
      <c r="B329" s="26">
        <v>40625</v>
      </c>
      <c r="C329" s="27">
        <f t="shared" si="12"/>
        <v>-0.80273972602739729</v>
      </c>
      <c r="D329" s="28">
        <v>2.01918209105E-3</v>
      </c>
      <c r="J329" s="26">
        <v>40625</v>
      </c>
      <c r="K329" s="27">
        <f t="shared" si="13"/>
        <v>-0.80273972602739729</v>
      </c>
      <c r="L329" s="28">
        <v>3.2000000000000002E-3</v>
      </c>
      <c r="N329" s="26">
        <v>40625</v>
      </c>
      <c r="O329" s="27">
        <f t="shared" si="14"/>
        <v>-0.80273972602739729</v>
      </c>
      <c r="P329" s="28">
        <v>6.1999999999999998E-3</v>
      </c>
      <c r="HW329" s="14"/>
      <c r="HX329" s="14"/>
      <c r="HY329" s="14"/>
      <c r="HZ329" s="14"/>
    </row>
    <row r="330" spans="2:234" ht="13.2" customHeight="1" x14ac:dyDescent="0.25">
      <c r="B330" s="26">
        <v>40624</v>
      </c>
      <c r="C330" s="27">
        <f t="shared" si="12"/>
        <v>-0.80547945205479454</v>
      </c>
      <c r="D330" s="28">
        <v>2.01918209105E-3</v>
      </c>
      <c r="J330" s="26">
        <v>40624</v>
      </c>
      <c r="K330" s="27">
        <f t="shared" si="13"/>
        <v>-0.80547945205479454</v>
      </c>
      <c r="L330" s="28">
        <v>3.2000000000000002E-3</v>
      </c>
      <c r="N330" s="26">
        <v>40624</v>
      </c>
      <c r="O330" s="27">
        <f t="shared" si="14"/>
        <v>-0.80547945205479454</v>
      </c>
      <c r="P330" s="28">
        <v>6.1999999999999998E-3</v>
      </c>
      <c r="HW330" s="14"/>
      <c r="HX330" s="14"/>
      <c r="HY330" s="14"/>
      <c r="HZ330" s="14"/>
    </row>
    <row r="331" spans="2:234" ht="13.2" customHeight="1" x14ac:dyDescent="0.25">
      <c r="B331" s="26">
        <v>40623</v>
      </c>
      <c r="C331" s="27">
        <f t="shared" si="12"/>
        <v>-0.80821917808219179</v>
      </c>
      <c r="D331" s="28">
        <v>2.01918209105E-3</v>
      </c>
      <c r="J331" s="26">
        <v>40623</v>
      </c>
      <c r="K331" s="27">
        <f t="shared" si="13"/>
        <v>-0.80821917808219179</v>
      </c>
      <c r="L331" s="28">
        <v>3.2000000000000002E-3</v>
      </c>
      <c r="N331" s="26">
        <v>40623</v>
      </c>
      <c r="O331" s="27">
        <f t="shared" si="14"/>
        <v>-0.80821917808219179</v>
      </c>
      <c r="P331" s="28">
        <v>6.1999999999999998E-3</v>
      </c>
      <c r="HW331" s="14"/>
      <c r="HX331" s="14"/>
      <c r="HY331" s="14"/>
      <c r="HZ331" s="14"/>
    </row>
    <row r="332" spans="2:234" ht="13.2" customHeight="1" x14ac:dyDescent="0.25">
      <c r="B332" s="26">
        <v>40622</v>
      </c>
      <c r="C332" s="27">
        <f t="shared" si="12"/>
        <v>-0.81095890410958904</v>
      </c>
      <c r="D332" s="28">
        <v>2.01918209105E-3</v>
      </c>
      <c r="J332" s="26">
        <v>40622</v>
      </c>
      <c r="K332" s="27">
        <f t="shared" si="13"/>
        <v>-0.81095890410958904</v>
      </c>
      <c r="L332" s="28">
        <v>3.2000000000000002E-3</v>
      </c>
      <c r="N332" s="26">
        <v>40622</v>
      </c>
      <c r="O332" s="27">
        <f t="shared" si="14"/>
        <v>-0.81095890410958904</v>
      </c>
      <c r="P332" s="28">
        <v>6.1999999999999998E-3</v>
      </c>
      <c r="HW332" s="14"/>
      <c r="HX332" s="14"/>
      <c r="HY332" s="14"/>
      <c r="HZ332" s="14"/>
    </row>
    <row r="333" spans="2:234" ht="13.2" customHeight="1" x14ac:dyDescent="0.25">
      <c r="B333" s="26">
        <v>40621</v>
      </c>
      <c r="C333" s="27">
        <f t="shared" si="12"/>
        <v>-0.81369863013698629</v>
      </c>
      <c r="D333" s="28">
        <v>2.01918209105E-3</v>
      </c>
      <c r="J333" s="26">
        <v>40621</v>
      </c>
      <c r="K333" s="27">
        <f t="shared" si="13"/>
        <v>-0.81369863013698629</v>
      </c>
      <c r="L333" s="28">
        <v>3.2000000000000002E-3</v>
      </c>
      <c r="N333" s="26">
        <v>40621</v>
      </c>
      <c r="O333" s="27">
        <f t="shared" si="14"/>
        <v>-0.81369863013698629</v>
      </c>
      <c r="P333" s="28">
        <v>6.1999999999999998E-3</v>
      </c>
      <c r="HW333" s="14"/>
      <c r="HX333" s="14"/>
      <c r="HY333" s="14"/>
      <c r="HZ333" s="14"/>
    </row>
    <row r="334" spans="2:234" ht="13.2" customHeight="1" x14ac:dyDescent="0.25">
      <c r="B334" s="26">
        <v>40620</v>
      </c>
      <c r="C334" s="27">
        <f t="shared" si="12"/>
        <v>-0.81643835616438354</v>
      </c>
      <c r="D334" s="28">
        <v>2.01918209105E-3</v>
      </c>
      <c r="J334" s="26">
        <v>40620</v>
      </c>
      <c r="K334" s="27">
        <f t="shared" si="13"/>
        <v>-0.81643835616438354</v>
      </c>
      <c r="L334" s="28">
        <v>3.2000000000000002E-3</v>
      </c>
      <c r="N334" s="26">
        <v>40620</v>
      </c>
      <c r="O334" s="27">
        <f t="shared" si="14"/>
        <v>-0.81643835616438354</v>
      </c>
      <c r="P334" s="28">
        <v>6.1999999999999998E-3</v>
      </c>
      <c r="HW334" s="14"/>
      <c r="HX334" s="14"/>
      <c r="HY334" s="14"/>
      <c r="HZ334" s="14"/>
    </row>
    <row r="335" spans="2:234" ht="13.2" customHeight="1" x14ac:dyDescent="0.25">
      <c r="B335" s="26">
        <v>40619</v>
      </c>
      <c r="C335" s="27">
        <f t="shared" si="12"/>
        <v>-0.81917808219178079</v>
      </c>
      <c r="D335" s="28">
        <v>2.01918209105E-3</v>
      </c>
      <c r="J335" s="26">
        <v>40619</v>
      </c>
      <c r="K335" s="27">
        <f t="shared" si="13"/>
        <v>-0.81917808219178079</v>
      </c>
      <c r="L335" s="28">
        <v>3.2000000000000002E-3</v>
      </c>
      <c r="N335" s="26">
        <v>40619</v>
      </c>
      <c r="O335" s="27">
        <f t="shared" si="14"/>
        <v>-0.81917808219178079</v>
      </c>
      <c r="P335" s="28">
        <v>6.1999999999999998E-3</v>
      </c>
      <c r="HW335" s="14"/>
      <c r="HX335" s="14"/>
      <c r="HY335" s="14"/>
      <c r="HZ335" s="14"/>
    </row>
    <row r="336" spans="2:234" ht="13.2" customHeight="1" x14ac:dyDescent="0.25">
      <c r="B336" s="26">
        <v>40618</v>
      </c>
      <c r="C336" s="27">
        <f t="shared" si="12"/>
        <v>-0.82191780821917804</v>
      </c>
      <c r="D336" s="28">
        <v>2.01918209105E-3</v>
      </c>
      <c r="J336" s="26">
        <v>40618</v>
      </c>
      <c r="K336" s="27">
        <f t="shared" si="13"/>
        <v>-0.82191780821917804</v>
      </c>
      <c r="L336" s="28">
        <v>3.2000000000000002E-3</v>
      </c>
      <c r="N336" s="26">
        <v>40618</v>
      </c>
      <c r="O336" s="27">
        <f t="shared" si="14"/>
        <v>-0.82191780821917804</v>
      </c>
      <c r="P336" s="28">
        <v>6.1999999999999998E-3</v>
      </c>
      <c r="HW336" s="14"/>
      <c r="HX336" s="14"/>
      <c r="HY336" s="14"/>
      <c r="HZ336" s="14"/>
    </row>
    <row r="337" spans="2:234" ht="13.2" customHeight="1" x14ac:dyDescent="0.25">
      <c r="B337" s="26">
        <v>40617</v>
      </c>
      <c r="C337" s="27">
        <f t="shared" si="12"/>
        <v>-0.8246575342465754</v>
      </c>
      <c r="D337" s="28">
        <v>2.01918209105E-3</v>
      </c>
      <c r="J337" s="26">
        <v>40617</v>
      </c>
      <c r="K337" s="27">
        <f t="shared" si="13"/>
        <v>-0.8246575342465754</v>
      </c>
      <c r="L337" s="28">
        <v>3.2000000000000002E-3</v>
      </c>
      <c r="N337" s="26">
        <v>40617</v>
      </c>
      <c r="O337" s="27">
        <f t="shared" si="14"/>
        <v>-0.8246575342465754</v>
      </c>
      <c r="P337" s="28">
        <v>6.1999999999999998E-3</v>
      </c>
      <c r="HW337" s="14"/>
      <c r="HX337" s="14"/>
      <c r="HY337" s="14"/>
      <c r="HZ337" s="14"/>
    </row>
    <row r="338" spans="2:234" ht="13.2" customHeight="1" x14ac:dyDescent="0.25">
      <c r="B338" s="26">
        <v>40616</v>
      </c>
      <c r="C338" s="27">
        <f t="shared" si="12"/>
        <v>-0.82739726027397265</v>
      </c>
      <c r="D338" s="28">
        <v>2.01918209105E-3</v>
      </c>
      <c r="J338" s="26">
        <v>40616</v>
      </c>
      <c r="K338" s="27">
        <f t="shared" si="13"/>
        <v>-0.82739726027397265</v>
      </c>
      <c r="L338" s="28">
        <v>3.2000000000000002E-3</v>
      </c>
      <c r="N338" s="26">
        <v>40616</v>
      </c>
      <c r="O338" s="27">
        <f t="shared" si="14"/>
        <v>-0.82739726027397265</v>
      </c>
      <c r="P338" s="28">
        <v>6.1999999999999998E-3</v>
      </c>
      <c r="HW338" s="14"/>
      <c r="HX338" s="14"/>
      <c r="HY338" s="14"/>
      <c r="HZ338" s="14"/>
    </row>
    <row r="339" spans="2:234" ht="13.2" customHeight="1" x14ac:dyDescent="0.25">
      <c r="B339" s="26">
        <v>40615</v>
      </c>
      <c r="C339" s="27">
        <f t="shared" si="12"/>
        <v>-0.83013698630136989</v>
      </c>
      <c r="D339" s="28">
        <v>2.01918209105E-3</v>
      </c>
      <c r="J339" s="26">
        <v>40615</v>
      </c>
      <c r="K339" s="27">
        <f t="shared" si="13"/>
        <v>-0.83013698630136989</v>
      </c>
      <c r="L339" s="28">
        <v>3.2000000000000002E-3</v>
      </c>
      <c r="N339" s="26">
        <v>40615</v>
      </c>
      <c r="O339" s="27">
        <f t="shared" si="14"/>
        <v>-0.83013698630136989</v>
      </c>
      <c r="P339" s="28">
        <v>6.1999999999999998E-3</v>
      </c>
      <c r="HW339" s="14"/>
      <c r="HX339" s="14"/>
      <c r="HY339" s="14"/>
      <c r="HZ339" s="14"/>
    </row>
    <row r="340" spans="2:234" ht="13.2" customHeight="1" x14ac:dyDescent="0.25">
      <c r="B340" s="26">
        <v>40614</v>
      </c>
      <c r="C340" s="27">
        <f t="shared" si="12"/>
        <v>-0.83287671232876714</v>
      </c>
      <c r="D340" s="28">
        <v>2.01918209105E-3</v>
      </c>
      <c r="J340" s="26">
        <v>40614</v>
      </c>
      <c r="K340" s="27">
        <f t="shared" si="13"/>
        <v>-0.83287671232876714</v>
      </c>
      <c r="L340" s="28">
        <v>3.2000000000000002E-3</v>
      </c>
      <c r="N340" s="26">
        <v>40614</v>
      </c>
      <c r="O340" s="27">
        <f t="shared" si="14"/>
        <v>-0.83287671232876714</v>
      </c>
      <c r="P340" s="28">
        <v>6.1999999999999998E-3</v>
      </c>
      <c r="HW340" s="14"/>
      <c r="HX340" s="14"/>
      <c r="HY340" s="14"/>
      <c r="HZ340" s="14"/>
    </row>
    <row r="341" spans="2:234" ht="13.2" customHeight="1" x14ac:dyDescent="0.25">
      <c r="B341" s="26">
        <v>40613</v>
      </c>
      <c r="C341" s="27">
        <f t="shared" si="12"/>
        <v>-0.83561643835616439</v>
      </c>
      <c r="D341" s="28">
        <v>2.01918209105E-3</v>
      </c>
      <c r="J341" s="26">
        <v>40613</v>
      </c>
      <c r="K341" s="27">
        <f t="shared" si="13"/>
        <v>-0.83561643835616439</v>
      </c>
      <c r="L341" s="28">
        <v>3.2000000000000002E-3</v>
      </c>
      <c r="N341" s="26">
        <v>40613</v>
      </c>
      <c r="O341" s="27">
        <f t="shared" si="14"/>
        <v>-0.83561643835616439</v>
      </c>
      <c r="P341" s="28">
        <v>6.1999999999999998E-3</v>
      </c>
      <c r="HW341" s="14"/>
      <c r="HX341" s="14"/>
      <c r="HY341" s="14"/>
      <c r="HZ341" s="14"/>
    </row>
    <row r="342" spans="2:234" ht="13.2" customHeight="1" x14ac:dyDescent="0.25">
      <c r="B342" s="26">
        <v>40612</v>
      </c>
      <c r="C342" s="27">
        <f t="shared" si="12"/>
        <v>-0.83835616438356164</v>
      </c>
      <c r="D342" s="28">
        <v>2.01918209105E-3</v>
      </c>
      <c r="J342" s="26">
        <v>40612</v>
      </c>
      <c r="K342" s="27">
        <f t="shared" si="13"/>
        <v>-0.83835616438356164</v>
      </c>
      <c r="L342" s="28">
        <v>3.2000000000000002E-3</v>
      </c>
      <c r="N342" s="26">
        <v>40612</v>
      </c>
      <c r="O342" s="27">
        <f t="shared" si="14"/>
        <v>-0.83835616438356164</v>
      </c>
      <c r="P342" s="28">
        <v>6.1999999999999998E-3</v>
      </c>
      <c r="HW342" s="14"/>
      <c r="HX342" s="14"/>
      <c r="HY342" s="14"/>
      <c r="HZ342" s="14"/>
    </row>
    <row r="343" spans="2:234" ht="13.2" customHeight="1" x14ac:dyDescent="0.25">
      <c r="B343" s="26">
        <v>40611</v>
      </c>
      <c r="C343" s="27">
        <f t="shared" si="12"/>
        <v>-0.84109589041095889</v>
      </c>
      <c r="D343" s="28">
        <v>2.01918209105E-3</v>
      </c>
      <c r="J343" s="26">
        <v>40611</v>
      </c>
      <c r="K343" s="27">
        <f t="shared" si="13"/>
        <v>-0.84109589041095889</v>
      </c>
      <c r="L343" s="28">
        <v>3.2000000000000002E-3</v>
      </c>
      <c r="N343" s="26">
        <v>40611</v>
      </c>
      <c r="O343" s="27">
        <f t="shared" si="14"/>
        <v>-0.84109589041095889</v>
      </c>
      <c r="P343" s="28">
        <v>6.1999999999999998E-3</v>
      </c>
      <c r="HW343" s="14"/>
      <c r="HX343" s="14"/>
      <c r="HY343" s="14"/>
      <c r="HZ343" s="14"/>
    </row>
    <row r="344" spans="2:234" ht="13.2" customHeight="1" x14ac:dyDescent="0.25">
      <c r="B344" s="26">
        <v>40610</v>
      </c>
      <c r="C344" s="27">
        <f t="shared" si="12"/>
        <v>-0.84383561643835614</v>
      </c>
      <c r="D344" s="28">
        <v>2.01918209105E-3</v>
      </c>
      <c r="J344" s="26">
        <v>40610</v>
      </c>
      <c r="K344" s="27">
        <f t="shared" si="13"/>
        <v>-0.84383561643835614</v>
      </c>
      <c r="L344" s="28">
        <v>3.2000000000000002E-3</v>
      </c>
      <c r="N344" s="26">
        <v>40610</v>
      </c>
      <c r="O344" s="27">
        <f t="shared" si="14"/>
        <v>-0.84383561643835614</v>
      </c>
      <c r="P344" s="28">
        <v>6.1999999999999998E-3</v>
      </c>
      <c r="HW344" s="14"/>
      <c r="HX344" s="14"/>
      <c r="HY344" s="14"/>
      <c r="HZ344" s="14"/>
    </row>
    <row r="345" spans="2:234" ht="13.2" customHeight="1" x14ac:dyDescent="0.25">
      <c r="B345" s="26">
        <v>40609</v>
      </c>
      <c r="C345" s="27">
        <f t="shared" si="12"/>
        <v>-0.84657534246575339</v>
      </c>
      <c r="D345" s="28">
        <v>2.01918209105E-3</v>
      </c>
      <c r="J345" s="26">
        <v>40609</v>
      </c>
      <c r="K345" s="27">
        <f t="shared" si="13"/>
        <v>-0.84657534246575339</v>
      </c>
      <c r="L345" s="28">
        <v>3.2000000000000002E-3</v>
      </c>
      <c r="N345" s="26">
        <v>40609</v>
      </c>
      <c r="O345" s="27">
        <f t="shared" si="14"/>
        <v>-0.84657534246575339</v>
      </c>
      <c r="P345" s="28">
        <v>6.1999999999999998E-3</v>
      </c>
      <c r="HW345" s="14"/>
      <c r="HX345" s="14"/>
      <c r="HY345" s="14"/>
      <c r="HZ345" s="14"/>
    </row>
    <row r="346" spans="2:234" ht="13.2" customHeight="1" x14ac:dyDescent="0.25">
      <c r="B346" s="26">
        <v>40608</v>
      </c>
      <c r="C346" s="27">
        <f t="shared" si="12"/>
        <v>-0.84931506849315064</v>
      </c>
      <c r="D346" s="28">
        <v>2.01918209105E-3</v>
      </c>
      <c r="J346" s="26">
        <v>40608</v>
      </c>
      <c r="K346" s="27">
        <f t="shared" si="13"/>
        <v>-0.84931506849315064</v>
      </c>
      <c r="L346" s="28">
        <v>3.2000000000000002E-3</v>
      </c>
      <c r="N346" s="26">
        <v>40608</v>
      </c>
      <c r="O346" s="27">
        <f t="shared" si="14"/>
        <v>-0.84931506849315064</v>
      </c>
      <c r="P346" s="28">
        <v>6.1999999999999998E-3</v>
      </c>
      <c r="HW346" s="14"/>
      <c r="HX346" s="14"/>
      <c r="HY346" s="14"/>
      <c r="HZ346" s="14"/>
    </row>
    <row r="347" spans="2:234" ht="13.2" customHeight="1" x14ac:dyDescent="0.25">
      <c r="B347" s="26">
        <v>40607</v>
      </c>
      <c r="C347" s="27">
        <f t="shared" si="12"/>
        <v>-0.852054794520548</v>
      </c>
      <c r="D347" s="28">
        <v>2.01918209105E-3</v>
      </c>
      <c r="J347" s="26">
        <v>40607</v>
      </c>
      <c r="K347" s="27">
        <f t="shared" si="13"/>
        <v>-0.852054794520548</v>
      </c>
      <c r="L347" s="28">
        <v>3.2000000000000002E-3</v>
      </c>
      <c r="N347" s="26">
        <v>40607</v>
      </c>
      <c r="O347" s="27">
        <f t="shared" si="14"/>
        <v>-0.852054794520548</v>
      </c>
      <c r="P347" s="28">
        <v>6.1999999999999998E-3</v>
      </c>
      <c r="HW347" s="14"/>
      <c r="HX347" s="14"/>
      <c r="HY347" s="14"/>
      <c r="HZ347" s="14"/>
    </row>
    <row r="348" spans="2:234" ht="13.2" customHeight="1" x14ac:dyDescent="0.25">
      <c r="B348" s="26">
        <v>40606</v>
      </c>
      <c r="C348" s="27">
        <f t="shared" si="12"/>
        <v>-0.85479452054794525</v>
      </c>
      <c r="D348" s="28">
        <v>2.01918209105E-3</v>
      </c>
      <c r="J348" s="26">
        <v>40606</v>
      </c>
      <c r="K348" s="27">
        <f t="shared" si="13"/>
        <v>-0.85479452054794525</v>
      </c>
      <c r="L348" s="28">
        <v>3.2000000000000002E-3</v>
      </c>
      <c r="N348" s="26">
        <v>40606</v>
      </c>
      <c r="O348" s="27">
        <f t="shared" si="14"/>
        <v>-0.85479452054794525</v>
      </c>
      <c r="P348" s="28">
        <v>6.1999999999999998E-3</v>
      </c>
      <c r="HW348" s="14"/>
      <c r="HX348" s="14"/>
      <c r="HY348" s="14"/>
      <c r="HZ348" s="14"/>
    </row>
    <row r="349" spans="2:234" ht="13.2" customHeight="1" x14ac:dyDescent="0.25">
      <c r="B349" s="26">
        <v>40605</v>
      </c>
      <c r="C349" s="27">
        <f t="shared" si="12"/>
        <v>-0.8575342465753425</v>
      </c>
      <c r="D349" s="28">
        <v>2.01918209105E-3</v>
      </c>
      <c r="J349" s="26">
        <v>40605</v>
      </c>
      <c r="K349" s="27">
        <f t="shared" si="13"/>
        <v>-0.8575342465753425</v>
      </c>
      <c r="L349" s="28">
        <v>3.2000000000000002E-3</v>
      </c>
      <c r="N349" s="26">
        <v>40605</v>
      </c>
      <c r="O349" s="27">
        <f t="shared" si="14"/>
        <v>-0.8575342465753425</v>
      </c>
      <c r="P349" s="28">
        <v>6.1999999999999998E-3</v>
      </c>
      <c r="HW349" s="14"/>
      <c r="HX349" s="14"/>
      <c r="HY349" s="14"/>
      <c r="HZ349" s="14"/>
    </row>
    <row r="350" spans="2:234" ht="13.2" customHeight="1" x14ac:dyDescent="0.25">
      <c r="B350" s="26">
        <v>40604</v>
      </c>
      <c r="C350" s="27">
        <f t="shared" si="12"/>
        <v>-0.86027397260273974</v>
      </c>
      <c r="D350" s="28">
        <v>2.01918209105E-3</v>
      </c>
      <c r="J350" s="26">
        <v>40604</v>
      </c>
      <c r="K350" s="27">
        <f t="shared" si="13"/>
        <v>-0.86027397260273974</v>
      </c>
      <c r="L350" s="28">
        <v>3.2000000000000002E-3</v>
      </c>
      <c r="N350" s="26">
        <v>40604</v>
      </c>
      <c r="O350" s="27">
        <f t="shared" si="14"/>
        <v>-0.86027397260273974</v>
      </c>
      <c r="P350" s="28">
        <v>6.1999999999999998E-3</v>
      </c>
      <c r="HW350" s="14"/>
      <c r="HX350" s="14"/>
      <c r="HY350" s="14"/>
      <c r="HZ350" s="14"/>
    </row>
    <row r="351" spans="2:234" ht="13.2" customHeight="1" x14ac:dyDescent="0.25">
      <c r="B351" s="26">
        <v>40603</v>
      </c>
      <c r="C351" s="27">
        <f t="shared" si="12"/>
        <v>-0.86301369863013699</v>
      </c>
      <c r="D351" s="28">
        <v>2.01918209105E-3</v>
      </c>
      <c r="J351" s="26">
        <v>40603</v>
      </c>
      <c r="K351" s="27">
        <f t="shared" si="13"/>
        <v>-0.86301369863013699</v>
      </c>
      <c r="L351" s="28">
        <v>3.2000000000000002E-3</v>
      </c>
      <c r="N351" s="26">
        <v>40603</v>
      </c>
      <c r="O351" s="27">
        <f t="shared" si="14"/>
        <v>-0.86301369863013699</v>
      </c>
      <c r="P351" s="28">
        <v>6.1999999999999998E-3</v>
      </c>
      <c r="HW351" s="14"/>
      <c r="HX351" s="14"/>
      <c r="HY351" s="14"/>
      <c r="HZ351" s="14"/>
    </row>
    <row r="352" spans="2:234" ht="13.2" customHeight="1" x14ac:dyDescent="0.25">
      <c r="B352" s="26">
        <v>40602</v>
      </c>
      <c r="C352" s="27">
        <f t="shared" si="12"/>
        <v>-0.86575342465753424</v>
      </c>
      <c r="D352" s="28">
        <v>2.01918209105E-3</v>
      </c>
      <c r="J352" s="26">
        <v>40602</v>
      </c>
      <c r="K352" s="27">
        <f t="shared" si="13"/>
        <v>-0.86575342465753424</v>
      </c>
      <c r="L352" s="28">
        <v>3.2000000000000002E-3</v>
      </c>
      <c r="N352" s="26">
        <v>40602</v>
      </c>
      <c r="O352" s="27">
        <f t="shared" si="14"/>
        <v>-0.86575342465753424</v>
      </c>
      <c r="P352" s="28">
        <v>6.1999999999999998E-3</v>
      </c>
      <c r="HW352" s="14"/>
      <c r="HX352" s="14"/>
      <c r="HY352" s="14"/>
      <c r="HZ352" s="14"/>
    </row>
    <row r="353" spans="2:234" ht="13.2" customHeight="1" x14ac:dyDescent="0.25">
      <c r="B353" s="26">
        <v>40601</v>
      </c>
      <c r="C353" s="27">
        <f t="shared" si="12"/>
        <v>-0.86849315068493149</v>
      </c>
      <c r="D353" s="28">
        <v>2.01918209105E-3</v>
      </c>
      <c r="J353" s="26">
        <v>40601</v>
      </c>
      <c r="K353" s="27">
        <f t="shared" si="13"/>
        <v>-0.86849315068493149</v>
      </c>
      <c r="L353" s="28">
        <v>3.2000000000000002E-3</v>
      </c>
      <c r="N353" s="26">
        <v>40601</v>
      </c>
      <c r="O353" s="27">
        <f t="shared" si="14"/>
        <v>-0.86849315068493149</v>
      </c>
      <c r="P353" s="28">
        <v>6.1999999999999998E-3</v>
      </c>
      <c r="HW353" s="14"/>
      <c r="HX353" s="14"/>
      <c r="HY353" s="14"/>
      <c r="HZ353" s="14"/>
    </row>
    <row r="354" spans="2:234" ht="13.2" customHeight="1" x14ac:dyDescent="0.25">
      <c r="B354" s="26">
        <v>40600</v>
      </c>
      <c r="C354" s="27">
        <f t="shared" si="12"/>
        <v>-0.87123287671232874</v>
      </c>
      <c r="D354" s="28">
        <v>2.01918209105E-3</v>
      </c>
      <c r="J354" s="26">
        <v>40600</v>
      </c>
      <c r="K354" s="27">
        <f t="shared" si="13"/>
        <v>-0.87123287671232874</v>
      </c>
      <c r="L354" s="28">
        <v>3.2000000000000002E-3</v>
      </c>
      <c r="N354" s="26">
        <v>40600</v>
      </c>
      <c r="O354" s="27">
        <f t="shared" si="14"/>
        <v>-0.87123287671232874</v>
      </c>
      <c r="P354" s="28">
        <v>6.1999999999999998E-3</v>
      </c>
      <c r="HW354" s="14"/>
      <c r="HX354" s="14"/>
      <c r="HY354" s="14"/>
      <c r="HZ354" s="14"/>
    </row>
    <row r="355" spans="2:234" ht="13.2" customHeight="1" x14ac:dyDescent="0.25">
      <c r="B355" s="26">
        <v>40599</v>
      </c>
      <c r="C355" s="27">
        <f t="shared" si="12"/>
        <v>-0.87397260273972599</v>
      </c>
      <c r="D355" s="28">
        <v>2.01918209105E-3</v>
      </c>
      <c r="J355" s="26">
        <v>40599</v>
      </c>
      <c r="K355" s="27">
        <f t="shared" si="13"/>
        <v>-0.87397260273972599</v>
      </c>
      <c r="L355" s="28">
        <v>3.2000000000000002E-3</v>
      </c>
      <c r="N355" s="26">
        <v>40599</v>
      </c>
      <c r="O355" s="27">
        <f t="shared" si="14"/>
        <v>-0.87397260273972599</v>
      </c>
      <c r="P355" s="28">
        <v>6.1999999999999998E-3</v>
      </c>
      <c r="HW355" s="14"/>
      <c r="HX355" s="14"/>
      <c r="HY355" s="14"/>
      <c r="HZ355" s="14"/>
    </row>
    <row r="356" spans="2:234" ht="13.2" customHeight="1" x14ac:dyDescent="0.25">
      <c r="B356" s="26">
        <v>40598</v>
      </c>
      <c r="C356" s="27">
        <f t="shared" si="12"/>
        <v>-0.87671232876712324</v>
      </c>
      <c r="D356" s="28">
        <v>2.01918209105E-3</v>
      </c>
      <c r="J356" s="26">
        <v>40598</v>
      </c>
      <c r="K356" s="27">
        <f t="shared" si="13"/>
        <v>-0.87671232876712324</v>
      </c>
      <c r="L356" s="28">
        <v>3.2000000000000002E-3</v>
      </c>
      <c r="N356" s="26">
        <v>40598</v>
      </c>
      <c r="O356" s="27">
        <f t="shared" si="14"/>
        <v>-0.87671232876712324</v>
      </c>
      <c r="P356" s="28">
        <v>6.1999999999999998E-3</v>
      </c>
      <c r="HW356" s="14"/>
      <c r="HX356" s="14"/>
      <c r="HY356" s="14"/>
      <c r="HZ356" s="14"/>
    </row>
    <row r="357" spans="2:234" ht="13.2" customHeight="1" x14ac:dyDescent="0.25">
      <c r="B357" s="26">
        <v>40597</v>
      </c>
      <c r="C357" s="27">
        <f t="shared" ref="C357" si="15">IF($F$3&lt;B357,1,-1)*YEARFRAC($F$3,B357,3)</f>
        <v>-0.8794520547945206</v>
      </c>
      <c r="D357" s="28">
        <v>2.01918209105E-3</v>
      </c>
      <c r="J357" s="26">
        <v>40597</v>
      </c>
      <c r="K357" s="27">
        <f t="shared" ref="K357" si="16">IF($F$3&lt;J357,1,-1)*YEARFRAC($F$3,J357,3)</f>
        <v>-0.8794520547945206</v>
      </c>
      <c r="L357" s="28">
        <v>3.2000000000000002E-3</v>
      </c>
      <c r="N357" s="26">
        <v>40597</v>
      </c>
      <c r="O357" s="27">
        <f t="shared" ref="O357" si="17">IF($F$3&lt;N357,1,-1)*YEARFRAC($F$3,N357,3)</f>
        <v>-0.8794520547945206</v>
      </c>
      <c r="P357" s="28">
        <v>6.1999999999999998E-3</v>
      </c>
      <c r="HW357" s="14"/>
      <c r="HX357" s="14"/>
      <c r="HY357" s="14"/>
      <c r="HZ357" s="14"/>
    </row>
    <row r="358" spans="2:234" ht="12.75" customHeight="1" x14ac:dyDescent="0.25">
      <c r="HW358" s="14"/>
      <c r="HX358" s="14"/>
      <c r="HY358" s="14"/>
      <c r="HZ358" s="14"/>
    </row>
    <row r="359" spans="2:234" ht="12.75" customHeight="1" x14ac:dyDescent="0.25">
      <c r="HW359" s="14"/>
      <c r="HX359" s="14"/>
      <c r="HY359" s="14"/>
      <c r="HZ359" s="14"/>
    </row>
    <row r="360" spans="2:234" ht="12.75" customHeight="1" x14ac:dyDescent="0.25">
      <c r="HW360" s="14"/>
      <c r="HX360" s="14"/>
      <c r="HY360" s="14"/>
      <c r="HZ360" s="14"/>
    </row>
    <row r="361" spans="2:234" ht="12.75" customHeight="1" x14ac:dyDescent="0.25">
      <c r="HW361" s="14"/>
      <c r="HX361" s="14"/>
      <c r="HY361" s="14"/>
      <c r="HZ361" s="14"/>
    </row>
    <row r="362" spans="2:234" ht="12.75" customHeight="1" x14ac:dyDescent="0.25">
      <c r="HW362" s="14"/>
      <c r="HX362" s="14"/>
      <c r="HY362" s="14"/>
      <c r="HZ362" s="14"/>
    </row>
    <row r="363" spans="2:234" ht="12.75" customHeight="1" x14ac:dyDescent="0.25">
      <c r="HW363" s="14"/>
      <c r="HX363" s="14"/>
      <c r="HY363" s="14"/>
      <c r="HZ363" s="14"/>
    </row>
    <row r="364" spans="2:234" ht="12.75" customHeight="1" x14ac:dyDescent="0.25">
      <c r="HW364" s="14"/>
      <c r="HX364" s="14"/>
      <c r="HY364" s="14"/>
      <c r="HZ364" s="14"/>
    </row>
    <row r="365" spans="2:234" ht="12.75" customHeight="1" x14ac:dyDescent="0.25">
      <c r="HW365" s="14"/>
      <c r="HX365" s="14"/>
      <c r="HY365" s="14"/>
      <c r="HZ365" s="14"/>
    </row>
    <row r="366" spans="2:234" ht="12.75" customHeight="1" x14ac:dyDescent="0.25">
      <c r="HW366" s="14"/>
      <c r="HX366" s="14"/>
      <c r="HY366" s="14"/>
      <c r="HZ366" s="14"/>
    </row>
    <row r="367" spans="2:234" ht="12.75" customHeight="1" x14ac:dyDescent="0.25">
      <c r="HW367" s="14"/>
      <c r="HX367" s="14"/>
      <c r="HY367" s="14"/>
      <c r="HZ367" s="14"/>
    </row>
    <row r="368" spans="2:234" ht="12.75" customHeight="1" x14ac:dyDescent="0.25">
      <c r="HW368" s="14"/>
      <c r="HX368" s="14"/>
      <c r="HY368" s="14"/>
      <c r="HZ368" s="14"/>
    </row>
    <row r="369" spans="231:234" ht="12.75" customHeight="1" x14ac:dyDescent="0.25">
      <c r="HW369" s="14"/>
      <c r="HX369" s="14"/>
      <c r="HY369" s="14"/>
      <c r="HZ369" s="14"/>
    </row>
    <row r="370" spans="231:234" ht="12.75" customHeight="1" x14ac:dyDescent="0.25">
      <c r="HW370" s="14"/>
      <c r="HX370" s="14"/>
      <c r="HY370" s="14"/>
      <c r="HZ370" s="14"/>
    </row>
    <row r="371" spans="231:234" ht="12.75" customHeight="1" x14ac:dyDescent="0.25">
      <c r="HW371" s="14"/>
      <c r="HX371" s="14"/>
      <c r="HY371" s="14"/>
      <c r="HZ371" s="14"/>
    </row>
    <row r="372" spans="231:234" ht="12.75" customHeight="1" x14ac:dyDescent="0.25">
      <c r="HW372" s="14"/>
      <c r="HX372" s="14"/>
      <c r="HY372" s="14"/>
      <c r="HZ372" s="14"/>
    </row>
    <row r="373" spans="231:234" ht="12.75" customHeight="1" x14ac:dyDescent="0.25">
      <c r="HW373" s="14"/>
      <c r="HX373" s="14"/>
      <c r="HY373" s="14"/>
      <c r="HZ373" s="14"/>
    </row>
    <row r="374" spans="231:234" ht="12.75" customHeight="1" x14ac:dyDescent="0.25">
      <c r="HW374" s="14"/>
      <c r="HX374" s="14"/>
      <c r="HY374" s="14"/>
      <c r="HZ374" s="14"/>
    </row>
    <row r="375" spans="231:234" ht="12.75" customHeight="1" x14ac:dyDescent="0.25">
      <c r="HW375" s="14"/>
      <c r="HX375" s="14"/>
      <c r="HY375" s="14"/>
      <c r="HZ375" s="14"/>
    </row>
    <row r="376" spans="231:234" ht="12.75" customHeight="1" x14ac:dyDescent="0.25">
      <c r="HW376" s="14"/>
      <c r="HX376" s="14"/>
      <c r="HY376" s="14"/>
      <c r="HZ376" s="14"/>
    </row>
    <row r="377" spans="231:234" ht="12.75" customHeight="1" x14ac:dyDescent="0.25">
      <c r="HW377" s="14"/>
      <c r="HX377" s="14"/>
      <c r="HY377" s="14"/>
      <c r="HZ377" s="14"/>
    </row>
    <row r="378" spans="231:234" ht="12.75" customHeight="1" x14ac:dyDescent="0.25">
      <c r="HW378" s="14"/>
      <c r="HX378" s="14"/>
      <c r="HY378" s="14"/>
      <c r="HZ378" s="14"/>
    </row>
    <row r="379" spans="231:234" ht="12.75" customHeight="1" x14ac:dyDescent="0.25">
      <c r="HW379" s="14"/>
      <c r="HX379" s="14"/>
      <c r="HY379" s="14"/>
      <c r="HZ379" s="14"/>
    </row>
    <row r="380" spans="231:234" ht="12.75" customHeight="1" x14ac:dyDescent="0.25">
      <c r="HW380" s="14"/>
      <c r="HX380" s="14"/>
      <c r="HY380" s="14"/>
      <c r="HZ380" s="14"/>
    </row>
    <row r="381" spans="231:234" ht="12.75" customHeight="1" x14ac:dyDescent="0.25">
      <c r="HW381" s="14"/>
      <c r="HX381" s="14"/>
      <c r="HY381" s="14"/>
      <c r="HZ381" s="14"/>
    </row>
    <row r="382" spans="231:234" ht="12.75" customHeight="1" x14ac:dyDescent="0.25">
      <c r="HW382" s="14"/>
      <c r="HX382" s="14"/>
      <c r="HY382" s="14"/>
      <c r="HZ382" s="14"/>
    </row>
    <row r="383" spans="231:234" ht="12.75" customHeight="1" x14ac:dyDescent="0.25">
      <c r="HW383" s="14"/>
      <c r="HX383" s="14"/>
      <c r="HY383" s="14"/>
      <c r="HZ383" s="14"/>
    </row>
    <row r="384" spans="231:234" ht="12.75" customHeight="1" x14ac:dyDescent="0.25">
      <c r="HW384" s="14"/>
      <c r="HX384" s="14"/>
      <c r="HY384" s="14"/>
      <c r="HZ384" s="14"/>
    </row>
    <row r="385" spans="231:234" ht="12.75" customHeight="1" x14ac:dyDescent="0.25">
      <c r="HW385" s="14"/>
      <c r="HX385" s="14"/>
      <c r="HY385" s="14"/>
      <c r="HZ385" s="14"/>
    </row>
    <row r="386" spans="231:234" ht="12.75" customHeight="1" x14ac:dyDescent="0.25">
      <c r="HW386" s="14"/>
      <c r="HX386" s="14"/>
      <c r="HY386" s="14"/>
      <c r="HZ386" s="14"/>
    </row>
    <row r="387" spans="231:234" ht="12.75" customHeight="1" x14ac:dyDescent="0.25">
      <c r="HW387" s="14"/>
      <c r="HX387" s="14"/>
      <c r="HY387" s="14"/>
      <c r="HZ387" s="14"/>
    </row>
    <row r="388" spans="231:234" ht="12.75" customHeight="1" x14ac:dyDescent="0.25">
      <c r="HW388" s="14"/>
      <c r="HX388" s="14"/>
      <c r="HY388" s="14"/>
      <c r="HZ388" s="14"/>
    </row>
    <row r="389" spans="231:234" ht="12.75" customHeight="1" x14ac:dyDescent="0.25">
      <c r="HW389" s="14"/>
      <c r="HX389" s="14"/>
      <c r="HY389" s="14"/>
      <c r="HZ389" s="14"/>
    </row>
    <row r="390" spans="231:234" ht="12.75" customHeight="1" x14ac:dyDescent="0.25">
      <c r="HW390" s="14"/>
      <c r="HX390" s="14"/>
      <c r="HY390" s="14"/>
      <c r="HZ390" s="14"/>
    </row>
    <row r="391" spans="231:234" ht="12.75" customHeight="1" x14ac:dyDescent="0.25">
      <c r="HW391" s="14"/>
      <c r="HX391" s="14"/>
      <c r="HY391" s="14"/>
      <c r="HZ391" s="14"/>
    </row>
    <row r="392" spans="231:234" ht="12.75" customHeight="1" x14ac:dyDescent="0.25">
      <c r="HW392" s="14"/>
      <c r="HX392" s="14"/>
      <c r="HY392" s="14"/>
      <c r="HZ392" s="14"/>
    </row>
    <row r="393" spans="231:234" ht="12.75" customHeight="1" x14ac:dyDescent="0.25">
      <c r="HW393" s="14"/>
      <c r="HX393" s="14"/>
      <c r="HY393" s="14"/>
      <c r="HZ393" s="14"/>
    </row>
    <row r="394" spans="231:234" ht="12.75" customHeight="1" x14ac:dyDescent="0.25">
      <c r="HW394" s="14"/>
      <c r="HX394" s="14"/>
      <c r="HY394" s="14"/>
      <c r="HZ394" s="14"/>
    </row>
    <row r="395" spans="231:234" ht="12.75" customHeight="1" x14ac:dyDescent="0.25">
      <c r="HW395" s="14"/>
      <c r="HX395" s="14"/>
      <c r="HY395" s="14"/>
      <c r="HZ395" s="14"/>
    </row>
    <row r="396" spans="231:234" ht="12.75" customHeight="1" x14ac:dyDescent="0.25">
      <c r="HW396" s="14"/>
      <c r="HX396" s="14"/>
      <c r="HY396" s="14"/>
      <c r="HZ396" s="14"/>
    </row>
    <row r="397" spans="231:234" ht="12.75" customHeight="1" x14ac:dyDescent="0.25">
      <c r="HW397" s="14"/>
      <c r="HX397" s="14"/>
      <c r="HY397" s="14"/>
      <c r="HZ397" s="14"/>
    </row>
    <row r="398" spans="231:234" ht="12.75" customHeight="1" x14ac:dyDescent="0.25">
      <c r="HW398" s="14"/>
      <c r="HX398" s="14"/>
      <c r="HY398" s="14"/>
      <c r="HZ398" s="14"/>
    </row>
    <row r="399" spans="231:234" ht="12.75" customHeight="1" x14ac:dyDescent="0.25">
      <c r="HW399" s="14"/>
      <c r="HX399" s="14"/>
      <c r="HY399" s="14"/>
      <c r="HZ399" s="14"/>
    </row>
    <row r="400" spans="231:234" ht="12.75" customHeight="1" x14ac:dyDescent="0.25">
      <c r="HW400" s="14"/>
      <c r="HX400" s="14"/>
      <c r="HY400" s="14"/>
      <c r="HZ400" s="14"/>
    </row>
    <row r="401" spans="231:234" ht="12.75" customHeight="1" x14ac:dyDescent="0.25">
      <c r="HW401" s="14"/>
      <c r="HX401" s="14"/>
      <c r="HY401" s="14"/>
      <c r="HZ401" s="14"/>
    </row>
    <row r="402" spans="231:234" ht="12.75" customHeight="1" x14ac:dyDescent="0.25">
      <c r="HW402" s="14"/>
      <c r="HX402" s="14"/>
      <c r="HY402" s="14"/>
      <c r="HZ402" s="14"/>
    </row>
    <row r="403" spans="231:234" ht="12.75" customHeight="1" x14ac:dyDescent="0.25">
      <c r="HW403" s="14"/>
      <c r="HX403" s="14"/>
      <c r="HY403" s="14"/>
      <c r="HZ403" s="14"/>
    </row>
    <row r="404" spans="231:234" ht="12.75" customHeight="1" x14ac:dyDescent="0.25">
      <c r="HW404" s="14"/>
      <c r="HX404" s="14"/>
      <c r="HY404" s="14"/>
      <c r="HZ404" s="14"/>
    </row>
    <row r="405" spans="231:234" ht="12.75" customHeight="1" x14ac:dyDescent="0.25">
      <c r="HW405" s="14"/>
      <c r="HX405" s="14"/>
      <c r="HY405" s="14"/>
      <c r="HZ405" s="14"/>
    </row>
    <row r="406" spans="231:234" ht="12.75" customHeight="1" x14ac:dyDescent="0.25">
      <c r="HW406" s="14"/>
      <c r="HX406" s="14"/>
      <c r="HY406" s="14"/>
      <c r="HZ406" s="14"/>
    </row>
    <row r="407" spans="231:234" ht="12.75" customHeight="1" x14ac:dyDescent="0.25">
      <c r="HW407" s="14"/>
      <c r="HX407" s="14"/>
      <c r="HY407" s="14"/>
      <c r="HZ407" s="14"/>
    </row>
    <row r="408" spans="231:234" ht="12.75" customHeight="1" x14ac:dyDescent="0.25">
      <c r="HW408" s="14"/>
      <c r="HX408" s="14"/>
      <c r="HY408" s="14"/>
      <c r="HZ408" s="14"/>
    </row>
    <row r="409" spans="231:234" ht="12.75" customHeight="1" x14ac:dyDescent="0.25">
      <c r="HW409" s="14"/>
      <c r="HX409" s="14"/>
      <c r="HY409" s="14"/>
      <c r="HZ409" s="14"/>
    </row>
    <row r="410" spans="231:234" ht="12.75" customHeight="1" x14ac:dyDescent="0.25">
      <c r="HW410" s="14"/>
      <c r="HX410" s="14"/>
      <c r="HY410" s="14"/>
      <c r="HZ410" s="14"/>
    </row>
    <row r="411" spans="231:234" ht="12.75" customHeight="1" x14ac:dyDescent="0.25">
      <c r="HW411" s="14"/>
      <c r="HX411" s="14"/>
      <c r="HY411" s="14"/>
      <c r="HZ411" s="14"/>
    </row>
    <row r="412" spans="231:234" ht="12.75" customHeight="1" x14ac:dyDescent="0.25">
      <c r="HW412" s="14"/>
      <c r="HX412" s="14"/>
      <c r="HY412" s="14"/>
      <c r="HZ412" s="14"/>
    </row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048576"/>
  <sheetViews>
    <sheetView tabSelected="1" zoomScale="75" zoomScaleNormal="75" workbookViewId="0"/>
  </sheetViews>
  <sheetFormatPr baseColWidth="10" defaultColWidth="8.88671875" defaultRowHeight="13.2" x14ac:dyDescent="0.25"/>
  <cols>
    <col min="1" max="1" width="3.77734375" style="14" customWidth="1"/>
    <col min="2" max="3" width="12.33203125" style="14" customWidth="1"/>
    <col min="4" max="4" width="26.44140625" style="14" customWidth="1"/>
    <col min="5" max="5" width="12.33203125" style="14" customWidth="1"/>
    <col min="6" max="6" width="10.21875" style="29" customWidth="1"/>
    <col min="7" max="7" width="3.77734375" style="14" customWidth="1"/>
    <col min="8" max="9" width="10.21875" style="14" customWidth="1"/>
    <col min="10" max="12" width="12.33203125" style="14" customWidth="1"/>
    <col min="13" max="14" width="10.21875" style="14" customWidth="1"/>
    <col min="15" max="18" width="12.33203125" style="14" customWidth="1"/>
    <col min="19" max="20" width="10.21875" style="14" customWidth="1"/>
    <col min="21" max="23" width="12.33203125" style="14" customWidth="1"/>
    <col min="24" max="25" width="10.21875" style="14" customWidth="1"/>
    <col min="26" max="29" width="12.33203125" style="14" customWidth="1"/>
    <col min="30" max="30" width="23.33203125" style="14" customWidth="1"/>
    <col min="31" max="31" width="12.33203125" style="30" customWidth="1"/>
    <col min="32" max="269" width="12.33203125" style="14" customWidth="1"/>
    <col min="270" max="1025" width="12.33203125" customWidth="1"/>
  </cols>
  <sheetData>
    <row r="1" spans="1:275" ht="13.2" customHeight="1" x14ac:dyDescent="0.25">
      <c r="JJ1" s="14"/>
      <c r="JK1" s="14"/>
    </row>
    <row r="2" spans="1:275" ht="15" customHeight="1" x14ac:dyDescent="0.25">
      <c r="B2" s="31" t="s">
        <v>58</v>
      </c>
      <c r="O2" s="32" t="s">
        <v>59</v>
      </c>
      <c r="P2" s="33" t="s">
        <v>60</v>
      </c>
      <c r="JJ2" s="14"/>
      <c r="JK2" s="14"/>
    </row>
    <row r="3" spans="1:275" ht="13.2" customHeight="1" x14ac:dyDescent="0.25">
      <c r="B3" s="34" t="str">
        <f>IFERROR(IF(VALUE('Load Libs'!C18)&lt;40014,"THIS SHEET REQUIRES A NEWER VERSION OF OBBA! PLEASE UPGRADE!",""),"This sheet requires the Obba for Spreadsheets AddIn - see http://www.obba.info")</f>
        <v/>
      </c>
      <c r="O3" s="35"/>
      <c r="P3" s="36" t="s">
        <v>60</v>
      </c>
      <c r="JJ3" s="14"/>
      <c r="JK3" s="14"/>
    </row>
    <row r="4" spans="1:275" ht="13.2" customHeight="1" x14ac:dyDescent="0.25">
      <c r="O4" s="32" t="s">
        <v>61</v>
      </c>
      <c r="P4" s="37" t="s">
        <v>62</v>
      </c>
      <c r="JJ4" s="14"/>
      <c r="JK4" s="14"/>
    </row>
    <row r="5" spans="1:275" ht="13.2" customHeight="1" x14ac:dyDescent="0.25">
      <c r="B5" s="22" t="s">
        <v>63</v>
      </c>
      <c r="C5" s="22"/>
      <c r="D5" s="22"/>
      <c r="JJ5" s="14"/>
      <c r="JK5" s="14"/>
      <c r="JL5" s="14"/>
    </row>
    <row r="6" spans="1:275" ht="13.2" customHeight="1" x14ac:dyDescent="0.25">
      <c r="O6" s="38" t="s">
        <v>64</v>
      </c>
      <c r="P6" s="17" t="s">
        <v>65</v>
      </c>
      <c r="JJ6" s="14"/>
      <c r="JK6" s="14"/>
      <c r="JL6" s="14"/>
      <c r="JM6" s="14"/>
    </row>
    <row r="7" spans="1:275" ht="13.2" customHeight="1" x14ac:dyDescent="0.25">
      <c r="B7" s="16" t="s">
        <v>36</v>
      </c>
      <c r="C7" s="16"/>
      <c r="D7" s="16"/>
      <c r="H7" s="16" t="s">
        <v>25</v>
      </c>
      <c r="I7" s="16"/>
      <c r="J7" s="16"/>
      <c r="K7" s="16"/>
      <c r="L7" s="16"/>
      <c r="JJ7" s="14"/>
      <c r="JK7" s="14"/>
      <c r="JL7" s="14"/>
      <c r="JM7" s="14"/>
    </row>
    <row r="8" spans="1:275" ht="13.2" customHeight="1" x14ac:dyDescent="0.25">
      <c r="B8" s="24" t="str">
        <f>[1]!OBMAKE("calibrationAccuracy","double",C8)</f>
        <v>calibrationAccuracy 
[11771]</v>
      </c>
      <c r="C8" s="39">
        <v>1E-8</v>
      </c>
      <c r="D8" s="14" t="str">
        <f>"( = "&amp;C8*100*100&amp;" bp)"</f>
        <v>( = 0,0001 bp)</v>
      </c>
      <c r="H8" s="24" t="str">
        <f>[1]!OBMAKE("baseDate-calib","LocalDate",I8)</f>
        <v>baseDate-calib 
[12243]</v>
      </c>
      <c r="I8" s="19">
        <v>40918</v>
      </c>
      <c r="P8" s="17" t="s">
        <v>66</v>
      </c>
      <c r="JJ8" s="14"/>
      <c r="JK8" s="14"/>
      <c r="JL8" s="14"/>
      <c r="JM8" s="14"/>
    </row>
    <row r="9" spans="1:275" ht="13.2" customHeight="1" x14ac:dyDescent="0.25">
      <c r="B9" s="24"/>
      <c r="H9" s="24" t="str">
        <f>[1]!OBMAKE("shortPeriod-calib","String",I9)</f>
        <v>shortPeriod-calib 
[11817]</v>
      </c>
      <c r="I9" s="40" t="s">
        <v>67</v>
      </c>
      <c r="JJ9" s="14"/>
      <c r="JK9" s="14"/>
      <c r="JL9" s="14"/>
      <c r="JM9" s="14"/>
    </row>
    <row r="10" spans="1:275" ht="13.2" customHeight="1" x14ac:dyDescent="0.25">
      <c r="B10" s="16" t="s">
        <v>68</v>
      </c>
      <c r="C10" s="16"/>
      <c r="D10" s="16"/>
      <c r="H10" s="14" t="str">
        <f>[1]!OBMAKE("businessDayCal-calib",obLibs&amp;"net.finmath.time.businessdaycalendar."&amp;I10)</f>
        <v>businessDayCal-calib 
[12828]</v>
      </c>
      <c r="I10" s="41" t="s">
        <v>46</v>
      </c>
      <c r="JJ10" s="14"/>
      <c r="JK10" s="14"/>
      <c r="JL10" s="14"/>
      <c r="JM10" s="14"/>
    </row>
    <row r="11" spans="1:275" ht="13.2" customHeight="1" x14ac:dyDescent="0.25">
      <c r="B11" s="24" t="str">
        <f>[1]!OBMAKE("calibratedCurves",obLibs&amp;"net.finmath.marketdata.calibration.CalibratedCurves",[1]!OBMAKE("","net.finmath.marketdata.calibration.CalibratedCurves$CalibrationSpec[]",B16:B110),'Curves Definition'!$E$8,B8)</f>
        <v>calibratedCurves 
[15023]</v>
      </c>
      <c r="JJ11" s="14"/>
      <c r="JK11" s="14"/>
      <c r="JL11" s="14"/>
      <c r="JM11" s="14"/>
    </row>
    <row r="12" spans="1:275" ht="13.2" customHeight="1" x14ac:dyDescent="0.25">
      <c r="H12" s="42" t="s">
        <v>69</v>
      </c>
      <c r="I12" s="42"/>
      <c r="J12" s="16"/>
      <c r="K12" s="42"/>
      <c r="L12" s="16"/>
      <c r="M12" s="16"/>
      <c r="N12" s="16"/>
      <c r="O12" s="16"/>
      <c r="P12" s="16"/>
      <c r="Q12" s="16"/>
      <c r="S12" s="42" t="s">
        <v>70</v>
      </c>
      <c r="T12" s="42"/>
      <c r="U12" s="16"/>
      <c r="V12" s="42"/>
      <c r="W12" s="16"/>
      <c r="X12" s="16"/>
      <c r="Y12" s="16"/>
      <c r="Z12" s="16"/>
      <c r="AA12" s="16"/>
      <c r="AB12" s="16"/>
      <c r="AD12" s="43" t="s">
        <v>71</v>
      </c>
      <c r="JJ12" s="14"/>
      <c r="JK12" s="14"/>
      <c r="JL12" s="14"/>
      <c r="JM12" s="14"/>
      <c r="JN12" s="14"/>
      <c r="JO12" s="14"/>
    </row>
    <row r="13" spans="1:275" ht="13.2" customHeight="1" x14ac:dyDescent="0.25">
      <c r="B13" s="44" t="str">
        <f>"Calibration error: "&amp;ROUND((SQRT(SUMPRODUCT(C34:C110,C34:C110)/COUNT(C34:C110)))*100*100,5)&amp;" bp"</f>
        <v>Calibration error: 0 bp</v>
      </c>
      <c r="C13" s="45"/>
      <c r="D13" s="45"/>
      <c r="JJ13" s="14"/>
      <c r="JK13" s="14"/>
      <c r="JL13" s="14"/>
      <c r="JM13" s="14"/>
      <c r="JN13" s="14"/>
      <c r="JO13" s="14"/>
    </row>
    <row r="14" spans="1:275" ht="13.2" customHeight="1" x14ac:dyDescent="0.25">
      <c r="B14" s="14" t="str">
        <f>"using "&amp;[1]!OBGET([1]!OBCALL("",B11,"getLastNumberOfInterations"))&amp;" Iterations."</f>
        <v>using 8 Iterations.</v>
      </c>
      <c r="F14" s="29" t="s">
        <v>72</v>
      </c>
      <c r="H14" s="14" t="s">
        <v>73</v>
      </c>
      <c r="S14" s="14" t="s">
        <v>74</v>
      </c>
      <c r="AD14" s="14" t="s">
        <v>75</v>
      </c>
      <c r="JJ14" s="14"/>
      <c r="JK14" s="14"/>
      <c r="JL14" s="14"/>
      <c r="JM14" s="14"/>
      <c r="JN14" s="14"/>
      <c r="JO14" s="14"/>
    </row>
    <row r="15" spans="1:275" s="46" customFormat="1" ht="13.2" customHeight="1" x14ac:dyDescent="0.25">
      <c r="D15" s="46" t="s">
        <v>76</v>
      </c>
      <c r="E15" s="46" t="s">
        <v>77</v>
      </c>
      <c r="F15" s="25" t="s">
        <v>78</v>
      </c>
      <c r="H15" s="25" t="s">
        <v>79</v>
      </c>
      <c r="I15" s="25" t="s">
        <v>80</v>
      </c>
      <c r="J15" s="25" t="s">
        <v>81</v>
      </c>
      <c r="K15" s="25" t="s">
        <v>82</v>
      </c>
      <c r="L15" s="25" t="s">
        <v>83</v>
      </c>
      <c r="M15" s="25" t="s">
        <v>84</v>
      </c>
      <c r="N15" s="25" t="s">
        <v>85</v>
      </c>
      <c r="O15" s="46" t="s">
        <v>86</v>
      </c>
      <c r="P15" s="25" t="s">
        <v>87</v>
      </c>
      <c r="Q15" s="46" t="s">
        <v>88</v>
      </c>
      <c r="S15" s="25" t="s">
        <v>79</v>
      </c>
      <c r="T15" s="25" t="s">
        <v>80</v>
      </c>
      <c r="U15" s="25" t="s">
        <v>81</v>
      </c>
      <c r="V15" s="25" t="s">
        <v>82</v>
      </c>
      <c r="W15" s="25" t="s">
        <v>83</v>
      </c>
      <c r="X15" s="25" t="s">
        <v>84</v>
      </c>
      <c r="Y15" s="25" t="s">
        <v>85</v>
      </c>
      <c r="Z15" s="46" t="s">
        <v>86</v>
      </c>
      <c r="AA15" s="25" t="s">
        <v>87</v>
      </c>
      <c r="AB15" s="46" t="s">
        <v>88</v>
      </c>
      <c r="AD15" s="46" t="s">
        <v>89</v>
      </c>
      <c r="AE15" s="47" t="s">
        <v>90</v>
      </c>
      <c r="AG15" s="46" t="s">
        <v>91</v>
      </c>
      <c r="AH15" s="46" t="s">
        <v>92</v>
      </c>
      <c r="AI15" s="46" t="s">
        <v>93</v>
      </c>
      <c r="AK15" s="46" t="s">
        <v>94</v>
      </c>
      <c r="AL15" s="46" t="s">
        <v>95</v>
      </c>
      <c r="AN15" s="46" t="s">
        <v>76</v>
      </c>
      <c r="AO15" s="46" t="s">
        <v>77</v>
      </c>
      <c r="AP15" s="46" t="s">
        <v>96</v>
      </c>
      <c r="AQ15" s="46" t="s">
        <v>97</v>
      </c>
      <c r="AR15" s="46" t="s">
        <v>98</v>
      </c>
      <c r="AS15" s="46" t="s">
        <v>99</v>
      </c>
      <c r="AT15" s="46" t="s">
        <v>100</v>
      </c>
      <c r="AU15" s="46" t="s">
        <v>101</v>
      </c>
      <c r="AV15" s="46" t="s">
        <v>102</v>
      </c>
      <c r="AW15" s="46" t="s">
        <v>103</v>
      </c>
      <c r="AX15" s="46" t="s">
        <v>89</v>
      </c>
      <c r="AY15" s="46" t="s">
        <v>90</v>
      </c>
    </row>
    <row r="16" spans="1:275" s="56" customFormat="1" ht="13.95" customHeight="1" x14ac:dyDescent="0.25">
      <c r="A16" s="48" t="str">
        <f t="shared" ref="A16:A47" si="0">D16</f>
        <v>discount-EUR-OIS-1D</v>
      </c>
      <c r="B16" s="49" t="str">
        <f>[1]!OBMAKE("calibItem-"&amp;ROW(),obLibs&amp;"net.finmath.marketdata.calibration.CalibratedCurves$CalibrationSpec",AN16:AY16)</f>
        <v>calibItem-16 
[14919]</v>
      </c>
      <c r="C16" s="49">
        <f>[1]!OBGET([1]!OBCALL("",[1]!OBCALL("",$B$11,"getCalibrationProductForSpec",B16),"getValue",[1]!OBCALL("",$B$11,"getModel")))</f>
        <v>0</v>
      </c>
      <c r="D16" s="48" t="str">
        <f t="shared" ref="D16:D51" si="1">AD16&amp;"-"&amp;I16</f>
        <v>discount-EUR-OIS-1D</v>
      </c>
      <c r="E16" s="14" t="s">
        <v>104</v>
      </c>
      <c r="F16" s="50">
        <v>2</v>
      </c>
      <c r="G16" s="48"/>
      <c r="H16" s="50" t="s">
        <v>105</v>
      </c>
      <c r="I16" s="50" t="s">
        <v>106</v>
      </c>
      <c r="J16" s="50" t="s">
        <v>107</v>
      </c>
      <c r="K16" s="50" t="s">
        <v>108</v>
      </c>
      <c r="L16" s="50" t="s">
        <v>109</v>
      </c>
      <c r="M16" s="50">
        <v>0</v>
      </c>
      <c r="N16" s="50">
        <v>0</v>
      </c>
      <c r="O16" s="33" t="str">
        <f>""</f>
        <v/>
      </c>
      <c r="P16" s="51">
        <v>2.01918209105E-3</v>
      </c>
      <c r="Q16" s="52" t="s">
        <v>38</v>
      </c>
      <c r="R16" s="48"/>
      <c r="S16" s="50" t="s">
        <v>105</v>
      </c>
      <c r="T16" s="50" t="s">
        <v>106</v>
      </c>
      <c r="U16" s="50" t="s">
        <v>110</v>
      </c>
      <c r="V16" s="50" t="s">
        <v>108</v>
      </c>
      <c r="W16" s="50" t="s">
        <v>109</v>
      </c>
      <c r="X16" s="50">
        <v>0</v>
      </c>
      <c r="Y16" s="50">
        <v>0</v>
      </c>
      <c r="Z16" s="33" t="str">
        <f>""</f>
        <v/>
      </c>
      <c r="AA16" s="53"/>
      <c r="AB16" s="52" t="s">
        <v>38</v>
      </c>
      <c r="AC16" s="53"/>
      <c r="AD16" s="33" t="str">
        <f t="shared" ref="AD16:AD51" si="2">Q16</f>
        <v>discount-EUR-OIS</v>
      </c>
      <c r="AE16" s="54">
        <f>[1]!OBGET([1]!OBCALL("",AP16,IF(OR(AD16=Q16,AD16=AB16),"getPayment","getFixing"),[1]!OBMAKE("","int",[1]!OBGET([1]!OBCALL("",AP16,"getNumberOfPeriods"))-1)))</f>
        <v>8.21917808219178E-3</v>
      </c>
      <c r="AF16" s="14"/>
      <c r="AG16" s="55" t="str">
        <f>[1]!OBMAKE(AG$15&amp;"-"&amp;ROW(),"int",$F16)</f>
        <v>spot date-16 
[11797]</v>
      </c>
      <c r="AH16" s="55" t="str">
        <f>[1]!OBMAKE(AH$15&amp;"-"&amp;ROW(),"String",$H16)</f>
        <v>start offset rec-16 
[12196]</v>
      </c>
      <c r="AI16" s="55" t="str">
        <f>[1]!OBMAKE(AI$15&amp;"-"&amp;ROW(),"String",$I16)</f>
        <v>maturity rec-16 
[11279]</v>
      </c>
      <c r="AJ16" s="14"/>
      <c r="AK16" s="55" t="str">
        <f>[1]!OBMAKE(AK$15&amp;"-"&amp;ROW(),"String",$S16)</f>
        <v>start offset pay-16 
[12209]</v>
      </c>
      <c r="AL16" s="55" t="str">
        <f>[1]!OBMAKE(AL$15&amp;"-"&amp;ROW(),"String",$T16)</f>
        <v>maturity pay-16 
[11631]</v>
      </c>
      <c r="AM16" s="14"/>
      <c r="AN16" s="55" t="str">
        <f>[1]!OBMAKE(AN$15&amp;"-"&amp;ROW(),"String",D16)</f>
        <v>symbol-16 
[12248]</v>
      </c>
      <c r="AO16" s="55" t="str">
        <f>[1]!OBMAKE(AO$15&amp;"-"&amp;ROW(),"String",E16)</f>
        <v>type-16 
[11895]</v>
      </c>
      <c r="AP16" s="55" t="str">
        <f>[1]!OBCALL(AP$15&amp;"-"&amp;ROW(),obLibs&amp;"net.finmath.time.ScheduleGenerator","createScheduleFromConventions",$H$8,$AG16,$AH16:$AI16,[1]!OBMAKE("","String",$J16),[1]!OBMAKE("","String",$K16),$H$9,[1]!OBMAKE("","String",$L16),$H$10,[1]!OBMAKE("","int",$M16),[1]!OBMAKE("","int",$N16))</f>
        <v>tenor rec-16 
[12945]</v>
      </c>
      <c r="AQ16" s="55" t="str">
        <f>[1]!OBMAKE(AQ$15&amp;"-"&amp;ROW(),"String",O16)</f>
        <v>forward rec-16 
[11808]</v>
      </c>
      <c r="AR16" s="55" t="str">
        <f>[1]!OBMAKE(AR$15&amp;"-"&amp;ROW(),"double",P16)</f>
        <v>spread rec-16 
[11760]</v>
      </c>
      <c r="AS16" s="55" t="str">
        <f>[1]!OBMAKE(AS$15&amp;"-"&amp;ROW(),"String",Q16)</f>
        <v>discount rec-16 
[12224]</v>
      </c>
      <c r="AT16" s="55" t="str">
        <f>[1]!OBCALL(AT$15&amp;"-"&amp;ROW(),obLibs&amp;"net.finmath.time.ScheduleGenerator","createScheduleFromConventions",$H$8,$AG16,$AK16:$AL16,[1]!OBMAKE("","String",$U16),[1]!OBMAKE("","String",$V16),$H$9,[1]!OBMAKE("","String",$L16),$H$10,[1]!OBMAKE("","int",$X16),[1]!OBMAKE("","int",$Y16))</f>
        <v>tenor pay-16 
[14561]</v>
      </c>
      <c r="AU16" s="55" t="str">
        <f>[1]!OBMAKE(AU$15&amp;"-"&amp;ROW(),"String",Z16)</f>
        <v>forward pay-16 
[12099]</v>
      </c>
      <c r="AV16" s="55" t="str">
        <f>[1]!OBMAKE(AV$15&amp;"-"&amp;ROW(),"double",AA16)</f>
        <v>spread pay-16 
[12073]</v>
      </c>
      <c r="AW16" s="55" t="str">
        <f>[1]!OBMAKE(AW$15&amp;"-"&amp;ROW(),"String",AB16)</f>
        <v>disocunt pay-16 
[12275]</v>
      </c>
      <c r="AX16" s="55" t="str">
        <f>[1]!OBMAKE(AX$15&amp;"-"&amp;ROW(),"String",AD16)</f>
        <v>calibration curve-16 
[12060]</v>
      </c>
      <c r="AY16" s="55" t="str">
        <f>[1]!OBMAKE(AY$15&amp;"-"&amp;ROW(),"double",AE16)</f>
        <v>calibration time-16 
[14214]</v>
      </c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</row>
    <row r="17" spans="1:275" ht="13.95" customHeight="1" x14ac:dyDescent="0.25">
      <c r="A17" s="48" t="str">
        <f t="shared" si="0"/>
        <v>discount-EUR-OIS-1W</v>
      </c>
      <c r="B17" s="49" t="str">
        <f>[1]!OBMAKE("calibItem-"&amp;ROW(),obLibs&amp;"net.finmath.marketdata.calibration.CalibratedCurves$CalibrationSpec",AN17:AY17)</f>
        <v>calibItem-17 
[14953]</v>
      </c>
      <c r="C17" s="49">
        <f>[1]!OBGET([1]!OBCALL("",[1]!OBCALL("",$B$11,"getCalibrationProductForSpec",B17),"getValue",[1]!OBCALL("",$B$11,"getModel")))</f>
        <v>0</v>
      </c>
      <c r="D17" s="14" t="str">
        <f t="shared" si="1"/>
        <v>discount-EUR-OIS-1W</v>
      </c>
      <c r="E17" s="14" t="s">
        <v>104</v>
      </c>
      <c r="F17" s="40">
        <v>2</v>
      </c>
      <c r="H17" s="40" t="s">
        <v>105</v>
      </c>
      <c r="I17" s="40" t="s">
        <v>111</v>
      </c>
      <c r="J17" s="40" t="s">
        <v>107</v>
      </c>
      <c r="K17" s="40" t="s">
        <v>108</v>
      </c>
      <c r="L17" s="40" t="s">
        <v>109</v>
      </c>
      <c r="M17" s="40">
        <v>0</v>
      </c>
      <c r="N17" s="40">
        <v>0</v>
      </c>
      <c r="O17" s="33" t="str">
        <f>""</f>
        <v/>
      </c>
      <c r="P17" s="51">
        <v>1.9490395197600001E-3</v>
      </c>
      <c r="Q17" s="33" t="s">
        <v>38</v>
      </c>
      <c r="S17" s="40" t="s">
        <v>105</v>
      </c>
      <c r="T17" s="40" t="s">
        <v>111</v>
      </c>
      <c r="U17" s="40" t="s">
        <v>110</v>
      </c>
      <c r="V17" s="40" t="s">
        <v>108</v>
      </c>
      <c r="W17" s="40" t="s">
        <v>109</v>
      </c>
      <c r="X17" s="40">
        <v>0</v>
      </c>
      <c r="Y17" s="40">
        <v>0</v>
      </c>
      <c r="Z17" s="33" t="str">
        <f>""</f>
        <v/>
      </c>
      <c r="AA17" s="53"/>
      <c r="AB17" s="33" t="s">
        <v>38</v>
      </c>
      <c r="AC17" s="53"/>
      <c r="AD17" s="33" t="str">
        <f t="shared" si="2"/>
        <v>discount-EUR-OIS</v>
      </c>
      <c r="AE17" s="54">
        <f>[1]!OBGET([1]!OBCALL("",AP17,IF(OR(AD17=Q17,AD17=AB17),"getPayment","getFixing"),[1]!OBMAKE("","int",[1]!OBGET([1]!OBCALL("",AP17,"getNumberOfPeriods"))-1)))</f>
        <v>2.4657534246575342E-2</v>
      </c>
      <c r="AG17" s="55" t="str">
        <f>[1]!OBMAKE(AG$15&amp;"-"&amp;ROW(),"int",$F17)</f>
        <v>spot date-17 
[11512]</v>
      </c>
      <c r="AH17" s="55" t="str">
        <f>[1]!OBMAKE(AH$15&amp;"-"&amp;ROW(),"String",$H17)</f>
        <v>start offset rec-17 
[11916]</v>
      </c>
      <c r="AI17" s="55" t="str">
        <f>[1]!OBMAKE(AI$15&amp;"-"&amp;ROW(),"String",$I17)</f>
        <v>maturity rec-17 
[11865]</v>
      </c>
      <c r="AK17" s="55" t="str">
        <f>[1]!OBMAKE(AK$15&amp;"-"&amp;ROW(),"String",$S17)</f>
        <v>start offset pay-17 
[12365]</v>
      </c>
      <c r="AL17" s="55" t="str">
        <f>[1]!OBMAKE(AL$15&amp;"-"&amp;ROW(),"String",$T17)</f>
        <v>maturity pay-17 
[11765]</v>
      </c>
      <c r="AN17" s="55" t="str">
        <f>[1]!OBMAKE(AN$15&amp;"-"&amp;ROW(),"String",D17)</f>
        <v>symbol-17 
[11909]</v>
      </c>
      <c r="AO17" s="55" t="str">
        <f>[1]!OBMAKE(AO$15&amp;"-"&amp;ROW(),"String",E17)</f>
        <v>type-17 
[11748]</v>
      </c>
      <c r="AP17" s="55" t="str">
        <f>[1]!OBCALL(AP$15&amp;"-"&amp;ROW(),obLibs&amp;"net.finmath.time.ScheduleGenerator","createScheduleFromConventions",$H$8,$AG17,$AH17:$AI17,[1]!OBMAKE("","String",$J17),[1]!OBMAKE("","String",$K17),$H$9,[1]!OBMAKE("","String",$L17),$H$10,[1]!OBMAKE("","int",$M17),[1]!OBMAKE("","int",$N17))</f>
        <v>tenor rec-17 
[14595]</v>
      </c>
      <c r="AQ17" s="55" t="str">
        <f>[1]!OBMAKE(AQ$15&amp;"-"&amp;ROW(),"String",O17)</f>
        <v>forward rec-17 
[11810]</v>
      </c>
      <c r="AR17" s="55" t="str">
        <f>[1]!OBMAKE(AR$15&amp;"-"&amp;ROW(),"double",P17)</f>
        <v>spread rec-17 
[11525]</v>
      </c>
      <c r="AS17" s="55" t="str">
        <f>[1]!OBMAKE(AS$15&amp;"-"&amp;ROW(),"String",Q17)</f>
        <v>discount rec-17 
[11471]</v>
      </c>
      <c r="AT17" s="55" t="str">
        <f>[1]!OBCALL(AT$15&amp;"-"&amp;ROW(),obLibs&amp;"net.finmath.time.ScheduleGenerator","createScheduleFromConventions",$H$8,$AG17,$AK17:$AL17,[1]!OBMAKE("","String",$U17),[1]!OBMAKE("","String",$V17),$H$9,[1]!OBMAKE("","String",$L17),$H$10,[1]!OBMAKE("","int",$X17),[1]!OBMAKE("","int",$Y17))</f>
        <v>tenor pay-17 
[14638]</v>
      </c>
      <c r="AU17" s="55" t="str">
        <f>[1]!OBMAKE(AU$15&amp;"-"&amp;ROW(),"String",Z17)</f>
        <v>forward pay-17 
[12205]</v>
      </c>
      <c r="AV17" s="55" t="str">
        <f>[1]!OBMAKE(AV$15&amp;"-"&amp;ROW(),"double",AA17)</f>
        <v>spread pay-17 
[12352]</v>
      </c>
      <c r="AW17" s="55" t="str">
        <f>[1]!OBMAKE(AW$15&amp;"-"&amp;ROW(),"String",AB17)</f>
        <v>disocunt pay-17 
[11661]</v>
      </c>
      <c r="AX17" s="55" t="str">
        <f>[1]!OBMAKE(AX$15&amp;"-"&amp;ROW(),"String",AD17)</f>
        <v>calibration curve-17 
[12027]</v>
      </c>
      <c r="AY17" s="55" t="str">
        <f>[1]!OBMAKE(AY$15&amp;"-"&amp;ROW(),"double",AE17)</f>
        <v>calibration time-17 
[14599]</v>
      </c>
      <c r="JJ17" s="14"/>
      <c r="JK17" s="14"/>
      <c r="JL17" s="14"/>
      <c r="JM17" s="14"/>
      <c r="JN17" s="14"/>
      <c r="JO17" s="14"/>
    </row>
    <row r="18" spans="1:275" ht="13.95" customHeight="1" x14ac:dyDescent="0.25">
      <c r="A18" s="48" t="str">
        <f t="shared" si="0"/>
        <v>discount-EUR-OIS-2W</v>
      </c>
      <c r="B18" s="49" t="str">
        <f>[1]!OBMAKE("calibItem-"&amp;ROW(),obLibs&amp;"net.finmath.marketdata.calibration.CalibratedCurves$CalibrationSpec",AN18:AY18)</f>
        <v>calibItem-18 
[14982]</v>
      </c>
      <c r="C18" s="49">
        <f>[1]!OBGET([1]!OBCALL("",[1]!OBCALL("",$B$11,"getCalibrationProductForSpec",B18),"getValue",[1]!OBCALL("",$B$11,"getModel")))</f>
        <v>0</v>
      </c>
      <c r="D18" s="14" t="str">
        <f t="shared" si="1"/>
        <v>discount-EUR-OIS-2W</v>
      </c>
      <c r="E18" s="14" t="s">
        <v>104</v>
      </c>
      <c r="F18" s="40">
        <v>2</v>
      </c>
      <c r="H18" s="40" t="s">
        <v>105</v>
      </c>
      <c r="I18" s="40" t="s">
        <v>112</v>
      </c>
      <c r="J18" s="40" t="s">
        <v>107</v>
      </c>
      <c r="K18" s="40" t="s">
        <v>108</v>
      </c>
      <c r="L18" s="40" t="s">
        <v>109</v>
      </c>
      <c r="M18" s="40">
        <v>0</v>
      </c>
      <c r="N18" s="40">
        <v>0</v>
      </c>
      <c r="O18" s="33" t="str">
        <f>""</f>
        <v/>
      </c>
      <c r="P18" s="51">
        <v>1.9290345172600001E-3</v>
      </c>
      <c r="Q18" s="33" t="s">
        <v>38</v>
      </c>
      <c r="S18" s="40" t="s">
        <v>105</v>
      </c>
      <c r="T18" s="40" t="s">
        <v>112</v>
      </c>
      <c r="U18" s="40" t="s">
        <v>110</v>
      </c>
      <c r="V18" s="40" t="s">
        <v>108</v>
      </c>
      <c r="W18" s="40" t="s">
        <v>109</v>
      </c>
      <c r="X18" s="40">
        <v>0</v>
      </c>
      <c r="Y18" s="40">
        <v>0</v>
      </c>
      <c r="Z18" s="33" t="str">
        <f>""</f>
        <v/>
      </c>
      <c r="AA18" s="53"/>
      <c r="AB18" s="33" t="s">
        <v>38</v>
      </c>
      <c r="AC18" s="53"/>
      <c r="AD18" s="33" t="str">
        <f t="shared" si="2"/>
        <v>discount-EUR-OIS</v>
      </c>
      <c r="AE18" s="54">
        <f>[1]!OBGET([1]!OBCALL("",AP18,IF(OR(AD18=Q18,AD18=AB18),"getPayment","getFixing"),[1]!OBMAKE("","int",[1]!OBGET([1]!OBCALL("",AP18,"getNumberOfPeriods"))-1)))</f>
        <v>4.3835616438356165E-2</v>
      </c>
      <c r="AG18" s="55" t="str">
        <f>[1]!OBMAKE(AG$15&amp;"-"&amp;ROW(),"int",$F18)</f>
        <v>spot date-18 
[12341]</v>
      </c>
      <c r="AH18" s="55" t="str">
        <f>[1]!OBMAKE(AH$15&amp;"-"&amp;ROW(),"String",$H18)</f>
        <v>start offset rec-18 
[11790]</v>
      </c>
      <c r="AI18" s="55" t="str">
        <f>[1]!OBMAKE(AI$15&amp;"-"&amp;ROW(),"String",$I18)</f>
        <v>maturity rec-18 
[11628]</v>
      </c>
      <c r="AK18" s="55" t="str">
        <f>[1]!OBMAKE(AK$15&amp;"-"&amp;ROW(),"String",$S18)</f>
        <v>start offset pay-18 
[11831]</v>
      </c>
      <c r="AL18" s="55" t="str">
        <f>[1]!OBMAKE(AL$15&amp;"-"&amp;ROW(),"String",$T18)</f>
        <v>maturity pay-18 
[12052]</v>
      </c>
      <c r="AN18" s="55" t="str">
        <f>[1]!OBMAKE(AN$15&amp;"-"&amp;ROW(),"String",D18)</f>
        <v>symbol-18 
[12213]</v>
      </c>
      <c r="AO18" s="55" t="str">
        <f>[1]!OBMAKE(AO$15&amp;"-"&amp;ROW(),"String",E18)</f>
        <v>type-18 
[11509]</v>
      </c>
      <c r="AP18" s="55" t="str">
        <f>[1]!OBCALL(AP$15&amp;"-"&amp;ROW(),obLibs&amp;"net.finmath.time.ScheduleGenerator","createScheduleFromConventions",$H$8,$AG18,$AH18:$AI18,[1]!OBMAKE("","String",$J18),[1]!OBMAKE("","String",$K18),$H$9,[1]!OBMAKE("","String",$L18),$H$10,[1]!OBMAKE("","int",$M18),[1]!OBMAKE("","int",$N18))</f>
        <v>tenor rec-18 
[12975]</v>
      </c>
      <c r="AQ18" s="55" t="str">
        <f>[1]!OBMAKE(AQ$15&amp;"-"&amp;ROW(),"String",O18)</f>
        <v>forward rec-18 
[12328]</v>
      </c>
      <c r="AR18" s="55" t="str">
        <f>[1]!OBMAKE(AR$15&amp;"-"&amp;ROW(),"double",P18)</f>
        <v>spread rec-18 
[12016]</v>
      </c>
      <c r="AS18" s="55" t="str">
        <f>[1]!OBMAKE(AS$15&amp;"-"&amp;ROW(),"String",Q18)</f>
        <v>discount rec-18 
[12113]</v>
      </c>
      <c r="AT18" s="55" t="str">
        <f>[1]!OBCALL(AT$15&amp;"-"&amp;ROW(),obLibs&amp;"net.finmath.time.ScheduleGenerator","createScheduleFromConventions",$H$8,$AG18,$AK18:$AL18,[1]!OBMAKE("","String",$U18),[1]!OBMAKE("","String",$V18),$H$9,[1]!OBMAKE("","String",$L18),$H$10,[1]!OBMAKE("","int",$X18),[1]!OBMAKE("","int",$Y18))</f>
        <v>tenor pay-18 
[14013]</v>
      </c>
      <c r="AU18" s="55" t="str">
        <f>[1]!OBMAKE(AU$15&amp;"-"&amp;ROW(),"String",Z18)</f>
        <v>forward pay-18 
[11550]</v>
      </c>
      <c r="AV18" s="55" t="str">
        <f>[1]!OBMAKE(AV$15&amp;"-"&amp;ROW(),"double",AA18)</f>
        <v>spread pay-18 
[11930]</v>
      </c>
      <c r="AW18" s="55" t="str">
        <f>[1]!OBMAKE(AW$15&amp;"-"&amp;ROW(),"String",AB18)</f>
        <v>disocunt pay-18 
[11439]</v>
      </c>
      <c r="AX18" s="55" t="str">
        <f>[1]!OBMAKE(AX$15&amp;"-"&amp;ROW(),"String",AD18)</f>
        <v>calibration curve-18 
[12299]</v>
      </c>
      <c r="AY18" s="55" t="str">
        <f>[1]!OBMAKE(AY$15&amp;"-"&amp;ROW(),"double",AE18)</f>
        <v>calibration time-18 
[13952]</v>
      </c>
      <c r="JJ18" s="14"/>
      <c r="JK18" s="14"/>
      <c r="JL18" s="14"/>
      <c r="JM18" s="14"/>
      <c r="JN18" s="14"/>
      <c r="JO18" s="14"/>
    </row>
    <row r="19" spans="1:275" ht="13.95" customHeight="1" x14ac:dyDescent="0.25">
      <c r="A19" s="48" t="str">
        <f t="shared" si="0"/>
        <v>discount-EUR-OIS-3W</v>
      </c>
      <c r="B19" s="49" t="str">
        <f>[1]!OBMAKE("calibItem-"&amp;ROW(),obLibs&amp;"net.finmath.marketdata.calibration.CalibratedCurves$CalibrationSpec",AN19:AY19)</f>
        <v>calibItem-19 
[15011]</v>
      </c>
      <c r="C19" s="49">
        <f>[1]!OBGET([1]!OBCALL("",[1]!OBCALL("",$B$11,"getCalibrationProductForSpec",B19),"getValue",[1]!OBCALL("",$B$11,"getModel")))</f>
        <v>0</v>
      </c>
      <c r="D19" s="14" t="str">
        <f t="shared" si="1"/>
        <v>discount-EUR-OIS-3W</v>
      </c>
      <c r="E19" s="14" t="s">
        <v>104</v>
      </c>
      <c r="F19" s="40">
        <v>2</v>
      </c>
      <c r="H19" s="40" t="s">
        <v>105</v>
      </c>
      <c r="I19" s="40" t="s">
        <v>113</v>
      </c>
      <c r="J19" s="40" t="s">
        <v>107</v>
      </c>
      <c r="K19" s="40" t="s">
        <v>108</v>
      </c>
      <c r="L19" s="40" t="s">
        <v>109</v>
      </c>
      <c r="M19" s="40">
        <v>0</v>
      </c>
      <c r="N19" s="40">
        <v>0</v>
      </c>
      <c r="O19" s="33" t="str">
        <f>""</f>
        <v/>
      </c>
      <c r="P19" s="51">
        <v>1.9290345172600001E-3</v>
      </c>
      <c r="Q19" s="33" t="s">
        <v>38</v>
      </c>
      <c r="S19" s="40" t="s">
        <v>105</v>
      </c>
      <c r="T19" s="40" t="s">
        <v>113</v>
      </c>
      <c r="U19" s="40" t="s">
        <v>110</v>
      </c>
      <c r="V19" s="40" t="s">
        <v>108</v>
      </c>
      <c r="W19" s="40" t="s">
        <v>109</v>
      </c>
      <c r="X19" s="40">
        <v>0</v>
      </c>
      <c r="Y19" s="40">
        <v>0</v>
      </c>
      <c r="Z19" s="33" t="str">
        <f>""</f>
        <v/>
      </c>
      <c r="AA19" s="53"/>
      <c r="AB19" s="33" t="s">
        <v>38</v>
      </c>
      <c r="AC19" s="53"/>
      <c r="AD19" s="33" t="str">
        <f t="shared" si="2"/>
        <v>discount-EUR-OIS</v>
      </c>
      <c r="AE19" s="54">
        <f>[1]!OBGET([1]!OBCALL("",AP19,IF(OR(AD19=Q19,AD19=AB19),"getPayment","getFixing"),[1]!OBMAKE("","int",[1]!OBGET([1]!OBCALL("",AP19,"getNumberOfPeriods"))-1)))</f>
        <v>6.3013698630136991E-2</v>
      </c>
      <c r="AG19" s="55" t="str">
        <f>[1]!OBMAKE(AG$15&amp;"-"&amp;ROW(),"int",$F19)</f>
        <v>spot date-19 
[12021]</v>
      </c>
      <c r="AH19" s="55" t="str">
        <f>[1]!OBMAKE(AH$15&amp;"-"&amp;ROW(),"String",$H19)</f>
        <v>start offset rec-19 
[12046]</v>
      </c>
      <c r="AI19" s="55" t="str">
        <f>[1]!OBMAKE(AI$15&amp;"-"&amp;ROW(),"String",$I19)</f>
        <v>maturity rec-19 
[11406]</v>
      </c>
      <c r="AK19" s="55" t="str">
        <f>[1]!OBMAKE(AK$15&amp;"-"&amp;ROW(),"String",$S19)</f>
        <v>start offset pay-19 
[11912]</v>
      </c>
      <c r="AL19" s="55" t="str">
        <f>[1]!OBMAKE(AL$15&amp;"-"&amp;ROW(),"String",$T19)</f>
        <v>maturity pay-19 
[11442]</v>
      </c>
      <c r="AN19" s="55" t="str">
        <f>[1]!OBMAKE(AN$15&amp;"-"&amp;ROW(),"String",D19)</f>
        <v>symbol-19 
[11776]</v>
      </c>
      <c r="AO19" s="55" t="str">
        <f>[1]!OBMAKE(AO$15&amp;"-"&amp;ROW(),"String",E19)</f>
        <v>type-19 
[12004]</v>
      </c>
      <c r="AP19" s="55" t="str">
        <f>[1]!OBCALL(AP$15&amp;"-"&amp;ROW(),obLibs&amp;"net.finmath.time.ScheduleGenerator","createScheduleFromConventions",$H$8,$AG19,$AH19:$AI19,[1]!OBMAKE("","String",$J19),[1]!OBMAKE("","String",$K19),$H$9,[1]!OBMAKE("","String",$L19),$H$10,[1]!OBMAKE("","int",$M19),[1]!OBMAKE("","int",$N19))</f>
        <v>tenor rec-19 
[13522]</v>
      </c>
      <c r="AQ19" s="55" t="str">
        <f>[1]!OBMAKE(AQ$15&amp;"-"&amp;ROW(),"String",O19)</f>
        <v>forward rec-19 
[12211]</v>
      </c>
      <c r="AR19" s="55" t="str">
        <f>[1]!OBMAKE(AR$15&amp;"-"&amp;ROW(),"double",P19)</f>
        <v>spread rec-19 
[12231]</v>
      </c>
      <c r="AS19" s="55" t="str">
        <f>[1]!OBMAKE(AS$15&amp;"-"&amp;ROW(),"String",Q19)</f>
        <v>discount rec-19 
[11719]</v>
      </c>
      <c r="AT19" s="55" t="str">
        <f>[1]!OBCALL(AT$15&amp;"-"&amp;ROW(),obLibs&amp;"net.finmath.time.ScheduleGenerator","createScheduleFromConventions",$H$8,$AG19,$AK19:$AL19,[1]!OBMAKE("","String",$U19),[1]!OBMAKE("","String",$V19),$H$9,[1]!OBMAKE("","String",$L19),$H$10,[1]!OBMAKE("","int",$X19),[1]!OBMAKE("","int",$Y19))</f>
        <v>tenor pay-19 
[13746]</v>
      </c>
      <c r="AU19" s="55" t="str">
        <f>[1]!OBMAKE(AU$15&amp;"-"&amp;ROW(),"String",Z19)</f>
        <v>forward pay-19 
[11823]</v>
      </c>
      <c r="AV19" s="55" t="str">
        <f>[1]!OBMAKE(AV$15&amp;"-"&amp;ROW(),"double",AA19)</f>
        <v>spread pay-19 
[11816]</v>
      </c>
      <c r="AW19" s="55" t="str">
        <f>[1]!OBMAKE(AW$15&amp;"-"&amp;ROW(),"String",AB19)</f>
        <v>disocunt pay-19 
[11311]</v>
      </c>
      <c r="AX19" s="55" t="str">
        <f>[1]!OBMAKE(AX$15&amp;"-"&amp;ROW(),"String",AD19)</f>
        <v>calibration curve-19 
[12189]</v>
      </c>
      <c r="AY19" s="55" t="str">
        <f>[1]!OBMAKE(AY$15&amp;"-"&amp;ROW(),"double",AE19)</f>
        <v>calibration time-19 
[14006]</v>
      </c>
      <c r="JJ19" s="14"/>
      <c r="JK19" s="14"/>
      <c r="JL19" s="14"/>
      <c r="JM19" s="14"/>
      <c r="JN19" s="14"/>
      <c r="JO19" s="14"/>
    </row>
    <row r="20" spans="1:275" ht="13.95" customHeight="1" x14ac:dyDescent="0.25">
      <c r="A20" s="48" t="str">
        <f t="shared" si="0"/>
        <v>discount-EUR-OIS-1M</v>
      </c>
      <c r="B20" s="49" t="str">
        <f>[1]!OBMAKE("calibItem-"&amp;ROW(),obLibs&amp;"net.finmath.marketdata.calibration.CalibratedCurves$CalibrationSpec",AN20:AY20)</f>
        <v>calibItem-20 
[14948]</v>
      </c>
      <c r="C20" s="49">
        <f>[1]!OBGET([1]!OBCALL("",[1]!OBCALL("",$B$11,"getCalibrationProductForSpec",B20),"getValue",[1]!OBCALL("",$B$11,"getModel")))</f>
        <v>0</v>
      </c>
      <c r="D20" s="14" t="str">
        <f t="shared" si="1"/>
        <v>discount-EUR-OIS-1M</v>
      </c>
      <c r="E20" s="14" t="s">
        <v>104</v>
      </c>
      <c r="F20" s="40">
        <v>2</v>
      </c>
      <c r="H20" s="40" t="s">
        <v>105</v>
      </c>
      <c r="I20" s="40" t="s">
        <v>114</v>
      </c>
      <c r="J20" s="40" t="s">
        <v>107</v>
      </c>
      <c r="K20" s="40" t="s">
        <v>108</v>
      </c>
      <c r="L20" s="40" t="s">
        <v>109</v>
      </c>
      <c r="M20" s="40">
        <v>0</v>
      </c>
      <c r="N20" s="40">
        <v>0</v>
      </c>
      <c r="O20" s="33" t="str">
        <f>""</f>
        <v/>
      </c>
      <c r="P20" s="51">
        <v>1.9090920460199999E-3</v>
      </c>
      <c r="Q20" s="33" t="s">
        <v>38</v>
      </c>
      <c r="S20" s="40" t="s">
        <v>105</v>
      </c>
      <c r="T20" s="40" t="s">
        <v>114</v>
      </c>
      <c r="U20" s="40" t="s">
        <v>110</v>
      </c>
      <c r="V20" s="40" t="s">
        <v>108</v>
      </c>
      <c r="W20" s="40" t="s">
        <v>115</v>
      </c>
      <c r="X20" s="40">
        <v>0</v>
      </c>
      <c r="Y20" s="40">
        <v>0</v>
      </c>
      <c r="Z20" s="33" t="str">
        <f>""</f>
        <v/>
      </c>
      <c r="AA20" s="53"/>
      <c r="AB20" s="33" t="s">
        <v>38</v>
      </c>
      <c r="AC20" s="53"/>
      <c r="AD20" s="33" t="str">
        <f t="shared" si="2"/>
        <v>discount-EUR-OIS</v>
      </c>
      <c r="AE20" s="54">
        <f>[1]!OBGET([1]!OBCALL("",AP20,IF(OR(AD20=Q20,AD20=AB20),"getPayment","getFixing"),[1]!OBMAKE("","int",[1]!OBGET([1]!OBCALL("",AP20,"getNumberOfPeriods"))-1)))</f>
        <v>9.3150684931506855E-2</v>
      </c>
      <c r="AG20" s="55" t="str">
        <f>[1]!OBMAKE(AG$15&amp;"-"&amp;ROW(),"int",$F20)</f>
        <v>spot date-20 
[11409]</v>
      </c>
      <c r="AH20" s="55" t="str">
        <f>[1]!OBMAKE(AH$15&amp;"-"&amp;ROW(),"String",$H20)</f>
        <v>start offset rec-20 
[12345]</v>
      </c>
      <c r="AI20" s="55" t="str">
        <f>[1]!OBMAKE(AI$15&amp;"-"&amp;ROW(),"String",$I20)</f>
        <v>maturity rec-20 
[11278]</v>
      </c>
      <c r="AK20" s="55" t="str">
        <f>[1]!OBMAKE(AK$15&amp;"-"&amp;ROW(),"String",$S20)</f>
        <v>start offset pay-20 
[12087]</v>
      </c>
      <c r="AL20" s="55" t="str">
        <f>[1]!OBMAKE(AL$15&amp;"-"&amp;ROW(),"String",$T20)</f>
        <v>maturity pay-20 
[12297]</v>
      </c>
      <c r="AN20" s="55" t="str">
        <f>[1]!OBMAKE(AN$15&amp;"-"&amp;ROW(),"String",D20)</f>
        <v>symbol-20 
[11839]</v>
      </c>
      <c r="AO20" s="55" t="str">
        <f>[1]!OBMAKE(AO$15&amp;"-"&amp;ROW(),"String",E20)</f>
        <v>type-20 
[12229]</v>
      </c>
      <c r="AP20" s="55" t="str">
        <f>[1]!OBCALL(AP$15&amp;"-"&amp;ROW(),obLibs&amp;"net.finmath.time.ScheduleGenerator","createScheduleFromConventions",$H$8,$AG20,$AH20:$AI20,[1]!OBMAKE("","String",$J20),[1]!OBMAKE("","String",$K20),$H$9,[1]!OBMAKE("","String",$L20),$H$10,[1]!OBMAKE("","int",$M20),[1]!OBMAKE("","int",$N20))</f>
        <v>tenor rec-20 
[13466]</v>
      </c>
      <c r="AQ20" s="55" t="str">
        <f>[1]!OBMAKE(AQ$15&amp;"-"&amp;ROW(),"String",O20)</f>
        <v>forward rec-20 
[12364]</v>
      </c>
      <c r="AR20" s="55" t="str">
        <f>[1]!OBMAKE(AR$15&amp;"-"&amp;ROW(),"double",P20)</f>
        <v>spread rec-20 
[12133]</v>
      </c>
      <c r="AS20" s="55" t="str">
        <f>[1]!OBMAKE(AS$15&amp;"-"&amp;ROW(),"String",Q20)</f>
        <v>discount rec-20 
[11975]</v>
      </c>
      <c r="AT20" s="55" t="str">
        <f>[1]!OBCALL(AT$15&amp;"-"&amp;ROW(),obLibs&amp;"net.finmath.time.ScheduleGenerator","createScheduleFromConventions",$H$8,$AG20,$AK20:$AL20,[1]!OBMAKE("","String",$U20),[1]!OBMAKE("","String",$V20),$H$9,[1]!OBMAKE("","String",$L20),$H$10,[1]!OBMAKE("","int",$X20),[1]!OBMAKE("","int",$Y20))</f>
        <v>tenor pay-20 
[14782]</v>
      </c>
      <c r="AU20" s="55" t="str">
        <f>[1]!OBMAKE(AU$15&amp;"-"&amp;ROW(),"String",Z20)</f>
        <v>forward pay-20 
[12064]</v>
      </c>
      <c r="AV20" s="55" t="str">
        <f>[1]!OBMAKE(AV$15&amp;"-"&amp;ROW(),"double",AA20)</f>
        <v>spread pay-20 
[12072]</v>
      </c>
      <c r="AW20" s="55" t="str">
        <f>[1]!OBMAKE(AW$15&amp;"-"&amp;ROW(),"String",AB20)</f>
        <v>disocunt pay-20 
[11873]</v>
      </c>
      <c r="AX20" s="55" t="str">
        <f>[1]!OBMAKE(AX$15&amp;"-"&amp;ROW(),"String",AD20)</f>
        <v>calibration curve-20 
[11923]</v>
      </c>
      <c r="AY20" s="55" t="str">
        <f>[1]!OBMAKE(AY$15&amp;"-"&amp;ROW(),"double",AE20)</f>
        <v>calibration time-20 
[14222]</v>
      </c>
      <c r="JJ20" s="14"/>
      <c r="JK20" s="14"/>
      <c r="JL20" s="14"/>
      <c r="JM20" s="14"/>
      <c r="JN20" s="14"/>
      <c r="JO20" s="14"/>
    </row>
    <row r="21" spans="1:275" ht="13.95" customHeight="1" x14ac:dyDescent="0.25">
      <c r="A21" s="48" t="str">
        <f t="shared" si="0"/>
        <v>discount-EUR-OIS-2M</v>
      </c>
      <c r="B21" s="49" t="str">
        <f>[1]!OBMAKE("calibItem-"&amp;ROW(),obLibs&amp;"net.finmath.marketdata.calibration.CalibratedCurves$CalibrationSpec",AN21:AY21)</f>
        <v>calibItem-21 
[14980]</v>
      </c>
      <c r="C21" s="49">
        <f>[1]!OBGET([1]!OBCALL("",[1]!OBCALL("",$B$11,"getCalibrationProductForSpec",B21),"getValue",[1]!OBCALL("",$B$11,"getModel")))</f>
        <v>0</v>
      </c>
      <c r="D21" s="14" t="str">
        <f t="shared" si="1"/>
        <v>discount-EUR-OIS-2M</v>
      </c>
      <c r="E21" s="14" t="s">
        <v>104</v>
      </c>
      <c r="F21" s="40">
        <v>2</v>
      </c>
      <c r="H21" s="40" t="s">
        <v>105</v>
      </c>
      <c r="I21" s="40" t="s">
        <v>116</v>
      </c>
      <c r="J21" s="40" t="s">
        <v>107</v>
      </c>
      <c r="K21" s="40" t="s">
        <v>108</v>
      </c>
      <c r="L21" s="40" t="s">
        <v>115</v>
      </c>
      <c r="M21" s="40">
        <v>0</v>
      </c>
      <c r="N21" s="40">
        <v>0</v>
      </c>
      <c r="O21" s="33" t="str">
        <f>""</f>
        <v/>
      </c>
      <c r="P21" s="51">
        <v>1.8490770385200001E-3</v>
      </c>
      <c r="Q21" s="33" t="s">
        <v>38</v>
      </c>
      <c r="S21" s="40" t="s">
        <v>105</v>
      </c>
      <c r="T21" s="40" t="s">
        <v>116</v>
      </c>
      <c r="U21" s="40" t="s">
        <v>110</v>
      </c>
      <c r="V21" s="40" t="s">
        <v>108</v>
      </c>
      <c r="W21" s="40" t="s">
        <v>115</v>
      </c>
      <c r="X21" s="40">
        <v>0</v>
      </c>
      <c r="Y21" s="40">
        <v>0</v>
      </c>
      <c r="Z21" s="33" t="str">
        <f>""</f>
        <v/>
      </c>
      <c r="AA21" s="53"/>
      <c r="AB21" s="33" t="s">
        <v>38</v>
      </c>
      <c r="AC21" s="53"/>
      <c r="AD21" s="33" t="str">
        <f t="shared" si="2"/>
        <v>discount-EUR-OIS</v>
      </c>
      <c r="AE21" s="54">
        <f>[1]!OBGET([1]!OBCALL("",AP21,IF(OR(AD21=Q21,AD21=AB21),"getPayment","getFixing"),[1]!OBMAKE("","int",[1]!OBGET([1]!OBCALL("",AP21,"getNumberOfPeriods"))-1)))</f>
        <v>0.16986301369863013</v>
      </c>
      <c r="AG21" s="55" t="str">
        <f>[1]!OBMAKE(AG$15&amp;"-"&amp;ROW(),"int",$F21)</f>
        <v>spot date-21 
[12261]</v>
      </c>
      <c r="AH21" s="55" t="str">
        <f>[1]!OBMAKE(AH$15&amp;"-"&amp;ROW(),"String",$H21)</f>
        <v>start offset rec-21 
[12148]</v>
      </c>
      <c r="AI21" s="55" t="str">
        <f>[1]!OBMAKE(AI$15&amp;"-"&amp;ROW(),"String",$I21)</f>
        <v>maturity rec-21 
[11696]</v>
      </c>
      <c r="AK21" s="55" t="str">
        <f>[1]!OBMAKE(AK$15&amp;"-"&amp;ROW(),"String",$S21)</f>
        <v>start offset pay-21 
[12158]</v>
      </c>
      <c r="AL21" s="55" t="str">
        <f>[1]!OBMAKE(AL$15&amp;"-"&amp;ROW(),"String",$T21)</f>
        <v>maturity pay-21 
[12289]</v>
      </c>
      <c r="AN21" s="55" t="str">
        <f>[1]!OBMAKE(AN$15&amp;"-"&amp;ROW(),"String",D21)</f>
        <v>symbol-21 
[12032]</v>
      </c>
      <c r="AO21" s="55" t="str">
        <f>[1]!OBMAKE(AO$15&amp;"-"&amp;ROW(),"String",E21)</f>
        <v>type-21 
[12127]</v>
      </c>
      <c r="AP21" s="55" t="str">
        <f>[1]!OBCALL(AP$15&amp;"-"&amp;ROW(),obLibs&amp;"net.finmath.time.ScheduleGenerator","createScheduleFromConventions",$H$8,$AG21,$AH21:$AI21,[1]!OBMAKE("","String",$J21),[1]!OBMAKE("","String",$K21),$H$9,[1]!OBMAKE("","String",$L21),$H$10,[1]!OBMAKE("","int",$M21),[1]!OBMAKE("","int",$N21))</f>
        <v>tenor rec-21 
[14644]</v>
      </c>
      <c r="AQ21" s="55" t="str">
        <f>[1]!OBMAKE(AQ$15&amp;"-"&amp;ROW(),"String",O21)</f>
        <v>forward rec-21 
[11836]</v>
      </c>
      <c r="AR21" s="55" t="str">
        <f>[1]!OBMAKE(AR$15&amp;"-"&amp;ROW(),"double",P21)</f>
        <v>spread rec-21 
[11524]</v>
      </c>
      <c r="AS21" s="55" t="str">
        <f>[1]!OBMAKE(AS$15&amp;"-"&amp;ROW(),"String",Q21)</f>
        <v>discount rec-21 
[11470]</v>
      </c>
      <c r="AT21" s="55" t="str">
        <f>[1]!OBCALL(AT$15&amp;"-"&amp;ROW(),obLibs&amp;"net.finmath.time.ScheduleGenerator","createScheduleFromConventions",$H$8,$AG21,$AK21:$AL21,[1]!OBMAKE("","String",$U21),[1]!OBMAKE("","String",$V21),$H$9,[1]!OBMAKE("","String",$L21),$H$10,[1]!OBMAKE("","int",$X21),[1]!OBMAKE("","int",$Y21))</f>
        <v>tenor pay-21 
[14499]</v>
      </c>
      <c r="AU21" s="55" t="str">
        <f>[1]!OBMAKE(AU$15&amp;"-"&amp;ROW(),"String",Z21)</f>
        <v>forward pay-21 
[12079]</v>
      </c>
      <c r="AV21" s="55" t="str">
        <f>[1]!OBMAKE(AV$15&amp;"-"&amp;ROW(),"double",AA21)</f>
        <v>spread pay-21 
[12302]</v>
      </c>
      <c r="AW21" s="55" t="str">
        <f>[1]!OBMAKE(AW$15&amp;"-"&amp;ROW(),"String",AB21)</f>
        <v>disocunt pay-21 
[11660]</v>
      </c>
      <c r="AX21" s="55" t="str">
        <f>[1]!OBMAKE(AX$15&amp;"-"&amp;ROW(),"String",AD21)</f>
        <v>calibration curve-21 
[11539]</v>
      </c>
      <c r="AY21" s="55" t="str">
        <f>[1]!OBMAKE(AY$15&amp;"-"&amp;ROW(),"double",AE21)</f>
        <v>calibration time-21 
[14648]</v>
      </c>
      <c r="JJ21" s="14"/>
      <c r="JK21" s="14"/>
      <c r="JL21" s="14"/>
      <c r="JM21" s="14"/>
      <c r="JN21" s="14"/>
      <c r="JO21" s="14"/>
    </row>
    <row r="22" spans="1:275" ht="13.95" customHeight="1" x14ac:dyDescent="0.25">
      <c r="A22" s="48" t="str">
        <f t="shared" si="0"/>
        <v>discount-EUR-OIS-3M</v>
      </c>
      <c r="B22" s="49" t="str">
        <f>[1]!OBMAKE("calibItem-"&amp;ROW(),obLibs&amp;"net.finmath.marketdata.calibration.CalibratedCurves$CalibrationSpec",AN22:AY22)</f>
        <v>calibItem-22 
[14921]</v>
      </c>
      <c r="C22" s="49">
        <f>[1]!OBGET([1]!OBCALL("",[1]!OBCALL("",$B$11,"getCalibrationProductForSpec",B22),"getValue",[1]!OBCALL("",$B$11,"getModel")))</f>
        <v>1.1102230246251565E-16</v>
      </c>
      <c r="D22" s="14" t="str">
        <f t="shared" si="1"/>
        <v>discount-EUR-OIS-3M</v>
      </c>
      <c r="E22" s="14" t="s">
        <v>104</v>
      </c>
      <c r="F22" s="40">
        <v>2</v>
      </c>
      <c r="H22" s="40" t="s">
        <v>105</v>
      </c>
      <c r="I22" s="40" t="s">
        <v>43</v>
      </c>
      <c r="J22" s="40" t="s">
        <v>107</v>
      </c>
      <c r="K22" s="40" t="s">
        <v>108</v>
      </c>
      <c r="L22" s="40" t="s">
        <v>115</v>
      </c>
      <c r="M22" s="40">
        <v>0</v>
      </c>
      <c r="N22" s="40">
        <v>0</v>
      </c>
      <c r="O22" s="33" t="str">
        <f>""</f>
        <v/>
      </c>
      <c r="P22" s="51">
        <v>1.79906453227E-3</v>
      </c>
      <c r="Q22" s="33" t="s">
        <v>38</v>
      </c>
      <c r="S22" s="40" t="s">
        <v>105</v>
      </c>
      <c r="T22" s="40" t="s">
        <v>43</v>
      </c>
      <c r="U22" s="40" t="s">
        <v>110</v>
      </c>
      <c r="V22" s="40" t="s">
        <v>108</v>
      </c>
      <c r="W22" s="40" t="s">
        <v>115</v>
      </c>
      <c r="X22" s="40">
        <v>0</v>
      </c>
      <c r="Y22" s="40">
        <v>0</v>
      </c>
      <c r="Z22" s="33" t="str">
        <f>""</f>
        <v/>
      </c>
      <c r="AA22" s="53"/>
      <c r="AB22" s="33" t="s">
        <v>38</v>
      </c>
      <c r="AC22" s="53"/>
      <c r="AD22" s="33" t="str">
        <f t="shared" si="2"/>
        <v>discount-EUR-OIS</v>
      </c>
      <c r="AE22" s="54">
        <f>[1]!OBGET([1]!OBCALL("",AP22,IF(OR(AD22=Q22,AD22=AB22),"getPayment","getFixing"),[1]!OBMAKE("","int",[1]!OBGET([1]!OBCALL("",AP22,"getNumberOfPeriods"))-1)))</f>
        <v>0.25479452054794521</v>
      </c>
      <c r="AG22" s="55" t="str">
        <f>[1]!OBMAKE(AG$15&amp;"-"&amp;ROW(),"int",$F22)</f>
        <v>spot date-22 
[11835]</v>
      </c>
      <c r="AH22" s="55" t="str">
        <f>[1]!OBMAKE(AH$15&amp;"-"&amp;ROW(),"String",$H22)</f>
        <v>start offset rec-22 
[11789]</v>
      </c>
      <c r="AI22" s="55" t="str">
        <f>[1]!OBMAKE(AI$15&amp;"-"&amp;ROW(),"String",$I22)</f>
        <v>maturity rec-22 
[11627]</v>
      </c>
      <c r="AK22" s="55" t="str">
        <f>[1]!OBMAKE(AK$15&amp;"-"&amp;ROW(),"String",$S22)</f>
        <v>start offset pay-22 
[12358]</v>
      </c>
      <c r="AL22" s="55" t="str">
        <f>[1]!OBMAKE(AL$15&amp;"-"&amp;ROW(),"String",$T22)</f>
        <v>maturity pay-22 
[11919]</v>
      </c>
      <c r="AN22" s="55" t="str">
        <f>[1]!OBMAKE(AN$15&amp;"-"&amp;ROW(),"String",D22)</f>
        <v>symbol-22 
[12095]</v>
      </c>
      <c r="AO22" s="55" t="str">
        <f>[1]!OBMAKE(AO$15&amp;"-"&amp;ROW(),"String",E22)</f>
        <v>type-22 
[11508]</v>
      </c>
      <c r="AP22" s="55" t="str">
        <f>[1]!OBCALL(AP$15&amp;"-"&amp;ROW(),obLibs&amp;"net.finmath.time.ScheduleGenerator","createScheduleFromConventions",$H$8,$AG22,$AH22:$AI22,[1]!OBMAKE("","String",$J22),[1]!OBMAKE("","String",$K22),$H$9,[1]!OBMAKE("","String",$L22),$H$10,[1]!OBMAKE("","int",$M22),[1]!OBMAKE("","int",$N22))</f>
        <v>tenor rec-22 
[13731]</v>
      </c>
      <c r="AQ22" s="55" t="str">
        <f>[1]!OBMAKE(AQ$15&amp;"-"&amp;ROW(),"String",O22)</f>
        <v>forward rec-22 
[12300]</v>
      </c>
      <c r="AR22" s="55" t="str">
        <f>[1]!OBMAKE(AR$15&amp;"-"&amp;ROW(),"double",P22)</f>
        <v>spread rec-22 
[11759]</v>
      </c>
      <c r="AS22" s="55" t="str">
        <f>[1]!OBMAKE(AS$15&amp;"-"&amp;ROW(),"String",Q22)</f>
        <v>discount rec-22 
[12176]</v>
      </c>
      <c r="AT22" s="55" t="str">
        <f>[1]!OBCALL(AT$15&amp;"-"&amp;ROW(),obLibs&amp;"net.finmath.time.ScheduleGenerator","createScheduleFromConventions",$H$8,$AG22,$AK22:$AL22,[1]!OBMAKE("","String",$U22),[1]!OBMAKE("","String",$V22),$H$9,[1]!OBMAKE("","String",$L22),$H$10,[1]!OBMAKE("","int",$X22),[1]!OBMAKE("","int",$Y22))</f>
        <v>tenor pay-22 
[13445]</v>
      </c>
      <c r="AU22" s="55" t="str">
        <f>[1]!OBMAKE(AU$15&amp;"-"&amp;ROW(),"String",Z22)</f>
        <v>forward pay-22 
[12191]</v>
      </c>
      <c r="AV22" s="55" t="str">
        <f>[1]!OBMAKE(AV$15&amp;"-"&amp;ROW(),"double",AA22)</f>
        <v>spread pay-22 
[11929]</v>
      </c>
      <c r="AW22" s="55" t="str">
        <f>[1]!OBMAKE(AW$15&amp;"-"&amp;ROW(),"String",AB22)</f>
        <v>disocunt pay-22 
[11438]</v>
      </c>
      <c r="AX22" s="55" t="str">
        <f>[1]!OBMAKE(AX$15&amp;"-"&amp;ROW(),"String",AD22)</f>
        <v>calibration curve-22 
[11804]</v>
      </c>
      <c r="AY22" s="55" t="str">
        <f>[1]!OBMAKE(AY$15&amp;"-"&amp;ROW(),"double",AE22)</f>
        <v>calibration time-22 
[13802]</v>
      </c>
      <c r="JJ22" s="14"/>
      <c r="JK22" s="14"/>
      <c r="JL22" s="14"/>
      <c r="JM22" s="14"/>
      <c r="JN22" s="14"/>
      <c r="JO22" s="14"/>
    </row>
    <row r="23" spans="1:275" ht="13.95" customHeight="1" x14ac:dyDescent="0.25">
      <c r="A23" s="48" t="str">
        <f t="shared" si="0"/>
        <v>discount-EUR-OIS-4M</v>
      </c>
      <c r="B23" s="49" t="str">
        <f>[1]!OBMAKE("calibItem-"&amp;ROW(),obLibs&amp;"net.finmath.marketdata.calibration.CalibratedCurves$CalibrationSpec",AN23:AY23)</f>
        <v>calibItem-23 
[14923]</v>
      </c>
      <c r="C23" s="49">
        <f>[1]!OBGET([1]!OBCALL("",[1]!OBCALL("",$B$11,"getCalibrationProductForSpec",B23),"getValue",[1]!OBCALL("",$B$11,"getModel")))</f>
        <v>-1.1102230246251565E-16</v>
      </c>
      <c r="D23" s="14" t="str">
        <f t="shared" si="1"/>
        <v>discount-EUR-OIS-4M</v>
      </c>
      <c r="E23" s="14" t="s">
        <v>104</v>
      </c>
      <c r="F23" s="40">
        <v>2</v>
      </c>
      <c r="H23" s="40" t="s">
        <v>105</v>
      </c>
      <c r="I23" s="40" t="s">
        <v>117</v>
      </c>
      <c r="J23" s="40" t="s">
        <v>107</v>
      </c>
      <c r="K23" s="40" t="s">
        <v>108</v>
      </c>
      <c r="L23" s="40" t="s">
        <v>115</v>
      </c>
      <c r="M23" s="40">
        <v>0</v>
      </c>
      <c r="N23" s="40">
        <v>0</v>
      </c>
      <c r="O23" s="33" t="str">
        <f>""</f>
        <v/>
      </c>
      <c r="P23" s="51">
        <v>1.6990395197600001E-3</v>
      </c>
      <c r="Q23" s="33" t="s">
        <v>38</v>
      </c>
      <c r="S23" s="40" t="s">
        <v>105</v>
      </c>
      <c r="T23" s="40" t="s">
        <v>117</v>
      </c>
      <c r="U23" s="40" t="s">
        <v>110</v>
      </c>
      <c r="V23" s="40" t="s">
        <v>108</v>
      </c>
      <c r="W23" s="40" t="s">
        <v>115</v>
      </c>
      <c r="X23" s="40">
        <v>0</v>
      </c>
      <c r="Y23" s="40">
        <v>0</v>
      </c>
      <c r="Z23" s="33" t="str">
        <f>""</f>
        <v/>
      </c>
      <c r="AA23" s="53"/>
      <c r="AB23" s="33" t="s">
        <v>38</v>
      </c>
      <c r="AC23" s="53"/>
      <c r="AD23" s="33" t="str">
        <f t="shared" si="2"/>
        <v>discount-EUR-OIS</v>
      </c>
      <c r="AE23" s="54">
        <f>[1]!OBGET([1]!OBCALL("",AP23,IF(OR(AD23=Q23,AD23=AB23),"getPayment","getFixing"),[1]!OBMAKE("","int",[1]!OBGET([1]!OBCALL("",AP23,"getNumberOfPeriods"))-1)))</f>
        <v>0.34246575342465752</v>
      </c>
      <c r="AG23" s="55" t="str">
        <f>[1]!OBMAKE(AG$15&amp;"-"&amp;ROW(),"int",$F23)</f>
        <v>spot date-23 
[12104]</v>
      </c>
      <c r="AH23" s="55" t="str">
        <f>[1]!OBMAKE(AH$15&amp;"-"&amp;ROW(),"String",$H23)</f>
        <v>start offset rec-23 
[12045]</v>
      </c>
      <c r="AI23" s="55" t="str">
        <f>[1]!OBMAKE(AI$15&amp;"-"&amp;ROW(),"String",$I23)</f>
        <v>maturity rec-23 
[11405]</v>
      </c>
      <c r="AK23" s="55" t="str">
        <f>[1]!OBMAKE(AK$15&amp;"-"&amp;ROW(),"String",$S23)</f>
        <v>start offset pay-23 
[12316]</v>
      </c>
      <c r="AL23" s="55" t="str">
        <f>[1]!OBMAKE(AL$15&amp;"-"&amp;ROW(),"String",$T23)</f>
        <v>maturity pay-23 
[11531]</v>
      </c>
      <c r="AN23" s="55" t="str">
        <f>[1]!OBMAKE(AN$15&amp;"-"&amp;ROW(),"String",D23)</f>
        <v>symbol-23 
[11546]</v>
      </c>
      <c r="AO23" s="55" t="str">
        <f>[1]!OBMAKE(AO$15&amp;"-"&amp;ROW(),"String",E23)</f>
        <v>type-23 
[11747]</v>
      </c>
      <c r="AP23" s="55" t="str">
        <f>[1]!OBCALL(AP$15&amp;"-"&amp;ROW(),obLibs&amp;"net.finmath.time.ScheduleGenerator","createScheduleFromConventions",$H$8,$AG23,$AH23:$AI23,[1]!OBMAKE("","String",$J23),[1]!OBMAKE("","String",$K23),$H$9,[1]!OBMAKE("","String",$L23),$H$10,[1]!OBMAKE("","int",$M23),[1]!OBMAKE("","int",$N23))</f>
        <v>tenor rec-23 
[13740]</v>
      </c>
      <c r="AQ23" s="55" t="str">
        <f>[1]!OBMAKE(AQ$15&amp;"-"&amp;ROW(),"String",O23)</f>
        <v>forward rec-23 
[11750]</v>
      </c>
      <c r="AR23" s="55" t="str">
        <f>[1]!OBMAKE(AR$15&amp;"-"&amp;ROW(),"double",P23)</f>
        <v>spread rec-23 
[12015]</v>
      </c>
      <c r="AS23" s="55" t="str">
        <f>[1]!OBMAKE(AS$15&amp;"-"&amp;ROW(),"String",Q23)</f>
        <v>discount rec-23 
[11880]</v>
      </c>
      <c r="AT23" s="55" t="str">
        <f>[1]!OBCALL(AT$15&amp;"-"&amp;ROW(),obLibs&amp;"net.finmath.time.ScheduleGenerator","createScheduleFromConventions",$H$8,$AG23,$AK23:$AL23,[1]!OBMAKE("","String",$U23),[1]!OBMAKE("","String",$V23),$H$9,[1]!OBMAKE("","String",$L23),$H$10,[1]!OBMAKE("","int",$X23),[1]!OBMAKE("","int",$Y23))</f>
        <v>tenor pay-23 
[13694]</v>
      </c>
      <c r="AU23" s="55" t="str">
        <f>[1]!OBMAKE(AU$15&amp;"-"&amp;ROW(),"String",Z23)</f>
        <v>forward pay-23 
[11543]</v>
      </c>
      <c r="AV23" s="55" t="str">
        <f>[1]!OBMAKE(AV$15&amp;"-"&amp;ROW(),"double",AA23)</f>
        <v>spread pay-23 
[11815]</v>
      </c>
      <c r="AW23" s="55" t="str">
        <f>[1]!OBMAKE(AW$15&amp;"-"&amp;ROW(),"String",AB23)</f>
        <v>disocunt pay-23 
[11310]</v>
      </c>
      <c r="AX23" s="55" t="str">
        <f>[1]!OBMAKE(AX$15&amp;"-"&amp;ROW(),"String",AD23)</f>
        <v>calibration curve-23 
[11906]</v>
      </c>
      <c r="AY23" s="55" t="str">
        <f>[1]!OBMAKE(AY$15&amp;"-"&amp;ROW(),"double",AE23)</f>
        <v>calibration time-23 
[13788]</v>
      </c>
      <c r="JJ23" s="14"/>
      <c r="JK23" s="14"/>
      <c r="JL23" s="14"/>
      <c r="JM23" s="14"/>
      <c r="JN23" s="14"/>
      <c r="JO23" s="14"/>
    </row>
    <row r="24" spans="1:275" ht="13.95" customHeight="1" x14ac:dyDescent="0.25">
      <c r="A24" s="48" t="str">
        <f t="shared" si="0"/>
        <v>discount-EUR-OIS-5M</v>
      </c>
      <c r="B24" s="49" t="str">
        <f>[1]!OBMAKE("calibItem-"&amp;ROW(),obLibs&amp;"net.finmath.marketdata.calibration.CalibratedCurves$CalibrationSpec",AN24:AY24)</f>
        <v>calibItem-24 
[14895]</v>
      </c>
      <c r="C24" s="49">
        <f>[1]!OBGET([1]!OBCALL("",[1]!OBCALL("",$B$11,"getCalibrationProductForSpec",B24),"getValue",[1]!OBCALL("",$B$11,"getModel")))</f>
        <v>0</v>
      </c>
      <c r="D24" s="14" t="str">
        <f t="shared" si="1"/>
        <v>discount-EUR-OIS-5M</v>
      </c>
      <c r="E24" s="14" t="s">
        <v>104</v>
      </c>
      <c r="F24" s="40">
        <v>2</v>
      </c>
      <c r="H24" s="40" t="s">
        <v>105</v>
      </c>
      <c r="I24" s="40" t="s">
        <v>118</v>
      </c>
      <c r="J24" s="40" t="s">
        <v>107</v>
      </c>
      <c r="K24" s="40" t="s">
        <v>108</v>
      </c>
      <c r="L24" s="40" t="s">
        <v>115</v>
      </c>
      <c r="M24" s="40">
        <v>0</v>
      </c>
      <c r="N24" s="40">
        <v>0</v>
      </c>
      <c r="O24" s="33" t="str">
        <f>""</f>
        <v/>
      </c>
      <c r="P24" s="51">
        <v>1.61901950975E-3</v>
      </c>
      <c r="Q24" s="33" t="s">
        <v>38</v>
      </c>
      <c r="S24" s="40" t="s">
        <v>105</v>
      </c>
      <c r="T24" s="40" t="s">
        <v>118</v>
      </c>
      <c r="U24" s="40" t="s">
        <v>110</v>
      </c>
      <c r="V24" s="40" t="s">
        <v>108</v>
      </c>
      <c r="W24" s="40" t="s">
        <v>115</v>
      </c>
      <c r="X24" s="40">
        <v>0</v>
      </c>
      <c r="Y24" s="40">
        <v>0</v>
      </c>
      <c r="Z24" s="33" t="str">
        <f>""</f>
        <v/>
      </c>
      <c r="AA24" s="53"/>
      <c r="AB24" s="33" t="s">
        <v>38</v>
      </c>
      <c r="AC24" s="53"/>
      <c r="AD24" s="33" t="str">
        <f t="shared" si="2"/>
        <v>discount-EUR-OIS</v>
      </c>
      <c r="AE24" s="54">
        <f>[1]!OBGET([1]!OBCALL("",AP24,IF(OR(AD24=Q24,AD24=AB24),"getPayment","getFixing"),[1]!OBMAKE("","int",[1]!OBGET([1]!OBCALL("",AP24,"getNumberOfPeriods"))-1)))</f>
        <v>0.42191780821917807</v>
      </c>
      <c r="AG24" s="55" t="str">
        <f>[1]!OBMAKE(AG$15&amp;"-"&amp;ROW(),"int",$F24)</f>
        <v>spot date-24 
[12114]</v>
      </c>
      <c r="AH24" s="55" t="str">
        <f>[1]!OBMAKE(AH$15&amp;"-"&amp;ROW(),"String",$H24)</f>
        <v>start offset rec-24 
[12295]</v>
      </c>
      <c r="AI24" s="55" t="str">
        <f>[1]!OBMAKE(AI$15&amp;"-"&amp;ROW(),"String",$I24)</f>
        <v>maturity rec-24 
[11277]</v>
      </c>
      <c r="AK24" s="55" t="str">
        <f>[1]!OBMAKE(AK$15&amp;"-"&amp;ROW(),"String",$S24)</f>
        <v>start offset pay-24 
[12308]</v>
      </c>
      <c r="AL24" s="55" t="str">
        <f>[1]!OBMAKE(AL$15&amp;"-"&amp;ROW(),"String",$T24)</f>
        <v>maturity pay-24 
[12091]</v>
      </c>
      <c r="AN24" s="55" t="str">
        <f>[1]!OBMAKE(AN$15&amp;"-"&amp;ROW(),"String",D24)</f>
        <v>symbol-24 
[12362]</v>
      </c>
      <c r="AO24" s="55" t="str">
        <f>[1]!OBMAKE(AO$15&amp;"-"&amp;ROW(),"String",E24)</f>
        <v>type-24 
[12003]</v>
      </c>
      <c r="AP24" s="55" t="str">
        <f>[1]!OBCALL(AP$15&amp;"-"&amp;ROW(),obLibs&amp;"net.finmath.time.ScheduleGenerator","createScheduleFromConventions",$H$8,$AG24,$AH24:$AI24,[1]!OBMAKE("","String",$J24),[1]!OBMAKE("","String",$K24),$H$9,[1]!OBMAKE("","String",$L24),$H$10,[1]!OBMAKE("","int",$M24),[1]!OBMAKE("","int",$N24))</f>
        <v>tenor rec-24 
[14531]</v>
      </c>
      <c r="AQ24" s="55" t="str">
        <f>[1]!OBMAKE(AQ$15&amp;"-"&amp;ROW(),"String",O24)</f>
        <v>forward rec-24 
[12354]</v>
      </c>
      <c r="AR24" s="55" t="str">
        <f>[1]!OBMAKE(AR$15&amp;"-"&amp;ROW(),"double",P24)</f>
        <v>spread rec-24 
[12186]</v>
      </c>
      <c r="AS24" s="55" t="str">
        <f>[1]!OBMAKE(AS$15&amp;"-"&amp;ROW(),"String",Q24)</f>
        <v>discount rec-24 
[11718]</v>
      </c>
      <c r="AT24" s="55" t="str">
        <f>[1]!OBCALL(AT$15&amp;"-"&amp;ROW(),obLibs&amp;"net.finmath.time.ScheduleGenerator","createScheduleFromConventions",$H$8,$AG24,$AK24:$AL24,[1]!OBMAKE("","String",$U24),[1]!OBMAKE("","String",$V24),$H$9,[1]!OBMAKE("","String",$L24),$H$10,[1]!OBMAKE("","int",$X24),[1]!OBMAKE("","int",$Y24))</f>
        <v>tenor pay-24 
[12957]</v>
      </c>
      <c r="AU24" s="55" t="str">
        <f>[1]!OBMAKE(AU$15&amp;"-"&amp;ROW(),"String",Z24)</f>
        <v>forward pay-24 
[11925]</v>
      </c>
      <c r="AV24" s="55" t="str">
        <f>[1]!OBMAKE(AV$15&amp;"-"&amp;ROW(),"double",AA24)</f>
        <v>spread pay-24 
[12071]</v>
      </c>
      <c r="AW24" s="55" t="str">
        <f>[1]!OBMAKE(AW$15&amp;"-"&amp;ROW(),"String",AB24)</f>
        <v>disocunt pay-24 
[11704]</v>
      </c>
      <c r="AX24" s="55" t="str">
        <f>[1]!OBMAKE(AX$15&amp;"-"&amp;ROW(),"String",AD24)</f>
        <v>calibration curve-24 
[12059]</v>
      </c>
      <c r="AY24" s="55" t="str">
        <f>[1]!OBMAKE(AY$15&amp;"-"&amp;ROW(),"double",AE24)</f>
        <v>calibration time-24 
[14535]</v>
      </c>
      <c r="JJ24" s="14"/>
      <c r="JK24" s="14"/>
      <c r="JL24" s="14"/>
      <c r="JM24" s="14"/>
      <c r="JN24" s="14"/>
      <c r="JO24" s="14"/>
    </row>
    <row r="25" spans="1:275" ht="13.95" customHeight="1" x14ac:dyDescent="0.25">
      <c r="A25" s="48" t="str">
        <f t="shared" si="0"/>
        <v>discount-EUR-OIS-6M</v>
      </c>
      <c r="B25" s="49" t="str">
        <f>[1]!OBMAKE("calibItem-"&amp;ROW(),obLibs&amp;"net.finmath.marketdata.calibration.CalibratedCurves$CalibrationSpec",AN25:AY25)</f>
        <v>calibItem-25 
[14955]</v>
      </c>
      <c r="C25" s="49">
        <f>[1]!OBGET([1]!OBCALL("",[1]!OBCALL("",$B$11,"getCalibrationProductForSpec",B25),"getValue",[1]!OBCALL("",$B$11,"getModel")))</f>
        <v>1.1102230246251565E-16</v>
      </c>
      <c r="D25" s="14" t="str">
        <f t="shared" si="1"/>
        <v>discount-EUR-OIS-6M</v>
      </c>
      <c r="E25" s="14" t="s">
        <v>104</v>
      </c>
      <c r="F25" s="40">
        <v>2</v>
      </c>
      <c r="H25" s="40" t="s">
        <v>105</v>
      </c>
      <c r="I25" s="40" t="s">
        <v>44</v>
      </c>
      <c r="J25" s="40" t="s">
        <v>107</v>
      </c>
      <c r="K25" s="40" t="s">
        <v>108</v>
      </c>
      <c r="L25" s="40" t="s">
        <v>115</v>
      </c>
      <c r="M25" s="40">
        <v>0</v>
      </c>
      <c r="N25" s="40">
        <v>0</v>
      </c>
      <c r="O25" s="33" t="str">
        <f>""</f>
        <v/>
      </c>
      <c r="P25" s="51">
        <v>1.55900450225E-3</v>
      </c>
      <c r="Q25" s="33" t="s">
        <v>38</v>
      </c>
      <c r="S25" s="40" t="s">
        <v>105</v>
      </c>
      <c r="T25" s="40" t="s">
        <v>44</v>
      </c>
      <c r="U25" s="40" t="s">
        <v>110</v>
      </c>
      <c r="V25" s="40" t="s">
        <v>108</v>
      </c>
      <c r="W25" s="40" t="s">
        <v>115</v>
      </c>
      <c r="X25" s="40">
        <v>0</v>
      </c>
      <c r="Y25" s="40">
        <v>0</v>
      </c>
      <c r="Z25" s="33" t="str">
        <f>""</f>
        <v/>
      </c>
      <c r="AA25" s="53"/>
      <c r="AB25" s="33" t="s">
        <v>38</v>
      </c>
      <c r="AC25" s="53"/>
      <c r="AD25" s="33" t="str">
        <f t="shared" si="2"/>
        <v>discount-EUR-OIS</v>
      </c>
      <c r="AE25" s="54">
        <f>[1]!OBGET([1]!OBCALL("",AP25,IF(OR(AD25=Q25,AD25=AB25),"getPayment","getFixing"),[1]!OBMAKE("","int",[1]!OBGET([1]!OBCALL("",AP25,"getNumberOfPeriods"))-1)))</f>
        <v>0.50410958904109593</v>
      </c>
      <c r="AG25" s="55" t="str">
        <f>[1]!OBMAKE(AG$15&amp;"-"&amp;ROW(),"int",$F25)</f>
        <v>spot date-25 
[11314]</v>
      </c>
      <c r="AH25" s="55" t="str">
        <f>[1]!OBMAKE(AH$15&amp;"-"&amp;ROW(),"String",$H25)</f>
        <v>start offset rec-25 
[11915]</v>
      </c>
      <c r="AI25" s="55" t="str">
        <f>[1]!OBMAKE(AI$15&amp;"-"&amp;ROW(),"String",$I25)</f>
        <v>maturity rec-25 
[11952]</v>
      </c>
      <c r="AK25" s="55" t="str">
        <f>[1]!OBMAKE(AK$15&amp;"-"&amp;ROW(),"String",$S25)</f>
        <v>start offset pay-25 
[11782]</v>
      </c>
      <c r="AL25" s="55" t="str">
        <f>[1]!OBMAKE(AL$15&amp;"-"&amp;ROW(),"String",$T25)</f>
        <v>maturity pay-25 
[11796]</v>
      </c>
      <c r="AN25" s="55" t="str">
        <f>[1]!OBMAKE(AN$15&amp;"-"&amp;ROW(),"String",D25)</f>
        <v>symbol-25 
[12234]</v>
      </c>
      <c r="AO25" s="55" t="str">
        <f>[1]!OBMAKE(AO$15&amp;"-"&amp;ROW(),"String",E25)</f>
        <v>type-25 
[12183]</v>
      </c>
      <c r="AP25" s="55" t="str">
        <f>[1]!OBCALL(AP$15&amp;"-"&amp;ROW(),obLibs&amp;"net.finmath.time.ScheduleGenerator","createScheduleFromConventions",$H$8,$AG25,$AH25:$AI25,[1]!OBMAKE("","String",$J25),[1]!OBMAKE("","String",$K25),$H$9,[1]!OBMAKE("","String",$L25),$H$10,[1]!OBMAKE("","int",$M25),[1]!OBMAKE("","int",$N25))</f>
        <v>tenor rec-25 
[14511]</v>
      </c>
      <c r="AQ25" s="55" t="str">
        <f>[1]!OBMAKE(AQ$15&amp;"-"&amp;ROW(),"String",O25)</f>
        <v>forward rec-25 
[12066]</v>
      </c>
      <c r="AR25" s="55" t="str">
        <f>[1]!OBMAKE(AR$15&amp;"-"&amp;ROW(),"double",P25)</f>
        <v>spread rec-25 
[11523]</v>
      </c>
      <c r="AS25" s="55" t="str">
        <f>[1]!OBMAKE(AS$15&amp;"-"&amp;ROW(),"String",Q25)</f>
        <v>discount rec-25 
[11469]</v>
      </c>
      <c r="AT25" s="55" t="str">
        <f>[1]!OBCALL(AT$15&amp;"-"&amp;ROW(),obLibs&amp;"net.finmath.time.ScheduleGenerator","createScheduleFromConventions",$H$8,$AG25,$AK25:$AL25,[1]!OBMAKE("","String",$U25),[1]!OBMAKE("","String",$V25),$H$9,[1]!OBMAKE("","String",$L25),$H$10,[1]!OBMAKE("","int",$X25),[1]!OBMAKE("","int",$Y25))</f>
        <v>tenor pay-25 
[13719]</v>
      </c>
      <c r="AU25" s="55" t="str">
        <f>[1]!OBMAKE(AU$15&amp;"-"&amp;ROW(),"String",Z25)</f>
        <v>forward pay-25 
[12314]</v>
      </c>
      <c r="AV25" s="55" t="str">
        <f>[1]!OBMAKE(AV$15&amp;"-"&amp;ROW(),"double",AA25)</f>
        <v>spread pay-25 
[12241]</v>
      </c>
      <c r="AW25" s="55" t="str">
        <f>[1]!OBMAKE(AW$15&amp;"-"&amp;ROW(),"String",AB25)</f>
        <v>disocunt pay-25 
[11659]</v>
      </c>
      <c r="AX25" s="55" t="str">
        <f>[1]!OBMAKE(AX$15&amp;"-"&amp;ROW(),"String",AD25)</f>
        <v>calibration curve-25 
[11770]</v>
      </c>
      <c r="AY25" s="55" t="str">
        <f>[1]!OBMAKE(AY$15&amp;"-"&amp;ROW(),"double",AE25)</f>
        <v>calibration time-25 
[14515]</v>
      </c>
      <c r="JJ25" s="14"/>
      <c r="JK25" s="14"/>
      <c r="JL25" s="14"/>
      <c r="JM25" s="14"/>
      <c r="JN25" s="14"/>
      <c r="JO25" s="14"/>
    </row>
    <row r="26" spans="1:275" ht="13.95" customHeight="1" x14ac:dyDescent="0.25">
      <c r="A26" s="48" t="str">
        <f t="shared" si="0"/>
        <v>discount-EUR-OIS-7M</v>
      </c>
      <c r="B26" s="49" t="str">
        <f>[1]!OBMAKE("calibItem-"&amp;ROW(),obLibs&amp;"net.finmath.marketdata.calibration.CalibratedCurves$CalibrationSpec",AN26:AY26)</f>
        <v>calibItem-26 
[15000]</v>
      </c>
      <c r="C26" s="49">
        <f>[1]!OBGET([1]!OBCALL("",[1]!OBCALL("",$B$11,"getCalibrationProductForSpec",B26),"getValue",[1]!OBCALL("",$B$11,"getModel")))</f>
        <v>0</v>
      </c>
      <c r="D26" s="14" t="str">
        <f t="shared" si="1"/>
        <v>discount-EUR-OIS-7M</v>
      </c>
      <c r="E26" s="14" t="s">
        <v>104</v>
      </c>
      <c r="F26" s="40">
        <v>2</v>
      </c>
      <c r="H26" s="40" t="s">
        <v>105</v>
      </c>
      <c r="I26" s="40" t="s">
        <v>119</v>
      </c>
      <c r="J26" s="40" t="s">
        <v>107</v>
      </c>
      <c r="K26" s="40" t="s">
        <v>108</v>
      </c>
      <c r="L26" s="40" t="s">
        <v>115</v>
      </c>
      <c r="M26" s="40">
        <v>0</v>
      </c>
      <c r="N26" s="40">
        <v>0</v>
      </c>
      <c r="O26" s="33" t="str">
        <f>""</f>
        <v/>
      </c>
      <c r="P26" s="51">
        <v>1.4989894947499999E-3</v>
      </c>
      <c r="Q26" s="33" t="s">
        <v>38</v>
      </c>
      <c r="S26" s="40" t="s">
        <v>105</v>
      </c>
      <c r="T26" s="40" t="s">
        <v>119</v>
      </c>
      <c r="U26" s="40" t="s">
        <v>110</v>
      </c>
      <c r="V26" s="40" t="s">
        <v>108</v>
      </c>
      <c r="W26" s="40" t="s">
        <v>115</v>
      </c>
      <c r="X26" s="40">
        <v>0</v>
      </c>
      <c r="Y26" s="40">
        <v>0</v>
      </c>
      <c r="Z26" s="33" t="str">
        <f>""</f>
        <v/>
      </c>
      <c r="AA26" s="53"/>
      <c r="AB26" s="33" t="s">
        <v>38</v>
      </c>
      <c r="AC26" s="53"/>
      <c r="AD26" s="33" t="str">
        <f t="shared" si="2"/>
        <v>discount-EUR-OIS</v>
      </c>
      <c r="AE26" s="54">
        <f>[1]!OBGET([1]!OBCALL("",AP26,IF(OR(AD26=Q26,AD26=AB26),"getPayment","getFixing"),[1]!OBMAKE("","int",[1]!OBGET([1]!OBCALL("",AP26,"getNumberOfPeriods"))-1)))</f>
        <v>0.59178082191780823</v>
      </c>
      <c r="AG26" s="55" t="str">
        <f>[1]!OBMAKE(AG$15&amp;"-"&amp;ROW(),"int",$F26)</f>
        <v>spot date-26 
[11281]</v>
      </c>
      <c r="AH26" s="55" t="str">
        <f>[1]!OBMAKE(AH$15&amp;"-"&amp;ROW(),"String",$H26)</f>
        <v>start offset rec-26 
[11788]</v>
      </c>
      <c r="AI26" s="55" t="str">
        <f>[1]!OBMAKE(AI$15&amp;"-"&amp;ROW(),"String",$I26)</f>
        <v>maturity rec-26 
[11626]</v>
      </c>
      <c r="AK26" s="55" t="str">
        <f>[1]!OBMAKE(AK$15&amp;"-"&amp;ROW(),"String",$S26)</f>
        <v>start offset pay-26 
[11830]</v>
      </c>
      <c r="AL26" s="55" t="str">
        <f>[1]!OBMAKE(AL$15&amp;"-"&amp;ROW(),"String",$T26)</f>
        <v>maturity pay-26 
[12092]</v>
      </c>
      <c r="AN26" s="55" t="str">
        <f>[1]!OBMAKE(AN$15&amp;"-"&amp;ROW(),"String",D26)</f>
        <v>symbol-26 
[12312]</v>
      </c>
      <c r="AO26" s="55" t="str">
        <f>[1]!OBMAKE(AO$15&amp;"-"&amp;ROW(),"String",E26)</f>
        <v>type-26 
[11507]</v>
      </c>
      <c r="AP26" s="55" t="str">
        <f>[1]!OBCALL(AP$15&amp;"-"&amp;ROW(),obLibs&amp;"net.finmath.time.ScheduleGenerator","createScheduleFromConventions",$H$8,$AG26,$AH26:$AI26,[1]!OBMAKE("","String",$J26),[1]!OBMAKE("","String",$K26),$H$9,[1]!OBMAKE("","String",$L26),$H$10,[1]!OBMAKE("","int",$M26),[1]!OBMAKE("","int",$N26))</f>
        <v>tenor rec-26 
[13488]</v>
      </c>
      <c r="AQ26" s="55" t="str">
        <f>[1]!OBMAKE(AQ$15&amp;"-"&amp;ROW(),"String",O26)</f>
        <v>forward rec-26 
[11903]</v>
      </c>
      <c r="AR26" s="55" t="str">
        <f>[1]!OBMAKE(AR$15&amp;"-"&amp;ROW(),"double",P26)</f>
        <v>spread rec-26 
[11900]</v>
      </c>
      <c r="AS26" s="55" t="str">
        <f>[1]!OBMAKE(AS$15&amp;"-"&amp;ROW(),"String",Q26)</f>
        <v>discount rec-26 
[11974]</v>
      </c>
      <c r="AT26" s="55" t="str">
        <f>[1]!OBCALL(AT$15&amp;"-"&amp;ROW(),obLibs&amp;"net.finmath.time.ScheduleGenerator","createScheduleFromConventions",$H$8,$AG26,$AK26:$AL26,[1]!OBMAKE("","String",$U26),[1]!OBMAKE("","String",$V26),$H$9,[1]!OBMAKE("","String",$L26),$H$10,[1]!OBMAKE("","int",$X26),[1]!OBMAKE("","int",$Y26))</f>
        <v>tenor pay-26 
[12963]</v>
      </c>
      <c r="AU26" s="55" t="str">
        <f>[1]!OBMAKE(AU$15&amp;"-"&amp;ROW(),"String",Z26)</f>
        <v>forward pay-26 
[12360]</v>
      </c>
      <c r="AV26" s="55" t="str">
        <f>[1]!OBMAKE(AV$15&amp;"-"&amp;ROW(),"double",AA26)</f>
        <v>spread pay-26 
[12161]</v>
      </c>
      <c r="AW26" s="55" t="str">
        <f>[1]!OBMAKE(AW$15&amp;"-"&amp;ROW(),"String",AB26)</f>
        <v>disocunt pay-26 
[11437]</v>
      </c>
      <c r="AX26" s="55" t="str">
        <f>[1]!OBMAKE(AX$15&amp;"-"&amp;ROW(),"String",AD26)</f>
        <v>calibration curve-26 
[12239]</v>
      </c>
      <c r="AY26" s="55" t="str">
        <f>[1]!OBMAKE(AY$15&amp;"-"&amp;ROW(),"double",AE26)</f>
        <v>calibration time-26 
[14099]</v>
      </c>
      <c r="JJ26" s="14"/>
      <c r="JK26" s="14"/>
      <c r="JL26" s="14"/>
      <c r="JM26" s="14"/>
      <c r="JN26" s="14"/>
      <c r="JO26" s="14"/>
    </row>
    <row r="27" spans="1:275" ht="13.95" customHeight="1" x14ac:dyDescent="0.25">
      <c r="A27" s="48" t="str">
        <f t="shared" si="0"/>
        <v>discount-EUR-OIS-8M</v>
      </c>
      <c r="B27" s="49" t="str">
        <f>[1]!OBMAKE("calibItem-"&amp;ROW(),obLibs&amp;"net.finmath.marketdata.calibration.CalibratedCurves$CalibrationSpec",AN27:AY27)</f>
        <v>calibItem-27 
[14950]</v>
      </c>
      <c r="C27" s="49">
        <f>[1]!OBGET([1]!OBCALL("",[1]!OBCALL("",$B$11,"getCalibrationProductForSpec",B27),"getValue",[1]!OBCALL("",$B$11,"getModel")))</f>
        <v>0</v>
      </c>
      <c r="D27" s="14" t="str">
        <f t="shared" si="1"/>
        <v>discount-EUR-OIS-8M</v>
      </c>
      <c r="E27" s="14" t="s">
        <v>104</v>
      </c>
      <c r="F27" s="40">
        <v>2</v>
      </c>
      <c r="H27" s="40" t="s">
        <v>105</v>
      </c>
      <c r="I27" s="40" t="s">
        <v>120</v>
      </c>
      <c r="J27" s="40" t="s">
        <v>107</v>
      </c>
      <c r="K27" s="40" t="s">
        <v>108</v>
      </c>
      <c r="L27" s="40" t="s">
        <v>115</v>
      </c>
      <c r="M27" s="40">
        <v>0</v>
      </c>
      <c r="N27" s="40">
        <v>0</v>
      </c>
      <c r="O27" s="33" t="str">
        <f>""</f>
        <v/>
      </c>
      <c r="P27" s="51">
        <v>1.44897698849E-3</v>
      </c>
      <c r="Q27" s="33" t="s">
        <v>38</v>
      </c>
      <c r="S27" s="40" t="s">
        <v>105</v>
      </c>
      <c r="T27" s="40" t="s">
        <v>120</v>
      </c>
      <c r="U27" s="40" t="s">
        <v>110</v>
      </c>
      <c r="V27" s="40" t="s">
        <v>108</v>
      </c>
      <c r="W27" s="40" t="s">
        <v>115</v>
      </c>
      <c r="X27" s="40">
        <v>0</v>
      </c>
      <c r="Y27" s="40">
        <v>0</v>
      </c>
      <c r="Z27" s="33" t="str">
        <f>""</f>
        <v/>
      </c>
      <c r="AA27" s="53"/>
      <c r="AB27" s="33" t="s">
        <v>38</v>
      </c>
      <c r="AC27" s="53"/>
      <c r="AD27" s="33" t="str">
        <f t="shared" si="2"/>
        <v>discount-EUR-OIS</v>
      </c>
      <c r="AE27" s="54">
        <f>[1]!OBGET([1]!OBCALL("",AP27,IF(OR(AD27=Q27,AD27=AB27),"getPayment","getFixing"),[1]!OBMAKE("","int",[1]!OBGET([1]!OBCALL("",AP27,"getNumberOfPeriods"))-1)))</f>
        <v>0.67397260273972603</v>
      </c>
      <c r="AG27" s="55" t="str">
        <f>[1]!OBMAKE(AG$15&amp;"-"&amp;ROW(),"int",$F27)</f>
        <v>spot date-27 
[12006]</v>
      </c>
      <c r="AH27" s="55" t="str">
        <f>[1]!OBMAKE(AH$15&amp;"-"&amp;ROW(),"String",$H27)</f>
        <v>start offset rec-27 
[12044]</v>
      </c>
      <c r="AI27" s="55" t="str">
        <f>[1]!OBMAKE(AI$15&amp;"-"&amp;ROW(),"String",$I27)</f>
        <v>maturity rec-27 
[11404]</v>
      </c>
      <c r="AK27" s="55" t="str">
        <f>[1]!OBMAKE(AK$15&amp;"-"&amp;ROW(),"String",$S27)</f>
        <v>start offset pay-27 
[11846]</v>
      </c>
      <c r="AL27" s="55" t="str">
        <f>[1]!OBMAKE(AL$15&amp;"-"&amp;ROW(),"String",$T27)</f>
        <v>maturity pay-27 
[11807]</v>
      </c>
      <c r="AN27" s="55" t="str">
        <f>[1]!OBMAKE(AN$15&amp;"-"&amp;ROW(),"String",D27)</f>
        <v>symbol-27 
[12141]</v>
      </c>
      <c r="AO27" s="55" t="str">
        <f>[1]!OBMAKE(AO$15&amp;"-"&amp;ROW(),"String",E27)</f>
        <v>type-27 
[11894]</v>
      </c>
      <c r="AP27" s="55" t="str">
        <f>[1]!OBCALL(AP$15&amp;"-"&amp;ROW(),obLibs&amp;"net.finmath.time.ScheduleGenerator","createScheduleFromConventions",$H$8,$AG27,$AH27:$AI27,[1]!OBMAKE("","String",$J27),[1]!OBMAKE("","String",$K27),$H$9,[1]!OBMAKE("","String",$L27),$H$10,[1]!OBMAKE("","int",$M27),[1]!OBMAKE("","int",$N27))</f>
        <v>tenor rec-27 
[13684]</v>
      </c>
      <c r="AQ27" s="55" t="str">
        <f>[1]!OBMAKE(AQ$15&amp;"-"&amp;ROW(),"String",O27)</f>
        <v>forward rec-27 
[12304]</v>
      </c>
      <c r="AR27" s="55" t="str">
        <f>[1]!OBMAKE(AR$15&amp;"-"&amp;ROW(),"double",P27)</f>
        <v>spread rec-27 
[11758]</v>
      </c>
      <c r="AS27" s="55" t="str">
        <f>[1]!OBMAKE(AS$15&amp;"-"&amp;ROW(),"String",Q27)</f>
        <v>discount rec-27 
[12327]</v>
      </c>
      <c r="AT27" s="55" t="str">
        <f>[1]!OBCALL(AT$15&amp;"-"&amp;ROW(),obLibs&amp;"net.finmath.time.ScheduleGenerator","createScheduleFromConventions",$H$8,$AG27,$AK27:$AL27,[1]!OBMAKE("","String",$U27),[1]!OBMAKE("","String",$V27),$H$9,[1]!OBMAKE("","String",$L27),$H$10,[1]!OBMAKE("","int",$X27),[1]!OBMAKE("","int",$Y27))</f>
        <v>tenor pay-27 
[13084]</v>
      </c>
      <c r="AU27" s="55" t="str">
        <f>[1]!OBMAKE(AU$15&amp;"-"&amp;ROW(),"String",Z27)</f>
        <v>forward pay-27 
[12145]</v>
      </c>
      <c r="AV27" s="55" t="str">
        <f>[1]!OBMAKE(AV$15&amp;"-"&amp;ROW(),"double",AA27)</f>
        <v>spread pay-27 
[11814]</v>
      </c>
      <c r="AW27" s="55" t="str">
        <f>[1]!OBMAKE(AW$15&amp;"-"&amp;ROW(),"String",AB27)</f>
        <v>disocunt pay-27 
[11309]</v>
      </c>
      <c r="AX27" s="55" t="str">
        <f>[1]!OBMAKE(AX$15&amp;"-"&amp;ROW(),"String",AD27)</f>
        <v>calibration curve-27 
[12026]</v>
      </c>
      <c r="AY27" s="55" t="str">
        <f>[1]!OBMAKE(AY$15&amp;"-"&amp;ROW(),"double",AE27)</f>
        <v>calibration time-27 
[13688]</v>
      </c>
      <c r="JJ27" s="14"/>
      <c r="JK27" s="14"/>
      <c r="JL27" s="14"/>
      <c r="JM27" s="14"/>
      <c r="JN27" s="14"/>
      <c r="JO27" s="14"/>
    </row>
    <row r="28" spans="1:275" ht="13.95" customHeight="1" x14ac:dyDescent="0.25">
      <c r="A28" s="48" t="str">
        <f t="shared" si="0"/>
        <v>discount-EUR-OIS-9M</v>
      </c>
      <c r="B28" s="49" t="str">
        <f>[1]!OBMAKE("calibItem-"&amp;ROW(),obLibs&amp;"net.finmath.marketdata.calibration.CalibratedCurves$CalibrationSpec",AN28:AY28)</f>
        <v>calibItem-28 
[14932]</v>
      </c>
      <c r="C28" s="49">
        <f>[1]!OBGET([1]!OBCALL("",[1]!OBCALL("",$B$11,"getCalibrationProductForSpec",B28),"getValue",[1]!OBCALL("",$B$11,"getModel")))</f>
        <v>1.1102230246251565E-16</v>
      </c>
      <c r="D28" s="14" t="str">
        <f t="shared" si="1"/>
        <v>discount-EUR-OIS-9M</v>
      </c>
      <c r="E28" s="14" t="s">
        <v>104</v>
      </c>
      <c r="F28" s="40">
        <v>2</v>
      </c>
      <c r="H28" s="40" t="s">
        <v>105</v>
      </c>
      <c r="I28" s="40" t="s">
        <v>121</v>
      </c>
      <c r="J28" s="40" t="s">
        <v>107</v>
      </c>
      <c r="K28" s="40" t="s">
        <v>108</v>
      </c>
      <c r="L28" s="40" t="s">
        <v>115</v>
      </c>
      <c r="M28" s="40">
        <v>0</v>
      </c>
      <c r="N28" s="40">
        <v>0</v>
      </c>
      <c r="O28" s="33" t="str">
        <f>""</f>
        <v/>
      </c>
      <c r="P28" s="51">
        <v>1.4089669834899999E-3</v>
      </c>
      <c r="Q28" s="33" t="s">
        <v>38</v>
      </c>
      <c r="S28" s="40" t="s">
        <v>105</v>
      </c>
      <c r="T28" s="40" t="s">
        <v>121</v>
      </c>
      <c r="U28" s="40" t="s">
        <v>110</v>
      </c>
      <c r="V28" s="40" t="s">
        <v>108</v>
      </c>
      <c r="W28" s="40" t="s">
        <v>115</v>
      </c>
      <c r="X28" s="40">
        <v>0</v>
      </c>
      <c r="Y28" s="40">
        <v>0</v>
      </c>
      <c r="Z28" s="33" t="str">
        <f>""</f>
        <v/>
      </c>
      <c r="AA28" s="53"/>
      <c r="AB28" s="33" t="s">
        <v>38</v>
      </c>
      <c r="AC28" s="53"/>
      <c r="AD28" s="33" t="str">
        <f t="shared" si="2"/>
        <v>discount-EUR-OIS</v>
      </c>
      <c r="AE28" s="54">
        <f>[1]!OBGET([1]!OBCALL("",AP28,IF(OR(AD28=Q28,AD28=AB28),"getPayment","getFixing"),[1]!OBMAKE("","int",[1]!OBGET([1]!OBCALL("",AP28,"getNumberOfPeriods"))-1)))</f>
        <v>0.75616438356164384</v>
      </c>
      <c r="AG28" s="55" t="str">
        <f>[1]!OBMAKE(AG$15&amp;"-"&amp;ROW(),"int",$F28)</f>
        <v>spot date-28 
[12051]</v>
      </c>
      <c r="AH28" s="55" t="str">
        <f>[1]!OBMAKE(AH$15&amp;"-"&amp;ROW(),"String",$H28)</f>
        <v>start offset rec-28 
[12236]</v>
      </c>
      <c r="AI28" s="55" t="str">
        <f>[1]!OBMAKE(AI$15&amp;"-"&amp;ROW(),"String",$I28)</f>
        <v>maturity rec-28 
[11276]</v>
      </c>
      <c r="AK28" s="55" t="str">
        <f>[1]!OBMAKE(AK$15&amp;"-"&amp;ROW(),"String",$S28)</f>
        <v>start offset pay-28 
[12086]</v>
      </c>
      <c r="AL28" s="55" t="str">
        <f>[1]!OBMAKE(AL$15&amp;"-"&amp;ROW(),"String",$T28)</f>
        <v>maturity pay-28 
[11910]</v>
      </c>
      <c r="AN28" s="55" t="str">
        <f>[1]!OBMAKE(AN$15&amp;"-"&amp;ROW(),"String",D28)</f>
        <v>symbol-28 
[11838]</v>
      </c>
      <c r="AO28" s="55" t="str">
        <f>[1]!OBMAKE(AO$15&amp;"-"&amp;ROW(),"String",E28)</f>
        <v>type-28 
[11746]</v>
      </c>
      <c r="AP28" s="55" t="str">
        <f>[1]!OBCALL(AP$15&amp;"-"&amp;ROW(),obLibs&amp;"net.finmath.time.ScheduleGenerator","createScheduleFromConventions",$H$8,$AG28,$AH28:$AI28,[1]!OBMAKE("","String",$J28),[1]!OBMAKE("","String",$K28),$H$9,[1]!OBMAKE("","String",$L28),$H$10,[1]!OBMAKE("","int",$M28),[1]!OBMAKE("","int",$N28))</f>
        <v>tenor rec-28 
[13044]</v>
      </c>
      <c r="AQ28" s="55" t="str">
        <f>[1]!OBMAKE(AQ$15&amp;"-"&amp;ROW(),"String",O28)</f>
        <v>forward rec-28 
[12140]</v>
      </c>
      <c r="AR28" s="55" t="str">
        <f>[1]!OBMAKE(AR$15&amp;"-"&amp;ROW(),"double",P28)</f>
        <v>spread rec-28 
[12014]</v>
      </c>
      <c r="AS28" s="55" t="str">
        <f>[1]!OBMAKE(AS$15&amp;"-"&amp;ROW(),"String",Q28)</f>
        <v>discount rec-28 
[12112]</v>
      </c>
      <c r="AT28" s="55" t="str">
        <f>[1]!OBCALL(AT$15&amp;"-"&amp;ROW(),obLibs&amp;"net.finmath.time.ScheduleGenerator","createScheduleFromConventions",$H$8,$AG28,$AK28:$AL28,[1]!OBMAKE("","String",$U28),[1]!OBMAKE("","String",$V28),$H$9,[1]!OBMAKE("","String",$L28),$H$10,[1]!OBMAKE("","int",$X28),[1]!OBMAKE("","int",$Y28))</f>
        <v>tenor pay-28 
[14056]</v>
      </c>
      <c r="AU28" s="55" t="str">
        <f>[1]!OBMAKE(AU$15&amp;"-"&amp;ROW(),"String",Z28)</f>
        <v>forward pay-28 
[11721]</v>
      </c>
      <c r="AV28" s="55" t="str">
        <f>[1]!OBMAKE(AV$15&amp;"-"&amp;ROW(),"double",AA28)</f>
        <v>spread pay-28 
[12070]</v>
      </c>
      <c r="AW28" s="55" t="str">
        <f>[1]!OBMAKE(AW$15&amp;"-"&amp;ROW(),"String",AB28)</f>
        <v>disocunt pay-28 
[11960]</v>
      </c>
      <c r="AX28" s="55" t="str">
        <f>[1]!OBMAKE(AX$15&amp;"-"&amp;ROW(),"String",AD28)</f>
        <v>calibration curve-28 
[12155]</v>
      </c>
      <c r="AY28" s="55" t="str">
        <f>[1]!OBMAKE(AY$15&amp;"-"&amp;ROW(),"double",AE28)</f>
        <v>calibration time-28 
[14239]</v>
      </c>
      <c r="JJ28" s="14"/>
      <c r="JK28" s="14"/>
      <c r="JL28" s="14"/>
      <c r="JM28" s="14"/>
      <c r="JN28" s="14"/>
      <c r="JO28" s="14"/>
    </row>
    <row r="29" spans="1:275" ht="13.95" customHeight="1" x14ac:dyDescent="0.25">
      <c r="A29" s="48" t="str">
        <f t="shared" si="0"/>
        <v>discount-EUR-OIS-10M</v>
      </c>
      <c r="B29" s="49" t="str">
        <f>[1]!OBMAKE("calibItem-"&amp;ROW(),obLibs&amp;"net.finmath.marketdata.calibration.CalibratedCurves$CalibrationSpec",AN29:AY29)</f>
        <v>calibItem-29 
[15012]</v>
      </c>
      <c r="C29" s="49">
        <f>[1]!OBGET([1]!OBCALL("",[1]!OBCALL("",$B$11,"getCalibrationProductForSpec",B29),"getValue",[1]!OBCALL("",$B$11,"getModel")))</f>
        <v>-1.1102230246251565E-16</v>
      </c>
      <c r="D29" s="14" t="str">
        <f t="shared" si="1"/>
        <v>discount-EUR-OIS-10M</v>
      </c>
      <c r="E29" s="14" t="s">
        <v>104</v>
      </c>
      <c r="F29" s="40">
        <v>2</v>
      </c>
      <c r="H29" s="40" t="s">
        <v>105</v>
      </c>
      <c r="I29" s="40" t="s">
        <v>122</v>
      </c>
      <c r="J29" s="40" t="s">
        <v>107</v>
      </c>
      <c r="K29" s="40" t="s">
        <v>108</v>
      </c>
      <c r="L29" s="40" t="s">
        <v>115</v>
      </c>
      <c r="M29" s="40">
        <v>0</v>
      </c>
      <c r="N29" s="40">
        <v>0</v>
      </c>
      <c r="O29" s="33" t="str">
        <f>""</f>
        <v/>
      </c>
      <c r="P29" s="51">
        <v>1.35895447724E-3</v>
      </c>
      <c r="Q29" s="33" t="s">
        <v>38</v>
      </c>
      <c r="S29" s="40" t="s">
        <v>105</v>
      </c>
      <c r="T29" s="40" t="s">
        <v>122</v>
      </c>
      <c r="U29" s="40" t="s">
        <v>110</v>
      </c>
      <c r="V29" s="40" t="s">
        <v>108</v>
      </c>
      <c r="W29" s="40" t="s">
        <v>115</v>
      </c>
      <c r="X29" s="40">
        <v>0</v>
      </c>
      <c r="Y29" s="40">
        <v>0</v>
      </c>
      <c r="Z29" s="33" t="str">
        <f>""</f>
        <v/>
      </c>
      <c r="AA29" s="53"/>
      <c r="AB29" s="33" t="s">
        <v>38</v>
      </c>
      <c r="AC29" s="53"/>
      <c r="AD29" s="33" t="str">
        <f t="shared" si="2"/>
        <v>discount-EUR-OIS</v>
      </c>
      <c r="AE29" s="54">
        <f>[1]!OBGET([1]!OBCALL("",AP29,IF(OR(AD29=Q29,AD29=AB29),"getPayment","getFixing"),[1]!OBMAKE("","int",[1]!OBGET([1]!OBCALL("",AP29,"getNumberOfPeriods"))-1)))</f>
        <v>0.84109589041095889</v>
      </c>
      <c r="AG29" s="55" t="str">
        <f>[1]!OBMAKE(AG$15&amp;"-"&amp;ROW(),"int",$F29)</f>
        <v>spot date-29 
[11764]</v>
      </c>
      <c r="AH29" s="55" t="str">
        <f>[1]!OBMAKE(AH$15&amp;"-"&amp;ROW(),"String",$H29)</f>
        <v>start offset rec-29 
[12147]</v>
      </c>
      <c r="AI29" s="55" t="str">
        <f>[1]!OBMAKE(AI$15&amp;"-"&amp;ROW(),"String",$I29)</f>
        <v>maturity rec-29 
[12255]</v>
      </c>
      <c r="AK29" s="55" t="str">
        <f>[1]!OBMAKE(AK$15&amp;"-"&amp;ROW(),"String",$S29)</f>
        <v>start offset pay-29 
[12038]</v>
      </c>
      <c r="AL29" s="55" t="str">
        <f>[1]!OBMAKE(AL$15&amp;"-"&amp;ROW(),"String",$T29)</f>
        <v>maturity pay-29 
[11705]</v>
      </c>
      <c r="AN29" s="55" t="str">
        <f>[1]!OBMAKE(AN$15&amp;"-"&amp;ROW(),"String",D29)</f>
        <v>symbol-29 
[11775]</v>
      </c>
      <c r="AO29" s="55" t="str">
        <f>[1]!OBMAKE(AO$15&amp;"-"&amp;ROW(),"String",E29)</f>
        <v>type-29 
[12002]</v>
      </c>
      <c r="AP29" s="55" t="str">
        <f>[1]!OBCALL(AP$15&amp;"-"&amp;ROW(),obLibs&amp;"net.finmath.time.ScheduleGenerator","createScheduleFromConventions",$H$8,$AG29,$AH29:$AI29,[1]!OBMAKE("","String",$J29),[1]!OBMAKE("","String",$K29),$H$9,[1]!OBMAKE("","String",$L29),$H$10,[1]!OBMAKE("","int",$M29),[1]!OBMAKE("","int",$N29))</f>
        <v>tenor rec-29 
[13713]</v>
      </c>
      <c r="AQ29" s="55" t="str">
        <f>[1]!OBMAKE(AQ$15&amp;"-"&amp;ROW(),"String",O29)</f>
        <v>forward rec-29 
[12310]</v>
      </c>
      <c r="AR29" s="55" t="str">
        <f>[1]!OBMAKE(AR$15&amp;"-"&amp;ROW(),"double",P29)</f>
        <v>spread rec-29 
[11522]</v>
      </c>
      <c r="AS29" s="55" t="str">
        <f>[1]!OBMAKE(AS$15&amp;"-"&amp;ROW(),"String",Q29)</f>
        <v>discount rec-29 
[11468]</v>
      </c>
      <c r="AT29" s="55" t="str">
        <f>[1]!OBCALL(AT$15&amp;"-"&amp;ROW(),obLibs&amp;"net.finmath.time.ScheduleGenerator","createScheduleFromConventions",$H$8,$AG29,$AK29:$AL29,[1]!OBMAKE("","String",$U29),[1]!OBMAKE("","String",$V29),$H$9,[1]!OBMAKE("","String",$L29),$H$10,[1]!OBMAKE("","int",$X29),[1]!OBMAKE("","int",$Y29))</f>
        <v>tenor pay-29 
[13156]</v>
      </c>
      <c r="AU29" s="55" t="str">
        <f>[1]!OBMAKE(AU$15&amp;"-"&amp;ROW(),"String",Z29)</f>
        <v>forward pay-29 
[11822]</v>
      </c>
      <c r="AV29" s="55" t="str">
        <f>[1]!OBMAKE(AV$15&amp;"-"&amp;ROW(),"double",AA29)</f>
        <v>spread pay-29 
[12202]</v>
      </c>
      <c r="AW29" s="55" t="str">
        <f>[1]!OBMAKE(AW$15&amp;"-"&amp;ROW(),"String",AB29)</f>
        <v>disocunt pay-29 
[11658]</v>
      </c>
      <c r="AX29" s="55" t="str">
        <f>[1]!OBMAKE(AX$15&amp;"-"&amp;ROW(),"String",AD29)</f>
        <v>calibration curve-29 
[11538]</v>
      </c>
      <c r="AY29" s="55" t="str">
        <f>[1]!OBMAKE(AY$15&amp;"-"&amp;ROW(),"double",AE29)</f>
        <v>calibration time-29 
[13776]</v>
      </c>
      <c r="JJ29" s="14"/>
      <c r="JK29" s="14"/>
      <c r="JL29" s="14"/>
      <c r="JM29" s="14"/>
      <c r="JN29" s="14"/>
      <c r="JO29" s="14"/>
    </row>
    <row r="30" spans="1:275" ht="13.95" customHeight="1" x14ac:dyDescent="0.25">
      <c r="A30" s="48" t="str">
        <f t="shared" si="0"/>
        <v>discount-EUR-OIS-11M</v>
      </c>
      <c r="B30" s="49" t="str">
        <f>[1]!OBMAKE("calibItem-"&amp;ROW(),obLibs&amp;"net.finmath.marketdata.calibration.CalibratedCurves$CalibrationSpec",AN30:AY30)</f>
        <v>calibItem-30 
[14940]</v>
      </c>
      <c r="C30" s="49">
        <f>[1]!OBGET([1]!OBCALL("",[1]!OBCALL("",$B$11,"getCalibrationProductForSpec",B30),"getValue",[1]!OBCALL("",$B$11,"getModel")))</f>
        <v>0</v>
      </c>
      <c r="D30" s="14" t="str">
        <f t="shared" si="1"/>
        <v>discount-EUR-OIS-11M</v>
      </c>
      <c r="E30" s="14" t="s">
        <v>104</v>
      </c>
      <c r="F30" s="40">
        <v>2</v>
      </c>
      <c r="H30" s="40" t="s">
        <v>105</v>
      </c>
      <c r="I30" s="40" t="s">
        <v>123</v>
      </c>
      <c r="J30" s="40" t="s">
        <v>107</v>
      </c>
      <c r="K30" s="40" t="s">
        <v>108</v>
      </c>
      <c r="L30" s="40" t="s">
        <v>115</v>
      </c>
      <c r="M30" s="40">
        <v>0</v>
      </c>
      <c r="N30" s="40">
        <v>0</v>
      </c>
      <c r="O30" s="33" t="str">
        <f>""</f>
        <v/>
      </c>
      <c r="P30" s="51">
        <v>1.3289469734900001E-3</v>
      </c>
      <c r="Q30" s="33" t="s">
        <v>38</v>
      </c>
      <c r="S30" s="40" t="s">
        <v>105</v>
      </c>
      <c r="T30" s="40" t="s">
        <v>123</v>
      </c>
      <c r="U30" s="40" t="s">
        <v>110</v>
      </c>
      <c r="V30" s="40" t="s">
        <v>108</v>
      </c>
      <c r="W30" s="40" t="s">
        <v>115</v>
      </c>
      <c r="X30" s="40">
        <v>0</v>
      </c>
      <c r="Y30" s="40">
        <v>0</v>
      </c>
      <c r="Z30" s="33" t="str">
        <f>""</f>
        <v/>
      </c>
      <c r="AA30" s="53"/>
      <c r="AB30" s="33" t="s">
        <v>38</v>
      </c>
      <c r="AC30" s="53"/>
      <c r="AD30" s="33" t="str">
        <f t="shared" si="2"/>
        <v>discount-EUR-OIS</v>
      </c>
      <c r="AE30" s="54">
        <f>[1]!OBGET([1]!OBCALL("",AP30,IF(OR(AD30=Q30,AD30=AB30),"getPayment","getFixing"),[1]!OBMAKE("","int",[1]!OBGET([1]!OBCALL("",AP30,"getNumberOfPeriods"))-1)))</f>
        <v>0.92328767123287669</v>
      </c>
      <c r="AG30" s="55" t="str">
        <f>[1]!OBMAKE(AG$15&amp;"-"&amp;ROW(),"int",$F30)</f>
        <v>spot date-30 
[12262]</v>
      </c>
      <c r="AH30" s="55" t="str">
        <f>[1]!OBMAKE(AH$15&amp;"-"&amp;ROW(),"String",$H30)</f>
        <v>start offset rec-30 
[11787]</v>
      </c>
      <c r="AI30" s="55" t="str">
        <f>[1]!OBMAKE(AI$15&amp;"-"&amp;ROW(),"String",$I30)</f>
        <v>maturity rec-30 
[11625]</v>
      </c>
      <c r="AK30" s="55" t="str">
        <f>[1]!OBMAKE(AK$15&amp;"-"&amp;ROW(),"String",$S30)</f>
        <v>start offset pay-30 
[12245]</v>
      </c>
      <c r="AL30" s="55" t="str">
        <f>[1]!OBMAKE(AL$15&amp;"-"&amp;ROW(),"String",$T30)</f>
        <v>maturity pay-30 
[11953]</v>
      </c>
      <c r="AN30" s="55" t="str">
        <f>[1]!OBMAKE(AN$15&amp;"-"&amp;ROW(),"String",D30)</f>
        <v>symbol-30 
[12094]</v>
      </c>
      <c r="AO30" s="55" t="str">
        <f>[1]!OBMAKE(AO$15&amp;"-"&amp;ROW(),"String",E30)</f>
        <v>type-30 
[11506]</v>
      </c>
      <c r="AP30" s="55" t="str">
        <f>[1]!OBCALL(AP$15&amp;"-"&amp;ROW(),obLibs&amp;"net.finmath.time.ScheduleGenerator","createScheduleFromConventions",$H$8,$AG30,$AH30:$AI30,[1]!OBMAKE("","String",$J30),[1]!OBMAKE("","String",$K30),$H$9,[1]!OBMAKE("","String",$L30),$H$10,[1]!OBMAKE("","int",$M30),[1]!OBMAKE("","int",$N30))</f>
        <v>tenor rec-30 
[13506]</v>
      </c>
      <c r="AQ30" s="55" t="str">
        <f>[1]!OBMAKE(AQ$15&amp;"-"&amp;ROW(),"String",O30)</f>
        <v>forward rec-30 
[12063]</v>
      </c>
      <c r="AR30" s="55" t="str">
        <f>[1]!OBMAKE(AR$15&amp;"-"&amp;ROW(),"double",P30)</f>
        <v>spread rec-30 
[12337]</v>
      </c>
      <c r="AS30" s="55" t="str">
        <f>[1]!OBMAKE(AS$15&amp;"-"&amp;ROW(),"String",Q30)</f>
        <v>discount rec-30 
[11717]</v>
      </c>
      <c r="AT30" s="55" t="str">
        <f>[1]!OBCALL(AT$15&amp;"-"&amp;ROW(),obLibs&amp;"net.finmath.time.ScheduleGenerator","createScheduleFromConventions",$H$8,$AG30,$AK30:$AL30,[1]!OBMAKE("","String",$U30),[1]!OBMAKE("","String",$V30),$H$9,[1]!OBMAKE("","String",$L30),$H$10,[1]!OBMAKE("","int",$X30),[1]!OBMAKE("","int",$Y30))</f>
        <v>tenor pay-30 
[13482]</v>
      </c>
      <c r="AU30" s="55" t="str">
        <f>[1]!OBMAKE(AU$15&amp;"-"&amp;ROW(),"String",Z30)</f>
        <v>forward pay-30 
[11842]</v>
      </c>
      <c r="AV30" s="55" t="str">
        <f>[1]!OBMAKE(AV$15&amp;"-"&amp;ROW(),"double",AA30)</f>
        <v>spread pay-30 
[11928]</v>
      </c>
      <c r="AW30" s="55" t="str">
        <f>[1]!OBMAKE(AW$15&amp;"-"&amp;ROW(),"String",AB30)</f>
        <v>disocunt pay-30 
[11436]</v>
      </c>
      <c r="AX30" s="55" t="str">
        <f>[1]!OBMAKE(AX$15&amp;"-"&amp;ROW(),"String",AD30)</f>
        <v>calibration curve-30 
[11803]</v>
      </c>
      <c r="AY30" s="55" t="str">
        <f>[1]!OBMAKE(AY$15&amp;"-"&amp;ROW(),"double",AE30)</f>
        <v>calibration time-30 
[13510]</v>
      </c>
      <c r="JJ30" s="14"/>
      <c r="JK30" s="14"/>
      <c r="JL30" s="14"/>
      <c r="JM30" s="14"/>
      <c r="JN30" s="14"/>
      <c r="JO30" s="14"/>
    </row>
    <row r="31" spans="1:275" ht="13.95" customHeight="1" x14ac:dyDescent="0.25">
      <c r="A31" s="48" t="str">
        <f t="shared" si="0"/>
        <v>discount-EUR-OIS-12M</v>
      </c>
      <c r="B31" s="49" t="str">
        <f>[1]!OBMAKE("calibItem-"&amp;ROW(),obLibs&amp;"net.finmath.marketdata.calibration.CalibratedCurves$CalibrationSpec",AN31:AY31)</f>
        <v>calibItem-31 
[15008]</v>
      </c>
      <c r="C31" s="49">
        <f>[1]!OBGET([1]!OBCALL("",[1]!OBCALL("",$B$11,"getCalibrationProductForSpec",B31),"getValue",[1]!OBCALL("",$B$11,"getModel")))</f>
        <v>-4.4408920985006262E-16</v>
      </c>
      <c r="D31" s="14" t="str">
        <f t="shared" si="1"/>
        <v>discount-EUR-OIS-12M</v>
      </c>
      <c r="E31" s="14" t="s">
        <v>104</v>
      </c>
      <c r="F31" s="40">
        <v>2</v>
      </c>
      <c r="H31" s="40" t="s">
        <v>105</v>
      </c>
      <c r="I31" s="40" t="s">
        <v>124</v>
      </c>
      <c r="J31" s="40" t="s">
        <v>107</v>
      </c>
      <c r="K31" s="40" t="s">
        <v>108</v>
      </c>
      <c r="L31" s="40" t="s">
        <v>115</v>
      </c>
      <c r="M31" s="40">
        <v>0</v>
      </c>
      <c r="N31" s="40">
        <v>0</v>
      </c>
      <c r="O31" s="33" t="str">
        <f>""</f>
        <v/>
      </c>
      <c r="P31" s="51">
        <v>1.28891195598E-3</v>
      </c>
      <c r="Q31" s="33" t="s">
        <v>38</v>
      </c>
      <c r="S31" s="40" t="s">
        <v>105</v>
      </c>
      <c r="T31" s="40" t="s">
        <v>124</v>
      </c>
      <c r="U31" s="40" t="s">
        <v>110</v>
      </c>
      <c r="V31" s="40" t="s">
        <v>108</v>
      </c>
      <c r="W31" s="40" t="s">
        <v>115</v>
      </c>
      <c r="X31" s="40">
        <v>0</v>
      </c>
      <c r="Y31" s="40">
        <v>0</v>
      </c>
      <c r="Z31" s="33" t="str">
        <f>""</f>
        <v/>
      </c>
      <c r="AA31" s="53"/>
      <c r="AB31" s="33" t="s">
        <v>38</v>
      </c>
      <c r="AC31" s="53"/>
      <c r="AD31" s="33" t="str">
        <f t="shared" si="2"/>
        <v>discount-EUR-OIS</v>
      </c>
      <c r="AE31" s="54">
        <f>[1]!OBGET([1]!OBCALL("",AP31,IF(OR(AD31=Q31,AD31=AB31),"getPayment","getFixing"),[1]!OBMAKE("","int",[1]!OBGET([1]!OBCALL("",AP31,"getNumberOfPeriods"))-1)))</f>
        <v>1.0136986301369864</v>
      </c>
      <c r="AG31" s="55" t="str">
        <f>[1]!OBMAKE(AG$15&amp;"-"&amp;ROW(),"int",$F31)</f>
        <v>spot date-31 
[12335]</v>
      </c>
      <c r="AH31" s="55" t="str">
        <f>[1]!OBMAKE(AH$15&amp;"-"&amp;ROW(),"String",$H31)</f>
        <v>start offset rec-31 
[12043]</v>
      </c>
      <c r="AI31" s="55" t="str">
        <f>[1]!OBMAKE(AI$15&amp;"-"&amp;ROW(),"String",$I31)</f>
        <v>maturity rec-31 
[11403]</v>
      </c>
      <c r="AK31" s="55" t="str">
        <f>[1]!OBMAKE(AK$15&amp;"-"&amp;ROW(),"String",$S31)</f>
        <v>start offset pay-31 
[12102]</v>
      </c>
      <c r="AL31" s="55" t="str">
        <f>[1]!OBMAKE(AL$15&amp;"-"&amp;ROW(),"String",$T31)</f>
        <v>maturity pay-31 
[12020]</v>
      </c>
      <c r="AN31" s="55" t="str">
        <f>[1]!OBMAKE(AN$15&amp;"-"&amp;ROW(),"String",D31)</f>
        <v>symbol-31 
[11545]</v>
      </c>
      <c r="AO31" s="55" t="str">
        <f>[1]!OBMAKE(AO$15&amp;"-"&amp;ROW(),"String",E31)</f>
        <v>type-31 
[12334]</v>
      </c>
      <c r="AP31" s="55" t="str">
        <f>[1]!OBCALL(AP$15&amp;"-"&amp;ROW(),obLibs&amp;"net.finmath.time.ScheduleGenerator","createScheduleFromConventions",$H$8,$AG31,$AH31:$AI31,[1]!OBMAKE("","String",$J31),[1]!OBMAKE("","String",$K31),$H$9,[1]!OBMAKE("","String",$L31),$H$10,[1]!OBMAKE("","int",$M31),[1]!OBMAKE("","int",$N31))</f>
        <v>tenor rec-31 
[13457]</v>
      </c>
      <c r="AQ31" s="55" t="str">
        <f>[1]!OBMAKE(AQ$15&amp;"-"&amp;ROW(),"String",O31)</f>
        <v>forward rec-31 
[12251]</v>
      </c>
      <c r="AR31" s="55" t="str">
        <f>[1]!OBMAKE(AR$15&amp;"-"&amp;ROW(),"double",P31)</f>
        <v>spread rec-31 
[11983]</v>
      </c>
      <c r="AS31" s="55" t="str">
        <f>[1]!OBMAKE(AS$15&amp;"-"&amp;ROW(),"String",Q31)</f>
        <v>discount rec-31 
[11973]</v>
      </c>
      <c r="AT31" s="55" t="str">
        <f>[1]!OBCALL(AT$15&amp;"-"&amp;ROW(),obLibs&amp;"net.finmath.time.ScheduleGenerator","createScheduleFromConventions",$H$8,$AG31,$AK31:$AL31,[1]!OBMAKE("","String",$U31),[1]!OBMAKE("","String",$V31),$H$9,[1]!OBMAKE("","String",$L31),$H$10,[1]!OBMAKE("","int",$X31),[1]!OBMAKE("","int",$Y31))</f>
        <v>tenor pay-31 
[14788]</v>
      </c>
      <c r="AU31" s="55" t="str">
        <f>[1]!OBMAKE(AU$15&amp;"-"&amp;ROW(),"String",Z31)</f>
        <v>forward pay-31 
[12078]</v>
      </c>
      <c r="AV31" s="55" t="str">
        <f>[1]!OBMAKE(AV$15&amp;"-"&amp;ROW(),"double",AA31)</f>
        <v>spread pay-31 
[12132]</v>
      </c>
      <c r="AW31" s="55" t="str">
        <f>[1]!OBMAKE(AW$15&amp;"-"&amp;ROW(),"String",AB31)</f>
        <v>disocunt pay-31 
[11308]</v>
      </c>
      <c r="AX31" s="55" t="str">
        <f>[1]!OBMAKE(AX$15&amp;"-"&amp;ROW(),"String",AD31)</f>
        <v>calibration curve-31 
[12340]</v>
      </c>
      <c r="AY31" s="55" t="str">
        <f>[1]!OBMAKE(AY$15&amp;"-"&amp;ROW(),"double",AE31)</f>
        <v>calibration time-31 
[14245]</v>
      </c>
      <c r="JJ31" s="14"/>
      <c r="JK31" s="14"/>
      <c r="JL31" s="14"/>
      <c r="JM31" s="14"/>
      <c r="JN31" s="14"/>
      <c r="JO31" s="14"/>
    </row>
    <row r="32" spans="1:275" ht="13.95" customHeight="1" x14ac:dyDescent="0.25">
      <c r="A32" s="48" t="str">
        <f t="shared" si="0"/>
        <v>discount-EUR-OIS-15M</v>
      </c>
      <c r="B32" s="49" t="str">
        <f>[1]!OBMAKE("calibItem-"&amp;ROW(),obLibs&amp;"net.finmath.marketdata.calibration.CalibratedCurves$CalibrationSpec",AN32:AY32)</f>
        <v>calibItem-32 
[15001]</v>
      </c>
      <c r="C32" s="49">
        <f>[1]!OBGET([1]!OBCALL("",[1]!OBCALL("",$B$11,"getCalibrationProductForSpec",B32),"getValue",[1]!OBCALL("",$B$11,"getModel")))</f>
        <v>-1.1102230246251565E-16</v>
      </c>
      <c r="D32" s="14" t="str">
        <f t="shared" si="1"/>
        <v>discount-EUR-OIS-15M</v>
      </c>
      <c r="E32" s="14" t="s">
        <v>125</v>
      </c>
      <c r="F32" s="40">
        <v>2</v>
      </c>
      <c r="H32" s="40" t="s">
        <v>105</v>
      </c>
      <c r="I32" s="40" t="s">
        <v>126</v>
      </c>
      <c r="J32" s="40" t="s">
        <v>110</v>
      </c>
      <c r="K32" s="40" t="s">
        <v>108</v>
      </c>
      <c r="L32" s="40" t="s">
        <v>115</v>
      </c>
      <c r="M32" s="40">
        <v>0</v>
      </c>
      <c r="N32" s="40">
        <v>1</v>
      </c>
      <c r="O32" s="33" t="s">
        <v>39</v>
      </c>
      <c r="P32" s="40">
        <v>0</v>
      </c>
      <c r="Q32" s="33" t="s">
        <v>38</v>
      </c>
      <c r="S32" s="40" t="s">
        <v>105</v>
      </c>
      <c r="T32" s="40" t="s">
        <v>126</v>
      </c>
      <c r="U32" s="40" t="s">
        <v>110</v>
      </c>
      <c r="V32" s="40" t="s">
        <v>108</v>
      </c>
      <c r="W32" s="40" t="s">
        <v>115</v>
      </c>
      <c r="X32" s="40">
        <v>0</v>
      </c>
      <c r="Y32" s="40">
        <v>1</v>
      </c>
      <c r="Z32" s="33" t="str">
        <f>""</f>
        <v/>
      </c>
      <c r="AA32" s="51">
        <v>1.1789094547300001E-3</v>
      </c>
      <c r="AB32" s="33" t="s">
        <v>38</v>
      </c>
      <c r="AC32" s="53"/>
      <c r="AD32" s="33" t="str">
        <f t="shared" si="2"/>
        <v>discount-EUR-OIS</v>
      </c>
      <c r="AE32" s="54">
        <f>[1]!OBGET([1]!OBCALL("",AP32,IF(OR(AD32=Q32,AD32=AB32),"getPayment","getFixing"),[1]!OBMAKE("","int",[1]!OBGET([1]!OBCALL("",AP32,"getNumberOfPeriods"))-1)))</f>
        <v>1.263013698630137</v>
      </c>
      <c r="AG32" s="55" t="str">
        <f>[1]!OBMAKE(AG$15&amp;"-"&amp;ROW(),"int",$F32)</f>
        <v>spot date-32 
[11773]</v>
      </c>
      <c r="AH32" s="55" t="str">
        <f>[1]!OBMAKE(AH$15&amp;"-"&amp;ROW(),"String",$H32)</f>
        <v>start offset rec-32 
[11813]</v>
      </c>
      <c r="AI32" s="55" t="str">
        <f>[1]!OBMAKE(AI$15&amp;"-"&amp;ROW(),"String",$I32)</f>
        <v>maturity rec-32 
[11275]</v>
      </c>
      <c r="AK32" s="55" t="str">
        <f>[1]!OBMAKE(AK$15&amp;"-"&amp;ROW(),"String",$S32)</f>
        <v>start offset pay-32 
[12208]</v>
      </c>
      <c r="AL32" s="55" t="str">
        <f>[1]!OBMAKE(AL$15&amp;"-"&amp;ROW(),"String",$T32)</f>
        <v>maturity pay-32 
[12151]</v>
      </c>
      <c r="AN32" s="55" t="str">
        <f>[1]!OBMAKE(AN$15&amp;"-"&amp;ROW(),"String",D32)</f>
        <v>symbol-32 
[12195]</v>
      </c>
      <c r="AO32" s="55" t="str">
        <f>[1]!OBMAKE(AO$15&amp;"-"&amp;ROW(),"String",E32)</f>
        <v>type-32 
[12126]</v>
      </c>
      <c r="AP32" s="55" t="str">
        <f>[1]!OBCALL(AP$15&amp;"-"&amp;ROW(),obLibs&amp;"net.finmath.time.ScheduleGenerator","createScheduleFromConventions",$H$8,$AG32,$AH32:$AI32,[1]!OBMAKE("","String",$J32),[1]!OBMAKE("","String",$K32),$H$9,[1]!OBMAKE("","String",$L32),$H$10,[1]!OBMAKE("","int",$M32),[1]!OBMAKE("","int",$N32))</f>
        <v>tenor rec-32 
[14028]</v>
      </c>
      <c r="AQ32" s="55" t="str">
        <f>[1]!OBMAKE(AQ$15&amp;"-"&amp;ROW(),"String",O32)</f>
        <v>forward rec-32 
[11834]</v>
      </c>
      <c r="AR32" s="55" t="str">
        <f>[1]!OBMAKE(AR$15&amp;"-"&amp;ROW(),"double",P32)</f>
        <v>spread rec-32 
[12178]</v>
      </c>
      <c r="AS32" s="55" t="str">
        <f>[1]!OBMAKE(AS$15&amp;"-"&amp;ROW(),"String",Q32)</f>
        <v>discount rec-32 
[12278]</v>
      </c>
      <c r="AT32" s="55" t="str">
        <f>[1]!OBCALL(AT$15&amp;"-"&amp;ROW(),obLibs&amp;"net.finmath.time.ScheduleGenerator","createScheduleFromConventions",$H$8,$AG32,$AK32:$AL32,[1]!OBMAKE("","String",$U32),[1]!OBMAKE("","String",$V32),$H$9,[1]!OBMAKE("","String",$L32),$H$10,[1]!OBMAKE("","int",$X32),[1]!OBMAKE("","int",$Y32))</f>
        <v>tenor pay-32 
[14149]</v>
      </c>
      <c r="AU32" s="55" t="str">
        <f>[1]!OBMAKE(AU$15&amp;"-"&amp;ROW(),"String",Z32)</f>
        <v>forward pay-32 
[11473]</v>
      </c>
      <c r="AV32" s="55" t="str">
        <f>[1]!OBMAKE(AV$15&amp;"-"&amp;ROW(),"double",AA32)</f>
        <v>spread pay-32 
[12267]</v>
      </c>
      <c r="AW32" s="55" t="str">
        <f>[1]!OBMAKE(AW$15&amp;"-"&amp;ROW(),"String",AB32)</f>
        <v>disocunt pay-32 
[12221]</v>
      </c>
      <c r="AX32" s="55" t="str">
        <f>[1]!OBMAKE(AX$15&amp;"-"&amp;ROW(),"String",AD32)</f>
        <v>calibration curve-32 
[12058]</v>
      </c>
      <c r="AY32" s="55" t="str">
        <f>[1]!OBMAKE(AY$15&amp;"-"&amp;ROW(),"double",AE32)</f>
        <v>calibration time-32 
[14032]</v>
      </c>
      <c r="JJ32" s="14"/>
      <c r="JK32" s="14"/>
      <c r="JL32" s="14"/>
      <c r="JM32" s="14"/>
      <c r="JN32" s="14"/>
      <c r="JO32" s="14"/>
    </row>
    <row r="33" spans="1:275" ht="13.95" customHeight="1" x14ac:dyDescent="0.25">
      <c r="A33" s="48" t="str">
        <f t="shared" si="0"/>
        <v>discount-EUR-OIS-18M</v>
      </c>
      <c r="B33" s="49" t="str">
        <f>[1]!OBMAKE("calibItem-"&amp;ROW(),obLibs&amp;"net.finmath.marketdata.calibration.CalibratedCurves$CalibrationSpec",AN33:AY33)</f>
        <v>calibItem-33 
[14954]</v>
      </c>
      <c r="C33" s="49">
        <f>[1]!OBGET([1]!OBCALL("",[1]!OBCALL("",$B$11,"getCalibrationProductForSpec",B33),"getValue",[1]!OBCALL("",$B$11,"getModel")))</f>
        <v>1.1102230246251565E-16</v>
      </c>
      <c r="D33" s="14" t="str">
        <f t="shared" si="1"/>
        <v>discount-EUR-OIS-18M</v>
      </c>
      <c r="E33" s="14" t="s">
        <v>125</v>
      </c>
      <c r="F33" s="40">
        <v>2</v>
      </c>
      <c r="H33" s="40" t="s">
        <v>105</v>
      </c>
      <c r="I33" s="40" t="s">
        <v>127</v>
      </c>
      <c r="J33" s="40" t="s">
        <v>110</v>
      </c>
      <c r="K33" s="40" t="s">
        <v>108</v>
      </c>
      <c r="L33" s="40" t="s">
        <v>115</v>
      </c>
      <c r="M33" s="40">
        <v>0</v>
      </c>
      <c r="N33" s="40">
        <v>1</v>
      </c>
      <c r="O33" s="33" t="s">
        <v>39</v>
      </c>
      <c r="P33" s="40">
        <v>0</v>
      </c>
      <c r="Q33" s="33" t="s">
        <v>38</v>
      </c>
      <c r="S33" s="40" t="s">
        <v>105</v>
      </c>
      <c r="T33" s="40" t="s">
        <v>127</v>
      </c>
      <c r="U33" s="40" t="s">
        <v>110</v>
      </c>
      <c r="V33" s="40" t="s">
        <v>108</v>
      </c>
      <c r="W33" s="40" t="s">
        <v>115</v>
      </c>
      <c r="X33" s="40">
        <v>0</v>
      </c>
      <c r="Y33" s="40">
        <v>1</v>
      </c>
      <c r="Z33" s="33" t="str">
        <f>""</f>
        <v/>
      </c>
      <c r="AA33" s="51">
        <v>1.07888444222E-3</v>
      </c>
      <c r="AB33" s="33" t="s">
        <v>38</v>
      </c>
      <c r="AC33" s="53"/>
      <c r="AD33" s="33" t="str">
        <f t="shared" si="2"/>
        <v>discount-EUR-OIS</v>
      </c>
      <c r="AE33" s="54">
        <f>[1]!OBGET([1]!OBCALL("",AP33,IF(OR(AD33=Q33,AD33=AB33),"getPayment","getFixing"),[1]!OBMAKE("","int",[1]!OBGET([1]!OBCALL("",AP33,"getNumberOfPeriods"))-1)))</f>
        <v>1.5123287671232877</v>
      </c>
      <c r="AG33" s="55" t="str">
        <f>[1]!OBMAKE(AG$15&amp;"-"&amp;ROW(),"int",$F33)</f>
        <v>spot date-33 
[12240]</v>
      </c>
      <c r="AH33" s="55" t="str">
        <f>[1]!OBMAKE(AH$15&amp;"-"&amp;ROW(),"String",$H33)</f>
        <v>start offset rec-33 
[11757]</v>
      </c>
      <c r="AI33" s="55" t="str">
        <f>[1]!OBMAKE(AI$15&amp;"-"&amp;ROW(),"String",$I33)</f>
        <v>maturity rec-33 
[12105]</v>
      </c>
      <c r="AK33" s="55" t="str">
        <f>[1]!OBMAKE(AK$15&amp;"-"&amp;ROW(),"String",$S33)</f>
        <v>start offset pay-33 
[12343]</v>
      </c>
      <c r="AL33" s="55" t="str">
        <f>[1]!OBMAKE(AL$15&amp;"-"&amp;ROW(),"String",$T33)</f>
        <v>maturity pay-33 
[11778]</v>
      </c>
      <c r="AN33" s="55" t="str">
        <f>[1]!OBMAKE(AN$15&amp;"-"&amp;ROW(),"String",D33)</f>
        <v>symbol-33 
[12069]</v>
      </c>
      <c r="AO33" s="55" t="str">
        <f>[1]!OBMAKE(AO$15&amp;"-"&amp;ROW(),"String",E33)</f>
        <v>type-33 
[11745]</v>
      </c>
      <c r="AP33" s="55" t="str">
        <f>[1]!OBCALL(AP$15&amp;"-"&amp;ROW(),obLibs&amp;"net.finmath.time.ScheduleGenerator","createScheduleFromConventions",$H$8,$AG33,$AH33:$AI33,[1]!OBMAKE("","String",$J33),[1]!OBMAKE("","String",$K33),$H$9,[1]!OBMAKE("","String",$L33),$H$10,[1]!OBMAKE("","int",$M33),[1]!OBMAKE("","int",$N33))</f>
        <v>tenor rec-33 
[13062]</v>
      </c>
      <c r="AQ33" s="55" t="str">
        <f>[1]!OBMAKE(AQ$15&amp;"-"&amp;ROW(),"String",O33)</f>
        <v>forward rec-33 
[12201]</v>
      </c>
      <c r="AR33" s="55" t="str">
        <f>[1]!OBMAKE(AR$15&amp;"-"&amp;ROW(),"double",P33)</f>
        <v>spread rec-33 
[11884]</v>
      </c>
      <c r="AS33" s="55" t="str">
        <f>[1]!OBMAKE(AS$15&amp;"-"&amp;ROW(),"String",Q33)</f>
        <v>discount rec-33 
[11467]</v>
      </c>
      <c r="AT33" s="55" t="str">
        <f>[1]!OBCALL(AT$15&amp;"-"&amp;ROW(),obLibs&amp;"net.finmath.time.ScheduleGenerator","createScheduleFromConventions",$H$8,$AG33,$AK33:$AL33,[1]!OBMAKE("","String",$U33),[1]!OBMAKE("","String",$V33),$H$9,[1]!OBMAKE("","String",$L33),$H$10,[1]!OBMAKE("","int",$X33),[1]!OBMAKE("","int",$Y33))</f>
        <v>tenor pay-33 
[14567]</v>
      </c>
      <c r="AU33" s="55" t="str">
        <f>[1]!OBMAKE(AU$15&amp;"-"&amp;ROW(),"String",Z33)</f>
        <v>forward pay-33 
[11663]</v>
      </c>
      <c r="AV33" s="55" t="str">
        <f>[1]!OBMAKE(AV$15&amp;"-"&amp;ROW(),"double",AA33)</f>
        <v>spread pay-33 
[11914]</v>
      </c>
      <c r="AW33" s="55" t="str">
        <f>[1]!OBMAKE(AW$15&amp;"-"&amp;ROW(),"String",AB33)</f>
        <v>disocunt pay-33 
[11657]</v>
      </c>
      <c r="AX33" s="55" t="str">
        <f>[1]!OBMAKE(AX$15&amp;"-"&amp;ROW(),"String",AD33)</f>
        <v>calibration curve-33 
[12138]</v>
      </c>
      <c r="AY33" s="55" t="str">
        <f>[1]!OBMAKE(AY$15&amp;"-"&amp;ROW(),"double",AE33)</f>
        <v>calibration time-33 
[13066]</v>
      </c>
      <c r="JJ33" s="14"/>
      <c r="JK33" s="14"/>
      <c r="JL33" s="14"/>
      <c r="JM33" s="14"/>
      <c r="JN33" s="14"/>
      <c r="JO33" s="14"/>
    </row>
    <row r="34" spans="1:275" ht="13.95" customHeight="1" x14ac:dyDescent="0.25">
      <c r="A34" s="48" t="str">
        <f t="shared" si="0"/>
        <v>discount-EUR-OIS-21M</v>
      </c>
      <c r="B34" s="49" t="str">
        <f>[1]!OBMAKE("calibItem-"&amp;ROW(),obLibs&amp;"net.finmath.marketdata.calibration.CalibratedCurves$CalibrationSpec",AN34:AY34)</f>
        <v>calibItem-34 
[14994]</v>
      </c>
      <c r="C34" s="49">
        <f>[1]!OBGET([1]!OBCALL("",[1]!OBCALL("",$B$11,"getCalibrationProductForSpec",B34),"getValue",[1]!OBCALL("",$B$11,"getModel")))</f>
        <v>-8.8817841970012523E-16</v>
      </c>
      <c r="D34" s="14" t="str">
        <f t="shared" si="1"/>
        <v>discount-EUR-OIS-21M</v>
      </c>
      <c r="E34" s="14" t="s">
        <v>125</v>
      </c>
      <c r="F34" s="40">
        <v>2</v>
      </c>
      <c r="H34" s="40" t="s">
        <v>105</v>
      </c>
      <c r="I34" s="40" t="s">
        <v>128</v>
      </c>
      <c r="J34" s="40" t="s">
        <v>110</v>
      </c>
      <c r="K34" s="40" t="s">
        <v>108</v>
      </c>
      <c r="L34" s="40" t="s">
        <v>115</v>
      </c>
      <c r="M34" s="40">
        <v>0</v>
      </c>
      <c r="N34" s="40">
        <v>1</v>
      </c>
      <c r="O34" s="33" t="s">
        <v>39</v>
      </c>
      <c r="P34" s="40">
        <v>0</v>
      </c>
      <c r="Q34" s="33" t="s">
        <v>38</v>
      </c>
      <c r="S34" s="40" t="s">
        <v>105</v>
      </c>
      <c r="T34" s="40" t="s">
        <v>128</v>
      </c>
      <c r="U34" s="40" t="s">
        <v>110</v>
      </c>
      <c r="V34" s="40" t="s">
        <v>108</v>
      </c>
      <c r="W34" s="40" t="s">
        <v>115</v>
      </c>
      <c r="X34" s="40">
        <v>0</v>
      </c>
      <c r="Y34" s="40">
        <v>1</v>
      </c>
      <c r="Z34" s="33" t="str">
        <f>""</f>
        <v/>
      </c>
      <c r="AA34" s="51">
        <v>1.0088669334700001E-3</v>
      </c>
      <c r="AB34" s="33" t="s">
        <v>38</v>
      </c>
      <c r="AC34" s="53"/>
      <c r="AD34" s="33" t="str">
        <f t="shared" si="2"/>
        <v>discount-EUR-OIS</v>
      </c>
      <c r="AE34" s="54">
        <f>[1]!OBGET([1]!OBCALL("",AP34,IF(OR(AD34=Q34,AD34=AB34),"getPayment","getFixing"),[1]!OBMAKE("","int",[1]!OBGET([1]!OBCALL("",AP34,"getNumberOfPeriods"))-1)))</f>
        <v>1.7643835616438357</v>
      </c>
      <c r="AG34" s="55" t="str">
        <f>[1]!OBMAKE(AG$15&amp;"-"&amp;ROW(),"int",$F34)</f>
        <v>spot date-34 
[12029]</v>
      </c>
      <c r="AH34" s="55" t="str">
        <f>[1]!OBMAKE(AH$15&amp;"-"&amp;ROW(),"String",$H34)</f>
        <v>start offset rec-34 
[12031]</v>
      </c>
      <c r="AI34" s="55" t="str">
        <f>[1]!OBMAKE(AI$15&amp;"-"&amp;ROW(),"String",$I34)</f>
        <v>maturity rec-34 
[11624]</v>
      </c>
      <c r="AK34" s="55" t="str">
        <f>[1]!OBMAKE(AK$15&amp;"-"&amp;ROW(),"String",$S34)</f>
        <v>start offset pay-34 
[11829]</v>
      </c>
      <c r="AL34" s="55" t="str">
        <f>[1]!OBMAKE(AL$15&amp;"-"&amp;ROW(),"String",$T34)</f>
        <v>maturity pay-34 
[11530]</v>
      </c>
      <c r="AN34" s="55" t="str">
        <f>[1]!OBMAKE(AN$15&amp;"-"&amp;ROW(),"String",D34)</f>
        <v>symbol-34 
[12011]</v>
      </c>
      <c r="AO34" s="55" t="str">
        <f>[1]!OBMAKE(AO$15&amp;"-"&amp;ROW(),"String",E34)</f>
        <v>type-34 
[11505]</v>
      </c>
      <c r="AP34" s="55" t="str">
        <f>[1]!OBCALL(AP$15&amp;"-"&amp;ROW(),obLibs&amp;"net.finmath.time.ScheduleGenerator","createScheduleFromConventions",$H$8,$AG34,$AH34:$AI34,[1]!OBMAKE("","String",$J34),[1]!OBMAKE("","String",$K34),$H$9,[1]!OBMAKE("","String",$L34),$H$10,[1]!OBMAKE("","int",$M34),[1]!OBMAKE("","int",$N34))</f>
        <v>tenor rec-34 
[14628]</v>
      </c>
      <c r="AQ34" s="55" t="str">
        <f>[1]!OBMAKE(AQ$15&amp;"-"&amp;ROW(),"String",O34)</f>
        <v>forward rec-34 
[11630]</v>
      </c>
      <c r="AR34" s="55" t="str">
        <f>[1]!OBMAKE(AR$15&amp;"-"&amp;ROW(),"double",P34)</f>
        <v>spread rec-34 
[11480]</v>
      </c>
      <c r="AS34" s="55" t="str">
        <f>[1]!OBMAKE(AS$15&amp;"-"&amp;ROW(),"String",Q34)</f>
        <v>discount rec-34 
[11879]</v>
      </c>
      <c r="AT34" s="55" t="str">
        <f>[1]!OBCALL(AT$15&amp;"-"&amp;ROW(),obLibs&amp;"net.finmath.time.ScheduleGenerator","createScheduleFromConventions",$H$8,$AG34,$AK34:$AL34,[1]!OBMAKE("","String",$U34),[1]!OBMAKE("","String",$V34),$H$9,[1]!OBMAKE("","String",$L34),$H$10,[1]!OBMAKE("","int",$X34),[1]!OBMAKE("","int",$Y34))</f>
        <v>tenor pay-34 
[13451]</v>
      </c>
      <c r="AU34" s="55" t="str">
        <f>[1]!OBMAKE(AU$15&amp;"-"&amp;ROW(),"String",Z34)</f>
        <v>forward pay-34 
[12090]</v>
      </c>
      <c r="AV34" s="55" t="str">
        <f>[1]!OBMAKE(AV$15&amp;"-"&amp;ROW(),"double",AA34)</f>
        <v>spread pay-34 
[11521]</v>
      </c>
      <c r="AW34" s="55" t="str">
        <f>[1]!OBMAKE(AW$15&amp;"-"&amp;ROW(),"String",AB34)</f>
        <v>disocunt pay-34 
[11435]</v>
      </c>
      <c r="AX34" s="55" t="str">
        <f>[1]!OBMAKE(AX$15&amp;"-"&amp;ROW(),"String",AD34)</f>
        <v>calibration curve-34 
[12199]</v>
      </c>
      <c r="AY34" s="55" t="str">
        <f>[1]!OBMAKE(AY$15&amp;"-"&amp;ROW(),"double",AE34)</f>
        <v>calibration time-34 
[14632]</v>
      </c>
      <c r="JJ34" s="14"/>
      <c r="JK34" s="14"/>
      <c r="JL34" s="14"/>
      <c r="JM34" s="14"/>
      <c r="JN34" s="14"/>
      <c r="JO34" s="14"/>
    </row>
    <row r="35" spans="1:275" ht="13.95" customHeight="1" x14ac:dyDescent="0.25">
      <c r="A35" s="48" t="str">
        <f t="shared" si="0"/>
        <v>discount-EUR-OIS-2Y</v>
      </c>
      <c r="B35" s="49" t="str">
        <f>[1]!OBMAKE("calibItem-"&amp;ROW(),obLibs&amp;"net.finmath.marketdata.calibration.CalibratedCurves$CalibrationSpec",AN35:AY35)</f>
        <v>calibItem-35 
[14926]</v>
      </c>
      <c r="C35" s="49">
        <f>[1]!OBGET([1]!OBCALL("",[1]!OBCALL("",$B$11,"getCalibrationProductForSpec",B35),"getValue",[1]!OBCALL("",$B$11,"getModel")))</f>
        <v>1.1102231018608114E-15</v>
      </c>
      <c r="D35" s="14" t="str">
        <f t="shared" si="1"/>
        <v>discount-EUR-OIS-2Y</v>
      </c>
      <c r="E35" s="14" t="s">
        <v>125</v>
      </c>
      <c r="F35" s="40">
        <v>2</v>
      </c>
      <c r="H35" s="40" t="s">
        <v>105</v>
      </c>
      <c r="I35" s="40" t="s">
        <v>129</v>
      </c>
      <c r="J35" s="40" t="s">
        <v>110</v>
      </c>
      <c r="K35" s="40" t="s">
        <v>130</v>
      </c>
      <c r="L35" s="40" t="s">
        <v>109</v>
      </c>
      <c r="M35" s="40">
        <v>0</v>
      </c>
      <c r="N35" s="40">
        <v>0</v>
      </c>
      <c r="O35" s="33" t="s">
        <v>39</v>
      </c>
      <c r="P35" s="40">
        <v>0</v>
      </c>
      <c r="Q35" s="33" t="s">
        <v>38</v>
      </c>
      <c r="S35" s="40" t="s">
        <v>105</v>
      </c>
      <c r="T35" s="40" t="str">
        <f t="shared" ref="T35:T51" si="3">I35</f>
        <v>2Y</v>
      </c>
      <c r="U35" s="40" t="s">
        <v>110</v>
      </c>
      <c r="V35" s="40" t="s">
        <v>108</v>
      </c>
      <c r="W35" s="40" t="s">
        <v>109</v>
      </c>
      <c r="X35" s="40">
        <v>0</v>
      </c>
      <c r="Y35" s="40">
        <v>0</v>
      </c>
      <c r="Z35" s="33" t="str">
        <f>""</f>
        <v/>
      </c>
      <c r="AA35" s="51">
        <v>1.01E-3</v>
      </c>
      <c r="AB35" s="33" t="s">
        <v>38</v>
      </c>
      <c r="AC35" s="53"/>
      <c r="AD35" s="33" t="str">
        <f t="shared" si="2"/>
        <v>discount-EUR-OIS</v>
      </c>
      <c r="AE35" s="54">
        <f>[1]!OBGET([1]!OBCALL("",AP35,IF(OR(AD35=Q35,AD35=AB35),"getPayment","getFixing"),[1]!OBMAKE("","int",[1]!OBGET([1]!OBCALL("",AP35,"getNumberOfPeriods"))-1)))</f>
        <v>2.010958904109589</v>
      </c>
      <c r="AG35" s="55" t="str">
        <f>[1]!OBMAKE(AG$15&amp;"-"&amp;ROW(),"int",$F35)</f>
        <v>spot date-35 
[12157]</v>
      </c>
      <c r="AH35" s="55" t="str">
        <f>[1]!OBMAKE(AH$15&amp;"-"&amp;ROW(),"String",$H35)</f>
        <v>start offset rec-35 
[12351]</v>
      </c>
      <c r="AI35" s="55" t="str">
        <f>[1]!OBMAKE(AI$15&amp;"-"&amp;ROW(),"String",$I35)</f>
        <v>maturity rec-35 
[11402]</v>
      </c>
      <c r="AK35" s="55" t="str">
        <f>[1]!OBMAKE(AK$15&amp;"-"&amp;ROW(),"String",$S35)</f>
        <v>start offset pay-35 
[12250]</v>
      </c>
      <c r="AL35" s="55" t="str">
        <f>[1]!OBMAKE(AL$15&amp;"-"&amp;ROW(),"String",$T35)</f>
        <v>maturity pay-35 
[12264]</v>
      </c>
      <c r="AN35" s="55" t="str">
        <f>[1]!OBMAKE(AN$15&amp;"-"&amp;ROW(),"String",D35)</f>
        <v>symbol-35 
[11518]</v>
      </c>
      <c r="AO35" s="55" t="str">
        <f>[1]!OBMAKE(AO$15&amp;"-"&amp;ROW(),"String",E35)</f>
        <v>type-35 
[12001]</v>
      </c>
      <c r="AP35" s="55" t="str">
        <f>[1]!OBCALL(AP$15&amp;"-"&amp;ROW(),obLibs&amp;"net.finmath.time.ScheduleGenerator","createScheduleFromConventions",$H$8,$AG35,$AH35:$AI35,[1]!OBMAKE("","String",$J35),[1]!OBMAKE("","String",$K35),$H$9,[1]!OBMAKE("","String",$L35),$H$10,[1]!OBMAKE("","int",$M35),[1]!OBMAKE("","int",$N35))</f>
        <v>tenor rec-35 
[14155]</v>
      </c>
      <c r="AQ35" s="55" t="str">
        <f>[1]!OBMAKE(AQ$15&amp;"-"&amp;ROW(),"String",O35)</f>
        <v>forward rec-35 
[11511]</v>
      </c>
      <c r="AR35" s="55" t="str">
        <f>[1]!OBMAKE(AR$15&amp;"-"&amp;ROW(),"double",P35)</f>
        <v>spread rec-35 
[11726]</v>
      </c>
      <c r="AS35" s="55" t="str">
        <f>[1]!OBMAKE(AS$15&amp;"-"&amp;ROW(),"String",Q35)</f>
        <v>discount rec-35 
[11716]</v>
      </c>
      <c r="AT35" s="55" t="str">
        <f>[1]!OBCALL(AT$15&amp;"-"&amp;ROW(),obLibs&amp;"net.finmath.time.ScheduleGenerator","createScheduleFromConventions",$H$8,$AG35,$AK35:$AL35,[1]!OBMAKE("","String",$U35),[1]!OBMAKE("","String",$V35),$H$9,[1]!OBMAKE("","String",$L35),$H$10,[1]!OBMAKE("","int",$X35),[1]!OBMAKE("","int",$Y35))</f>
        <v>tenor pay-35 
[13666]</v>
      </c>
      <c r="AU35" s="55" t="str">
        <f>[1]!OBMAKE(AU$15&amp;"-"&amp;ROW(),"String",Z35)</f>
        <v>forward pay-35 
[11926]</v>
      </c>
      <c r="AV35" s="55" t="str">
        <f>[1]!OBMAKE(AV$15&amp;"-"&amp;ROW(),"double",AA35)</f>
        <v>spread pay-35 
[11786]</v>
      </c>
      <c r="AW35" s="55" t="str">
        <f>[1]!OBMAKE(AW$15&amp;"-"&amp;ROW(),"String",AB35)</f>
        <v>disocunt pay-35 
[11307]</v>
      </c>
      <c r="AX35" s="55" t="str">
        <f>[1]!OBMAKE(AX$15&amp;"-"&amp;ROW(),"String",AD35)</f>
        <v>calibration curve-35 
[11769]</v>
      </c>
      <c r="AY35" s="55" t="str">
        <f>[1]!OBMAKE(AY$15&amp;"-"&amp;ROW(),"double",AE35)</f>
        <v>calibration time-35 
[14210]</v>
      </c>
      <c r="JJ35" s="14"/>
      <c r="JK35" s="14"/>
      <c r="JL35" s="14"/>
      <c r="JM35" s="14"/>
      <c r="JN35" s="14"/>
      <c r="JO35" s="14"/>
    </row>
    <row r="36" spans="1:275" ht="13.95" customHeight="1" x14ac:dyDescent="0.25">
      <c r="A36" s="48" t="str">
        <f t="shared" si="0"/>
        <v>discount-EUR-OIS-3Y</v>
      </c>
      <c r="B36" s="49" t="str">
        <f>[1]!OBMAKE("calibItem-"&amp;ROW(),obLibs&amp;"net.finmath.marketdata.calibration.CalibratedCurves$CalibrationSpec",AN36:AY36)</f>
        <v>calibItem-36 
[14903]</v>
      </c>
      <c r="C36" s="49">
        <f>[1]!OBGET([1]!OBCALL("",[1]!OBCALL("",$B$11,"getCalibrationProductForSpec",B36),"getValue",[1]!OBCALL("",$B$11,"getModel")))</f>
        <v>-5.551115509304058E-16</v>
      </c>
      <c r="D36" s="14" t="str">
        <f t="shared" si="1"/>
        <v>discount-EUR-OIS-3Y</v>
      </c>
      <c r="E36" s="14" t="s">
        <v>125</v>
      </c>
      <c r="F36" s="40">
        <v>2</v>
      </c>
      <c r="H36" s="40" t="s">
        <v>105</v>
      </c>
      <c r="I36" s="40" t="s">
        <v>131</v>
      </c>
      <c r="J36" s="40" t="s">
        <v>110</v>
      </c>
      <c r="K36" s="40" t="s">
        <v>130</v>
      </c>
      <c r="L36" s="40" t="s">
        <v>109</v>
      </c>
      <c r="M36" s="40">
        <v>0</v>
      </c>
      <c r="N36" s="40">
        <v>0</v>
      </c>
      <c r="O36" s="33" t="s">
        <v>39</v>
      </c>
      <c r="P36" s="40">
        <v>0</v>
      </c>
      <c r="Q36" s="33" t="s">
        <v>38</v>
      </c>
      <c r="S36" s="40" t="s">
        <v>105</v>
      </c>
      <c r="T36" s="40" t="str">
        <f t="shared" si="3"/>
        <v>3Y</v>
      </c>
      <c r="U36" s="40" t="s">
        <v>110</v>
      </c>
      <c r="V36" s="40" t="s">
        <v>108</v>
      </c>
      <c r="W36" s="40" t="s">
        <v>109</v>
      </c>
      <c r="X36" s="40">
        <v>0</v>
      </c>
      <c r="Y36" s="40">
        <v>0</v>
      </c>
      <c r="Z36" s="33" t="str">
        <f>""</f>
        <v/>
      </c>
      <c r="AA36" s="51">
        <v>1.9400000000000001E-3</v>
      </c>
      <c r="AB36" s="33" t="s">
        <v>38</v>
      </c>
      <c r="AC36" s="53"/>
      <c r="AD36" s="33" t="str">
        <f t="shared" si="2"/>
        <v>discount-EUR-OIS</v>
      </c>
      <c r="AE36" s="54">
        <f>[1]!OBGET([1]!OBCALL("",AP36,IF(OR(AD36=Q36,AD36=AB36),"getPayment","getFixing"),[1]!OBMAKE("","int",[1]!OBGET([1]!OBCALL("",AP36,"getNumberOfPeriods"))-1)))</f>
        <v>3.0082191780821916</v>
      </c>
      <c r="AG36" s="55" t="str">
        <f>[1]!OBMAKE(AG$15&amp;"-"&amp;ROW(),"int",$F36)</f>
        <v>spot date-36 
[11542]</v>
      </c>
      <c r="AH36" s="55" t="str">
        <f>[1]!OBMAKE(AH$15&amp;"-"&amp;ROW(),"String",$H36)</f>
        <v>start offset rec-36 
[12212]</v>
      </c>
      <c r="AI36" s="55" t="str">
        <f>[1]!OBMAKE(AI$15&amp;"-"&amp;ROW(),"String",$I36)</f>
        <v>maturity rec-36 
[11203]</v>
      </c>
      <c r="AK36" s="55" t="str">
        <f>[1]!OBMAKE(AK$15&amp;"-"&amp;ROW(),"String",$S36)</f>
        <v>start offset pay-36 
[12085]</v>
      </c>
      <c r="AL36" s="55" t="str">
        <f>[1]!OBMAKE(AL$15&amp;"-"&amp;ROW(),"String",$T36)</f>
        <v>maturity pay-36 
[11795]</v>
      </c>
      <c r="AN36" s="55" t="str">
        <f>[1]!OBMAKE(AN$15&amp;"-"&amp;ROW(),"String",D36)</f>
        <v>symbol-36 
[12185]</v>
      </c>
      <c r="AO36" s="55" t="str">
        <f>[1]!OBMAKE(AO$15&amp;"-"&amp;ROW(),"String",E36)</f>
        <v>type-36 
[12285]</v>
      </c>
      <c r="AP36" s="55" t="str">
        <f>[1]!OBCALL(AP$15&amp;"-"&amp;ROW(),obLibs&amp;"net.finmath.time.ScheduleGenerator","createScheduleFromConventions",$H$8,$AG36,$AH36:$AI36,[1]!OBMAKE("","String",$J36),[1]!OBMAKE("","String",$K36),$H$9,[1]!OBMAKE("","String",$L36),$H$10,[1]!OBMAKE("","int",$M36),[1]!OBMAKE("","int",$N36))</f>
        <v>tenor rec-36 
[13752]</v>
      </c>
      <c r="AQ36" s="55" t="str">
        <f>[1]!OBMAKE(AQ$15&amp;"-"&amp;ROW(),"String",O36)</f>
        <v>forward rec-36 
[11977]</v>
      </c>
      <c r="AR36" s="55" t="str">
        <f>[1]!OBMAKE(AR$15&amp;"-"&amp;ROW(),"double",P36)</f>
        <v>spread rec-36 
[11982]</v>
      </c>
      <c r="AS36" s="55" t="str">
        <f>[1]!OBMAKE(AS$15&amp;"-"&amp;ROW(),"String",Q36)</f>
        <v>discount rec-36 
[11972]</v>
      </c>
      <c r="AT36" s="55" t="str">
        <f>[1]!OBCALL(AT$15&amp;"-"&amp;ROW(),obLibs&amp;"net.finmath.time.ScheduleGenerator","createScheduleFromConventions",$H$8,$AG36,$AK36:$AL36,[1]!OBMAKE("","String",$U36),[1]!OBMAKE("","String",$V36),$H$9,[1]!OBMAKE("","String",$L36),$H$10,[1]!OBMAKE("","int",$X36),[1]!OBMAKE("","int",$Y36))</f>
        <v>tenor pay-36 
[13516]</v>
      </c>
      <c r="AU36" s="55" t="str">
        <f>[1]!OBMAKE(AU$15&amp;"-"&amp;ROW(),"String",Z36)</f>
        <v>forward pay-36 
[12266]</v>
      </c>
      <c r="AV36" s="55" t="str">
        <f>[1]!OBMAKE(AV$15&amp;"-"&amp;ROW(),"double",AA36)</f>
        <v>spread pay-36 
[12013]</v>
      </c>
      <c r="AW36" s="55" t="str">
        <f>[1]!OBMAKE(AW$15&amp;"-"&amp;ROW(),"String",AB36)</f>
        <v>disocunt pay-36 
[11872]</v>
      </c>
      <c r="AX36" s="55" t="str">
        <f>[1]!OBMAKE(AX$15&amp;"-"&amp;ROW(),"String",AD36)</f>
        <v>calibration curve-36 
[11922]</v>
      </c>
      <c r="AY36" s="55" t="str">
        <f>[1]!OBMAKE(AY$15&amp;"-"&amp;ROW(),"double",AE36)</f>
        <v>calibration time-36 
[13944]</v>
      </c>
      <c r="JJ36" s="14"/>
      <c r="JK36" s="14"/>
      <c r="JL36" s="14"/>
      <c r="JM36" s="14"/>
      <c r="JN36" s="14"/>
      <c r="JO36" s="14"/>
    </row>
    <row r="37" spans="1:275" ht="13.2" customHeight="1" x14ac:dyDescent="0.25">
      <c r="A37" s="48" t="str">
        <f t="shared" si="0"/>
        <v>discount-EUR-OIS-4Y</v>
      </c>
      <c r="B37" s="49" t="str">
        <f>[1]!OBMAKE("calibItem-"&amp;ROW(),obLibs&amp;"net.finmath.marketdata.calibration.CalibratedCurves$CalibrationSpec",AN37:AY37)</f>
        <v>calibItem-37 
[14947]</v>
      </c>
      <c r="C37" s="49">
        <f>[1]!OBGET([1]!OBCALL("",[1]!OBCALL("",$B$11,"getCalibrationProductForSpec",B37),"getValue",[1]!OBCALL("",$B$11,"getModel")))</f>
        <v>1.9984015833494608E-15</v>
      </c>
      <c r="D37" s="14" t="str">
        <f t="shared" si="1"/>
        <v>discount-EUR-OIS-4Y</v>
      </c>
      <c r="E37" s="14" t="s">
        <v>125</v>
      </c>
      <c r="F37" s="40">
        <v>2</v>
      </c>
      <c r="H37" s="40" t="s">
        <v>105</v>
      </c>
      <c r="I37" s="40" t="s">
        <v>132</v>
      </c>
      <c r="J37" s="40" t="s">
        <v>110</v>
      </c>
      <c r="K37" s="40" t="s">
        <v>130</v>
      </c>
      <c r="L37" s="40" t="s">
        <v>109</v>
      </c>
      <c r="M37" s="40">
        <v>0</v>
      </c>
      <c r="N37" s="40">
        <v>0</v>
      </c>
      <c r="O37" s="33" t="s">
        <v>39</v>
      </c>
      <c r="P37" s="40">
        <v>0</v>
      </c>
      <c r="Q37" s="33" t="s">
        <v>38</v>
      </c>
      <c r="S37" s="40" t="s">
        <v>105</v>
      </c>
      <c r="T37" s="40" t="str">
        <f t="shared" si="3"/>
        <v>4Y</v>
      </c>
      <c r="U37" s="40" t="s">
        <v>110</v>
      </c>
      <c r="V37" s="40" t="s">
        <v>108</v>
      </c>
      <c r="W37" s="40" t="s">
        <v>109</v>
      </c>
      <c r="X37" s="40">
        <v>0</v>
      </c>
      <c r="Y37" s="40">
        <v>0</v>
      </c>
      <c r="Z37" s="33" t="str">
        <f>""</f>
        <v/>
      </c>
      <c r="AA37" s="51">
        <v>3.46E-3</v>
      </c>
      <c r="AB37" s="33" t="s">
        <v>38</v>
      </c>
      <c r="AC37" s="53"/>
      <c r="AD37" s="33" t="str">
        <f t="shared" si="2"/>
        <v>discount-EUR-OIS</v>
      </c>
      <c r="AE37" s="54">
        <f>[1]!OBGET([1]!OBCALL("",AP37,IF(OR(AD37=Q37,AD37=AB37),"getPayment","getFixing"),[1]!OBMAKE("","int",[1]!OBGET([1]!OBCALL("",AP37,"getNumberOfPeriods"))-1)))</f>
        <v>4.0082191780821921</v>
      </c>
      <c r="AG37" s="55" t="str">
        <f>[1]!OBMAKE(AG$15&amp;"-"&amp;ROW(),"int",$F37)</f>
        <v>spot date-37 
[11441]</v>
      </c>
      <c r="AH37" s="55" t="str">
        <f>[1]!OBMAKE(AH$15&amp;"-"&amp;ROW(),"String",$H37)</f>
        <v>start offset rec-37 
[12160]</v>
      </c>
      <c r="AI37" s="55" t="str">
        <f>[1]!OBMAKE(AI$15&amp;"-"&amp;ROW(),"String",$I37)</f>
        <v>maturity rec-37 
[11274]</v>
      </c>
      <c r="AK37" s="55" t="str">
        <f>[1]!OBMAKE(AK$15&amp;"-"&amp;ROW(),"String",$S37)</f>
        <v>start offset pay-37 
[12144]</v>
      </c>
      <c r="AL37" s="55" t="str">
        <f>[1]!OBMAKE(AL$15&amp;"-"&amp;ROW(),"String",$T37)</f>
        <v>maturity pay-37 
[12098]</v>
      </c>
      <c r="AN37" s="55" t="str">
        <f>[1]!OBMAKE(AN$15&amp;"-"&amp;ROW(),"String",D37)</f>
        <v>symbol-37 
[11898]</v>
      </c>
      <c r="AO37" s="55" t="str">
        <f>[1]!OBMAKE(AO$15&amp;"-"&amp;ROW(),"String",E37)</f>
        <v>type-37 
[11893]</v>
      </c>
      <c r="AP37" s="55" t="str">
        <f>[1]!OBCALL(AP$15&amp;"-"&amp;ROW(),obLibs&amp;"net.finmath.time.ScheduleGenerator","createScheduleFromConventions",$H$8,$AG37,$AH37:$AI37,[1]!OBMAKE("","String",$J37),[1]!OBMAKE("","String",$K37),$H$9,[1]!OBMAKE("","String",$L37),$H$10,[1]!OBMAKE("","int",$M37),[1]!OBMAKE("","int",$N37))</f>
        <v>tenor rec-37 
[14391]</v>
      </c>
      <c r="AQ37" s="55" t="str">
        <f>[1]!OBMAKE(AQ$15&amp;"-"&amp;ROW(),"String",O37)</f>
        <v>forward rec-37 
[11806]</v>
      </c>
      <c r="AR37" s="55" t="str">
        <f>[1]!OBMAKE(AR$15&amp;"-"&amp;ROW(),"double",P37)</f>
        <v>spread rec-37 
[12329]</v>
      </c>
      <c r="AS37" s="55" t="str">
        <f>[1]!OBMAKE(AS$15&amp;"-"&amp;ROW(),"String",Q37)</f>
        <v>discount rec-37 
[11466]</v>
      </c>
      <c r="AT37" s="55" t="str">
        <f>[1]!OBCALL(AT$15&amp;"-"&amp;ROW(),obLibs&amp;"net.finmath.time.ScheduleGenerator","createScheduleFromConventions",$H$8,$AG37,$AK37:$AL37,[1]!OBMAKE("","String",$U37),[1]!OBMAKE("","String",$V37),$H$9,[1]!OBMAKE("","String",$L37),$H$10,[1]!OBMAKE("","int",$X37),[1]!OBMAKE("","int",$Y37))</f>
        <v>tenor pay-37 
[13979]</v>
      </c>
      <c r="AU37" s="55" t="str">
        <f>[1]!OBMAKE(AU$15&amp;"-"&amp;ROW(),"String",Z37)</f>
        <v>forward pay-37 
[12232]</v>
      </c>
      <c r="AV37" s="55" t="str">
        <f>[1]!OBMAKE(AV$15&amp;"-"&amp;ROW(),"double",AA37)</f>
        <v>spread pay-37 
[12042]</v>
      </c>
      <c r="AW37" s="55" t="str">
        <f>[1]!OBMAKE(AW$15&amp;"-"&amp;ROW(),"String",AB37)</f>
        <v>disocunt pay-37 
[11656]</v>
      </c>
      <c r="AX37" s="55" t="str">
        <f>[1]!OBMAKE(AX$15&amp;"-"&amp;ROW(),"String",AD37)</f>
        <v>calibration curve-37 
[11537]</v>
      </c>
      <c r="AY37" s="55" t="str">
        <f>[1]!OBMAKE(AY$15&amp;"-"&amp;ROW(),"double",AE37)</f>
        <v>calibration time-37 
[14395]</v>
      </c>
      <c r="JJ37" s="14"/>
      <c r="JK37" s="14"/>
      <c r="JL37" s="14"/>
      <c r="JM37" s="14"/>
      <c r="JN37" s="14"/>
      <c r="JO37" s="14"/>
    </row>
    <row r="38" spans="1:275" ht="13.2" customHeight="1" x14ac:dyDescent="0.25">
      <c r="A38" s="48" t="str">
        <f t="shared" si="0"/>
        <v>discount-EUR-OIS-5Y</v>
      </c>
      <c r="B38" s="49" t="str">
        <f>[1]!OBMAKE("calibItem-"&amp;ROW(),obLibs&amp;"net.finmath.marketdata.calibration.CalibratedCurves$CalibrationSpec",AN38:AY38)</f>
        <v>calibItem-38 
[14894]</v>
      </c>
      <c r="C38" s="49">
        <f>[1]!OBGET([1]!OBCALL("",[1]!OBCALL("",$B$11,"getCalibrationProductForSpec",B38),"getValue",[1]!OBCALL("",$B$11,"getModel")))</f>
        <v>-1.7763569629772984E-15</v>
      </c>
      <c r="D38" s="14" t="str">
        <f t="shared" si="1"/>
        <v>discount-EUR-OIS-5Y</v>
      </c>
      <c r="E38" s="14" t="s">
        <v>125</v>
      </c>
      <c r="F38" s="40">
        <v>2</v>
      </c>
      <c r="H38" s="40" t="s">
        <v>105</v>
      </c>
      <c r="I38" s="40" t="s">
        <v>133</v>
      </c>
      <c r="J38" s="40" t="s">
        <v>110</v>
      </c>
      <c r="K38" s="40" t="s">
        <v>130</v>
      </c>
      <c r="L38" s="40" t="s">
        <v>109</v>
      </c>
      <c r="M38" s="40">
        <v>0</v>
      </c>
      <c r="N38" s="40">
        <v>0</v>
      </c>
      <c r="O38" s="33" t="s">
        <v>39</v>
      </c>
      <c r="P38" s="40">
        <v>0</v>
      </c>
      <c r="Q38" s="33" t="s">
        <v>38</v>
      </c>
      <c r="S38" s="40" t="s">
        <v>105</v>
      </c>
      <c r="T38" s="40" t="str">
        <f t="shared" si="3"/>
        <v>5Y</v>
      </c>
      <c r="U38" s="40" t="s">
        <v>110</v>
      </c>
      <c r="V38" s="40" t="s">
        <v>108</v>
      </c>
      <c r="W38" s="40" t="s">
        <v>109</v>
      </c>
      <c r="X38" s="40">
        <v>0</v>
      </c>
      <c r="Y38" s="40">
        <v>0</v>
      </c>
      <c r="Z38" s="33" t="str">
        <f>""</f>
        <v/>
      </c>
      <c r="AA38" s="51">
        <v>5.3400000000000001E-3</v>
      </c>
      <c r="AB38" s="33" t="s">
        <v>38</v>
      </c>
      <c r="AC38" s="53"/>
      <c r="AD38" s="33" t="str">
        <f t="shared" si="2"/>
        <v>discount-EUR-OIS</v>
      </c>
      <c r="AE38" s="54">
        <f>[1]!OBGET([1]!OBCALL("",AP38,IF(OR(AD38=Q38,AD38=AB38),"getPayment","getFixing"),[1]!OBMAKE("","int",[1]!OBGET([1]!OBCALL("",AP38,"getNumberOfPeriods"))-1)))</f>
        <v>5.0109589041095894</v>
      </c>
      <c r="AG38" s="55" t="str">
        <f>[1]!OBMAKE(AG$15&amp;"-"&amp;ROW(),"int",$F38)</f>
        <v>spot date-38 
[11408]</v>
      </c>
      <c r="AH38" s="55" t="str">
        <f>[1]!OBMAKE(AH$15&amp;"-"&amp;ROW(),"String",$H38)</f>
        <v>start offset rec-38 
[12190]</v>
      </c>
      <c r="AI38" s="55" t="str">
        <f>[1]!OBMAKE(AI$15&amp;"-"&amp;ROW(),"String",$I38)</f>
        <v>maturity rec-38 
[11695]</v>
      </c>
      <c r="AK38" s="55" t="str">
        <f>[1]!OBMAKE(AK$15&amp;"-"&amp;ROW(),"String",$S38)</f>
        <v>start offset pay-38 
[12357]</v>
      </c>
      <c r="AL38" s="55" t="str">
        <f>[1]!OBMAKE(AL$15&amp;"-"&amp;ROW(),"String",$T38)</f>
        <v>maturity pay-38 
[12163]</v>
      </c>
      <c r="AN38" s="55" t="str">
        <f>[1]!OBMAKE(AN$15&amp;"-"&amp;ROW(),"String",D38)</f>
        <v>symbol-38 
[11754]</v>
      </c>
      <c r="AO38" s="55" t="str">
        <f>[1]!OBMAKE(AO$15&amp;"-"&amp;ROW(),"String",E38)</f>
        <v>type-38 
[11504]</v>
      </c>
      <c r="AP38" s="55" t="str">
        <f>[1]!OBCALL(AP$15&amp;"-"&amp;ROW(),obLibs&amp;"net.finmath.time.ScheduleGenerator","createScheduleFromConventions",$H$8,$AG38,$AH38:$AI38,[1]!OBMAKE("","String",$J38),[1]!OBMAKE("","String",$K38),$H$9,[1]!OBMAKE("","String",$L38),$H$10,[1]!OBMAKE("","int",$M38),[1]!OBMAKE("","int",$N38))</f>
        <v>tenor rec-38 
[14756]</v>
      </c>
      <c r="AQ38" s="55" t="str">
        <f>[1]!OBMAKE(AQ$15&amp;"-"&amp;ROW(),"String",O38)</f>
        <v>forward rec-38 
[11783]</v>
      </c>
      <c r="AR38" s="55" t="str">
        <f>[1]!OBMAKE(AR$15&amp;"-"&amp;ROW(),"double",P38)</f>
        <v>spread rec-38 
[11479]</v>
      </c>
      <c r="AS38" s="55" t="str">
        <f>[1]!OBMAKE(AS$15&amp;"-"&amp;ROW(),"String",Q38)</f>
        <v>discount rec-38 
[12256]</v>
      </c>
      <c r="AT38" s="55" t="str">
        <f>[1]!OBCALL(AT$15&amp;"-"&amp;ROW(),obLibs&amp;"net.finmath.time.ScheduleGenerator","createScheduleFromConventions",$H$8,$AG38,$AK38:$AL38,[1]!OBMAKE("","String",$U38),[1]!OBMAKE("","String",$V38),$H$9,[1]!OBMAKE("","String",$L38),$H$10,[1]!OBMAKE("","int",$X38),[1]!OBMAKE("","int",$Y38))</f>
        <v>tenor pay-38 
[14143]</v>
      </c>
      <c r="AU38" s="55" t="str">
        <f>[1]!OBMAKE(AU$15&amp;"-"&amp;ROW(),"String",Z38)</f>
        <v>forward pay-38 
[12050]</v>
      </c>
      <c r="AV38" s="55" t="str">
        <f>[1]!OBMAKE(AV$15&amp;"-"&amp;ROW(),"double",AA38)</f>
        <v>spread pay-38 
[12287]</v>
      </c>
      <c r="AW38" s="55" t="str">
        <f>[1]!OBMAKE(AW$15&amp;"-"&amp;ROW(),"String",AB38)</f>
        <v>disocunt pay-38 
[11434]</v>
      </c>
      <c r="AX38" s="55" t="str">
        <f>[1]!OBMAKE(AX$15&amp;"-"&amp;ROW(),"String",AD38)</f>
        <v>calibration curve-38 
[11802]</v>
      </c>
      <c r="AY38" s="55" t="str">
        <f>[1]!OBMAKE(AY$15&amp;"-"&amp;ROW(),"double",AE38)</f>
        <v>calibration time-38 
[14760]</v>
      </c>
      <c r="JJ38" s="14"/>
      <c r="JK38" s="14"/>
      <c r="JL38" s="14"/>
      <c r="JM38" s="14"/>
      <c r="JN38" s="14"/>
      <c r="JO38" s="14"/>
    </row>
    <row r="39" spans="1:275" ht="13.2" customHeight="1" x14ac:dyDescent="0.25">
      <c r="A39" s="48" t="str">
        <f t="shared" si="0"/>
        <v>discount-EUR-OIS-6Y</v>
      </c>
      <c r="B39" s="49" t="str">
        <f>[1]!OBMAKE("calibItem-"&amp;ROW(),obLibs&amp;"net.finmath.marketdata.calibration.CalibratedCurves$CalibrationSpec",AN39:AY39)</f>
        <v>calibItem-39 
[14917]</v>
      </c>
      <c r="C39" s="49">
        <f>[1]!OBGET([1]!OBCALL("",[1]!OBCALL("",$B$11,"getCalibrationProductForSpec",B39),"getValue",[1]!OBCALL("",$B$11,"getModel")))</f>
        <v>4.8849816481875704E-15</v>
      </c>
      <c r="D39" s="14" t="str">
        <f t="shared" si="1"/>
        <v>discount-EUR-OIS-6Y</v>
      </c>
      <c r="E39" s="14" t="s">
        <v>125</v>
      </c>
      <c r="F39" s="40">
        <v>2</v>
      </c>
      <c r="H39" s="40" t="s">
        <v>105</v>
      </c>
      <c r="I39" s="40" t="s">
        <v>134</v>
      </c>
      <c r="J39" s="40" t="s">
        <v>110</v>
      </c>
      <c r="K39" s="40" t="s">
        <v>130</v>
      </c>
      <c r="L39" s="40" t="s">
        <v>109</v>
      </c>
      <c r="M39" s="40">
        <v>0</v>
      </c>
      <c r="N39" s="40">
        <v>0</v>
      </c>
      <c r="O39" s="33" t="s">
        <v>39</v>
      </c>
      <c r="P39" s="40">
        <v>0</v>
      </c>
      <c r="Q39" s="33" t="s">
        <v>38</v>
      </c>
      <c r="S39" s="40" t="s">
        <v>105</v>
      </c>
      <c r="T39" s="40" t="str">
        <f t="shared" si="3"/>
        <v>6Y</v>
      </c>
      <c r="U39" s="40" t="s">
        <v>110</v>
      </c>
      <c r="V39" s="40" t="s">
        <v>108</v>
      </c>
      <c r="W39" s="40" t="s">
        <v>109</v>
      </c>
      <c r="X39" s="40">
        <v>0</v>
      </c>
      <c r="Y39" s="40">
        <v>0</v>
      </c>
      <c r="Z39" s="33" t="str">
        <f>""</f>
        <v/>
      </c>
      <c r="AA39" s="51">
        <v>7.2300000000000003E-3</v>
      </c>
      <c r="AB39" s="33" t="s">
        <v>38</v>
      </c>
      <c r="AC39" s="53"/>
      <c r="AD39" s="33" t="str">
        <f t="shared" si="2"/>
        <v>discount-EUR-OIS</v>
      </c>
      <c r="AE39" s="54">
        <f>[1]!OBGET([1]!OBCALL("",AP39,IF(OR(AD39=Q39,AD39=AB39),"getPayment","getFixing"),[1]!OBMAKE("","int",[1]!OBGET([1]!OBCALL("",AP39,"getNumberOfPeriods"))-1)))</f>
        <v>6.0109589041095894</v>
      </c>
      <c r="AG39" s="55" t="str">
        <f>[1]!OBMAKE(AG$15&amp;"-"&amp;ROW(),"int",$F39)</f>
        <v>spot date-39 
[12291]</v>
      </c>
      <c r="AH39" s="55" t="str">
        <f>[1]!OBMAKE(AH$15&amp;"-"&amp;ROW(),"String",$H39)</f>
        <v>start offset rec-39 
[11812]</v>
      </c>
      <c r="AI39" s="55" t="str">
        <f>[1]!OBMAKE(AI$15&amp;"-"&amp;ROW(),"String",$I39)</f>
        <v>maturity rec-39 
[11623]</v>
      </c>
      <c r="AK39" s="55" t="str">
        <f>[1]!OBMAKE(AK$15&amp;"-"&amp;ROW(),"String",$S39)</f>
        <v>start offset pay-39 
[12216]</v>
      </c>
      <c r="AL39" s="55" t="str">
        <f>[1]!OBMAKE(AL$15&amp;"-"&amp;ROW(),"String",$T39)</f>
        <v>maturity pay-39 
[11549]</v>
      </c>
      <c r="AN39" s="55" t="str">
        <f>[1]!OBMAKE(AN$15&amp;"-"&amp;ROW(),"String",D39)</f>
        <v>symbol-39 
[11517]</v>
      </c>
      <c r="AO39" s="55" t="str">
        <f>[1]!OBMAKE(AO$15&amp;"-"&amp;ROW(),"String",E39)</f>
        <v>type-39 
[11744]</v>
      </c>
      <c r="AP39" s="55" t="str">
        <f>[1]!OBCALL(AP$15&amp;"-"&amp;ROW(),obLibs&amp;"net.finmath.time.ScheduleGenerator","createScheduleFromConventions",$H$8,$AG39,$AH39:$AI39,[1]!OBMAKE("","String",$J39),[1]!OBMAKE("","String",$K39),$H$9,[1]!OBMAKE("","String",$L39),$H$10,[1]!OBMAKE("","int",$M39),[1]!OBMAKE("","int",$N39))</f>
        <v>tenor rec-39 
[13911]</v>
      </c>
      <c r="AQ39" s="55" t="str">
        <f>[1]!OBMAKE(AQ$15&amp;"-"&amp;ROW(),"String",O39)</f>
        <v>forward rec-39 
[12210]</v>
      </c>
      <c r="AR39" s="55" t="str">
        <f>[1]!OBMAKE(AR$15&amp;"-"&amp;ROW(),"double",P39)</f>
        <v>spread rec-39 
[11883]</v>
      </c>
      <c r="AS39" s="55" t="str">
        <f>[1]!OBMAKE(AS$15&amp;"-"&amp;ROW(),"String",Q39)</f>
        <v>discount rec-39 
[12111]</v>
      </c>
      <c r="AT39" s="55" t="str">
        <f>[1]!OBCALL(AT$15&amp;"-"&amp;ROW(),obLibs&amp;"net.finmath.time.ScheduleGenerator","createScheduleFromConventions",$H$8,$AG39,$AK39:$AL39,[1]!OBMAKE("","String",$U39),[1]!OBMAKE("","String",$V39),$H$9,[1]!OBMAKE("","String",$L39),$H$10,[1]!OBMAKE("","int",$X39),[1]!OBMAKE("","int",$Y39))</f>
        <v>tenor pay-39 
[13647]</v>
      </c>
      <c r="AU39" s="55" t="str">
        <f>[1]!OBMAKE(AU$15&amp;"-"&amp;ROW(),"String",Z39)</f>
        <v>forward pay-39 
[12135]</v>
      </c>
      <c r="AV39" s="55" t="str">
        <f>[1]!OBMAKE(AV$15&amp;"-"&amp;ROW(),"double",AA39)</f>
        <v>spread pay-39 
[12344]</v>
      </c>
      <c r="AW39" s="55" t="str">
        <f>[1]!OBMAKE(AW$15&amp;"-"&amp;ROW(),"String",AB39)</f>
        <v>disocunt pay-39 
[11306]</v>
      </c>
      <c r="AX39" s="55" t="str">
        <f>[1]!OBMAKE(AX$15&amp;"-"&amp;ROW(),"String",AD39)</f>
        <v>calibration curve-39 
[12025]</v>
      </c>
      <c r="AY39" s="55" t="str">
        <f>[1]!OBMAKE(AY$15&amp;"-"&amp;ROW(),"double",AE39)</f>
        <v>calibration time-39 
[13961]</v>
      </c>
      <c r="JJ39" s="14"/>
      <c r="JK39" s="14"/>
      <c r="JL39" s="14"/>
      <c r="JM39" s="14"/>
      <c r="JN39" s="14"/>
      <c r="JO39" s="14"/>
    </row>
    <row r="40" spans="1:275" ht="13.2" customHeight="1" x14ac:dyDescent="0.25">
      <c r="A40" s="48" t="str">
        <f t="shared" si="0"/>
        <v>discount-EUR-OIS-7Y</v>
      </c>
      <c r="B40" s="49" t="str">
        <f>[1]!OBMAKE("calibItem-"&amp;ROW(),obLibs&amp;"net.finmath.marketdata.calibration.CalibratedCurves$CalibrationSpec",AN40:AY40)</f>
        <v>calibItem-40 
[14935]</v>
      </c>
      <c r="C40" s="49">
        <f>[1]!OBGET([1]!OBCALL("",[1]!OBCALL("",$B$11,"getCalibrationProductForSpec",B40),"getValue",[1]!OBCALL("",$B$11,"getModel")))</f>
        <v>-6.7723609213509504E-15</v>
      </c>
      <c r="D40" s="14" t="str">
        <f t="shared" si="1"/>
        <v>discount-EUR-OIS-7Y</v>
      </c>
      <c r="E40" s="14" t="s">
        <v>125</v>
      </c>
      <c r="F40" s="40">
        <v>2</v>
      </c>
      <c r="H40" s="40" t="s">
        <v>105</v>
      </c>
      <c r="I40" s="40" t="s">
        <v>135</v>
      </c>
      <c r="J40" s="40" t="s">
        <v>110</v>
      </c>
      <c r="K40" s="40" t="s">
        <v>130</v>
      </c>
      <c r="L40" s="40" t="s">
        <v>109</v>
      </c>
      <c r="M40" s="40">
        <v>0</v>
      </c>
      <c r="N40" s="40">
        <v>0</v>
      </c>
      <c r="O40" s="33" t="s">
        <v>39</v>
      </c>
      <c r="P40" s="40">
        <v>0</v>
      </c>
      <c r="Q40" s="33" t="s">
        <v>38</v>
      </c>
      <c r="S40" s="40" t="s">
        <v>105</v>
      </c>
      <c r="T40" s="40" t="str">
        <f t="shared" si="3"/>
        <v>7Y</v>
      </c>
      <c r="U40" s="40" t="s">
        <v>110</v>
      </c>
      <c r="V40" s="40" t="s">
        <v>108</v>
      </c>
      <c r="W40" s="40" t="s">
        <v>109</v>
      </c>
      <c r="X40" s="40">
        <v>0</v>
      </c>
      <c r="Y40" s="40">
        <v>0</v>
      </c>
      <c r="Z40" s="33" t="str">
        <f>""</f>
        <v/>
      </c>
      <c r="AA40" s="51">
        <v>8.9499999999999996E-3</v>
      </c>
      <c r="AB40" s="33" t="s">
        <v>38</v>
      </c>
      <c r="AC40" s="53"/>
      <c r="AD40" s="33" t="str">
        <f t="shared" si="2"/>
        <v>discount-EUR-OIS</v>
      </c>
      <c r="AE40" s="54">
        <f>[1]!OBGET([1]!OBCALL("",AP40,IF(OR(AD40=Q40,AD40=AB40),"getPayment","getFixing"),[1]!OBMAKE("","int",[1]!OBGET([1]!OBCALL("",AP40,"getNumberOfPeriods"))-1)))</f>
        <v>7.0164383561643833</v>
      </c>
      <c r="AG40" s="55" t="str">
        <f>[1]!OBMAKE(AG$15&amp;"-"&amp;ROW(),"int",$F40)</f>
        <v>spot date-40 
[12062]</v>
      </c>
      <c r="AH40" s="55" t="str">
        <f>[1]!OBMAKE(AH$15&amp;"-"&amp;ROW(),"String",$H40)</f>
        <v>start offset rec-40 
[11837]</v>
      </c>
      <c r="AI40" s="55" t="str">
        <f>[1]!OBMAKE(AI$15&amp;"-"&amp;ROW(),"String",$I40)</f>
        <v>maturity rec-40 
[11202]</v>
      </c>
      <c r="AK40" s="55" t="str">
        <f>[1]!OBMAKE(AK$15&amp;"-"&amp;ROW(),"String",$S40)</f>
        <v>start offset pay-40 
[12307]</v>
      </c>
      <c r="AL40" s="55" t="str">
        <f>[1]!OBMAKE(AL$15&amp;"-"&amp;ROW(),"String",$T40)</f>
        <v>maturity pay-40 
[12217]</v>
      </c>
      <c r="AN40" s="55" t="str">
        <f>[1]!OBMAKE(AN$15&amp;"-"&amp;ROW(),"String",D40)</f>
        <v>symbol-40 
[12010]</v>
      </c>
      <c r="AO40" s="55" t="str">
        <f>[1]!OBMAKE(AO$15&amp;"-"&amp;ROW(),"String",E40)</f>
        <v>type-40 
[12000]</v>
      </c>
      <c r="AP40" s="55" t="str">
        <f>[1]!OBCALL(AP$15&amp;"-"&amp;ROW(),obLibs&amp;"net.finmath.time.ScheduleGenerator","createScheduleFromConventions",$H$8,$AG40,$AH40:$AI40,[1]!OBMAKE("","String",$J40),[1]!OBMAKE("","String",$K40),$H$9,[1]!OBMAKE("","String",$L40),$H$10,[1]!OBMAKE("","int",$M40),[1]!OBMAKE("","int",$N40))</f>
        <v>tenor rec-40 
[14072]</v>
      </c>
      <c r="AQ40" s="55" t="str">
        <f>[1]!OBMAKE(AQ$15&amp;"-"&amp;ROW(),"String",O40)</f>
        <v>forward rec-40 
[11821]</v>
      </c>
      <c r="AR40" s="55" t="str">
        <f>[1]!OBMAKE(AR$15&amp;"-"&amp;ROW(),"double",P40)</f>
        <v>spread rec-40 
[11725]</v>
      </c>
      <c r="AS40" s="55" t="str">
        <f>[1]!OBMAKE(AS$15&amp;"-"&amp;ROW(),"String",Q40)</f>
        <v>discount rec-40 
[11715]</v>
      </c>
      <c r="AT40" s="55" t="str">
        <f>[1]!OBCALL(AT$15&amp;"-"&amp;ROW(),obLibs&amp;"net.finmath.time.ScheduleGenerator","createScheduleFromConventions",$H$8,$AG40,$AK40:$AL40,[1]!OBMAKE("","String",$U40),[1]!OBMAKE("","String",$V40),$H$9,[1]!OBMAKE("","String",$L40),$H$10,[1]!OBMAKE("","int",$X40),[1]!OBMAKE("","int",$Y40))</f>
        <v>tenor pay-40 
[14429]</v>
      </c>
      <c r="AU40" s="55" t="str">
        <f>[1]!OBMAKE(AU$15&amp;"-"&amp;ROW(),"String",Z40)</f>
        <v>forward pay-40 
[12128]</v>
      </c>
      <c r="AV40" s="55" t="str">
        <f>[1]!OBMAKE(AV$15&amp;"-"&amp;ROW(),"double",AA40)</f>
        <v>spread pay-40 
[11899]</v>
      </c>
      <c r="AW40" s="55" t="str">
        <f>[1]!OBMAKE(AW$15&amp;"-"&amp;ROW(),"String",AB40)</f>
        <v>disocunt pay-40 
[11703]</v>
      </c>
      <c r="AX40" s="55" t="str">
        <f>[1]!OBMAKE(AX$15&amp;"-"&amp;ROW(),"String",AD40)</f>
        <v>calibration curve-40 
[12057]</v>
      </c>
      <c r="AY40" s="55" t="str">
        <f>[1]!OBMAKE(AY$15&amp;"-"&amp;ROW(),"double",AE40)</f>
        <v>calibration time-40 
[14076]</v>
      </c>
      <c r="JJ40" s="14"/>
      <c r="JK40" s="14"/>
      <c r="JL40" s="14"/>
      <c r="JM40" s="14"/>
      <c r="JN40" s="14"/>
      <c r="JO40" s="14"/>
    </row>
    <row r="41" spans="1:275" ht="13.2" customHeight="1" x14ac:dyDescent="0.25">
      <c r="A41" s="48" t="str">
        <f t="shared" si="0"/>
        <v>discount-EUR-OIS-8Y</v>
      </c>
      <c r="B41" s="49" t="str">
        <f>[1]!OBMAKE("calibItem-"&amp;ROW(),obLibs&amp;"net.finmath.marketdata.calibration.CalibratedCurves$CalibrationSpec",AN41:AY41)</f>
        <v>calibItem-41 
[14990]</v>
      </c>
      <c r="C41" s="49">
        <f>[1]!OBGET([1]!OBCALL("",[1]!OBCALL("",$B$11,"getCalibrationProductForSpec",B41),"getValue",[1]!OBCALL("",$B$11,"getModel")))</f>
        <v>1.1435297949166358E-14</v>
      </c>
      <c r="D41" s="14" t="str">
        <f t="shared" si="1"/>
        <v>discount-EUR-OIS-8Y</v>
      </c>
      <c r="E41" s="14" t="s">
        <v>125</v>
      </c>
      <c r="F41" s="40">
        <v>2</v>
      </c>
      <c r="H41" s="40" t="s">
        <v>105</v>
      </c>
      <c r="I41" s="40" t="s">
        <v>136</v>
      </c>
      <c r="J41" s="40" t="s">
        <v>110</v>
      </c>
      <c r="K41" s="40" t="s">
        <v>130</v>
      </c>
      <c r="L41" s="40" t="s">
        <v>109</v>
      </c>
      <c r="M41" s="40">
        <v>0</v>
      </c>
      <c r="N41" s="40">
        <v>0</v>
      </c>
      <c r="O41" s="33" t="s">
        <v>39</v>
      </c>
      <c r="P41" s="40">
        <v>0</v>
      </c>
      <c r="Q41" s="33" t="s">
        <v>38</v>
      </c>
      <c r="S41" s="40" t="s">
        <v>105</v>
      </c>
      <c r="T41" s="40" t="str">
        <f t="shared" si="3"/>
        <v>8Y</v>
      </c>
      <c r="U41" s="40" t="s">
        <v>110</v>
      </c>
      <c r="V41" s="40" t="s">
        <v>108</v>
      </c>
      <c r="W41" s="40" t="s">
        <v>109</v>
      </c>
      <c r="X41" s="40">
        <v>0</v>
      </c>
      <c r="Y41" s="40">
        <v>0</v>
      </c>
      <c r="Z41" s="33" t="str">
        <f>""</f>
        <v/>
      </c>
      <c r="AA41" s="51">
        <v>1.0540000000000001E-2</v>
      </c>
      <c r="AB41" s="33" t="s">
        <v>38</v>
      </c>
      <c r="AC41" s="53"/>
      <c r="AD41" s="33" t="str">
        <f t="shared" si="2"/>
        <v>discount-EUR-OIS</v>
      </c>
      <c r="AE41" s="54">
        <f>[1]!OBGET([1]!OBCALL("",AP41,IF(OR(AD41=Q41,AD41=AB41),"getPayment","getFixing"),[1]!OBMAKE("","int",[1]!OBGET([1]!OBCALL("",AP41,"getNumberOfPeriods"))-1)))</f>
        <v>8.0136986301369859</v>
      </c>
      <c r="AG41" s="55" t="str">
        <f>[1]!OBMAKE(AG$15&amp;"-"&amp;ROW(),"int",$F41)</f>
        <v>spot date-41 
[12197]</v>
      </c>
      <c r="AH41" s="55" t="str">
        <f>[1]!OBMAKE(AH$15&amp;"-"&amp;ROW(),"String",$H41)</f>
        <v>start offset rec-41 
[12068]</v>
      </c>
      <c r="AI41" s="55" t="str">
        <f>[1]!OBMAKE(AI$15&amp;"-"&amp;ROW(),"String",$I41)</f>
        <v>maturity rec-41 
[11401]</v>
      </c>
      <c r="AK41" s="55" t="str">
        <f>[1]!OBMAKE(AK$15&amp;"-"&amp;ROW(),"String",$S41)</f>
        <v>start offset pay-41 
[11781]</v>
      </c>
      <c r="AL41" s="55" t="str">
        <f>[1]!OBMAKE(AL$15&amp;"-"&amp;ROW(),"String",$T41)</f>
        <v>maturity pay-41 
[11907]</v>
      </c>
      <c r="AN41" s="55" t="str">
        <f>[1]!OBMAKE(AN$15&amp;"-"&amp;ROW(),"String",D41)</f>
        <v>symbol-41 
[12336]</v>
      </c>
      <c r="AO41" s="55" t="str">
        <f>[1]!OBMAKE(AO$15&amp;"-"&amp;ROW(),"String",E41)</f>
        <v>type-41 
[12258]</v>
      </c>
      <c r="AP41" s="55" t="str">
        <f>[1]!OBCALL(AP$15&amp;"-"&amp;ROW(),obLibs&amp;"net.finmath.time.ScheduleGenerator","createScheduleFromConventions",$H$8,$AG41,$AH41:$AI41,[1]!OBMAKE("","String",$J41),[1]!OBMAKE("","String",$K41),$H$9,[1]!OBMAKE("","String",$L41),$H$10,[1]!OBMAKE("","int",$M41),[1]!OBMAKE("","int",$N41))</f>
        <v>tenor rec-41 
[14551]</v>
      </c>
      <c r="AQ41" s="55" t="str">
        <f>[1]!OBMAKE(AQ$15&amp;"-"&amp;ROW(),"String",O41)</f>
        <v>forward rec-41 
[12279]</v>
      </c>
      <c r="AR41" s="55" t="str">
        <f>[1]!OBMAKE(AR$15&amp;"-"&amp;ROW(),"double",P41)</f>
        <v>spread rec-41 
[11981]</v>
      </c>
      <c r="AS41" s="55" t="str">
        <f>[1]!OBMAKE(AS$15&amp;"-"&amp;ROW(),"String",Q41)</f>
        <v>discount rec-41 
[11465]</v>
      </c>
      <c r="AT41" s="55" t="str">
        <f>[1]!OBCALL(AT$15&amp;"-"&amp;ROW(),obLibs&amp;"net.finmath.time.ScheduleGenerator","createScheduleFromConventions",$H$8,$AG41,$AK41:$AL41,[1]!OBMAKE("","String",$U41),[1]!OBMAKE("","String",$V41),$H$9,[1]!OBMAKE("","String",$L41),$H$10,[1]!OBMAKE("","int",$X41),[1]!OBMAKE("","int",$Y41))</f>
        <v>tenor pay-41 
[12951]</v>
      </c>
      <c r="AU41" s="55" t="str">
        <f>[1]!OBMAKE(AU$15&amp;"-"&amp;ROW(),"String",Z41)</f>
        <v>forward pay-41 
[12249]</v>
      </c>
      <c r="AV41" s="55" t="str">
        <f>[1]!OBMAKE(AV$15&amp;"-"&amp;ROW(),"double",AA41)</f>
        <v>spread pay-41 
[12146]</v>
      </c>
      <c r="AW41" s="55" t="str">
        <f>[1]!OBMAKE(AW$15&amp;"-"&amp;ROW(),"String",AB41)</f>
        <v>disocunt pay-41 
[11655]</v>
      </c>
      <c r="AX41" s="55" t="str">
        <f>[1]!OBMAKE(AX$15&amp;"-"&amp;ROW(),"String",AD41)</f>
        <v>calibration curve-41 
[12290]</v>
      </c>
      <c r="AY41" s="55" t="str">
        <f>[1]!OBMAKE(AY$15&amp;"-"&amp;ROW(),"double",AE41)</f>
        <v>calibration time-41 
[14555]</v>
      </c>
      <c r="JJ41" s="14"/>
      <c r="JK41" s="14"/>
      <c r="JL41" s="14"/>
      <c r="JM41" s="14"/>
      <c r="JN41" s="14"/>
      <c r="JO41" s="14"/>
    </row>
    <row r="42" spans="1:275" ht="13.2" customHeight="1" x14ac:dyDescent="0.25">
      <c r="A42" s="48" t="str">
        <f t="shared" si="0"/>
        <v>discount-EUR-OIS-9Y</v>
      </c>
      <c r="B42" s="49" t="str">
        <f>[1]!OBMAKE("calibItem-"&amp;ROW(),obLibs&amp;"net.finmath.marketdata.calibration.CalibratedCurves$CalibrationSpec",AN42:AY42)</f>
        <v>calibItem-42 
[14902]</v>
      </c>
      <c r="C42" s="49">
        <f>[1]!OBGET([1]!OBCALL("",[1]!OBCALL("",$B$11,"getCalibrationProductForSpec",B42),"getValue",[1]!OBCALL("",$B$11,"getModel")))</f>
        <v>-1.4765967254748793E-14</v>
      </c>
      <c r="D42" s="14" t="str">
        <f t="shared" si="1"/>
        <v>discount-EUR-OIS-9Y</v>
      </c>
      <c r="E42" s="14" t="s">
        <v>125</v>
      </c>
      <c r="F42" s="40">
        <v>2</v>
      </c>
      <c r="H42" s="40" t="s">
        <v>105</v>
      </c>
      <c r="I42" s="40" t="s">
        <v>137</v>
      </c>
      <c r="J42" s="40" t="s">
        <v>110</v>
      </c>
      <c r="K42" s="40" t="s">
        <v>130</v>
      </c>
      <c r="L42" s="40" t="s">
        <v>109</v>
      </c>
      <c r="M42" s="40">
        <v>0</v>
      </c>
      <c r="N42" s="40">
        <v>0</v>
      </c>
      <c r="O42" s="33" t="s">
        <v>39</v>
      </c>
      <c r="P42" s="40">
        <v>0</v>
      </c>
      <c r="Q42" s="33" t="s">
        <v>38</v>
      </c>
      <c r="S42" s="40" t="s">
        <v>105</v>
      </c>
      <c r="T42" s="40" t="str">
        <f t="shared" si="3"/>
        <v>9Y</v>
      </c>
      <c r="U42" s="40" t="s">
        <v>110</v>
      </c>
      <c r="V42" s="40" t="s">
        <v>108</v>
      </c>
      <c r="W42" s="40" t="s">
        <v>109</v>
      </c>
      <c r="X42" s="40">
        <v>0</v>
      </c>
      <c r="Y42" s="40">
        <v>0</v>
      </c>
      <c r="Z42" s="33" t="str">
        <f>""</f>
        <v/>
      </c>
      <c r="AA42" s="51">
        <v>1.189E-2</v>
      </c>
      <c r="AB42" s="33" t="s">
        <v>38</v>
      </c>
      <c r="AC42" s="53"/>
      <c r="AD42" s="33" t="str">
        <f t="shared" si="2"/>
        <v>discount-EUR-OIS</v>
      </c>
      <c r="AE42" s="54">
        <f>[1]!OBGET([1]!OBCALL("",AP42,IF(OR(AD42=Q42,AD42=AB42),"getPayment","getFixing"),[1]!OBMAKE("","int",[1]!OBGET([1]!OBCALL("",AP42,"getNumberOfPeriods"))-1)))</f>
        <v>9.0136986301369859</v>
      </c>
      <c r="AG42" s="55" t="str">
        <f>[1]!OBMAKE(AG$15&amp;"-"&amp;ROW(),"int",$F42)</f>
        <v>spot date-42 
[11763]</v>
      </c>
      <c r="AH42" s="55" t="str">
        <f>[1]!OBMAKE(AH$15&amp;"-"&amp;ROW(),"String",$H42)</f>
        <v>start offset rec-42 
[11908]</v>
      </c>
      <c r="AI42" s="55" t="str">
        <f>[1]!OBMAKE(AI$15&amp;"-"&amp;ROW(),"String",$I42)</f>
        <v>maturity rec-42 
[11273]</v>
      </c>
      <c r="AK42" s="55" t="str">
        <f>[1]!OBMAKE(AK$15&amp;"-"&amp;ROW(),"String",$S42)</f>
        <v>start offset pay-42 
[11828]</v>
      </c>
      <c r="AL42" s="55" t="str">
        <f>[1]!OBMAKE(AL$15&amp;"-"&amp;ROW(),"String",$T42)</f>
        <v>maturity pay-42 
[11313]</v>
      </c>
      <c r="AN42" s="55" t="str">
        <f>[1]!OBMAKE(AN$15&amp;"-"&amp;ROW(),"String",D42)</f>
        <v>symbol-42 
[12130]</v>
      </c>
      <c r="AO42" s="55" t="str">
        <f>[1]!OBMAKE(AO$15&amp;"-"&amp;ROW(),"String",E42)</f>
        <v>type-42 
[11503]</v>
      </c>
      <c r="AP42" s="55" t="str">
        <f>[1]!OBCALL(AP$15&amp;"-"&amp;ROW(),obLibs&amp;"net.finmath.time.ScheduleGenerator","createScheduleFromConventions",$H$8,$AG42,$AH42:$AI42,[1]!OBMAKE("","String",$J42),[1]!OBMAKE("","String",$K42),$H$9,[1]!OBMAKE("","String",$L42),$H$10,[1]!OBMAKE("","int",$M42),[1]!OBMAKE("","int",$N42))</f>
        <v>tenor rec-42 
[14082]</v>
      </c>
      <c r="AQ42" s="55" t="str">
        <f>[1]!OBMAKE(AQ$15&amp;"-"&amp;ROW(),"String",O42)</f>
        <v>forward rec-42 
[11459]</v>
      </c>
      <c r="AR42" s="55" t="str">
        <f>[1]!OBMAKE(AR$15&amp;"-"&amp;ROW(),"double",P42)</f>
        <v>spread rec-42 
[11833]</v>
      </c>
      <c r="AS42" s="55" t="str">
        <f>[1]!OBMAKE(AS$15&amp;"-"&amp;ROW(),"String",Q42)</f>
        <v>discount rec-42 
[11391]</v>
      </c>
      <c r="AT42" s="55" t="str">
        <f>[1]!OBCALL(AT$15&amp;"-"&amp;ROW(),obLibs&amp;"net.finmath.time.ScheduleGenerator","createScheduleFromConventions",$H$8,$AG42,$AK42:$AL42,[1]!OBMAKE("","String",$U42),[1]!OBMAKE("","String",$V42),$H$9,[1]!OBMAKE("","String",$L42),$H$10,[1]!OBMAKE("","int",$X42),[1]!OBMAKE("","int",$Y42))</f>
        <v>tenor pay-42 
[13592]</v>
      </c>
      <c r="AU42" s="55" t="str">
        <f>[1]!OBMAKE(AU$15&amp;"-"&amp;ROW(),"String",Z42)</f>
        <v>forward pay-42 
[11649]</v>
      </c>
      <c r="AV42" s="55" t="str">
        <f>[1]!OBMAKE(AV$15&amp;"-"&amp;ROW(),"double",AA42)</f>
        <v>spread pay-42 
[11971]</v>
      </c>
      <c r="AW42" s="55" t="str">
        <f>[1]!OBMAKE(AW$15&amp;"-"&amp;ROW(),"String",AB42)</f>
        <v>disocunt pay-42 
[10969]</v>
      </c>
      <c r="AX42" s="55" t="str">
        <f>[1]!OBMAKE(AX$15&amp;"-"&amp;ROW(),"String",AD42)</f>
        <v>calibration curve-42 
[12348]</v>
      </c>
      <c r="AY42" s="55" t="str">
        <f>[1]!OBMAKE(AY$15&amp;"-"&amp;ROW(),"double",AE42)</f>
        <v>calibration time-42 
[14086]</v>
      </c>
      <c r="JJ42" s="14"/>
      <c r="JK42" s="14"/>
      <c r="JL42" s="14"/>
      <c r="JM42" s="14"/>
      <c r="JN42" s="14"/>
      <c r="JO42" s="14"/>
    </row>
    <row r="43" spans="1:275" ht="13.2" customHeight="1" x14ac:dyDescent="0.25">
      <c r="A43" s="48" t="str">
        <f t="shared" si="0"/>
        <v>discount-EUR-OIS-10Y</v>
      </c>
      <c r="B43" s="49" t="str">
        <f>[1]!OBMAKE("calibItem-"&amp;ROW(),obLibs&amp;"net.finmath.marketdata.calibration.CalibratedCurves$CalibrationSpec",AN43:AY43)</f>
        <v>calibItem-43 
[14966]</v>
      </c>
      <c r="C43" s="49">
        <f>[1]!OBGET([1]!OBCALL("",[1]!OBCALL("",$B$11,"getCalibrationProductForSpec",B43),"getValue",[1]!OBCALL("",$B$11,"getModel")))</f>
        <v>-1.9984015833494608E-15</v>
      </c>
      <c r="D43" s="14" t="str">
        <f t="shared" si="1"/>
        <v>discount-EUR-OIS-10Y</v>
      </c>
      <c r="E43" s="14" t="s">
        <v>125</v>
      </c>
      <c r="F43" s="40">
        <v>2</v>
      </c>
      <c r="H43" s="40" t="s">
        <v>105</v>
      </c>
      <c r="I43" s="40" t="s">
        <v>138</v>
      </c>
      <c r="J43" s="40" t="s">
        <v>110</v>
      </c>
      <c r="K43" s="40" t="s">
        <v>130</v>
      </c>
      <c r="L43" s="40" t="s">
        <v>109</v>
      </c>
      <c r="M43" s="40">
        <v>0</v>
      </c>
      <c r="N43" s="40">
        <v>0</v>
      </c>
      <c r="O43" s="33" t="s">
        <v>39</v>
      </c>
      <c r="P43" s="40">
        <v>0</v>
      </c>
      <c r="Q43" s="33" t="s">
        <v>38</v>
      </c>
      <c r="S43" s="40" t="s">
        <v>105</v>
      </c>
      <c r="T43" s="40" t="str">
        <f t="shared" si="3"/>
        <v>10Y</v>
      </c>
      <c r="U43" s="40" t="s">
        <v>110</v>
      </c>
      <c r="V43" s="40" t="s">
        <v>108</v>
      </c>
      <c r="W43" s="40" t="s">
        <v>109</v>
      </c>
      <c r="X43" s="40">
        <v>0</v>
      </c>
      <c r="Y43" s="40">
        <v>0</v>
      </c>
      <c r="Z43" s="33" t="str">
        <f>""</f>
        <v/>
      </c>
      <c r="AA43" s="51">
        <v>1.3100000000000001E-2</v>
      </c>
      <c r="AB43" s="33" t="s">
        <v>38</v>
      </c>
      <c r="AC43" s="53"/>
      <c r="AD43" s="33" t="str">
        <f t="shared" si="2"/>
        <v>discount-EUR-OIS</v>
      </c>
      <c r="AE43" s="54">
        <f>[1]!OBGET([1]!OBCALL("",AP43,IF(OR(AD43=Q43,AD43=AB43),"getPayment","getFixing"),[1]!OBMAKE("","int",[1]!OBGET([1]!OBCALL("",AP43,"getNumberOfPeriods"))-1)))</f>
        <v>10.013698630136986</v>
      </c>
      <c r="AG43" s="55" t="str">
        <f>[1]!OBMAKE(AG$15&amp;"-"&amp;ROW(),"int",$F43)</f>
        <v>spot date-43 
[11618]</v>
      </c>
      <c r="AH43" s="55" t="str">
        <f>[1]!OBMAKE(AH$15&amp;"-"&amp;ROW(),"String",$H43)</f>
        <v>start offset rec-43 
[11433]</v>
      </c>
      <c r="AI43" s="55" t="str">
        <f>[1]!OBMAKE(AI$15&amp;"-"&amp;ROW(),"String",$I43)</f>
        <v>maturity rec-43 
[11490]</v>
      </c>
      <c r="AK43" s="55" t="str">
        <f>[1]!OBMAKE(AK$15&amp;"-"&amp;ROW(),"String",$S43)</f>
        <v>start offset pay-43 
[11845]</v>
      </c>
      <c r="AL43" s="55" t="str">
        <f>[1]!OBMAKE(AL$15&amp;"-"&amp;ROW(),"String",$T43)</f>
        <v>maturity pay-43 
[11497]</v>
      </c>
      <c r="AN43" s="55" t="str">
        <f>[1]!OBMAKE(AN$15&amp;"-"&amp;ROW(),"String",D43)</f>
        <v>symbol-43 
[12077]</v>
      </c>
      <c r="AO43" s="55" t="str">
        <f>[1]!OBMAKE(AO$15&amp;"-"&amp;ROW(),"String",E43)</f>
        <v>type-43 
[11061]</v>
      </c>
      <c r="AP43" s="55" t="str">
        <f>[1]!OBCALL(AP$15&amp;"-"&amp;ROW(),obLibs&amp;"net.finmath.time.ScheduleGenerator","createScheduleFromConventions",$H$8,$AG43,$AH43:$AI43,[1]!OBMAKE("","String",$J43),[1]!OBMAKE("","String",$K43),$H$9,[1]!OBMAKE("","String",$L43),$H$10,[1]!OBMAKE("","int",$M43),[1]!OBMAKE("","int",$N43))</f>
        <v>tenor rec-43 
[14167]</v>
      </c>
      <c r="AQ43" s="55" t="str">
        <f>[1]!OBMAKE(AQ$15&amp;"-"&amp;ROW(),"String",O43)</f>
        <v>forward rec-43 
[11331]</v>
      </c>
      <c r="AR43" s="55" t="str">
        <f>[1]!OBMAKE(AR$15&amp;"-"&amp;ROW(),"double",P43)</f>
        <v>spread rec-43 
[11951]</v>
      </c>
      <c r="AS43" s="55" t="str">
        <f>[1]!OBMAKE(AS$15&amp;"-"&amp;ROW(),"String",Q43)</f>
        <v>discount rec-43 
[11324]</v>
      </c>
      <c r="AT43" s="55" t="str">
        <f>[1]!OBCALL(AT$15&amp;"-"&amp;ROW(),obLibs&amp;"net.finmath.time.ScheduleGenerator","createScheduleFromConventions",$H$8,$AG43,$AK43:$AL43,[1]!OBMAKE("","String",$U43),[1]!OBMAKE("","String",$V43),$H$9,[1]!OBMAKE("","String",$L43),$H$10,[1]!OBMAKE("","int",$X43),[1]!OBMAKE("","int",$Y43))</f>
        <v>tenor pay-43 
[14664]</v>
      </c>
      <c r="AU43" s="55" t="str">
        <f>[1]!OBMAKE(AU$15&amp;"-"&amp;ROW(),"String",Z43)</f>
        <v>forward pay-43 
[11179]</v>
      </c>
      <c r="AV43" s="55" t="str">
        <f>[1]!OBMAKE(AV$15&amp;"-"&amp;ROW(),"double",AA43)</f>
        <v>spread pay-43 
[11918]</v>
      </c>
      <c r="AW43" s="55" t="str">
        <f>[1]!OBMAKE(AW$15&amp;"-"&amp;ROW(),"String",AB43)</f>
        <v>disocunt pay-43 
[11363]</v>
      </c>
      <c r="AX43" s="55" t="str">
        <f>[1]!OBMAKE(AX$15&amp;"-"&amp;ROW(),"String",AD43)</f>
        <v>calibration curve-43 
[11478]</v>
      </c>
      <c r="AY43" s="55" t="str">
        <f>[1]!OBMAKE(AY$15&amp;"-"&amp;ROW(),"double",AE43)</f>
        <v>calibration time-43 
[14171]</v>
      </c>
      <c r="JJ43" s="14"/>
      <c r="JK43" s="14"/>
      <c r="JL43" s="14"/>
      <c r="JM43" s="14"/>
      <c r="JN43" s="14"/>
      <c r="JO43" s="14"/>
    </row>
    <row r="44" spans="1:275" ht="13.2" customHeight="1" x14ac:dyDescent="0.25">
      <c r="A44" s="48" t="str">
        <f t="shared" si="0"/>
        <v>discount-EUR-OIS-11Y</v>
      </c>
      <c r="B44" s="49" t="str">
        <f>[1]!OBMAKE("calibItem-"&amp;ROW(),obLibs&amp;"net.finmath.marketdata.calibration.CalibratedCurves$CalibrationSpec",AN44:AY44)</f>
        <v>calibItem-44 
[14973]</v>
      </c>
      <c r="C44" s="49">
        <f>[1]!OBGET([1]!OBCALL("",[1]!OBCALL("",$B$11,"getCalibrationProductForSpec",B44),"getValue",[1]!OBCALL("",$B$11,"getModel")))</f>
        <v>3.9745987046617051E-14</v>
      </c>
      <c r="D44" s="14" t="str">
        <f t="shared" si="1"/>
        <v>discount-EUR-OIS-11Y</v>
      </c>
      <c r="E44" s="14" t="s">
        <v>125</v>
      </c>
      <c r="F44" s="40">
        <v>2</v>
      </c>
      <c r="H44" s="40" t="s">
        <v>105</v>
      </c>
      <c r="I44" s="40" t="s">
        <v>139</v>
      </c>
      <c r="J44" s="40" t="s">
        <v>110</v>
      </c>
      <c r="K44" s="40" t="s">
        <v>130</v>
      </c>
      <c r="L44" s="40" t="s">
        <v>109</v>
      </c>
      <c r="M44" s="40">
        <v>0</v>
      </c>
      <c r="N44" s="40">
        <v>0</v>
      </c>
      <c r="O44" s="33" t="s">
        <v>39</v>
      </c>
      <c r="P44" s="40">
        <v>0</v>
      </c>
      <c r="Q44" s="33" t="s">
        <v>38</v>
      </c>
      <c r="S44" s="40" t="s">
        <v>105</v>
      </c>
      <c r="T44" s="40" t="str">
        <f t="shared" si="3"/>
        <v>11Y</v>
      </c>
      <c r="U44" s="40" t="s">
        <v>110</v>
      </c>
      <c r="V44" s="40" t="s">
        <v>108</v>
      </c>
      <c r="W44" s="40" t="s">
        <v>109</v>
      </c>
      <c r="X44" s="40">
        <v>0</v>
      </c>
      <c r="Y44" s="40">
        <v>0</v>
      </c>
      <c r="Z44" s="33" t="str">
        <f>""</f>
        <v/>
      </c>
      <c r="AA44" s="51">
        <v>1.423E-2</v>
      </c>
      <c r="AB44" s="33" t="s">
        <v>38</v>
      </c>
      <c r="AC44" s="53"/>
      <c r="AD44" s="33" t="str">
        <f t="shared" si="2"/>
        <v>discount-EUR-OIS</v>
      </c>
      <c r="AE44" s="54">
        <f>[1]!OBGET([1]!OBCALL("",AP44,IF(OR(AD44=Q44,AD44=AB44),"getPayment","getFixing"),[1]!OBMAKE("","int",[1]!OBGET([1]!OBCALL("",AP44,"getNumberOfPeriods"))-1)))</f>
        <v>11.013698630136986</v>
      </c>
      <c r="AG44" s="55" t="str">
        <f>[1]!OBMAKE(AG$15&amp;"-"&amp;ROW(),"int",$F44)</f>
        <v>spot date-44 
[11427]</v>
      </c>
      <c r="AH44" s="55" t="str">
        <f>[1]!OBMAKE(AH$15&amp;"-"&amp;ROW(),"String",$H44)</f>
        <v>start offset rec-44 
[12200]</v>
      </c>
      <c r="AI44" s="55" t="str">
        <f>[1]!OBMAKE(AI$15&amp;"-"&amp;ROW(),"String",$I44)</f>
        <v>maturity rec-44 
[11420]</v>
      </c>
      <c r="AK44" s="55" t="str">
        <f>[1]!OBMAKE(AK$15&amp;"-"&amp;ROW(),"String",$S44)</f>
        <v>start offset pay-44 
[11520]</v>
      </c>
      <c r="AL44" s="55" t="str">
        <f>[1]!OBMAKE(AL$15&amp;"-"&amp;ROW(),"String",$T44)</f>
        <v>maturity pay-44 
[11396]</v>
      </c>
      <c r="AN44" s="55" t="str">
        <f>[1]!OBMAKE(AN$15&amp;"-"&amp;ROW(),"String",D44)</f>
        <v>symbol-44 
[12125]</v>
      </c>
      <c r="AO44" s="55" t="str">
        <f>[1]!OBMAKE(AO$15&amp;"-"&amp;ROW(),"String",E44)</f>
        <v>type-44 
[11945]</v>
      </c>
      <c r="AP44" s="55" t="str">
        <f>[1]!OBCALL(AP$15&amp;"-"&amp;ROW(),obLibs&amp;"net.finmath.time.ScheduleGenerator","createScheduleFromConventions",$H$8,$AG44,$AH44:$AI44,[1]!OBMAKE("","String",$J44),[1]!OBMAKE("","String",$K44),$H$9,[1]!OBMAKE("","String",$L44),$H$10,[1]!OBMAKE("","int",$M44),[1]!OBMAKE("","int",$N44))</f>
        <v>tenor rec-44 
[13472]</v>
      </c>
      <c r="AQ44" s="55" t="str">
        <f>[1]!OBMAKE(AQ$15&amp;"-"&amp;ROW(),"String",O44)</f>
        <v>forward rec-44 
[11995]</v>
      </c>
      <c r="AR44" s="55" t="str">
        <f>[1]!OBMAKE(AR$15&amp;"-"&amp;ROW(),"double",P44)</f>
        <v>spread rec-44 
[11280]</v>
      </c>
      <c r="AS44" s="55" t="str">
        <f>[1]!OBMAKE(AS$15&amp;"-"&amp;ROW(),"String",Q44)</f>
        <v>discount rec-44 
[11263]</v>
      </c>
      <c r="AT44" s="55" t="str">
        <f>[1]!OBCALL(AT$15&amp;"-"&amp;ROW(),obLibs&amp;"net.finmath.time.ScheduleGenerator","createScheduleFromConventions",$H$8,$AG44,$AK44:$AL44,[1]!OBMAKE("","String",$U44),[1]!OBMAKE("","String",$V44),$H$9,[1]!OBMAKE("","String",$L44),$H$10,[1]!OBMAKE("","int",$X44),[1]!OBMAKE("","int",$Y44))</f>
        <v>tenor pay-44 
[14483]</v>
      </c>
      <c r="AU44" s="55" t="str">
        <f>[1]!OBMAKE(AU$15&amp;"-"&amp;ROW(),"String",Z44)</f>
        <v>forward pay-44 
[11256]</v>
      </c>
      <c r="AV44" s="55" t="str">
        <f>[1]!OBMAKE(AV$15&amp;"-"&amp;ROW(),"double",AA44)</f>
        <v>spread pay-44 
[12175]</v>
      </c>
      <c r="AW44" s="55" t="str">
        <f>[1]!OBMAKE(AW$15&amp;"-"&amp;ROW(),"String",AB44)</f>
        <v>disocunt pay-44 
[10818]</v>
      </c>
      <c r="AX44" s="55" t="str">
        <f>[1]!OBMAKE(AX$15&amp;"-"&amp;ROW(),"String",AD44)</f>
        <v>calibration curve-44 
[11905]</v>
      </c>
      <c r="AY44" s="55" t="str">
        <f>[1]!OBMAKE(AY$15&amp;"-"&amp;ROW(),"double",AE44)</f>
        <v>calibration time-44 
[13476]</v>
      </c>
      <c r="JJ44" s="14"/>
      <c r="JK44" s="14"/>
      <c r="JL44" s="14"/>
      <c r="JM44" s="14"/>
      <c r="JN44" s="14"/>
      <c r="JO44" s="14"/>
    </row>
    <row r="45" spans="1:275" ht="13.2" customHeight="1" x14ac:dyDescent="0.25">
      <c r="A45" s="48" t="str">
        <f t="shared" si="0"/>
        <v>discount-EUR-OIS-12Y</v>
      </c>
      <c r="B45" s="49" t="str">
        <f>[1]!OBMAKE("calibItem-"&amp;ROW(),obLibs&amp;"net.finmath.marketdata.calibration.CalibratedCurves$CalibrationSpec",AN45:AY45)</f>
        <v>calibItem-45 
[14999]</v>
      </c>
      <c r="C45" s="49">
        <f>[1]!OBGET([1]!OBCALL("",[1]!OBCALL("",$B$11,"getCalibrationProductForSpec",B45),"getValue",[1]!OBCALL("",$B$11,"getModel")))</f>
        <v>-3.4083849227126913E-14</v>
      </c>
      <c r="D45" s="14" t="str">
        <f t="shared" si="1"/>
        <v>discount-EUR-OIS-12Y</v>
      </c>
      <c r="E45" s="14" t="s">
        <v>125</v>
      </c>
      <c r="F45" s="40">
        <v>2</v>
      </c>
      <c r="H45" s="40" t="s">
        <v>105</v>
      </c>
      <c r="I45" s="40" t="s">
        <v>140</v>
      </c>
      <c r="J45" s="40" t="s">
        <v>110</v>
      </c>
      <c r="K45" s="40" t="s">
        <v>130</v>
      </c>
      <c r="L45" s="40" t="s">
        <v>109</v>
      </c>
      <c r="M45" s="40">
        <v>0</v>
      </c>
      <c r="N45" s="40">
        <v>0</v>
      </c>
      <c r="O45" s="33" t="s">
        <v>39</v>
      </c>
      <c r="P45" s="40">
        <v>0</v>
      </c>
      <c r="Q45" s="33" t="s">
        <v>38</v>
      </c>
      <c r="S45" s="40" t="s">
        <v>105</v>
      </c>
      <c r="T45" s="40" t="str">
        <f t="shared" si="3"/>
        <v>12Y</v>
      </c>
      <c r="U45" s="40" t="s">
        <v>110</v>
      </c>
      <c r="V45" s="40" t="s">
        <v>108</v>
      </c>
      <c r="W45" s="40" t="s">
        <v>109</v>
      </c>
      <c r="X45" s="40">
        <v>0</v>
      </c>
      <c r="Y45" s="40">
        <v>0</v>
      </c>
      <c r="Z45" s="33" t="str">
        <f>""</f>
        <v/>
      </c>
      <c r="AA45" s="51">
        <v>1.52E-2</v>
      </c>
      <c r="AB45" s="33" t="s">
        <v>38</v>
      </c>
      <c r="AC45" s="53"/>
      <c r="AD45" s="33" t="str">
        <f t="shared" si="2"/>
        <v>discount-EUR-OIS</v>
      </c>
      <c r="AE45" s="54">
        <f>[1]!OBGET([1]!OBCALL("",AP45,IF(OR(AD45=Q45,AD45=AB45),"getPayment","getFixing"),[1]!OBMAKE("","int",[1]!OBGET([1]!OBCALL("",AP45,"getNumberOfPeriods"))-1)))</f>
        <v>12.013698630136986</v>
      </c>
      <c r="AG45" s="55" t="str">
        <f>[1]!OBMAKE(AG$15&amp;"-"&amp;ROW(),"int",$F45)</f>
        <v>spot date-45 
[11876]</v>
      </c>
      <c r="AH45" s="55" t="str">
        <f>[1]!OBMAKE(AH$15&amp;"-"&amp;ROW(),"String",$H45)</f>
        <v>start offset rec-45 
[11305]</v>
      </c>
      <c r="AI45" s="55" t="str">
        <f>[1]!OBMAKE(AI$15&amp;"-"&amp;ROW(),"String",$I45)</f>
        <v>maturity rec-45 
[12331]</v>
      </c>
      <c r="AK45" s="55" t="str">
        <f>[1]!OBMAKE(AK$15&amp;"-"&amp;ROW(),"String",$S45)</f>
        <v>start offset pay-45 
[12084]</v>
      </c>
      <c r="AL45" s="55" t="str">
        <f>[1]!OBMAKE(AL$15&amp;"-"&amp;ROW(),"String",$T45)</f>
        <v>maturity pay-45 
[11299]</v>
      </c>
      <c r="AN45" s="55" t="str">
        <f>[1]!OBMAKE(AN$15&amp;"-"&amp;ROW(),"String",D45)</f>
        <v>symbol-45 
[11809]</v>
      </c>
      <c r="AO45" s="55" t="str">
        <f>[1]!OBMAKE(AO$15&amp;"-"&amp;ROW(),"String",E45)</f>
        <v>type-45 
[11598]</v>
      </c>
      <c r="AP45" s="55" t="str">
        <f>[1]!OBCALL(AP$15&amp;"-"&amp;ROW(),obLibs&amp;"net.finmath.time.ScheduleGenerator","createScheduleFromConventions",$H$8,$AG45,$AH45:$AI45,[1]!OBMAKE("","String",$J45),[1]!OBMAKE("","String",$K45),$H$9,[1]!OBMAKE("","String",$L45),$H$10,[1]!OBMAKE("","int",$M45),[1]!OBMAKE("","int",$N45))</f>
        <v>tenor rec-45 
[14118]</v>
      </c>
      <c r="AQ45" s="55" t="str">
        <f>[1]!OBMAKE(AQ$15&amp;"-"&amp;ROW(),"String",O45)</f>
        <v>forward rec-45 
[11195]</v>
      </c>
      <c r="AR45" s="55" t="str">
        <f>[1]!OBMAKE(AR$15&amp;"-"&amp;ROW(),"double",P45)</f>
        <v>spread rec-45 
[11201]</v>
      </c>
      <c r="AS45" s="55" t="str">
        <f>[1]!OBMAKE(AS$15&amp;"-"&amp;ROW(),"String",Q45)</f>
        <v>discount rec-45 
[12222]</v>
      </c>
      <c r="AT45" s="55" t="str">
        <f>[1]!OBCALL(AT$15&amp;"-"&amp;ROW(),obLibs&amp;"net.finmath.time.ScheduleGenerator","createScheduleFromConventions",$H$8,$AG45,$AK45:$AL45,[1]!OBMAKE("","String",$U45),[1]!OBMAKE("","String",$V45),$H$9,[1]!OBMAKE("","String",$L45),$H$10,[1]!OBMAKE("","int",$X45),[1]!OBMAKE("","int",$Y45))</f>
        <v>tenor pay-45 
[13586]</v>
      </c>
      <c r="AU45" s="55" t="str">
        <f>[1]!OBMAKE(AU$15&amp;"-"&amp;ROW(),"String",Z45)</f>
        <v>forward pay-45 
[12169]</v>
      </c>
      <c r="AV45" s="55" t="str">
        <f>[1]!OBMAKE(AV$15&amp;"-"&amp;ROW(),"double",AA45)</f>
        <v>spread pay-45 
[12034]</v>
      </c>
      <c r="AW45" s="55" t="str">
        <f>[1]!OBMAKE(AW$15&amp;"-"&amp;ROW(),"String",AB45)</f>
        <v>disocunt pay-45 
[11235]</v>
      </c>
      <c r="AX45" s="55" t="str">
        <f>[1]!OBMAKE(AX$15&amp;"-"&amp;ROW(),"String",AD45)</f>
        <v>calibration curve-45 
[12301]</v>
      </c>
      <c r="AY45" s="55" t="str">
        <f>[1]!OBMAKE(AY$15&amp;"-"&amp;ROW(),"double",AE45)</f>
        <v>calibration time-45 
[14122]</v>
      </c>
      <c r="JJ45" s="14"/>
      <c r="JK45" s="14"/>
      <c r="JL45" s="14"/>
      <c r="JM45" s="14"/>
      <c r="JN45" s="14"/>
      <c r="JO45" s="14"/>
    </row>
    <row r="46" spans="1:275" ht="13.2" customHeight="1" x14ac:dyDescent="0.25">
      <c r="A46" s="48" t="str">
        <f t="shared" si="0"/>
        <v>discount-EUR-OIS-15Y</v>
      </c>
      <c r="B46" s="49" t="str">
        <f>[1]!OBMAKE("calibItem-"&amp;ROW(),obLibs&amp;"net.finmath.marketdata.calibration.CalibratedCurves$CalibrationSpec",AN46:AY46)</f>
        <v>calibItem-46 
[14901]</v>
      </c>
      <c r="C46" s="49">
        <f>[1]!OBGET([1]!OBCALL("",[1]!OBCALL("",$B$11,"getCalibrationProductForSpec",B46),"getValue",[1]!OBCALL("",$B$11,"getModel")))</f>
        <v>3.7747585463267592E-15</v>
      </c>
      <c r="D46" s="14" t="str">
        <f t="shared" si="1"/>
        <v>discount-EUR-OIS-15Y</v>
      </c>
      <c r="E46" s="14" t="s">
        <v>125</v>
      </c>
      <c r="F46" s="40">
        <v>2</v>
      </c>
      <c r="H46" s="40" t="s">
        <v>105</v>
      </c>
      <c r="I46" s="40" t="s">
        <v>141</v>
      </c>
      <c r="J46" s="40" t="s">
        <v>110</v>
      </c>
      <c r="K46" s="40" t="s">
        <v>130</v>
      </c>
      <c r="L46" s="40" t="s">
        <v>109</v>
      </c>
      <c r="M46" s="40">
        <v>0</v>
      </c>
      <c r="N46" s="40">
        <v>0</v>
      </c>
      <c r="O46" s="33" t="s">
        <v>39</v>
      </c>
      <c r="P46" s="40">
        <v>0</v>
      </c>
      <c r="Q46" s="33" t="s">
        <v>38</v>
      </c>
      <c r="S46" s="40" t="s">
        <v>105</v>
      </c>
      <c r="T46" s="40" t="str">
        <f t="shared" si="3"/>
        <v>15Y</v>
      </c>
      <c r="U46" s="40" t="s">
        <v>110</v>
      </c>
      <c r="V46" s="40" t="s">
        <v>108</v>
      </c>
      <c r="W46" s="40" t="s">
        <v>109</v>
      </c>
      <c r="X46" s="40">
        <v>0</v>
      </c>
      <c r="Y46" s="40">
        <v>0</v>
      </c>
      <c r="Z46" s="33" t="str">
        <f>""</f>
        <v/>
      </c>
      <c r="AA46" s="51">
        <v>1.7229999999999999E-2</v>
      </c>
      <c r="AB46" s="33" t="s">
        <v>38</v>
      </c>
      <c r="AC46" s="53"/>
      <c r="AD46" s="33" t="str">
        <f t="shared" si="2"/>
        <v>discount-EUR-OIS</v>
      </c>
      <c r="AE46" s="54">
        <f>[1]!OBGET([1]!OBCALL("",AP46,IF(OR(AD46=Q46,AD46=AB46),"getPayment","getFixing"),[1]!OBMAKE("","int",[1]!OBGET([1]!OBCALL("",AP46,"getNumberOfPeriods"))-1)))</f>
        <v>15.016438356164384</v>
      </c>
      <c r="AG46" s="55" t="str">
        <f>[1]!OBMAKE(AG$15&amp;"-"&amp;ROW(),"int",$F46)</f>
        <v>spot date-46 
[12181]</v>
      </c>
      <c r="AH46" s="55" t="str">
        <f>[1]!OBMAKE(AH$15&amp;"-"&amp;ROW(),"String",$H46)</f>
        <v>start offset rec-46 
[11749]</v>
      </c>
      <c r="AI46" s="55" t="str">
        <f>[1]!OBMAKE(AI$15&amp;"-"&amp;ROW(),"String",$I46)</f>
        <v>maturity rec-46 
[11292]</v>
      </c>
      <c r="AK46" s="55" t="str">
        <f>[1]!OBMAKE(AK$15&amp;"-"&amp;ROW(),"String",$S46)</f>
        <v>start offset pay-46 
[11516]</v>
      </c>
      <c r="AL46" s="55" t="str">
        <f>[1]!OBMAKE(AL$15&amp;"-"&amp;ROW(),"String",$T46)</f>
        <v>maturity pay-46 
[11710]</v>
      </c>
      <c r="AN46" s="55" t="str">
        <f>[1]!OBMAKE(AN$15&amp;"-"&amp;ROW(),"String",D46)</f>
        <v>symbol-46 
[11743]</v>
      </c>
      <c r="AO46" s="55" t="str">
        <f>[1]!OBMAKE(AO$15&amp;"-"&amp;ROW(),"String",E46)</f>
        <v>type-46 
[11165]</v>
      </c>
      <c r="AP46" s="55" t="str">
        <f>[1]!OBCALL(AP$15&amp;"-"&amp;ROW(),obLibs&amp;"net.finmath.time.ScheduleGenerator","createScheduleFromConventions",$H$8,$AG46,$AH46:$AI46,[1]!OBMAKE("","String",$J46),[1]!OBMAKE("","String",$K46),$H$9,[1]!OBMAKE("","String",$L46),$H$10,[1]!OBMAKE("","int",$M46),[1]!OBMAKE("","int",$N46))</f>
        <v>tenor rec-46 
[12933]</v>
      </c>
      <c r="AQ46" s="55" t="str">
        <f>[1]!OBMAKE(AQ$15&amp;"-"&amp;ROW(),"String",O46)</f>
        <v>forward rec-46 
[11870]</v>
      </c>
      <c r="AR46" s="55" t="str">
        <f>[1]!OBMAKE(AR$15&amp;"-"&amp;ROW(),"double",P46)</f>
        <v>spread rec-46 
[11772]</v>
      </c>
      <c r="AS46" s="55" t="str">
        <f>[1]!OBMAKE(AS$15&amp;"-"&amp;ROW(),"String",Q46)</f>
        <v>discount rec-46 
[11188]</v>
      </c>
      <c r="AT46" s="55" t="str">
        <f>[1]!OBCALL(AT$15&amp;"-"&amp;ROW(),obLibs&amp;"net.finmath.time.ScheduleGenerator","createScheduleFromConventions",$H$8,$AG46,$AK46:$AL46,[1]!OBMAKE("","String",$U46),[1]!OBMAKE("","String",$V46),$H$9,[1]!OBMAKE("","String",$L46),$H$10,[1]!OBMAKE("","int",$X46),[1]!OBMAKE("","int",$Y46))</f>
        <v>tenor pay-46 
[13050]</v>
      </c>
      <c r="AU46" s="55" t="str">
        <f>[1]!OBMAKE(AU$15&amp;"-"&amp;ROW(),"String",Z46)</f>
        <v>forward pay-46 
[11605]</v>
      </c>
      <c r="AV46" s="55" t="str">
        <f>[1]!OBMAKE(AV$15&amp;"-"&amp;ROW(),"double",AA46)</f>
        <v>spread pay-46 
[11878]</v>
      </c>
      <c r="AW46" s="55" t="str">
        <f>[1]!OBMAKE(AW$15&amp;"-"&amp;ROW(),"String",AB46)</f>
        <v>disocunt pay-46 
[10968]</v>
      </c>
      <c r="AX46" s="55" t="str">
        <f>[1]!OBMAKE(AX$15&amp;"-"&amp;ROW(),"String",AD46)</f>
        <v>calibration curve-46 
[12154]</v>
      </c>
      <c r="AY46" s="55" t="str">
        <f>[1]!OBMAKE(AY$15&amp;"-"&amp;ROW(),"double",AE46)</f>
        <v>calibration time-46 
[14111]</v>
      </c>
      <c r="JJ46" s="14"/>
      <c r="JK46" s="14"/>
      <c r="JL46" s="14"/>
      <c r="JM46" s="14"/>
      <c r="JN46" s="14"/>
      <c r="JO46" s="14"/>
    </row>
    <row r="47" spans="1:275" ht="13.2" customHeight="1" x14ac:dyDescent="0.25">
      <c r="A47" s="48" t="str">
        <f t="shared" si="0"/>
        <v>discount-EUR-OIS-20Y</v>
      </c>
      <c r="B47" s="49" t="str">
        <f>[1]!OBMAKE("calibItem-"&amp;ROW(),obLibs&amp;"net.finmath.marketdata.calibration.CalibratedCurves$CalibrationSpec",AN47:AY47)</f>
        <v>calibItem-47 
[14965]</v>
      </c>
      <c r="C47" s="49">
        <f>[1]!OBGET([1]!OBCALL("",[1]!OBCALL("",$B$11,"getCalibrationProductForSpec",B47),"getValue",[1]!OBCALL("",$B$11,"getModel")))</f>
        <v>-3.7747585463267584E-15</v>
      </c>
      <c r="D47" s="14" t="str">
        <f t="shared" si="1"/>
        <v>discount-EUR-OIS-20Y</v>
      </c>
      <c r="E47" s="14" t="s">
        <v>125</v>
      </c>
      <c r="F47" s="40">
        <v>2</v>
      </c>
      <c r="H47" s="40" t="s">
        <v>105</v>
      </c>
      <c r="I47" s="40" t="s">
        <v>142</v>
      </c>
      <c r="J47" s="40" t="s">
        <v>110</v>
      </c>
      <c r="K47" s="40" t="s">
        <v>130</v>
      </c>
      <c r="L47" s="40" t="s">
        <v>109</v>
      </c>
      <c r="M47" s="40">
        <v>0</v>
      </c>
      <c r="N47" s="40">
        <v>0</v>
      </c>
      <c r="O47" s="33" t="s">
        <v>39</v>
      </c>
      <c r="P47" s="40">
        <v>0</v>
      </c>
      <c r="Q47" s="33" t="s">
        <v>38</v>
      </c>
      <c r="S47" s="40" t="s">
        <v>105</v>
      </c>
      <c r="T47" s="40" t="str">
        <f t="shared" si="3"/>
        <v>20Y</v>
      </c>
      <c r="U47" s="40" t="s">
        <v>110</v>
      </c>
      <c r="V47" s="40" t="s">
        <v>108</v>
      </c>
      <c r="W47" s="40" t="s">
        <v>109</v>
      </c>
      <c r="X47" s="40">
        <v>0</v>
      </c>
      <c r="Y47" s="40">
        <v>0</v>
      </c>
      <c r="Z47" s="33" t="str">
        <f>""</f>
        <v/>
      </c>
      <c r="AA47" s="51">
        <v>1.8259999999999998E-2</v>
      </c>
      <c r="AB47" s="33" t="s">
        <v>38</v>
      </c>
      <c r="AC47" s="53"/>
      <c r="AD47" s="33" t="str">
        <f t="shared" si="2"/>
        <v>discount-EUR-OIS</v>
      </c>
      <c r="AE47" s="54">
        <f>[1]!OBGET([1]!OBCALL("",AP47,IF(OR(AD47=Q47,AD47=AB47),"getPayment","getFixing"),[1]!OBMAKE("","int",[1]!OBGET([1]!OBCALL("",AP47,"getNumberOfPeriods"))-1)))</f>
        <v>20.019178082191782</v>
      </c>
      <c r="AG47" s="55" t="str">
        <f>[1]!OBMAKE(AG$15&amp;"-"&amp;ROW(),"int",$F47)</f>
        <v>spot date-47 
[11268]</v>
      </c>
      <c r="AH47" s="55" t="str">
        <f>[1]!OBMAKE(AH$15&amp;"-"&amp;ROW(),"String",$H47)</f>
        <v>start offset rec-47 
[11959]</v>
      </c>
      <c r="AI47" s="55" t="str">
        <f>[1]!OBMAKE(AI$15&amp;"-"&amp;ROW(),"String",$I47)</f>
        <v>maturity rec-47 
[12120]</v>
      </c>
      <c r="AK47" s="55" t="str">
        <f>[1]!OBMAKE(AK$15&amp;"-"&amp;ROW(),"String",$S47)</f>
        <v>start offset pay-47 
[12037]</v>
      </c>
      <c r="AL47" s="55" t="str">
        <f>[1]!OBMAKE(AL$15&amp;"-"&amp;ROW(),"String",$T47)</f>
        <v>maturity pay-47 
[11890]</v>
      </c>
      <c r="AN47" s="55" t="str">
        <f>[1]!OBMAKE(AN$15&amp;"-"&amp;ROW(),"String",D47)</f>
        <v>symbol-47 
[12089]</v>
      </c>
      <c r="AO47" s="55" t="str">
        <f>[1]!OBMAKE(AO$15&amp;"-"&amp;ROW(),"String",E47)</f>
        <v>type-47 
[11060]</v>
      </c>
      <c r="AP47" s="55" t="str">
        <f>[1]!OBCALL(AP$15&amp;"-"&amp;ROW(),obLibs&amp;"net.finmath.time.ScheduleGenerator","createScheduleFromConventions",$H$8,$AG47,$AH47:$AI47,[1]!OBMAKE("","String",$J47),[1]!OBMAKE("","String",$K47),$H$9,[1]!OBMAKE("","String",$L47),$H$10,[1]!OBMAKE("","int",$M47),[1]!OBMAKE("","int",$N47))</f>
        <v>tenor rec-47 
[13032]</v>
      </c>
      <c r="AQ47" s="55" t="str">
        <f>[1]!OBMAKE(AQ$15&amp;"-"&amp;ROW(),"String",O47)</f>
        <v>forward rec-47 
[11458]</v>
      </c>
      <c r="AR47" s="55" t="str">
        <f>[1]!OBMAKE(AR$15&amp;"-"&amp;ROW(),"double",P47)</f>
        <v>spread rec-47 
[11622]</v>
      </c>
      <c r="AS47" s="55" t="str">
        <f>[1]!OBMAKE(AS$15&amp;"-"&amp;ROW(),"String",Q47)</f>
        <v>discount rec-47 
[11672]</v>
      </c>
      <c r="AT47" s="55" t="str">
        <f>[1]!OBCALL(AT$15&amp;"-"&amp;ROW(),obLibs&amp;"net.finmath.time.ScheduleGenerator","createScheduleFromConventions",$H$8,$AG47,$AK47:$AL47,[1]!OBMAKE("","String",$U47),[1]!OBMAKE("","String",$V47),$H$9,[1]!OBMAKE("","String",$L47),$H$10,[1]!OBMAKE("","int",$X47),[1]!OBMAKE("","int",$Y47))</f>
        <v>tenor pay-47 
[14177]</v>
      </c>
      <c r="AU47" s="55" t="str">
        <f>[1]!OBMAKE(AU$15&amp;"-"&amp;ROW(),"String",Z47)</f>
        <v>forward pay-47 
[11178]</v>
      </c>
      <c r="AV47" s="55" t="str">
        <f>[1]!OBMAKE(AV$15&amp;"-"&amp;ROW(),"double",AA47)</f>
        <v>spread pay-47 
[11529]</v>
      </c>
      <c r="AW47" s="55" t="str">
        <f>[1]!OBMAKE(AW$15&amp;"-"&amp;ROW(),"String",AB47)</f>
        <v>disocunt pay-47 
[11138]</v>
      </c>
      <c r="AX47" s="55" t="str">
        <f>[1]!OBMAKE(AX$15&amp;"-"&amp;ROW(),"String",AD47)</f>
        <v>calibration curve-47 
[12280]</v>
      </c>
      <c r="AY47" s="55" t="str">
        <f>[1]!OBMAKE(AY$15&amp;"-"&amp;ROW(),"double",AE47)</f>
        <v>calibration time-47 
[14235]</v>
      </c>
      <c r="JJ47" s="14"/>
      <c r="JK47" s="14"/>
      <c r="JL47" s="14"/>
      <c r="JM47" s="14"/>
      <c r="JN47" s="14"/>
      <c r="JO47" s="14"/>
    </row>
    <row r="48" spans="1:275" ht="13.2" customHeight="1" x14ac:dyDescent="0.25">
      <c r="A48" s="48" t="str">
        <f t="shared" ref="A48:A79" si="4">D48</f>
        <v>discount-EUR-OIS-25Y</v>
      </c>
      <c r="B48" s="49" t="str">
        <f>[1]!OBMAKE("calibItem-"&amp;ROW(),obLibs&amp;"net.finmath.marketdata.calibration.CalibratedCurves$CalibrationSpec",AN48:AY48)</f>
        <v>calibItem-48 
[14978]</v>
      </c>
      <c r="C48" s="49">
        <f>[1]!OBGET([1]!OBCALL("",[1]!OBCALL("",$B$11,"getCalibrationProductForSpec",B48),"getValue",[1]!OBCALL("",$B$11,"getModel")))</f>
        <v>5.3290708889318952E-15</v>
      </c>
      <c r="D48" s="14" t="str">
        <f t="shared" si="1"/>
        <v>discount-EUR-OIS-25Y</v>
      </c>
      <c r="E48" s="14" t="s">
        <v>125</v>
      </c>
      <c r="F48" s="40">
        <v>2</v>
      </c>
      <c r="H48" s="40" t="s">
        <v>105</v>
      </c>
      <c r="I48" s="40" t="s">
        <v>143</v>
      </c>
      <c r="J48" s="40" t="s">
        <v>110</v>
      </c>
      <c r="K48" s="40" t="s">
        <v>130</v>
      </c>
      <c r="L48" s="40" t="s">
        <v>109</v>
      </c>
      <c r="M48" s="40">
        <v>0</v>
      </c>
      <c r="N48" s="40">
        <v>0</v>
      </c>
      <c r="O48" s="33" t="s">
        <v>39</v>
      </c>
      <c r="P48" s="40">
        <v>0</v>
      </c>
      <c r="Q48" s="33" t="s">
        <v>38</v>
      </c>
      <c r="S48" s="40" t="s">
        <v>105</v>
      </c>
      <c r="T48" s="40" t="str">
        <f t="shared" si="3"/>
        <v>25Y</v>
      </c>
      <c r="U48" s="40" t="s">
        <v>110</v>
      </c>
      <c r="V48" s="40" t="s">
        <v>108</v>
      </c>
      <c r="W48" s="40" t="s">
        <v>109</v>
      </c>
      <c r="X48" s="40">
        <v>0</v>
      </c>
      <c r="Y48" s="40">
        <v>0</v>
      </c>
      <c r="Z48" s="33" t="str">
        <f>""</f>
        <v/>
      </c>
      <c r="AA48" s="51">
        <v>1.8769999999999998E-2</v>
      </c>
      <c r="AB48" s="33" t="s">
        <v>38</v>
      </c>
      <c r="AC48" s="53"/>
      <c r="AD48" s="33" t="str">
        <f t="shared" si="2"/>
        <v>discount-EUR-OIS</v>
      </c>
      <c r="AE48" s="54">
        <f>[1]!OBGET([1]!OBCALL("",AP48,IF(OR(AD48=Q48,AD48=AB48),"getPayment","getFixing"),[1]!OBMAKE("","int",[1]!OBGET([1]!OBCALL("",AP48,"getNumberOfPeriods"))-1)))</f>
        <v>25.024657534246575</v>
      </c>
      <c r="AG48" s="55" t="str">
        <f>[1]!OBMAKE(AG$15&amp;"-"&amp;ROW(),"int",$F48)</f>
        <v>spot date-48 
[11648]</v>
      </c>
      <c r="AH48" s="55" t="str">
        <f>[1]!OBMAKE(AH$15&amp;"-"&amp;ROW(),"String",$H48)</f>
        <v>start offset rec-48 
[11881]</v>
      </c>
      <c r="AI48" s="55" t="str">
        <f>[1]!OBMAKE(AI$15&amp;"-"&amp;ROW(),"String",$I48)</f>
        <v>maturity rec-48 
[12220]</v>
      </c>
      <c r="AK48" s="55" t="str">
        <f>[1]!OBMAKE(AK$15&amp;"-"&amp;ROW(),"String",$S48)</f>
        <v>start offset pay-48 
[11785]</v>
      </c>
      <c r="AL48" s="55" t="str">
        <f>[1]!OBMAKE(AL$15&amp;"-"&amp;ROW(),"String",$T48)</f>
        <v>maturity pay-48 
[12321]</v>
      </c>
      <c r="AN48" s="55" t="str">
        <f>[1]!OBMAKE(AN$15&amp;"-"&amp;ROW(),"String",D48)</f>
        <v>symbol-48 
[11999]</v>
      </c>
      <c r="AO48" s="55" t="str">
        <f>[1]!OBMAKE(AO$15&amp;"-"&amp;ROW(),"String",E48)</f>
        <v>type-48 
[11376]</v>
      </c>
      <c r="AP48" s="55" t="str">
        <f>[1]!OBCALL(AP$15&amp;"-"&amp;ROW(),obLibs&amp;"net.finmath.time.ScheduleGenerator","createScheduleFromConventions",$H$8,$AG48,$AH48:$AI48,[1]!OBMAKE("","String",$J48),[1]!OBMAKE("","String",$K48),$H$9,[1]!OBMAKE("","String",$L48),$H$10,[1]!OBMAKE("","int",$M48),[1]!OBMAKE("","int",$N48))</f>
        <v>tenor rec-48 
[13111]</v>
      </c>
      <c r="AQ48" s="55" t="str">
        <f>[1]!OBMAKE(AQ$15&amp;"-"&amp;ROW(),"String",O48)</f>
        <v>forward rec-48 
[11496]</v>
      </c>
      <c r="AR48" s="55" t="str">
        <f>[1]!OBMAKE(AR$15&amp;"-"&amp;ROW(),"double",P48)</f>
        <v>spread rec-48 
[11924]</v>
      </c>
      <c r="AS48" s="55" t="str">
        <f>[1]!OBMAKE(AS$15&amp;"-"&amp;ROW(),"String",Q48)</f>
        <v>discount rec-48 
[11862]</v>
      </c>
      <c r="AT48" s="55" t="str">
        <f>[1]!OBCALL(AT$15&amp;"-"&amp;ROW(),obLibs&amp;"net.finmath.time.ScheduleGenerator","createScheduleFromConventions",$H$8,$AG48,$AK48:$AL48,[1]!OBMAKE("","String",$U48),[1]!OBMAKE("","String",$V48),$H$9,[1]!OBMAKE("","String",$L48),$H$10,[1]!OBMAKE("","int",$X48),[1]!OBMAKE("","int",$Y48))</f>
        <v>tenor pay-48 
[14451]</v>
      </c>
      <c r="AU48" s="55" t="str">
        <f>[1]!OBMAKE(AU$15&amp;"-"&amp;ROW(),"String",Z48)</f>
        <v>forward pay-48 
[11383]</v>
      </c>
      <c r="AV48" s="55" t="str">
        <f>[1]!OBMAKE(AV$15&amp;"-"&amp;ROW(),"double",AA48)</f>
        <v>spread pay-48 
[11464]</v>
      </c>
      <c r="AW48" s="55" t="str">
        <f>[1]!OBMAKE(AW$15&amp;"-"&amp;ROW(),"String",AB48)</f>
        <v>disocunt pay-48 
[10817]</v>
      </c>
      <c r="AX48" s="55" t="str">
        <f>[1]!OBMAKE(AX$15&amp;"-"&amp;ROW(),"String",AD48)</f>
        <v>calibration curve-48 
[11536]</v>
      </c>
      <c r="AY48" s="55" t="str">
        <f>[1]!OBMAKE(AY$15&amp;"-"&amp;ROW(),"double",AE48)</f>
        <v>calibration time-48 
[14237]</v>
      </c>
      <c r="JJ48" s="14"/>
      <c r="JK48" s="14"/>
      <c r="JL48" s="14"/>
      <c r="JM48" s="14"/>
      <c r="JN48" s="14"/>
      <c r="JO48" s="14"/>
    </row>
    <row r="49" spans="1:275" ht="13.2" customHeight="1" x14ac:dyDescent="0.25">
      <c r="A49" s="48" t="str">
        <f t="shared" si="4"/>
        <v>discount-EUR-OIS-30Y</v>
      </c>
      <c r="B49" s="49" t="str">
        <f>[1]!OBMAKE("calibItem-"&amp;ROW(),obLibs&amp;"net.finmath.marketdata.calibration.CalibratedCurves$CalibrationSpec",AN49:AY49)</f>
        <v>calibItem-49 
[14899]</v>
      </c>
      <c r="C49" s="49">
        <f>[1]!OBGET([1]!OBCALL("",[1]!OBCALL("",$B$11,"getCalibrationProductForSpec",B49),"getValue",[1]!OBCALL("",$B$11,"getModel")))</f>
        <v>-1.2212454120468926E-15</v>
      </c>
      <c r="D49" s="14" t="str">
        <f t="shared" si="1"/>
        <v>discount-EUR-OIS-30Y</v>
      </c>
      <c r="E49" s="14" t="s">
        <v>125</v>
      </c>
      <c r="F49" s="40">
        <v>2</v>
      </c>
      <c r="H49" s="40" t="s">
        <v>105</v>
      </c>
      <c r="I49" s="40" t="s">
        <v>144</v>
      </c>
      <c r="J49" s="40" t="s">
        <v>110</v>
      </c>
      <c r="K49" s="40" t="s">
        <v>130</v>
      </c>
      <c r="L49" s="40" t="s">
        <v>109</v>
      </c>
      <c r="M49" s="40">
        <v>0</v>
      </c>
      <c r="N49" s="40">
        <v>0</v>
      </c>
      <c r="O49" s="33" t="s">
        <v>39</v>
      </c>
      <c r="P49" s="40">
        <v>0</v>
      </c>
      <c r="Q49" s="33" t="s">
        <v>38</v>
      </c>
      <c r="S49" s="40" t="s">
        <v>105</v>
      </c>
      <c r="T49" s="40" t="str">
        <f t="shared" si="3"/>
        <v>30Y</v>
      </c>
      <c r="U49" s="40" t="s">
        <v>110</v>
      </c>
      <c r="V49" s="40" t="s">
        <v>108</v>
      </c>
      <c r="W49" s="40" t="s">
        <v>109</v>
      </c>
      <c r="X49" s="40">
        <v>0</v>
      </c>
      <c r="Y49" s="40">
        <v>0</v>
      </c>
      <c r="Z49" s="33" t="str">
        <f>""</f>
        <v/>
      </c>
      <c r="AA49" s="51">
        <v>1.9099999999999999E-2</v>
      </c>
      <c r="AB49" s="33" t="s">
        <v>38</v>
      </c>
      <c r="AC49" s="53"/>
      <c r="AD49" s="33" t="str">
        <f t="shared" si="2"/>
        <v>discount-EUR-OIS</v>
      </c>
      <c r="AE49" s="54">
        <f>[1]!OBGET([1]!OBCALL("",AP49,IF(OR(AD49=Q49,AD49=AB49),"getPayment","getFixing"),[1]!OBMAKE("","int",[1]!OBGET([1]!OBCALL("",AP49,"getNumberOfPeriods"))-1)))</f>
        <v>30.030136986301368</v>
      </c>
      <c r="AG49" s="55" t="str">
        <f>[1]!OBMAKE(AG$15&amp;"-"&amp;ROW(),"int",$F49)</f>
        <v>spot date-49 
[11330]</v>
      </c>
      <c r="AH49" s="55" t="str">
        <f>[1]!OBMAKE(AH$15&amp;"-"&amp;ROW(),"String",$H49)</f>
        <v>start offset rec-49 
[11654]</v>
      </c>
      <c r="AI49" s="55" t="str">
        <f>[1]!OBMAKE(AI$15&amp;"-"&amp;ROW(),"String",$I49)</f>
        <v>maturity rec-49 
[11733]</v>
      </c>
      <c r="AK49" s="55" t="str">
        <f>[1]!OBMAKE(AK$15&amp;"-"&amp;ROW(),"String",$S49)</f>
        <v>start offset pay-49 
[12265]</v>
      </c>
      <c r="AL49" s="55" t="str">
        <f>[1]!OBMAKE(AL$15&amp;"-"&amp;ROW(),"String",$T49)</f>
        <v>maturity pay-49 
[11589]</v>
      </c>
      <c r="AN49" s="55" t="str">
        <f>[1]!OBMAKE(AN$15&amp;"-"&amp;ROW(),"String",D49)</f>
        <v>symbol-49 
[12204]</v>
      </c>
      <c r="AO49" s="55" t="str">
        <f>[1]!OBMAKE(AO$15&amp;"-"&amp;ROW(),"String",E49)</f>
        <v>type-49 
[11248]</v>
      </c>
      <c r="AP49" s="55" t="str">
        <f>[1]!OBCALL(AP$15&amp;"-"&amp;ROW(),obLibs&amp;"net.finmath.time.ScheduleGenerator","createScheduleFromConventions",$H$8,$AG49,$AH49:$AI49,[1]!OBMAKE("","String",$J49),[1]!OBMAKE("","String",$K49),$H$9,[1]!OBMAKE("","String",$L49),$H$10,[1]!OBMAKE("","int",$M49),[1]!OBMAKE("","int",$N49))</f>
        <v>tenor rec-49 
[13653]</v>
      </c>
      <c r="AQ49" s="55" t="str">
        <f>[1]!OBMAKE(AQ$15&amp;"-"&amp;ROW(),"String",O49)</f>
        <v>forward rec-49 
[11426]</v>
      </c>
      <c r="AR49" s="55" t="str">
        <f>[1]!OBMAKE(AR$15&amp;"-"&amp;ROW(),"double",P49)</f>
        <v>spread rec-49 
[11400]</v>
      </c>
      <c r="AS49" s="55" t="str">
        <f>[1]!OBMAKE(AS$15&amp;"-"&amp;ROW(),"String",Q49)</f>
        <v>discount rec-49 
[11451]</v>
      </c>
      <c r="AT49" s="55" t="str">
        <f>[1]!OBCALL(AT$15&amp;"-"&amp;ROW(),obLibs&amp;"net.finmath.time.ScheduleGenerator","createScheduleFromConventions",$H$8,$AG49,$AK49:$AL49,[1]!OBMAKE("","String",$U49),[1]!OBMAKE("","String",$V49),$H$9,[1]!OBMAKE("","String",$L49),$H$10,[1]!OBMAKE("","int",$X49),[1]!OBMAKE("","int",$Y49))</f>
        <v>tenor pay-49 
[13610]</v>
      </c>
      <c r="AU49" s="55" t="str">
        <f>[1]!OBMAKE(AU$15&amp;"-"&amp;ROW(),"String",Z49)</f>
        <v>forward pay-49 
[11255]</v>
      </c>
      <c r="AV49" s="55" t="str">
        <f>[1]!OBMAKE(AV$15&amp;"-"&amp;ROW(),"double",AA49)</f>
        <v>spread pay-49 
[11794]</v>
      </c>
      <c r="AW49" s="55" t="str">
        <f>[1]!OBMAKE(AW$15&amp;"-"&amp;ROW(),"String",AB49)</f>
        <v>disocunt pay-49 
[11033]</v>
      </c>
      <c r="AX49" s="55" t="str">
        <f>[1]!OBMAKE(AX$15&amp;"-"&amp;ROW(),"String",AD49)</f>
        <v>calibration curve-49 
[12093]</v>
      </c>
      <c r="AY49" s="55" t="str">
        <f>[1]!OBMAKE(AY$15&amp;"-"&amp;ROW(),"double",AE49)</f>
        <v>calibration time-49 
[14244]</v>
      </c>
      <c r="JJ49" s="14"/>
      <c r="JK49" s="14"/>
      <c r="JL49" s="14"/>
      <c r="JM49" s="14"/>
      <c r="JN49" s="14"/>
      <c r="JO49" s="14"/>
    </row>
    <row r="50" spans="1:275" ht="13.2" customHeight="1" x14ac:dyDescent="0.25">
      <c r="A50" s="48" t="str">
        <f t="shared" si="4"/>
        <v>discount-EUR-OIS-40Y</v>
      </c>
      <c r="B50" s="49" t="str">
        <f>[1]!OBMAKE("calibItem-"&amp;ROW(),obLibs&amp;"net.finmath.marketdata.calibration.CalibratedCurves$CalibrationSpec",AN50:AY50)</f>
        <v>calibItem-50 
[14922]</v>
      </c>
      <c r="C50" s="49">
        <f>[1]!OBGET([1]!OBCALL("",[1]!OBCALL("",$B$11,"getCalibrationProductForSpec",B50),"getValue",[1]!OBCALL("",$B$11,"getModel")))</f>
        <v>-1.9984015833494604E-15</v>
      </c>
      <c r="D50" s="14" t="str">
        <f t="shared" si="1"/>
        <v>discount-EUR-OIS-40Y</v>
      </c>
      <c r="E50" s="14" t="s">
        <v>125</v>
      </c>
      <c r="F50" s="40">
        <v>2</v>
      </c>
      <c r="H50" s="40" t="s">
        <v>105</v>
      </c>
      <c r="I50" s="40" t="s">
        <v>145</v>
      </c>
      <c r="J50" s="40" t="s">
        <v>110</v>
      </c>
      <c r="K50" s="40" t="s">
        <v>130</v>
      </c>
      <c r="L50" s="40" t="s">
        <v>109</v>
      </c>
      <c r="M50" s="40">
        <v>0</v>
      </c>
      <c r="N50" s="40">
        <v>0</v>
      </c>
      <c r="O50" s="41" t="s">
        <v>39</v>
      </c>
      <c r="P50" s="40">
        <v>0</v>
      </c>
      <c r="Q50" s="33" t="s">
        <v>38</v>
      </c>
      <c r="R50" s="57"/>
      <c r="S50" s="40" t="s">
        <v>105</v>
      </c>
      <c r="T50" s="40" t="str">
        <f t="shared" si="3"/>
        <v>40Y</v>
      </c>
      <c r="U50" s="40" t="s">
        <v>110</v>
      </c>
      <c r="V50" s="40" t="s">
        <v>108</v>
      </c>
      <c r="W50" s="40" t="s">
        <v>109</v>
      </c>
      <c r="X50" s="40">
        <v>0</v>
      </c>
      <c r="Y50" s="40">
        <v>0</v>
      </c>
      <c r="Z50" s="33" t="str">
        <f>""</f>
        <v/>
      </c>
      <c r="AA50" s="51">
        <v>2.0250000000000001E-2</v>
      </c>
      <c r="AB50" s="33" t="s">
        <v>38</v>
      </c>
      <c r="AC50" s="53"/>
      <c r="AD50" s="33" t="str">
        <f t="shared" si="2"/>
        <v>discount-EUR-OIS</v>
      </c>
      <c r="AE50" s="54">
        <f>[1]!OBGET([1]!OBCALL("",AP50,IF(OR(AD50=Q50,AD50=AB50),"getPayment","getFixing"),[1]!OBMAKE("","int",[1]!OBGET([1]!OBCALL("",AP50,"getNumberOfPeriods"))-1)))</f>
        <v>40.032876712328765</v>
      </c>
      <c r="AG50" s="55" t="str">
        <f>[1]!OBMAKE(AG$15&amp;"-"&amp;ROW(),"int",$F50)</f>
        <v>spot date-50 
[11617]</v>
      </c>
      <c r="AH50" s="55" t="str">
        <f>[1]!OBMAKE(AH$15&amp;"-"&amp;ROW(),"String",$H50)</f>
        <v>start offset rec-50 
[11961]</v>
      </c>
      <c r="AI50" s="55" t="str">
        <f>[1]!OBMAKE(AI$15&amp;"-"&amp;ROW(),"String",$I50)</f>
        <v>maturity rec-50 
[11641]</v>
      </c>
      <c r="AK50" s="55" t="str">
        <f>[1]!OBMAKE(AK$15&amp;"-"&amp;ROW(),"String",$S50)</f>
        <v>start offset pay-50 
[11753]</v>
      </c>
      <c r="AL50" s="55" t="str">
        <f>[1]!OBMAKE(AL$15&amp;"-"&amp;ROW(),"String",$T50)</f>
        <v>maturity pay-50 
[11147]</v>
      </c>
      <c r="AN50" s="55" t="str">
        <f>[1]!OBMAKE(AN$15&amp;"-"&amp;ROW(),"String",D50)</f>
        <v>symbol-50 
[11502]</v>
      </c>
      <c r="AO50" s="55" t="str">
        <f>[1]!OBMAKE(AO$15&amp;"-"&amp;ROW(),"String",E50)</f>
        <v>type-50 
[11164]</v>
      </c>
      <c r="AP50" s="55" t="str">
        <f>[1]!OBCALL(AP$15&amp;"-"&amp;ROW(),obLibs&amp;"net.finmath.time.ScheduleGenerator","createScheduleFromConventions",$H$8,$AG50,$AH50:$AI50,[1]!OBMAKE("","String",$J50),[1]!OBMAKE("","String",$K50),$H$9,[1]!OBMAKE("","String",$L50),$H$10,[1]!OBMAKE("","int",$M50),[1]!OBMAKE("","int",$N50))</f>
        <v>tenor rec-50 
[13678]</v>
      </c>
      <c r="AQ50" s="55" t="str">
        <f>[1]!OBMAKE(AQ$15&amp;"-"&amp;ROW(),"String",O50)</f>
        <v>forward rec-50 
[11738]</v>
      </c>
      <c r="AR50" s="55" t="str">
        <f>[1]!OBMAKE(AR$15&amp;"-"&amp;ROW(),"double",P50)</f>
        <v>spread rec-50 
[12039]</v>
      </c>
      <c r="AS50" s="55" t="str">
        <f>[1]!OBMAKE(AS$15&amp;"-"&amp;ROW(),"String",Q50)</f>
        <v>discount rec-50 
[11612]</v>
      </c>
      <c r="AT50" s="55" t="str">
        <f>[1]!OBCALL(AT$15&amp;"-"&amp;ROW(),obLibs&amp;"net.finmath.time.ScheduleGenerator","createScheduleFromConventions",$H$8,$AG50,$AK50:$AL50,[1]!OBMAKE("","String",$U50),[1]!OBMAKE("","String",$V50),$H$9,[1]!OBMAKE("","String",$L50),$H$10,[1]!OBMAKE("","int",$X50),[1]!OBMAKE("","int",$Y50))</f>
        <v>tenor pay-50 
[12993]</v>
      </c>
      <c r="AU50" s="55" t="str">
        <f>[1]!OBMAKE(AU$15&amp;"-"&amp;ROW(),"String",Z50)</f>
        <v>forward pay-50 
[11860]</v>
      </c>
      <c r="AV50" s="55" t="str">
        <f>[1]!OBMAKE(AV$15&amp;"-"&amp;ROW(),"double",AA50)</f>
        <v>spread pay-50 
[11714]</v>
      </c>
      <c r="AW50" s="55" t="str">
        <f>[1]!OBMAKE(AW$15&amp;"-"&amp;ROW(),"String",AB50)</f>
        <v>disocunt pay-50 
[10967]</v>
      </c>
      <c r="AX50" s="55" t="str">
        <f>[1]!OBMAKE(AX$15&amp;"-"&amp;ROW(),"String",AD50)</f>
        <v>calibration curve-50 
[11801]</v>
      </c>
      <c r="AY50" s="55" t="str">
        <f>[1]!OBMAKE(AY$15&amp;"-"&amp;ROW(),"double",AE50)</f>
        <v>calibration time-50 
[13792]</v>
      </c>
      <c r="JJ50" s="14"/>
      <c r="JK50" s="14"/>
      <c r="JL50" s="14"/>
      <c r="JM50" s="14"/>
      <c r="JN50" s="14"/>
      <c r="JO50" s="14"/>
    </row>
    <row r="51" spans="1:275" s="46" customFormat="1" ht="13.2" customHeight="1" x14ac:dyDescent="0.25">
      <c r="A51" s="48" t="str">
        <f t="shared" si="4"/>
        <v>discount-EUR-OIS-50Y</v>
      </c>
      <c r="B51" s="58" t="str">
        <f>[1]!OBMAKE("calibItem-"&amp;ROW(),obLibs&amp;"net.finmath.marketdata.calibration.CalibratedCurves$CalibrationSpec",AN51:AY51)</f>
        <v>calibItem-51 
[14929]</v>
      </c>
      <c r="C51" s="58">
        <f>[1]!OBGET([1]!OBCALL("",[1]!OBCALL("",$B$11,"getCalibrationProductForSpec",B51),"getValue",[1]!OBCALL("",$B$11,"getModel")))</f>
        <v>6.106227060234463E-16</v>
      </c>
      <c r="D51" s="46" t="str">
        <f t="shared" si="1"/>
        <v>discount-EUR-OIS-50Y</v>
      </c>
      <c r="E51" s="46" t="s">
        <v>125</v>
      </c>
      <c r="F51" s="59">
        <v>2</v>
      </c>
      <c r="H51" s="59" t="s">
        <v>105</v>
      </c>
      <c r="I51" s="59" t="s">
        <v>146</v>
      </c>
      <c r="J51" s="59" t="s">
        <v>110</v>
      </c>
      <c r="K51" s="59" t="s">
        <v>130</v>
      </c>
      <c r="L51" s="59" t="s">
        <v>109</v>
      </c>
      <c r="M51" s="59">
        <v>0</v>
      </c>
      <c r="N51" s="59">
        <v>0</v>
      </c>
      <c r="O51" s="60" t="s">
        <v>39</v>
      </c>
      <c r="P51" s="59">
        <v>0</v>
      </c>
      <c r="Q51" s="61" t="s">
        <v>38</v>
      </c>
      <c r="S51" s="59" t="s">
        <v>105</v>
      </c>
      <c r="T51" s="59" t="str">
        <f t="shared" si="3"/>
        <v>50Y</v>
      </c>
      <c r="U51" s="59" t="s">
        <v>110</v>
      </c>
      <c r="V51" s="59" t="s">
        <v>108</v>
      </c>
      <c r="W51" s="59" t="s">
        <v>109</v>
      </c>
      <c r="X51" s="59">
        <v>0</v>
      </c>
      <c r="Y51" s="59">
        <v>0</v>
      </c>
      <c r="Z51" s="61" t="str">
        <f>""</f>
        <v/>
      </c>
      <c r="AA51" s="62">
        <v>2.1010000000000001E-2</v>
      </c>
      <c r="AB51" s="61" t="s">
        <v>38</v>
      </c>
      <c r="AC51" s="63"/>
      <c r="AD51" s="61" t="str">
        <f t="shared" si="2"/>
        <v>discount-EUR-OIS</v>
      </c>
      <c r="AE51" s="64">
        <f>[1]!OBGET([1]!OBCALL("",AP51,IF(OR(AD51=Q51,AD51=AB51),"getPayment","getFixing"),[1]!OBMAKE("","int",[1]!OBGET([1]!OBCALL("",AP51,"getNumberOfPeriods"))-1)))</f>
        <v>50.041095890410958</v>
      </c>
      <c r="AG51" s="65" t="str">
        <f>[1]!OBMAKE(AG$15&amp;"-"&amp;ROW(),"int",$F51)</f>
        <v>spot date-51 
[11966]</v>
      </c>
      <c r="AH51" s="65" t="str">
        <f>[1]!OBMAKE(AH$15&amp;"-"&amp;ROW(),"String",$H51)</f>
        <v>start offset rec-51 
[11432]</v>
      </c>
      <c r="AI51" s="65" t="str">
        <f>[1]!OBMAKE(AI$15&amp;"-"&amp;ROW(),"String",$I51)</f>
        <v>maturity rec-51 
[11489]</v>
      </c>
      <c r="AK51" s="65" t="str">
        <f>[1]!OBMAKE(AK$15&amp;"-"&amp;ROW(),"String",$S51)</f>
        <v>start offset pay-51 
[12101]</v>
      </c>
      <c r="AL51" s="65" t="str">
        <f>[1]!OBMAKE(AL$15&amp;"-"&amp;ROW(),"String",$T51)</f>
        <v>maturity pay-51 
[11042]</v>
      </c>
      <c r="AN51" s="65" t="str">
        <f>[1]!OBMAKE(AN$15&amp;"-"&amp;ROW(),"String",D51)</f>
        <v>symbol-51 
[12214]</v>
      </c>
      <c r="AO51" s="65" t="str">
        <f>[1]!OBMAKE(AO$15&amp;"-"&amp;ROW(),"String",E51)</f>
        <v>type-51 
[11059]</v>
      </c>
      <c r="AP51" s="65" t="str">
        <f>[1]!OBCALL(AP$15&amp;"-"&amp;ROW(),obLibs&amp;"net.finmath.time.ScheduleGenerator","createScheduleFromConventions",$H$8,$AG51,$AH51:$AI51,[1]!OBMAKE("","String",$J51),[1]!OBMAKE("","String",$K51),$H$9,[1]!OBMAKE("","String",$L51),$H$10,[1]!OBMAKE("","int",$M51),[1]!OBMAKE("","int",$N51))</f>
        <v>tenor rec-51 
[14467]</v>
      </c>
      <c r="AQ51" s="65" t="str">
        <f>[1]!OBMAKE(AQ$15&amp;"-"&amp;ROW(),"String",O51)</f>
        <v>forward rec-51 
[11298]</v>
      </c>
      <c r="AR51" s="65" t="str">
        <f>[1]!OBMAKE(AR$15&amp;"-"&amp;ROW(),"double",P51)</f>
        <v>spread rec-51 
[11272]</v>
      </c>
      <c r="AS51" s="65" t="str">
        <f>[1]!OBMAKE(AS$15&amp;"-"&amp;ROW(),"String",Q51)</f>
        <v>discount rec-51 
[11323]</v>
      </c>
      <c r="AT51" s="65" t="str">
        <f>[1]!OBCALL(AT$15&amp;"-"&amp;ROW(),obLibs&amp;"net.finmath.time.ScheduleGenerator","createScheduleFromConventions",$H$8,$AG51,$AK51:$AL51,[1]!OBMAKE("","String",$U51),[1]!OBMAKE("","String",$V51),$H$9,[1]!OBMAKE("","String",$L51),$H$10,[1]!OBMAKE("","int",$X51),[1]!OBMAKE("","int",$Y51))</f>
        <v>tenor pay-51 
[14183]</v>
      </c>
      <c r="AU51" s="65" t="str">
        <f>[1]!OBMAKE(AU$15&amp;"-"&amp;ROW(),"String",Z51)</f>
        <v>forward pay-51 
[11177]</v>
      </c>
      <c r="AV51" s="65" t="str">
        <f>[1]!OBMAKE(AV$15&amp;"-"&amp;ROW(),"double",AA51)</f>
        <v>spread pay-51 
[12273]</v>
      </c>
      <c r="AW51" s="65" t="str">
        <f>[1]!OBMAKE(AW$15&amp;"-"&amp;ROW(),"String",AB51)</f>
        <v>disocunt pay-51 
[11855]</v>
      </c>
      <c r="AX51" s="65" t="str">
        <f>[1]!OBMAKE(AX$15&amp;"-"&amp;ROW(),"String",AD51)</f>
        <v>calibration curve-51 
[12116]</v>
      </c>
      <c r="AY51" s="65" t="str">
        <f>[1]!OBMAKE(AY$15&amp;"-"&amp;ROW(),"double",AE51)</f>
        <v>calibration time-51 
[14471]</v>
      </c>
    </row>
    <row r="52" spans="1:275" ht="13.2" customHeight="1" x14ac:dyDescent="0.25">
      <c r="A52" s="48" t="str">
        <f t="shared" si="4"/>
        <v>forward-EUR-3M-0Dx3M</v>
      </c>
      <c r="B52" s="49" t="str">
        <f>[1]!OBMAKE("calibItem-"&amp;ROW(),obLibs&amp;"net.finmath.marketdata.calibration.CalibratedCurves$CalibrationSpec",AN52:AY52)</f>
        <v>calibItem-52 
[14997]</v>
      </c>
      <c r="C52" s="49">
        <f>[1]!OBGET([1]!OBCALL("",[1]!OBCALL("",$B$11,"getCalibrationProductForSpec",B52),"getValue",[1]!OBCALL("",$B$11,"getModel")))</f>
        <v>8.5239078452279895E-14</v>
      </c>
      <c r="D52" s="14" t="str">
        <f t="shared" ref="D52:D59" si="5">AD52&amp;"-"&amp;H52&amp;"x"&amp;I52</f>
        <v>forward-EUR-3M-0Dx3M</v>
      </c>
      <c r="E52" s="14" t="s">
        <v>147</v>
      </c>
      <c r="F52" s="40">
        <v>2</v>
      </c>
      <c r="H52" s="40" t="s">
        <v>105</v>
      </c>
      <c r="I52" s="40" t="s">
        <v>43</v>
      </c>
      <c r="J52" s="40" t="s">
        <v>107</v>
      </c>
      <c r="K52" s="40" t="s">
        <v>108</v>
      </c>
      <c r="L52" s="40" t="s">
        <v>115</v>
      </c>
      <c r="M52" s="40">
        <v>0</v>
      </c>
      <c r="N52" s="40">
        <v>0</v>
      </c>
      <c r="O52" s="33" t="s">
        <v>40</v>
      </c>
      <c r="P52" s="51">
        <v>3.2200000000000002E-3</v>
      </c>
      <c r="Q52" s="33" t="s">
        <v>38</v>
      </c>
      <c r="S52" s="40" t="s">
        <v>105</v>
      </c>
      <c r="T52" s="40" t="s">
        <v>43</v>
      </c>
      <c r="U52" s="40" t="s">
        <v>110</v>
      </c>
      <c r="V52" s="40" t="s">
        <v>148</v>
      </c>
      <c r="W52" s="40" t="s">
        <v>115</v>
      </c>
      <c r="X52" s="40">
        <v>0</v>
      </c>
      <c r="Y52" s="40">
        <v>0</v>
      </c>
      <c r="Z52" s="33" t="str">
        <f>""</f>
        <v/>
      </c>
      <c r="AA52" s="53"/>
      <c r="AB52" s="33" t="s">
        <v>38</v>
      </c>
      <c r="AC52" s="53"/>
      <c r="AD52" s="33" t="str">
        <f t="shared" ref="AD52:AD98" si="6">O52</f>
        <v>forward-EUR-3M</v>
      </c>
      <c r="AE52" s="54">
        <f>[1]!OBGET([1]!OBCALL("",AP52,IF(OR(AD52=Q52,AD52=AB52),"getPayment","getFixing"),[1]!OBMAKE("","int",[1]!OBGET([1]!OBCALL("",AP52,"getNumberOfPeriods"))-1)))</f>
        <v>5.4794520547945206E-3</v>
      </c>
      <c r="AG52" s="55" t="str">
        <f>[1]!OBMAKE(AG$15&amp;"-"&amp;ROW(),"int",$F52)</f>
        <v>spot date-52 
[11194]</v>
      </c>
      <c r="AH52" s="55" t="str">
        <f>[1]!OBMAKE(AH$15&amp;"-"&amp;ROW(),"String",$H52)</f>
        <v>start offset rec-52 
[11541]</v>
      </c>
      <c r="AI52" s="55" t="str">
        <f>[1]!OBMAKE(AI$15&amp;"-"&amp;ROW(),"String",$I52)</f>
        <v>maturity rec-52 
[11419]</v>
      </c>
      <c r="AK52" s="55" t="str">
        <f>[1]!OBMAKE(AK$15&amp;"-"&amp;ROW(),"String",$S52)</f>
        <v>start offset pay-52 
[11756]</v>
      </c>
      <c r="AL52" s="55" t="str">
        <f>[1]!OBMAKE(AL$15&amp;"-"&amp;ROW(),"String",$T52)</f>
        <v>maturity pay-52 
[11367]</v>
      </c>
      <c r="AN52" s="55" t="str">
        <f>[1]!OBMAKE(AN$15&amp;"-"&amp;ROW(),"String",D52)</f>
        <v>symbol-52 
[12182]</v>
      </c>
      <c r="AO52" s="55" t="str">
        <f>[1]!OBMAKE(AO$15&amp;"-"&amp;ROW(),"String",E52)</f>
        <v>type-52 
[12271]</v>
      </c>
      <c r="AP52" s="55" t="str">
        <f>[1]!OBCALL(AP$15&amp;"-"&amp;ROW(),obLibs&amp;"net.finmath.time.ScheduleGenerator","createScheduleFromConventions",$H$8,$AG52,$AH52:$AI52,[1]!OBMAKE("","String",$J52),[1]!OBMAKE("","String",$K52),$H$9,[1]!OBMAKE("","String",$L52),$H$10,[1]!OBMAKE("","int",$M52),[1]!OBMAKE("","int",$N52))</f>
        <v>tenor rec-52 
[13887]</v>
      </c>
      <c r="AQ52" s="55" t="str">
        <f>[1]!OBMAKE(AQ$15&amp;"-"&amp;ROW(),"String",O52)</f>
        <v>forward rec-52 
[11994]</v>
      </c>
      <c r="AR52" s="55" t="str">
        <f>[1]!OBMAKE(AR$15&amp;"-"&amp;ROW(),"double",P52)</f>
        <v>spread rec-52 
[12019]</v>
      </c>
      <c r="AS52" s="55" t="str">
        <f>[1]!OBMAKE(AS$15&amp;"-"&amp;ROW(),"String",Q52)</f>
        <v>discount rec-52 
[11390]</v>
      </c>
      <c r="AT52" s="55" t="str">
        <f>[1]!OBCALL(AT$15&amp;"-"&amp;ROW(),obLibs&amp;"net.finmath.time.ScheduleGenerator","createScheduleFromConventions",$H$8,$AG52,$AK52:$AL52,[1]!OBMAKE("","String",$U52),[1]!OBMAKE("","String",$V52),$H$9,[1]!OBMAKE("","String",$L52),$H$10,[1]!OBMAKE("","int",$X52),[1]!OBMAKE("","int",$Y52))</f>
        <v>tenor pay-52 
[14161]</v>
      </c>
      <c r="AU52" s="55" t="str">
        <f>[1]!OBMAKE(AU$15&amp;"-"&amp;ROW(),"String",Z52)</f>
        <v>forward pay-52 
[11604]</v>
      </c>
      <c r="AV52" s="55" t="str">
        <f>[1]!OBMAKE(AV$15&amp;"-"&amp;ROW(),"double",AA52)</f>
        <v>spread pay-52 
[11970]</v>
      </c>
      <c r="AW52" s="55" t="str">
        <f>[1]!OBMAKE(AW$15&amp;"-"&amp;ROW(),"String",AB52)</f>
        <v>disocunt pay-52 
[10816]</v>
      </c>
      <c r="AX52" s="55" t="str">
        <f>[1]!OBMAKE(AX$15&amp;"-"&amp;ROW(),"String",AD52)</f>
        <v>calibration curve-52 
[11768]</v>
      </c>
      <c r="AY52" s="55" t="str">
        <f>[1]!OBMAKE(AY$15&amp;"-"&amp;ROW(),"double",AE52)</f>
        <v>calibration time-52 
[14247]</v>
      </c>
      <c r="JJ52" s="14"/>
      <c r="JK52" s="14"/>
      <c r="JL52" s="14"/>
      <c r="JM52" s="14"/>
      <c r="JN52" s="14"/>
      <c r="JO52" s="14"/>
    </row>
    <row r="53" spans="1:275" ht="13.2" customHeight="1" x14ac:dyDescent="0.25">
      <c r="A53" s="48" t="str">
        <f t="shared" si="4"/>
        <v>forward-EUR-3M-1Mx3M</v>
      </c>
      <c r="B53" s="49" t="str">
        <f>[1]!OBMAKE("calibItem-"&amp;ROW(),obLibs&amp;"net.finmath.marketdata.calibration.CalibratedCurves$CalibrationSpec",AN53:AY53)</f>
        <v>calibItem-53 
[14934]</v>
      </c>
      <c r="C53" s="49">
        <f>[1]!OBGET([1]!OBCALL("",[1]!OBCALL("",$B$11,"getCalibrationProductForSpec",B53),"getValue",[1]!OBCALL("",$B$11,"getModel")))</f>
        <v>0</v>
      </c>
      <c r="D53" s="14" t="str">
        <f t="shared" si="5"/>
        <v>forward-EUR-3M-1Mx3M</v>
      </c>
      <c r="E53" s="14" t="s">
        <v>147</v>
      </c>
      <c r="F53" s="40">
        <v>2</v>
      </c>
      <c r="H53" s="40" t="s">
        <v>114</v>
      </c>
      <c r="I53" s="40" t="s">
        <v>43</v>
      </c>
      <c r="J53" s="40" t="s">
        <v>107</v>
      </c>
      <c r="K53" s="40" t="s">
        <v>108</v>
      </c>
      <c r="L53" s="40" t="s">
        <v>115</v>
      </c>
      <c r="M53" s="40">
        <v>0</v>
      </c>
      <c r="N53" s="40">
        <v>0</v>
      </c>
      <c r="O53" s="33" t="s">
        <v>40</v>
      </c>
      <c r="P53" s="51">
        <v>3.2895572786400002E-3</v>
      </c>
      <c r="Q53" s="33" t="s">
        <v>38</v>
      </c>
      <c r="S53" s="40" t="s">
        <v>114</v>
      </c>
      <c r="T53" s="40" t="s">
        <v>43</v>
      </c>
      <c r="U53" s="40" t="s">
        <v>110</v>
      </c>
      <c r="V53" s="40" t="s">
        <v>148</v>
      </c>
      <c r="W53" s="40" t="s">
        <v>115</v>
      </c>
      <c r="X53" s="40">
        <v>0</v>
      </c>
      <c r="Y53" s="40">
        <v>0</v>
      </c>
      <c r="Z53" s="33" t="str">
        <f>""</f>
        <v/>
      </c>
      <c r="AA53" s="53"/>
      <c r="AB53" s="33" t="s">
        <v>38</v>
      </c>
      <c r="AC53" s="53"/>
      <c r="AD53" s="33" t="str">
        <f t="shared" si="6"/>
        <v>forward-EUR-3M</v>
      </c>
      <c r="AE53" s="54">
        <f>[1]!OBGET([1]!OBCALL("",AP53,IF(OR(AD53=Q53,AD53=AB53),"getPayment","getFixing"),[1]!OBMAKE("","int",[1]!OBGET([1]!OBCALL("",AP53,"getNumberOfPeriods"))-1)))</f>
        <v>9.3150684931506855E-2</v>
      </c>
      <c r="AG53" s="55" t="str">
        <f>[1]!OBMAKE(AG$15&amp;"-"&amp;ROW(),"int",$F53)</f>
        <v>spot date-53 
[12325]</v>
      </c>
      <c r="AH53" s="55" t="str">
        <f>[1]!OBMAKE(AH$15&amp;"-"&amp;ROW(),"String",$H53)</f>
        <v>start offset rec-53 
[11304]</v>
      </c>
      <c r="AI53" s="55" t="str">
        <f>[1]!OBMAKE(AI$15&amp;"-"&amp;ROW(),"String",$I53)</f>
        <v>maturity rec-53 
[11989]</v>
      </c>
      <c r="AK53" s="55" t="str">
        <f>[1]!OBMAKE(AK$15&amp;"-"&amp;ROW(),"String",$S53)</f>
        <v>start offset pay-53 
[12207]</v>
      </c>
      <c r="AL53" s="55" t="str">
        <f>[1]!OBMAKE(AL$15&amp;"-"&amp;ROW(),"String",$T53)</f>
        <v>maturity pay-53 
[11239]</v>
      </c>
      <c r="AN53" s="55" t="str">
        <f>[1]!OBMAKE(AN$15&amp;"-"&amp;ROW(),"String",D53)</f>
        <v>symbol-53 
[12359]</v>
      </c>
      <c r="AO53" s="55" t="str">
        <f>[1]!OBMAKE(AO$15&amp;"-"&amp;ROW(),"String",E53)</f>
        <v>type-53 
[11597]</v>
      </c>
      <c r="AP53" s="55" t="str">
        <f>[1]!OBCALL(AP$15&amp;"-"&amp;ROW(),obLibs&amp;"net.finmath.time.ScheduleGenerator","createScheduleFromConventions",$H$8,$AG53,$AH53:$AI53,[1]!OBMAKE("","String",$J53),[1]!OBMAKE("","String",$K53),$H$9,[1]!OBMAKE("","String",$L53),$H$10,[1]!OBMAKE("","int",$M53),[1]!OBMAKE("","int",$N53))</f>
        <v>tenor rec-53 
[13604]</v>
      </c>
      <c r="AQ53" s="55" t="str">
        <f>[1]!OBMAKE(AQ$15&amp;"-"&amp;ROW(),"String",O53)</f>
        <v>forward rec-53 
[11701]</v>
      </c>
      <c r="AR53" s="55" t="str">
        <f>[1]!OBMAKE(AR$15&amp;"-"&amp;ROW(),"double",P53)</f>
        <v>spread rec-53 
[11200]</v>
      </c>
      <c r="AS53" s="55" t="str">
        <f>[1]!OBMAKE(AS$15&amp;"-"&amp;ROW(),"String",Q53)</f>
        <v>discount rec-53 
[12107]</v>
      </c>
      <c r="AT53" s="55" t="str">
        <f>[1]!OBCALL(AT$15&amp;"-"&amp;ROW(),obLibs&amp;"net.finmath.time.ScheduleGenerator","createScheduleFromConventions",$H$8,$AG53,$AK53:$AL53,[1]!OBMAKE("","String",$U53),[1]!OBMAKE("","String",$V53),$H$9,[1]!OBMAKE("","String",$L53),$H$10,[1]!OBMAKE("","int",$X53),[1]!OBMAKE("","int",$Y53))</f>
        <v>tenor pay-53 
[12987]</v>
      </c>
      <c r="AU53" s="55" t="str">
        <f>[1]!OBMAKE(AU$15&amp;"-"&amp;ROW(),"String",Z53)</f>
        <v>forward pay-53 
[11382]</v>
      </c>
      <c r="AV53" s="55" t="str">
        <f>[1]!OBMAKE(AV$15&amp;"-"&amp;ROW(),"double",AA53)</f>
        <v>spread pay-53 
[12353]</v>
      </c>
      <c r="AW53" s="55" t="str">
        <f>[1]!OBMAKE(AW$15&amp;"-"&amp;ROW(),"String",AB53)</f>
        <v>disocunt pay-53 
[11584]</v>
      </c>
      <c r="AX53" s="55" t="str">
        <f>[1]!OBMAKE(AX$15&amp;"-"&amp;ROW(),"String",AD53)</f>
        <v>calibration curve-53 
[11927]</v>
      </c>
      <c r="AY53" s="55" t="str">
        <f>[1]!OBMAKE(AY$15&amp;"-"&amp;ROW(),"double",AE53)</f>
        <v>calibration time-53 
[14107]</v>
      </c>
      <c r="JJ53" s="14"/>
      <c r="JK53" s="14"/>
      <c r="JL53" s="14"/>
      <c r="JM53" s="14"/>
      <c r="JN53" s="14"/>
      <c r="JO53" s="14"/>
    </row>
    <row r="54" spans="1:275" ht="13.2" customHeight="1" x14ac:dyDescent="0.25">
      <c r="A54" s="48" t="str">
        <f t="shared" si="4"/>
        <v>forward-EUR-3M-2Mx3M</v>
      </c>
      <c r="B54" s="49" t="str">
        <f>[1]!OBMAKE("calibItem-"&amp;ROW(),obLibs&amp;"net.finmath.marketdata.calibration.CalibratedCurves$CalibrationSpec",AN54:AY54)</f>
        <v>calibItem-54 
[14998]</v>
      </c>
      <c r="C54" s="49">
        <f>[1]!OBGET([1]!OBCALL("",[1]!OBCALL("",$B$11,"getCalibrationProductForSpec",B54),"getValue",[1]!OBCALL("",$B$11,"getModel")))</f>
        <v>0</v>
      </c>
      <c r="D54" s="14" t="str">
        <f t="shared" si="5"/>
        <v>forward-EUR-3M-2Mx3M</v>
      </c>
      <c r="E54" s="14" t="s">
        <v>147</v>
      </c>
      <c r="F54" s="40">
        <v>2</v>
      </c>
      <c r="H54" s="40" t="s">
        <v>116</v>
      </c>
      <c r="I54" s="40" t="s">
        <v>43</v>
      </c>
      <c r="J54" s="40" t="s">
        <v>107</v>
      </c>
      <c r="K54" s="40" t="s">
        <v>108</v>
      </c>
      <c r="L54" s="40" t="s">
        <v>115</v>
      </c>
      <c r="M54" s="40">
        <v>0</v>
      </c>
      <c r="N54" s="40">
        <v>0</v>
      </c>
      <c r="O54" s="33" t="s">
        <v>40</v>
      </c>
      <c r="P54" s="51">
        <v>3.2795547773900001E-3</v>
      </c>
      <c r="Q54" s="33" t="s">
        <v>38</v>
      </c>
      <c r="S54" s="40" t="s">
        <v>116</v>
      </c>
      <c r="T54" s="40" t="s">
        <v>43</v>
      </c>
      <c r="U54" s="40" t="s">
        <v>110</v>
      </c>
      <c r="V54" s="40" t="s">
        <v>148</v>
      </c>
      <c r="W54" s="40" t="s">
        <v>115</v>
      </c>
      <c r="X54" s="40">
        <v>0</v>
      </c>
      <c r="Y54" s="40">
        <v>0</v>
      </c>
      <c r="Z54" s="33" t="str">
        <f>""</f>
        <v/>
      </c>
      <c r="AA54" s="53"/>
      <c r="AB54" s="33" t="s">
        <v>38</v>
      </c>
      <c r="AC54" s="53"/>
      <c r="AD54" s="33" t="str">
        <f t="shared" si="6"/>
        <v>forward-EUR-3M</v>
      </c>
      <c r="AE54" s="54">
        <f>[1]!OBGET([1]!OBCALL("",AP54,IF(OR(AD54=Q54,AD54=AB54),"getPayment","getFixing"),[1]!OBMAKE("","int",[1]!OBGET([1]!OBCALL("",AP54,"getNumberOfPeriods"))-1)))</f>
        <v>0.16986301369863013</v>
      </c>
      <c r="AG54" s="55" t="str">
        <f>[1]!OBMAKE(AG$15&amp;"-"&amp;ROW(),"int",$F54)</f>
        <v>spot date-54 
[11395]</v>
      </c>
      <c r="AH54" s="55" t="str">
        <f>[1]!OBMAKE(AH$15&amp;"-"&amp;ROW(),"String",$H54)</f>
        <v>start offset rec-54 
[11805]</v>
      </c>
      <c r="AI54" s="55" t="str">
        <f>[1]!OBMAKE(AI$15&amp;"-"&amp;ROW(),"String",$I54)</f>
        <v>maturity rec-54 
[11291]</v>
      </c>
      <c r="AK54" s="55" t="str">
        <f>[1]!OBMAKE(AK$15&amp;"-"&amp;ROW(),"String",$S54)</f>
        <v>start offset pay-54 
[12009]</v>
      </c>
      <c r="AL54" s="55" t="str">
        <f>[1]!OBMAKE(AL$15&amp;"-"&amp;ROW(),"String",$T54)</f>
        <v>maturity pay-54 
[11146]</v>
      </c>
      <c r="AN54" s="55" t="str">
        <f>[1]!OBMAKE(AN$15&amp;"-"&amp;ROW(),"String",D54)</f>
        <v>symbol-54 
[11892]</v>
      </c>
      <c r="AO54" s="55" t="str">
        <f>[1]!OBMAKE(AO$15&amp;"-"&amp;ROW(),"String",E54)</f>
        <v>type-54 
[11163]</v>
      </c>
      <c r="AP54" s="55" t="str">
        <f>[1]!OBCALL(AP$15&amp;"-"&amp;ROW(),obLibs&amp;"net.finmath.time.ScheduleGenerator","createScheduleFromConventions",$H$8,$AG54,$AH54:$AI54,[1]!OBMAKE("","String",$J54),[1]!OBMAKE("","String",$K54),$H$9,[1]!OBMAKE("","String",$L54),$H$10,[1]!OBMAKE("","int",$M54),[1]!OBMAKE("","int",$N54))</f>
        <v>tenor rec-54 
[13896]</v>
      </c>
      <c r="AQ54" s="55" t="str">
        <f>[1]!OBMAKE(AQ$15&amp;"-"&amp;ROW(),"String",O54)</f>
        <v>forward rec-54 
[12332]</v>
      </c>
      <c r="AR54" s="55" t="str">
        <f>[1]!OBMAKE(AR$15&amp;"-"&amp;ROW(),"double",P54)</f>
        <v>spread rec-54 
[12005]</v>
      </c>
      <c r="AS54" s="55" t="str">
        <f>[1]!OBMAKE(AS$15&amp;"-"&amp;ROW(),"String",Q54)</f>
        <v>discount rec-54 
[11187]</v>
      </c>
      <c r="AT54" s="55" t="str">
        <f>[1]!OBCALL(AT$15&amp;"-"&amp;ROW(),obLibs&amp;"net.finmath.time.ScheduleGenerator","createScheduleFromConventions",$H$8,$AG54,$AK54:$AL54,[1]!OBMAKE("","String",$U54),[1]!OBMAKE("","String",$V54),$H$9,[1]!OBMAKE("","String",$L54),$H$10,[1]!OBMAKE("","int",$X54),[1]!OBMAKE("","int",$Y54))</f>
        <v>tenor pay-54 
[14275]</v>
      </c>
      <c r="AU54" s="55" t="str">
        <f>[1]!OBMAKE(AU$15&amp;"-"&amp;ROW(),"String",Z54)</f>
        <v>forward pay-54 
[11254]</v>
      </c>
      <c r="AV54" s="55" t="str">
        <f>[1]!OBMAKE(AV$15&amp;"-"&amp;ROW(),"double",AA54)</f>
        <v>spread pay-54 
[12326]</v>
      </c>
      <c r="AW54" s="55" t="str">
        <f>[1]!OBMAKE(AW$15&amp;"-"&amp;ROW(),"String",AB54)</f>
        <v>disocunt pay-54 
[10966]</v>
      </c>
      <c r="AX54" s="55" t="str">
        <f>[1]!OBMAKE(AX$15&amp;"-"&amp;ROW(),"String",AD54)</f>
        <v>calibration curve-54 
[12056]</v>
      </c>
      <c r="AY54" s="55" t="str">
        <f>[1]!OBMAKE(AY$15&amp;"-"&amp;ROW(),"double",AE54)</f>
        <v>calibration time-54 
[14231]</v>
      </c>
      <c r="JJ54" s="14"/>
      <c r="JK54" s="14"/>
      <c r="JL54" s="14"/>
      <c r="JM54" s="14"/>
      <c r="JN54" s="14"/>
      <c r="JO54" s="14"/>
    </row>
    <row r="55" spans="1:275" ht="13.2" customHeight="1" x14ac:dyDescent="0.25">
      <c r="A55" s="48" t="str">
        <f t="shared" si="4"/>
        <v>forward-EUR-3M-3Mx3M</v>
      </c>
      <c r="B55" s="49" t="str">
        <f>[1]!OBMAKE("calibItem-"&amp;ROW(),obLibs&amp;"net.finmath.marketdata.calibration.CalibratedCurves$CalibrationSpec",AN55:AY55)</f>
        <v>calibItem-55 
[14928]</v>
      </c>
      <c r="C55" s="49">
        <f>[1]!OBGET([1]!OBCALL("",[1]!OBCALL("",$B$11,"getCalibrationProductForSpec",B55),"getValue",[1]!OBCALL("",$B$11,"getModel")))</f>
        <v>8.5250172282793808E-14</v>
      </c>
      <c r="D55" s="14" t="str">
        <f t="shared" si="5"/>
        <v>forward-EUR-3M-3Mx3M</v>
      </c>
      <c r="E55" s="14" t="s">
        <v>147</v>
      </c>
      <c r="F55" s="40">
        <v>2</v>
      </c>
      <c r="H55" s="40" t="s">
        <v>43</v>
      </c>
      <c r="I55" s="40" t="s">
        <v>43</v>
      </c>
      <c r="J55" s="40" t="s">
        <v>107</v>
      </c>
      <c r="K55" s="40" t="s">
        <v>108</v>
      </c>
      <c r="L55" s="40" t="s">
        <v>115</v>
      </c>
      <c r="M55" s="40">
        <v>0</v>
      </c>
      <c r="N55" s="40">
        <v>0</v>
      </c>
      <c r="O55" s="33" t="s">
        <v>40</v>
      </c>
      <c r="P55" s="51">
        <v>3.2595497748899999E-3</v>
      </c>
      <c r="Q55" s="33" t="s">
        <v>38</v>
      </c>
      <c r="S55" s="40" t="s">
        <v>43</v>
      </c>
      <c r="T55" s="40" t="s">
        <v>43</v>
      </c>
      <c r="U55" s="40" t="s">
        <v>110</v>
      </c>
      <c r="V55" s="40" t="s">
        <v>148</v>
      </c>
      <c r="W55" s="40" t="s">
        <v>115</v>
      </c>
      <c r="X55" s="40">
        <v>0</v>
      </c>
      <c r="Y55" s="40">
        <v>0</v>
      </c>
      <c r="Z55" s="33" t="str">
        <f>""</f>
        <v/>
      </c>
      <c r="AA55" s="53"/>
      <c r="AB55" s="33" t="s">
        <v>38</v>
      </c>
      <c r="AC55" s="53"/>
      <c r="AD55" s="33" t="str">
        <f t="shared" si="6"/>
        <v>forward-EUR-3M</v>
      </c>
      <c r="AE55" s="54">
        <f>[1]!OBGET([1]!OBCALL("",AP55,IF(OR(AD55=Q55,AD55=AB55),"getPayment","getFixing"),[1]!OBMAKE("","int",[1]!OBGET([1]!OBCALL("",AP55,"getNumberOfPeriods"))-1)))</f>
        <v>0.25479452054794521</v>
      </c>
      <c r="AG55" s="55" t="str">
        <f>[1]!OBMAKE(AG$15&amp;"-"&amp;ROW(),"int",$F55)</f>
        <v>spot date-55 
[11457]</v>
      </c>
      <c r="AH55" s="55" t="str">
        <f>[1]!OBMAKE(AH$15&amp;"-"&amp;ROW(),"String",$H55)</f>
        <v>start offset rec-55 
[12172]</v>
      </c>
      <c r="AI55" s="55" t="str">
        <f>[1]!OBMAKE(AI$15&amp;"-"&amp;ROW(),"String",$I55)</f>
        <v>maturity rec-55 
[12282]</v>
      </c>
      <c r="AK55" s="55" t="str">
        <f>[1]!OBMAKE(AK$15&amp;"-"&amp;ROW(),"String",$S55)</f>
        <v>start offset pay-55 
[12293]</v>
      </c>
      <c r="AL55" s="55" t="str">
        <f>[1]!OBMAKE(AL$15&amp;"-"&amp;ROW(),"String",$T55)</f>
        <v>maturity pay-55 
[11041]</v>
      </c>
      <c r="AN55" s="55" t="str">
        <f>[1]!OBMAKE(AN$15&amp;"-"&amp;ROW(),"String",D55)</f>
        <v>symbol-55 
[12049]</v>
      </c>
      <c r="AO55" s="55" t="str">
        <f>[1]!OBMAKE(AO$15&amp;"-"&amp;ROW(),"String",E55)</f>
        <v>type-55 
[11058]</v>
      </c>
      <c r="AP55" s="55" t="str">
        <f>[1]!OBCALL(AP$15&amp;"-"&amp;ROW(),obLibs&amp;"net.finmath.time.ScheduleGenerator","createScheduleFromConventions",$H$8,$AG55,$AH55:$AI55,[1]!OBMAKE("","String",$J55),[1]!OBMAKE("","String",$K55),$H$9,[1]!OBMAKE("","String",$L55),$H$10,[1]!OBMAKE("","int",$M55),[1]!OBMAKE("","int",$N55))</f>
        <v>tenor rec-55 
[14686]</v>
      </c>
      <c r="AQ55" s="55" t="str">
        <f>[1]!OBMAKE(AQ$15&amp;"-"&amp;ROW(),"String",O55)</f>
        <v>forward rec-55 
[11647]</v>
      </c>
      <c r="AR55" s="55" t="str">
        <f>[1]!OBMAKE(AR$15&amp;"-"&amp;ROW(),"double",P55)</f>
        <v>spread rec-55 
[12170]</v>
      </c>
      <c r="AS55" s="55" t="str">
        <f>[1]!OBMAKE(AS$15&amp;"-"&amp;ROW(),"String",Q55)</f>
        <v>discount rec-55 
[11671]</v>
      </c>
      <c r="AT55" s="55" t="str">
        <f>[1]!OBCALL(AT$15&amp;"-"&amp;ROW(),obLibs&amp;"net.finmath.time.ScheduleGenerator","createScheduleFromConventions",$H$8,$AG55,$AK55:$AL55,[1]!OBMAKE("","String",$U55),[1]!OBMAKE("","String",$V55),$H$9,[1]!OBMAKE("","String",$L55),$H$10,[1]!OBMAKE("","int",$X55),[1]!OBMAKE("","int",$Y55))</f>
        <v>tenor pay-55 
[13967]</v>
      </c>
      <c r="AU55" s="55" t="str">
        <f>[1]!OBMAKE(AU$15&amp;"-"&amp;ROW(),"String",Z55)</f>
        <v>forward pay-55 
[11176]</v>
      </c>
      <c r="AV55" s="55" t="str">
        <f>[1]!OBMAKE(AV$15&amp;"-"&amp;ROW(),"double",AA55)</f>
        <v>spread pay-55 
[11472]</v>
      </c>
      <c r="AW55" s="55" t="str">
        <f>[1]!OBMAKE(AW$15&amp;"-"&amp;ROW(),"String",AB55)</f>
        <v>disocunt pay-55 
[11137]</v>
      </c>
      <c r="AX55" s="55" t="str">
        <f>[1]!OBMAKE(AX$15&amp;"-"&amp;ROW(),"String",AD55)</f>
        <v>calibration curve-55 
[11724]</v>
      </c>
      <c r="AY55" s="55" t="str">
        <f>[1]!OBMAKE(AY$15&amp;"-"&amp;ROW(),"double",AE55)</f>
        <v>calibration time-55 
[14690]</v>
      </c>
      <c r="JJ55" s="14"/>
      <c r="JK55" s="14"/>
      <c r="JL55" s="14"/>
      <c r="JM55" s="14"/>
      <c r="JN55" s="14"/>
      <c r="JO55" s="14"/>
    </row>
    <row r="56" spans="1:275" ht="13.2" customHeight="1" x14ac:dyDescent="0.25">
      <c r="A56" s="48" t="str">
        <f t="shared" si="4"/>
        <v>forward-EUR-3M-6Mx3M</v>
      </c>
      <c r="B56" s="49" t="str">
        <f>[1]!OBMAKE("calibItem-"&amp;ROW(),obLibs&amp;"net.finmath.marketdata.calibration.CalibratedCurves$CalibrationSpec",AN56:AY56)</f>
        <v>calibItem-56 
[14916]</v>
      </c>
      <c r="C56" s="49">
        <f>[1]!OBGET([1]!OBCALL("",[1]!OBCALL("",$B$11,"getCalibrationProductForSpec",B56),"getValue",[1]!OBCALL("",$B$11,"getModel")))</f>
        <v>8.5254479949488887E-14</v>
      </c>
      <c r="D56" s="14" t="str">
        <f t="shared" si="5"/>
        <v>forward-EUR-3M-6Mx3M</v>
      </c>
      <c r="E56" s="14" t="s">
        <v>147</v>
      </c>
      <c r="F56" s="40">
        <v>2</v>
      </c>
      <c r="H56" s="40" t="s">
        <v>44</v>
      </c>
      <c r="I56" s="40" t="s">
        <v>43</v>
      </c>
      <c r="J56" s="40" t="s">
        <v>107</v>
      </c>
      <c r="K56" s="40" t="s">
        <v>108</v>
      </c>
      <c r="L56" s="40" t="s">
        <v>115</v>
      </c>
      <c r="M56" s="40">
        <v>0</v>
      </c>
      <c r="N56" s="40">
        <v>0</v>
      </c>
      <c r="O56" s="33" t="s">
        <v>40</v>
      </c>
      <c r="P56" s="51">
        <v>3.22954227114E-3</v>
      </c>
      <c r="Q56" s="33" t="s">
        <v>38</v>
      </c>
      <c r="S56" s="40" t="s">
        <v>44</v>
      </c>
      <c r="T56" s="40" t="s">
        <v>43</v>
      </c>
      <c r="U56" s="40" t="s">
        <v>110</v>
      </c>
      <c r="V56" s="40" t="s">
        <v>148</v>
      </c>
      <c r="W56" s="40" t="s">
        <v>115</v>
      </c>
      <c r="X56" s="40">
        <v>0</v>
      </c>
      <c r="Y56" s="40">
        <v>0</v>
      </c>
      <c r="Z56" s="33" t="str">
        <f>""</f>
        <v/>
      </c>
      <c r="AA56" s="53"/>
      <c r="AB56" s="33" t="s">
        <v>38</v>
      </c>
      <c r="AC56" s="53"/>
      <c r="AD56" s="33" t="str">
        <f t="shared" si="6"/>
        <v>forward-EUR-3M</v>
      </c>
      <c r="AE56" s="54">
        <f>[1]!OBGET([1]!OBCALL("",AP56,IF(OR(AD56=Q56,AD56=AB56),"getPayment","getFixing"),[1]!OBMAKE("","int",[1]!OBGET([1]!OBCALL("",AP56,"getNumberOfPeriods"))-1)))</f>
        <v>0.50410958904109593</v>
      </c>
      <c r="AG56" s="55" t="str">
        <f>[1]!OBMAKE(AG$15&amp;"-"&amp;ROW(),"int",$F56)</f>
        <v>spot date-56 
[11267]</v>
      </c>
      <c r="AH56" s="55" t="str">
        <f>[1]!OBMAKE(AH$15&amp;"-"&amp;ROW(),"String",$H56)</f>
        <v>start offset rec-56 
[11847]</v>
      </c>
      <c r="AI56" s="55" t="str">
        <f>[1]!OBMAKE(AI$15&amp;"-"&amp;ROW(),"String",$I56)</f>
        <v>maturity rec-56 
[11868]</v>
      </c>
      <c r="AK56" s="55" t="str">
        <f>[1]!OBMAKE(AK$15&amp;"-"&amp;ROW(),"String",$S56)</f>
        <v>start offset pay-56 
[12041]</v>
      </c>
      <c r="AL56" s="55" t="str">
        <f>[1]!OBMAKE(AL$15&amp;"-"&amp;ROW(),"String",$T56)</f>
        <v>maturity pay-56 
[11856]</v>
      </c>
      <c r="AN56" s="55" t="str">
        <f>[1]!OBMAKE(AN$15&amp;"-"&amp;ROW(),"String",D56)</f>
        <v>symbol-56 
[11742]</v>
      </c>
      <c r="AO56" s="55" t="str">
        <f>[1]!OBMAKE(AO$15&amp;"-"&amp;ROW(),"String",E56)</f>
        <v>type-56 
[11375]</v>
      </c>
      <c r="AP56" s="55" t="str">
        <f>[1]!OBCALL(AP$15&amp;"-"&amp;ROW(),obLibs&amp;"net.finmath.time.ScheduleGenerator","createScheduleFromConventions",$H$8,$AG56,$AH56:$AI56,[1]!OBMAKE("","String",$J56),[1]!OBMAKE("","String",$K56),$H$9,[1]!OBMAKE("","String",$L56),$H$10,[1]!OBMAKE("","int",$M56),[1]!OBMAKE("","int",$N56))</f>
        <v>tenor rec-56 
[13574]</v>
      </c>
      <c r="AQ56" s="55" t="str">
        <f>[1]!OBMAKE(AQ$15&amp;"-"&amp;ROW(),"String",O56)</f>
        <v>forward rec-56 
[11495]</v>
      </c>
      <c r="AR56" s="55" t="str">
        <f>[1]!OBMAKE(AR$15&amp;"-"&amp;ROW(),"double",P56)</f>
        <v>spread rec-56 
[12342]</v>
      </c>
      <c r="AS56" s="55" t="str">
        <f>[1]!OBMAKE(AS$15&amp;"-"&amp;ROW(),"String",Q56)</f>
        <v>discount rec-56 
[11262]</v>
      </c>
      <c r="AT56" s="55" t="str">
        <f>[1]!OBCALL(AT$15&amp;"-"&amp;ROW(),obLibs&amp;"net.finmath.time.ScheduleGenerator","createScheduleFromConventions",$H$8,$AG56,$AK56:$AL56,[1]!OBMAKE("","String",$U56),[1]!OBMAKE("","String",$V56),$H$9,[1]!OBMAKE("","String",$L56),$H$10,[1]!OBMAKE("","int",$X56),[1]!OBMAKE("","int",$Y56))</f>
        <v>tenor pay-56 
[14706]</v>
      </c>
      <c r="AU56" s="55" t="str">
        <f>[1]!OBMAKE(AU$15&amp;"-"&amp;ROW(),"String",Z56)</f>
        <v>forward pay-56 
[11071]</v>
      </c>
      <c r="AV56" s="55" t="str">
        <f>[1]!OBMAKE(AV$15&amp;"-"&amp;ROW(),"double",AA56)</f>
        <v>spread pay-56 
[11463]</v>
      </c>
      <c r="AW56" s="55" t="str">
        <f>[1]!OBMAKE(AW$15&amp;"-"&amp;ROW(),"String",AB56)</f>
        <v>disocunt pay-56 
[10815]</v>
      </c>
      <c r="AX56" s="55" t="str">
        <f>[1]!OBMAKE(AX$15&amp;"-"&amp;ROW(),"String",AD56)</f>
        <v>calibration curve-56 
[12024]</v>
      </c>
      <c r="AY56" s="55" t="str">
        <f>[1]!OBMAKE(AY$15&amp;"-"&amp;ROW(),"double",AE56)</f>
        <v>calibration time-56 
[14218]</v>
      </c>
      <c r="JJ56" s="14"/>
      <c r="JK56" s="14"/>
      <c r="JL56" s="14"/>
      <c r="JM56" s="14"/>
      <c r="JN56" s="14"/>
      <c r="JO56" s="14"/>
    </row>
    <row r="57" spans="1:275" ht="13.2" customHeight="1" x14ac:dyDescent="0.25">
      <c r="A57" s="48" t="str">
        <f t="shared" si="4"/>
        <v>forward-EUR-3M-9Mx3M</v>
      </c>
      <c r="B57" s="49" t="str">
        <f>[1]!OBMAKE("calibItem-"&amp;ROW(),obLibs&amp;"net.finmath.marketdata.calibration.CalibratedCurves$CalibrationSpec",AN57:AY57)</f>
        <v>calibItem-57 
[15003]</v>
      </c>
      <c r="C57" s="49">
        <f>[1]!OBGET([1]!OBCALL("",[1]!OBCALL("",$B$11,"getCalibrationProductForSpec",B57),"getValue",[1]!OBCALL("",$B$11,"getModel")))</f>
        <v>8.5257701393442406E-14</v>
      </c>
      <c r="D57" s="14" t="str">
        <f t="shared" si="5"/>
        <v>forward-EUR-3M-9Mx3M</v>
      </c>
      <c r="E57" s="14" t="s">
        <v>147</v>
      </c>
      <c r="F57" s="40">
        <v>2</v>
      </c>
      <c r="H57" s="40" t="s">
        <v>121</v>
      </c>
      <c r="I57" s="40" t="s">
        <v>43</v>
      </c>
      <c r="J57" s="40" t="s">
        <v>107</v>
      </c>
      <c r="K57" s="40" t="s">
        <v>108</v>
      </c>
      <c r="L57" s="40" t="s">
        <v>115</v>
      </c>
      <c r="M57" s="40">
        <v>0</v>
      </c>
      <c r="N57" s="40">
        <v>0</v>
      </c>
      <c r="O57" s="33" t="s">
        <v>40</v>
      </c>
      <c r="P57" s="51">
        <v>3.1595247623800002E-3</v>
      </c>
      <c r="Q57" s="33" t="s">
        <v>38</v>
      </c>
      <c r="S57" s="40" t="s">
        <v>121</v>
      </c>
      <c r="T57" s="40" t="s">
        <v>43</v>
      </c>
      <c r="U57" s="40" t="s">
        <v>110</v>
      </c>
      <c r="V57" s="40" t="s">
        <v>148</v>
      </c>
      <c r="W57" s="40" t="s">
        <v>115</v>
      </c>
      <c r="X57" s="40">
        <v>0</v>
      </c>
      <c r="Y57" s="40">
        <v>0</v>
      </c>
      <c r="Z57" s="33" t="str">
        <f>""</f>
        <v/>
      </c>
      <c r="AA57" s="53"/>
      <c r="AB57" s="33" t="s">
        <v>38</v>
      </c>
      <c r="AC57" s="53"/>
      <c r="AD57" s="33" t="str">
        <f t="shared" si="6"/>
        <v>forward-EUR-3M</v>
      </c>
      <c r="AE57" s="54">
        <f>[1]!OBGET([1]!OBCALL("",AP57,IF(OR(AD57=Q57,AD57=AB57),"getPayment","getFixing"),[1]!OBMAKE("","int",[1]!OBGET([1]!OBCALL("",AP57,"getNumberOfPeriods"))-1)))</f>
        <v>0.75616438356164384</v>
      </c>
      <c r="AG57" s="55" t="str">
        <f>[1]!OBMAKE(AG$15&amp;"-"&amp;ROW(),"int",$F57)</f>
        <v>spot date-57 
[11329]</v>
      </c>
      <c r="AH57" s="55" t="str">
        <f>[1]!OBMAKE(AH$15&amp;"-"&amp;ROW(),"String",$H57)</f>
        <v>start offset rec-57 
[11653]</v>
      </c>
      <c r="AI57" s="55" t="str">
        <f>[1]!OBMAKE(AI$15&amp;"-"&amp;ROW(),"String",$I57)</f>
        <v>maturity rec-57 
[11887]</v>
      </c>
      <c r="AK57" s="55" t="str">
        <f>[1]!OBMAKE(AK$15&amp;"-"&amp;ROW(),"String",$S57)</f>
        <v>start offset pay-57 
[11827]</v>
      </c>
      <c r="AL57" s="55" t="str">
        <f>[1]!OBMAKE(AL$15&amp;"-"&amp;ROW(),"String",$T57)</f>
        <v>maturity pay-57 
[11588]</v>
      </c>
      <c r="AN57" s="55" t="str">
        <f>[1]!OBMAKE(AN$15&amp;"-"&amp;ROW(),"String",D57)</f>
        <v>symbol-57 
[12028]</v>
      </c>
      <c r="AO57" s="55" t="str">
        <f>[1]!OBMAKE(AO$15&amp;"-"&amp;ROW(),"String",E57)</f>
        <v>type-57 
[11247]</v>
      </c>
      <c r="AP57" s="55" t="str">
        <f>[1]!OBCALL(AP$15&amp;"-"&amp;ROW(),obLibs&amp;"net.finmath.time.ScheduleGenerator","createScheduleFromConventions",$H$8,$AG57,$AH57:$AI57,[1]!OBMAKE("","String",$J57),[1]!OBMAKE("","String",$K57),$H$9,[1]!OBMAKE("","String",$L57),$H$10,[1]!OBMAKE("","int",$M57),[1]!OBMAKE("","int",$N57))</f>
        <v>tenor rec-57 
[12918]</v>
      </c>
      <c r="AQ57" s="55" t="str">
        <f>[1]!OBMAKE(AQ$15&amp;"-"&amp;ROW(),"String",O57)</f>
        <v>forward rec-57 
[11425]</v>
      </c>
      <c r="AR57" s="55" t="str">
        <f>[1]!OBMAKE(AR$15&amp;"-"&amp;ROW(),"double",P57)</f>
        <v>spread rec-57 
[11621]</v>
      </c>
      <c r="AS57" s="55" t="str">
        <f>[1]!OBMAKE(AS$15&amp;"-"&amp;ROW(),"String",Q57)</f>
        <v>discount rec-57 
[11450]</v>
      </c>
      <c r="AT57" s="55" t="str">
        <f>[1]!OBCALL(AT$15&amp;"-"&amp;ROW(),obLibs&amp;"net.finmath.time.ScheduleGenerator","createScheduleFromConventions",$H$8,$AG57,$AK57:$AL57,[1]!OBMAKE("","String",$U57),[1]!OBMAKE("","String",$V57),$H$9,[1]!OBMAKE("","String",$L57),$H$10,[1]!OBMAKE("","int",$X57),[1]!OBMAKE("","int",$Y57))</f>
        <v>tenor pay-57 
[14038]</v>
      </c>
      <c r="AU57" s="55" t="str">
        <f>[1]!OBMAKE(AU$15&amp;"-"&amp;ROW(),"String",Z57)</f>
        <v>forward pay-57 
[11690]</v>
      </c>
      <c r="AV57" s="55" t="str">
        <f>[1]!OBMAKE(AV$15&amp;"-"&amp;ROW(),"double",AA57)</f>
        <v>spread pay-57 
[11662]</v>
      </c>
      <c r="AW57" s="55" t="str">
        <f>[1]!OBMAKE(AW$15&amp;"-"&amp;ROW(),"String",AB57)</f>
        <v>disocunt pay-57 
[11032]</v>
      </c>
      <c r="AX57" s="55" t="str">
        <f>[1]!OBMAKE(AX$15&amp;"-"&amp;ROW(),"String",AD57)</f>
        <v>calibration curve-57 
[11544]</v>
      </c>
      <c r="AY57" s="55" t="str">
        <f>[1]!OBMAKE(AY$15&amp;"-"&amp;ROW(),"double",AE57)</f>
        <v>calibration time-57 
[13804]</v>
      </c>
      <c r="JJ57" s="14"/>
      <c r="JK57" s="14"/>
      <c r="JL57" s="14"/>
      <c r="JM57" s="14"/>
      <c r="JN57" s="14"/>
      <c r="JO57" s="14"/>
    </row>
    <row r="58" spans="1:275" ht="13.2" customHeight="1" x14ac:dyDescent="0.25">
      <c r="A58" s="48" t="str">
        <f t="shared" si="4"/>
        <v>forward-EUR-3M-12Mx3M</v>
      </c>
      <c r="B58" s="49" t="str">
        <f>[1]!OBMAKE("calibItem-"&amp;ROW(),obLibs&amp;"net.finmath.marketdata.calibration.CalibratedCurves$CalibrationSpec",AN58:AY58)</f>
        <v>calibItem-58 
[14977]</v>
      </c>
      <c r="C58" s="49">
        <f>[1]!OBGET([1]!OBCALL("",[1]!OBCALL("",$B$11,"getCalibrationProductForSpec",B58),"getValue",[1]!OBCALL("",$B$11,"getModel")))</f>
        <v>8.5300239731831185E-14</v>
      </c>
      <c r="D58" s="14" t="str">
        <f t="shared" si="5"/>
        <v>forward-EUR-3M-12Mx3M</v>
      </c>
      <c r="E58" s="14" t="s">
        <v>147</v>
      </c>
      <c r="F58" s="40">
        <v>2</v>
      </c>
      <c r="H58" s="40" t="s">
        <v>124</v>
      </c>
      <c r="I58" s="40" t="s">
        <v>43</v>
      </c>
      <c r="J58" s="40" t="s">
        <v>107</v>
      </c>
      <c r="K58" s="40" t="s">
        <v>108</v>
      </c>
      <c r="L58" s="40" t="s">
        <v>115</v>
      </c>
      <c r="M58" s="40">
        <v>0</v>
      </c>
      <c r="N58" s="40">
        <v>0</v>
      </c>
      <c r="O58" s="33" t="s">
        <v>40</v>
      </c>
      <c r="P58" s="51">
        <v>3.5999999999999999E-3</v>
      </c>
      <c r="Q58" s="33" t="s">
        <v>38</v>
      </c>
      <c r="S58" s="40" t="s">
        <v>124</v>
      </c>
      <c r="T58" s="40" t="s">
        <v>43</v>
      </c>
      <c r="U58" s="40" t="s">
        <v>110</v>
      </c>
      <c r="V58" s="40" t="s">
        <v>148</v>
      </c>
      <c r="W58" s="40" t="s">
        <v>115</v>
      </c>
      <c r="X58" s="40">
        <v>0</v>
      </c>
      <c r="Y58" s="40">
        <v>0</v>
      </c>
      <c r="Z58" s="33" t="str">
        <f>""</f>
        <v/>
      </c>
      <c r="AA58" s="53"/>
      <c r="AB58" s="33" t="s">
        <v>38</v>
      </c>
      <c r="AC58" s="53"/>
      <c r="AD58" s="33" t="str">
        <f t="shared" si="6"/>
        <v>forward-EUR-3M</v>
      </c>
      <c r="AE58" s="54">
        <f>[1]!OBGET([1]!OBCALL("",AP58,IF(OR(AD58=Q58,AD58=AB58),"getPayment","getFixing"),[1]!OBMAKE("","int",[1]!OBGET([1]!OBCALL("",AP58,"getNumberOfPeriods"))-1)))</f>
        <v>1.0136986301369864</v>
      </c>
      <c r="AG58" s="55" t="str">
        <f>[1]!OBMAKE(AG$15&amp;"-"&amp;ROW(),"int",$F58)</f>
        <v>spot date-58 
[11863]</v>
      </c>
      <c r="AH58" s="55" t="str">
        <f>[1]!OBMAKE(AH$15&amp;"-"&amp;ROW(),"String",$H58)</f>
        <v>start offset rec-58 
[12187]</v>
      </c>
      <c r="AI58" s="55" t="str">
        <f>[1]!OBMAKE(AI$15&amp;"-"&amp;ROW(),"String",$I58)</f>
        <v>maturity rec-58 
[11640]</v>
      </c>
      <c r="AK58" s="55" t="str">
        <f>[1]!OBMAKE(AK$15&amp;"-"&amp;ROW(),"String",$S58)</f>
        <v>start offset pay-58 
[12286]</v>
      </c>
      <c r="AL58" s="55" t="str">
        <f>[1]!OBMAKE(AL$15&amp;"-"&amp;ROW(),"String",$T58)</f>
        <v>maturity pay-58 
[11145]</v>
      </c>
      <c r="AN58" s="55" t="str">
        <f>[1]!OBMAKE(AN$15&amp;"-"&amp;ROW(),"String",D58)</f>
        <v>symbol-58 
[11501]</v>
      </c>
      <c r="AO58" s="55" t="str">
        <f>[1]!OBMAKE(AO$15&amp;"-"&amp;ROW(),"String",E58)</f>
        <v>type-58 
[11162]</v>
      </c>
      <c r="AP58" s="55" t="str">
        <f>[1]!OBCALL(AP$15&amp;"-"&amp;ROW(),obLibs&amp;"net.finmath.time.ScheduleGenerator","createScheduleFromConventions",$H$8,$AG58,$AH58:$AI58,[1]!OBMAKE("","String",$J58),[1]!OBMAKE("","String",$K58),$H$9,[1]!OBMAKE("","String",$L58),$H$10,[1]!OBMAKE("","int",$M58),[1]!OBMAKE("","int",$N58))</f>
        <v>tenor rec-58 
[13078]</v>
      </c>
      <c r="AQ58" s="55" t="str">
        <f>[1]!OBMAKE(AQ$15&amp;"-"&amp;ROW(),"String",O58)</f>
        <v>forward rec-58 
[12122]</v>
      </c>
      <c r="AR58" s="55" t="str">
        <f>[1]!OBMAKE(AR$15&amp;"-"&amp;ROW(),"double",P58)</f>
        <v>spread rec-58 
[12309]</v>
      </c>
      <c r="AS58" s="55" t="str">
        <f>[1]!OBMAKE(AS$15&amp;"-"&amp;ROW(),"String",Q58)</f>
        <v>discount rec-58 
[11692]</v>
      </c>
      <c r="AT58" s="55" t="str">
        <f>[1]!OBCALL(AT$15&amp;"-"&amp;ROW(),obLibs&amp;"net.finmath.time.ScheduleGenerator","createScheduleFromConventions",$H$8,$AG58,$AK58:$AL58,[1]!OBMAKE("","String",$U58),[1]!OBMAKE("","String",$V58),$H$9,[1]!OBMAKE("","String",$L58),$H$10,[1]!OBMAKE("","int",$X58),[1]!OBMAKE("","int",$Y58))</f>
        <v>tenor pay-58 
[14411]</v>
      </c>
      <c r="AU58" s="55" t="str">
        <f>[1]!OBMAKE(AU$15&amp;"-"&amp;ROW(),"String",Z58)</f>
        <v>forward pay-58 
[11603]</v>
      </c>
      <c r="AV58" s="55" t="str">
        <f>[1]!OBMAKE(AV$15&amp;"-"&amp;ROW(),"double",AA58)</f>
        <v>spread pay-58 
[12110]</v>
      </c>
      <c r="AW58" s="55" t="str">
        <f>[1]!OBMAKE(AW$15&amp;"-"&amp;ROW(),"String",AB58)</f>
        <v>disocunt pay-58 
[10965]</v>
      </c>
      <c r="AX58" s="55" t="str">
        <f>[1]!OBMAKE(AX$15&amp;"-"&amp;ROW(),"String",AD58)</f>
        <v>calibration curve-58 
[12298]</v>
      </c>
      <c r="AY58" s="55" t="str">
        <f>[1]!OBMAKE(AY$15&amp;"-"&amp;ROW(),"double",AE58)</f>
        <v>calibration time-58 
[14307]</v>
      </c>
      <c r="JJ58" s="14"/>
      <c r="JK58" s="14"/>
      <c r="JL58" s="14"/>
      <c r="JM58" s="14"/>
      <c r="JN58" s="14"/>
      <c r="JO58" s="14"/>
    </row>
    <row r="59" spans="1:275" ht="13.2" customHeight="1" x14ac:dyDescent="0.25">
      <c r="A59" s="48" t="str">
        <f t="shared" si="4"/>
        <v>forward-EUR-3M-15Mx3M</v>
      </c>
      <c r="B59" s="49" t="str">
        <f>[1]!OBMAKE("calibItem-"&amp;ROW(),obLibs&amp;"net.finmath.marketdata.calibration.CalibratedCurves$CalibrationSpec",AN59:AY59)</f>
        <v>calibItem-59 
[14970]</v>
      </c>
      <c r="C59" s="49">
        <f>[1]!OBGET([1]!OBCALL("",[1]!OBCALL("",$B$11,"getCalibrationProductForSpec",B59),"getValue",[1]!OBCALL("",$B$11,"getModel")))</f>
        <v>1.3077222396199279E-13</v>
      </c>
      <c r="D59" s="14" t="str">
        <f t="shared" si="5"/>
        <v>forward-EUR-3M-15Mx3M</v>
      </c>
      <c r="E59" s="14" t="s">
        <v>147</v>
      </c>
      <c r="F59" s="40">
        <v>2</v>
      </c>
      <c r="H59" s="40" t="s">
        <v>126</v>
      </c>
      <c r="I59" s="40" t="s">
        <v>43</v>
      </c>
      <c r="J59" s="40" t="s">
        <v>107</v>
      </c>
      <c r="K59" s="40" t="s">
        <v>108</v>
      </c>
      <c r="L59" s="40" t="s">
        <v>115</v>
      </c>
      <c r="M59" s="40">
        <v>0</v>
      </c>
      <c r="N59" s="40">
        <v>0</v>
      </c>
      <c r="O59" s="33" t="s">
        <v>40</v>
      </c>
      <c r="P59" s="51">
        <v>3.8999999999999998E-3</v>
      </c>
      <c r="Q59" s="33" t="s">
        <v>38</v>
      </c>
      <c r="S59" s="40" t="s">
        <v>124</v>
      </c>
      <c r="T59" s="40" t="s">
        <v>43</v>
      </c>
      <c r="U59" s="40" t="s">
        <v>110</v>
      </c>
      <c r="V59" s="40" t="s">
        <v>148</v>
      </c>
      <c r="W59" s="40" t="s">
        <v>115</v>
      </c>
      <c r="X59" s="40">
        <v>0</v>
      </c>
      <c r="Y59" s="40">
        <v>0</v>
      </c>
      <c r="Z59" s="33" t="str">
        <f>""</f>
        <v/>
      </c>
      <c r="AA59" s="53"/>
      <c r="AB59" s="33" t="s">
        <v>38</v>
      </c>
      <c r="AC59" s="53"/>
      <c r="AD59" s="33" t="str">
        <f t="shared" si="6"/>
        <v>forward-EUR-3M</v>
      </c>
      <c r="AE59" s="54">
        <f>[1]!OBGET([1]!OBCALL("",AP59,IF(OR(AD59=Q59,AD59=AB59),"getPayment","getFixing"),[1]!OBMAKE("","int",[1]!OBGET([1]!OBCALL("",AP59,"getNumberOfPeriods"))-1)))</f>
        <v>1.2547945205479452</v>
      </c>
      <c r="AG59" s="55" t="str">
        <f>[1]!OBMAKE(AG$15&amp;"-"&amp;ROW(),"int",$F59)</f>
        <v>spot date-59 
[12108]</v>
      </c>
      <c r="AH59" s="55" t="str">
        <f>[1]!OBMAKE(AH$15&amp;"-"&amp;ROW(),"String",$H59)</f>
        <v>start offset rec-59 
[11431]</v>
      </c>
      <c r="AI59" s="55" t="str">
        <f>[1]!OBMAKE(AI$15&amp;"-"&amp;ROW(),"String",$I59)</f>
        <v>maturity rec-59 
[11488]</v>
      </c>
      <c r="AK59" s="55" t="str">
        <f>[1]!OBMAKE(AK$15&amp;"-"&amp;ROW(),"String",$S59)</f>
        <v>start offset pay-59 
[12252]</v>
      </c>
      <c r="AL59" s="55" t="str">
        <f>[1]!OBMAKE(AL$15&amp;"-"&amp;ROW(),"String",$T59)</f>
        <v>maturity pay-59 
[11040]</v>
      </c>
      <c r="AN59" s="55" t="str">
        <f>[1]!OBMAKE(AN$15&amp;"-"&amp;ROW(),"String",D59)</f>
        <v>symbol-59 
[11820]</v>
      </c>
      <c r="AO59" s="55" t="str">
        <f>[1]!OBMAKE(AO$15&amp;"-"&amp;ROW(),"String",E59)</f>
        <v>type-59 
[11057]</v>
      </c>
      <c r="AP59" s="55" t="str">
        <f>[1]!OBCALL(AP$15&amp;"-"&amp;ROW(),obLibs&amp;"net.finmath.time.ScheduleGenerator","createScheduleFromConventions",$H$8,$AG59,$AH59:$AI59,[1]!OBMAKE("","String",$J59),[1]!OBMAKE("","String",$K59),$H$9,[1]!OBMAKE("","String",$L59),$H$10,[1]!OBMAKE("","int",$M59),[1]!OBMAKE("","int",$N59))</f>
        <v>tenor rec-59 
[13005]</v>
      </c>
      <c r="AQ59" s="55" t="str">
        <f>[1]!OBMAKE(AQ$15&amp;"-"&amp;ROW(),"String",O59)</f>
        <v>forward rec-59 
[11297]</v>
      </c>
      <c r="AR59" s="55" t="str">
        <f>[1]!OBMAKE(AR$15&amp;"-"&amp;ROW(),"double",P59)</f>
        <v>spread rec-59 
[11399]</v>
      </c>
      <c r="AS59" s="55" t="str">
        <f>[1]!OBMAKE(AS$15&amp;"-"&amp;ROW(),"String",Q59)</f>
        <v>discount rec-59 
[11322]</v>
      </c>
      <c r="AT59" s="55" t="str">
        <f>[1]!OBCALL(AT$15&amp;"-"&amp;ROW(),obLibs&amp;"net.finmath.time.ScheduleGenerator","createScheduleFromConventions",$H$8,$AG59,$AK59:$AL59,[1]!OBMAKE("","String",$U59),[1]!OBMAKE("","String",$V59),$H$9,[1]!OBMAKE("","String",$L59),$H$10,[1]!OBMAKE("","int",$X59),[1]!OBMAKE("","int",$Y59))</f>
        <v>tenor pay-59 
[13672]</v>
      </c>
      <c r="AU59" s="55" t="str">
        <f>[1]!OBMAKE(AU$15&amp;"-"&amp;ROW(),"String",Z59)</f>
        <v>forward pay-59 
[11175]</v>
      </c>
      <c r="AV59" s="55" t="str">
        <f>[1]!OBMAKE(AV$15&amp;"-"&amp;ROW(),"double",AA59)</f>
        <v>spread pay-59 
[12061]</v>
      </c>
      <c r="AW59" s="55" t="str">
        <f>[1]!OBMAKE(AW$15&amp;"-"&amp;ROW(),"String",AB59)</f>
        <v>disocunt pay-59 
[11362]</v>
      </c>
      <c r="AX59" s="55" t="str">
        <f>[1]!OBMAKE(AX$15&amp;"-"&amp;ROW(),"String",AD59)</f>
        <v>calibration curve-59 
[11477]</v>
      </c>
      <c r="AY59" s="55" t="str">
        <f>[1]!OBMAKE(AY$15&amp;"-"&amp;ROW(),"double",AE59)</f>
        <v>calibration time-59 
[13806]</v>
      </c>
      <c r="JJ59" s="14"/>
      <c r="JK59" s="14"/>
      <c r="JL59" s="14"/>
      <c r="JM59" s="14"/>
      <c r="JN59" s="14"/>
      <c r="JO59" s="14"/>
    </row>
    <row r="60" spans="1:275" ht="13.2" customHeight="1" x14ac:dyDescent="0.25">
      <c r="A60" s="48" t="str">
        <f t="shared" si="4"/>
        <v>forward-EUR-3M-2Y</v>
      </c>
      <c r="B60" s="49" t="str">
        <f>[1]!OBMAKE("calibItem-"&amp;ROW(),obLibs&amp;"net.finmath.marketdata.calibration.CalibratedCurves$CalibrationSpec",AN60:AY60)</f>
        <v>calibItem-60 
[14961]</v>
      </c>
      <c r="C60" s="49">
        <f>[1]!OBGET([1]!OBCALL("",[1]!OBCALL("",$B$11,"getCalibrationProductForSpec",B60),"getValue",[1]!OBCALL("",$B$11,"getModel")))</f>
        <v>-1.5987211554602254E-13</v>
      </c>
      <c r="D60" s="14" t="str">
        <f t="shared" ref="D60:D75" si="7">AD60&amp;"-"&amp;I60</f>
        <v>forward-EUR-3M-2Y</v>
      </c>
      <c r="E60" s="14" t="s">
        <v>125</v>
      </c>
      <c r="F60" s="40">
        <v>2</v>
      </c>
      <c r="H60" s="40" t="s">
        <v>105</v>
      </c>
      <c r="I60" s="40" t="s">
        <v>129</v>
      </c>
      <c r="J60" s="40" t="s">
        <v>149</v>
      </c>
      <c r="K60" s="40" t="s">
        <v>108</v>
      </c>
      <c r="L60" s="40" t="s">
        <v>109</v>
      </c>
      <c r="M60" s="40">
        <v>0</v>
      </c>
      <c r="N60" s="40">
        <v>0</v>
      </c>
      <c r="O60" s="33" t="s">
        <v>40</v>
      </c>
      <c r="P60" s="40">
        <v>0</v>
      </c>
      <c r="Q60" s="33" t="s">
        <v>38</v>
      </c>
      <c r="S60" s="40" t="s">
        <v>105</v>
      </c>
      <c r="T60" s="40" t="str">
        <f t="shared" ref="T60:T75" si="8">I60</f>
        <v>2Y</v>
      </c>
      <c r="U60" s="40" t="s">
        <v>110</v>
      </c>
      <c r="V60" s="40" t="s">
        <v>150</v>
      </c>
      <c r="W60" s="40" t="s">
        <v>109</v>
      </c>
      <c r="X60" s="40">
        <v>0</v>
      </c>
      <c r="Y60" s="40">
        <v>0</v>
      </c>
      <c r="Z60" s="33" t="str">
        <f>""</f>
        <v/>
      </c>
      <c r="AA60" s="51">
        <f>0.0038</f>
        <v>3.8E-3</v>
      </c>
      <c r="AB60" s="33" t="s">
        <v>38</v>
      </c>
      <c r="AC60" s="53"/>
      <c r="AD60" s="33" t="str">
        <f t="shared" si="6"/>
        <v>forward-EUR-3M</v>
      </c>
      <c r="AE60" s="54">
        <f>[1]!OBGET([1]!OBCALL("",AP60,IF(OR(AD60=Q60,AD60=AB60),"getPayment","getFixing"),[1]!OBMAKE("","int",[1]!OBGET([1]!OBCALL("",AP60,"getNumberOfPeriods"))-1)))</f>
        <v>1.7616438356164383</v>
      </c>
      <c r="AG60" s="55" t="str">
        <f>[1]!OBMAKE(AG$15&amp;"-"&amp;ROW(),"int",$F60)</f>
        <v>spot date-60 
[11193]</v>
      </c>
      <c r="AH60" s="55" t="str">
        <f>[1]!OBMAKE(AH$15&amp;"-"&amp;ROW(),"String",$H60)</f>
        <v>start offset rec-60 
[11629]</v>
      </c>
      <c r="AI60" s="55" t="str">
        <f>[1]!OBMAKE(AI$15&amp;"-"&amp;ROW(),"String",$I60)</f>
        <v>maturity rec-60 
[11418]</v>
      </c>
      <c r="AK60" s="55" t="str">
        <f>[1]!OBMAKE(AK$15&amp;"-"&amp;ROW(),"String",$S60)</f>
        <v>start offset pay-60 
[12012]</v>
      </c>
      <c r="AL60" s="55" t="str">
        <f>[1]!OBMAKE(AL$15&amp;"-"&amp;ROW(),"String",$T60)</f>
        <v>maturity pay-60 
[11366]</v>
      </c>
      <c r="AN60" s="55" t="str">
        <f>[1]!OBMAKE(AN$15&amp;"-"&amp;ROW(),"String",D60)</f>
        <v>symbol-60 
[11998]</v>
      </c>
      <c r="AO60" s="55" t="str">
        <f>[1]!OBMAKE(AO$15&amp;"-"&amp;ROW(),"String",E60)</f>
        <v>type-60 
[11858]</v>
      </c>
      <c r="AP60" s="55" t="str">
        <f>[1]!OBCALL(AP$15&amp;"-"&amp;ROW(),obLibs&amp;"net.finmath.time.ScheduleGenerator","createScheduleFromConventions",$H$8,$AG60,$AH60:$AI60,[1]!OBMAKE("","String",$J60),[1]!OBMAKE("","String",$K60),$H$9,[1]!OBMAKE("","String",$L60),$H$10,[1]!OBMAKE("","int",$M60),[1]!OBMAKE("","int",$N60))</f>
        <v>tenor rec-60 
[14676]</v>
      </c>
      <c r="AQ60" s="55" t="str">
        <f>[1]!OBMAKE(AQ$15&amp;"-"&amp;ROW(),"String",O60)</f>
        <v>forward rec-60 
[11737]</v>
      </c>
      <c r="AR60" s="55" t="str">
        <f>[1]!OBMAKE(AR$15&amp;"-"&amp;ROW(),"double",P60)</f>
        <v>spread rec-60 
[12346]</v>
      </c>
      <c r="AS60" s="55" t="str">
        <f>[1]!OBMAKE(AS$15&amp;"-"&amp;ROW(),"String",Q60)</f>
        <v>discount rec-60 
[11611]</v>
      </c>
      <c r="AT60" s="55" t="str">
        <f>[1]!OBCALL(AT$15&amp;"-"&amp;ROW(),obLibs&amp;"net.finmath.time.ScheduleGenerator","createScheduleFromConventions",$H$8,$AG60,$AK60:$AL60,[1]!OBMAKE("","String",$U60),[1]!OBMAKE("","String",$V60),$H$9,[1]!OBMAKE("","String",$L60),$H$10,[1]!OBMAKE("","int",$X60),[1]!OBMAKE("","int",$Y60))</f>
        <v>tenor pay-60 
[12834]</v>
      </c>
      <c r="AU60" s="55" t="str">
        <f>[1]!OBMAKE(AU$15&amp;"-"&amp;ROW(),"String",Z60)</f>
        <v>forward pay-60 
[11070]</v>
      </c>
      <c r="AV60" s="55" t="str">
        <f>[1]!OBMAKE(AV$15&amp;"-"&amp;ROW(),"double",AA60)</f>
        <v>spread pay-60 
[11713]</v>
      </c>
      <c r="AW60" s="55" t="str">
        <f>[1]!OBMAKE(AW$15&amp;"-"&amp;ROW(),"String",AB60)</f>
        <v>disocunt pay-60 
[10814]</v>
      </c>
      <c r="AX60" s="55" t="str">
        <f>[1]!OBMAKE(AX$15&amp;"-"&amp;ROW(),"String",AD60)</f>
        <v>calibration curve-60 
[12260]</v>
      </c>
      <c r="AY60" s="55" t="str">
        <f>[1]!OBMAKE(AY$15&amp;"-"&amp;ROW(),"double",AE60)</f>
        <v>calibration time-60 
[14680]</v>
      </c>
      <c r="JJ60" s="14"/>
      <c r="JK60" s="14"/>
      <c r="JL60" s="14"/>
      <c r="JM60" s="14"/>
      <c r="JN60" s="14"/>
      <c r="JO60" s="14"/>
    </row>
    <row r="61" spans="1:275" ht="13.2" customHeight="1" x14ac:dyDescent="0.25">
      <c r="A61" s="48" t="str">
        <f t="shared" si="4"/>
        <v>forward-EUR-3M-3Y</v>
      </c>
      <c r="B61" s="49" t="str">
        <f>[1]!OBMAKE("calibItem-"&amp;ROW(),obLibs&amp;"net.finmath.marketdata.calibration.CalibratedCurves$CalibrationSpec",AN61:AY61)</f>
        <v>calibItem-61 
[14969]</v>
      </c>
      <c r="C61" s="49">
        <f>[1]!OBGET([1]!OBCALL("",[1]!OBCALL("",$B$11,"getCalibrationProductForSpec",B61),"getValue",[1]!OBCALL("",$B$11,"getModel")))</f>
        <v>1.7708057242771247E-13</v>
      </c>
      <c r="D61" s="14" t="str">
        <f t="shared" si="7"/>
        <v>forward-EUR-3M-3Y</v>
      </c>
      <c r="E61" s="14" t="s">
        <v>125</v>
      </c>
      <c r="F61" s="40">
        <v>2</v>
      </c>
      <c r="H61" s="40" t="s">
        <v>105</v>
      </c>
      <c r="I61" s="40" t="s">
        <v>131</v>
      </c>
      <c r="J61" s="40" t="s">
        <v>149</v>
      </c>
      <c r="K61" s="40" t="s">
        <v>108</v>
      </c>
      <c r="L61" s="40" t="s">
        <v>109</v>
      </c>
      <c r="M61" s="40">
        <v>0</v>
      </c>
      <c r="N61" s="40">
        <v>0</v>
      </c>
      <c r="O61" s="33" t="s">
        <v>40</v>
      </c>
      <c r="P61" s="40">
        <v>0</v>
      </c>
      <c r="Q61" s="33" t="s">
        <v>38</v>
      </c>
      <c r="S61" s="40" t="s">
        <v>105</v>
      </c>
      <c r="T61" s="40" t="str">
        <f t="shared" si="8"/>
        <v>3Y</v>
      </c>
      <c r="U61" s="40" t="s">
        <v>110</v>
      </c>
      <c r="V61" s="40" t="s">
        <v>150</v>
      </c>
      <c r="W61" s="40" t="s">
        <v>109</v>
      </c>
      <c r="X61" s="40">
        <v>0</v>
      </c>
      <c r="Y61" s="40">
        <v>0</v>
      </c>
      <c r="Z61" s="33" t="str">
        <f>""</f>
        <v/>
      </c>
      <c r="AA61" s="51">
        <f>0.00485+AC61/100/100</f>
        <v>4.8500000000000001E-3</v>
      </c>
      <c r="AB61" s="33" t="s">
        <v>38</v>
      </c>
      <c r="AC61" s="53"/>
      <c r="AD61" s="33" t="str">
        <f t="shared" si="6"/>
        <v>forward-EUR-3M</v>
      </c>
      <c r="AE61" s="54">
        <f>[1]!OBGET([1]!OBCALL("",AP61,IF(OR(AD61=Q61,AD61=AB61),"getPayment","getFixing"),[1]!OBMAKE("","int",[1]!OBGET([1]!OBCALL("",AP61,"getNumberOfPeriods"))-1)))</f>
        <v>2.7589041095890412</v>
      </c>
      <c r="AG61" s="55" t="str">
        <f>[1]!OBMAKE(AG$15&amp;"-"&amp;ROW(),"int",$F61)</f>
        <v>spot date-61 
[11709]</v>
      </c>
      <c r="AH61" s="55" t="str">
        <f>[1]!OBMAKE(AH$15&amp;"-"&amp;ROW(),"String",$H61)</f>
        <v>start offset rec-61 
[11303]</v>
      </c>
      <c r="AI61" s="55" t="str">
        <f>[1]!OBMAKE(AI$15&amp;"-"&amp;ROW(),"String",$I61)</f>
        <v>maturity rec-61 
[11732]</v>
      </c>
      <c r="AK61" s="55" t="str">
        <f>[1]!OBMAKE(AK$15&amp;"-"&amp;ROW(),"String",$S61)</f>
        <v>start offset pay-61 
[12083]</v>
      </c>
      <c r="AL61" s="55" t="str">
        <f>[1]!OBMAKE(AL$15&amp;"-"&amp;ROW(),"String",$T61)</f>
        <v>maturity pay-61 
[11238]</v>
      </c>
      <c r="AN61" s="55" t="str">
        <f>[1]!OBMAKE(AN$15&amp;"-"&amp;ROW(),"String",D61)</f>
        <v>symbol-61 
[11841]</v>
      </c>
      <c r="AO61" s="55" t="str">
        <f>[1]!OBMAKE(AO$15&amp;"-"&amp;ROW(),"String",E61)</f>
        <v>type-61 
[11596]</v>
      </c>
      <c r="AP61" s="55" t="str">
        <f>[1]!OBCALL(AP$15&amp;"-"&amp;ROW(),obLibs&amp;"net.finmath.time.ScheduleGenerator","createScheduleFromConventions",$H$8,$AG61,$AH61:$AI61,[1]!OBMAKE("","String",$J61),[1]!OBMAKE("","String",$K61),$H$9,[1]!OBMAKE("","String",$L61),$H$10,[1]!OBMAKE("","int",$M61),[1]!OBMAKE("","int",$N61))</f>
        <v>tenor rec-61 
[13861]</v>
      </c>
      <c r="AQ61" s="55" t="str">
        <f>[1]!OBMAKE(AQ$15&amp;"-"&amp;ROW(),"String",O61)</f>
        <v>forward rec-61 
[11957]</v>
      </c>
      <c r="AR61" s="55" t="str">
        <f>[1]!OBMAKE(AR$15&amp;"-"&amp;ROW(),"double",P61)</f>
        <v>spread rec-61 
[11199]</v>
      </c>
      <c r="AS61" s="55" t="str">
        <f>[1]!OBMAKE(AS$15&amp;"-"&amp;ROW(),"String",Q61)</f>
        <v>discount rec-61 
[11707]</v>
      </c>
      <c r="AT61" s="55" t="str">
        <f>[1]!OBCALL(AT$15&amp;"-"&amp;ROW(),obLibs&amp;"net.finmath.time.ScheduleGenerator","createScheduleFromConventions",$H$8,$AG61,$AK61:$AL61,[1]!OBMAKE("","String",$U61),[1]!OBMAKE("","String",$V61),$H$9,[1]!OBMAKE("","String",$L61),$H$10,[1]!OBMAKE("","int",$X61),[1]!OBMAKE("","int",$Y61))</f>
        <v>tenor pay-61 
[14417]</v>
      </c>
      <c r="AU61" s="55" t="str">
        <f>[1]!OBMAKE(AU$15&amp;"-"&amp;ROW(),"String",Z61)</f>
        <v>forward pay-61 
[11381]</v>
      </c>
      <c r="AV61" s="55" t="str">
        <f>[1]!OBMAKE(AV$15&amp;"-"&amp;ROW(),"double",AA61)</f>
        <v>spread pay-61 
[12065]</v>
      </c>
      <c r="AW61" s="55" t="str">
        <f>[1]!OBMAKE(AW$15&amp;"-"&amp;ROW(),"String",AB61)</f>
        <v>disocunt pay-61 
[11234]</v>
      </c>
      <c r="AX61" s="55" t="str">
        <f>[1]!OBMAKE(AX$15&amp;"-"&amp;ROW(),"String",AD61)</f>
        <v>calibration curve-61 
[11811]</v>
      </c>
      <c r="AY61" s="55" t="str">
        <f>[1]!OBMAKE(AY$15&amp;"-"&amp;ROW(),"double",AE61)</f>
        <v>calibration time-61 
[13865]</v>
      </c>
      <c r="JJ61" s="14"/>
      <c r="JK61" s="14"/>
      <c r="JL61" s="14"/>
      <c r="JM61" s="14"/>
      <c r="JN61" s="14"/>
      <c r="JO61" s="14"/>
    </row>
    <row r="62" spans="1:275" ht="13.2" customHeight="1" x14ac:dyDescent="0.25">
      <c r="A62" s="48" t="str">
        <f t="shared" si="4"/>
        <v>forward-EUR-3M-4Y</v>
      </c>
      <c r="B62" s="49" t="str">
        <f>[1]!OBMAKE("calibItem-"&amp;ROW(),obLibs&amp;"net.finmath.marketdata.calibration.CalibratedCurves$CalibrationSpec",AN62:AY62)</f>
        <v>calibItem-62 
[14968]</v>
      </c>
      <c r="C62" s="49">
        <f>[1]!OBGET([1]!OBCALL("",[1]!OBCALL("",$B$11,"getCalibrationProductForSpec",B62),"getValue",[1]!OBCALL("",$B$11,"getModel")))</f>
        <v>-2.5679458559579871E-13</v>
      </c>
      <c r="D62" s="14" t="str">
        <f t="shared" si="7"/>
        <v>forward-EUR-3M-4Y</v>
      </c>
      <c r="E62" s="14" t="s">
        <v>125</v>
      </c>
      <c r="F62" s="40">
        <v>2</v>
      </c>
      <c r="H62" s="40" t="s">
        <v>105</v>
      </c>
      <c r="I62" s="40" t="s">
        <v>132</v>
      </c>
      <c r="J62" s="40" t="s">
        <v>149</v>
      </c>
      <c r="K62" s="40" t="s">
        <v>108</v>
      </c>
      <c r="L62" s="40" t="s">
        <v>109</v>
      </c>
      <c r="M62" s="40">
        <v>0</v>
      </c>
      <c r="N62" s="40">
        <v>0</v>
      </c>
      <c r="O62" s="33" t="s">
        <v>40</v>
      </c>
      <c r="P62" s="40">
        <v>0</v>
      </c>
      <c r="Q62" s="33" t="s">
        <v>38</v>
      </c>
      <c r="S62" s="40" t="s">
        <v>105</v>
      </c>
      <c r="T62" s="40" t="str">
        <f t="shared" si="8"/>
        <v>4Y</v>
      </c>
      <c r="U62" s="40" t="s">
        <v>110</v>
      </c>
      <c r="V62" s="40" t="s">
        <v>150</v>
      </c>
      <c r="W62" s="40" t="s">
        <v>109</v>
      </c>
      <c r="X62" s="40">
        <v>0</v>
      </c>
      <c r="Y62" s="40">
        <v>0</v>
      </c>
      <c r="Z62" s="33" t="str">
        <f>""</f>
        <v/>
      </c>
      <c r="AA62" s="51">
        <f>0.00628+AC62/100/100</f>
        <v>6.28E-3</v>
      </c>
      <c r="AB62" s="33" t="s">
        <v>38</v>
      </c>
      <c r="AC62" s="53"/>
      <c r="AD62" s="33" t="str">
        <f t="shared" si="6"/>
        <v>forward-EUR-3M</v>
      </c>
      <c r="AE62" s="54">
        <f>[1]!OBGET([1]!OBCALL("",AP62,IF(OR(AD62=Q62,AD62=AB62),"getPayment","getFixing"),[1]!OBMAKE("","int",[1]!OBGET([1]!OBCALL("",AP62,"getNumberOfPeriods"))-1)))</f>
        <v>3.7561643835616438</v>
      </c>
      <c r="AG62" s="55" t="str">
        <f>[1]!OBMAKE(AG$15&amp;"-"&amp;ROW(),"int",$F62)</f>
        <v>spot date-62 
[11616]</v>
      </c>
      <c r="AH62" s="55" t="str">
        <f>[1]!OBMAKE(AH$15&amp;"-"&amp;ROW(),"String",$H62)</f>
        <v>start offset rec-62 
[11510]</v>
      </c>
      <c r="AI62" s="55" t="str">
        <f>[1]!OBMAKE(AI$15&amp;"-"&amp;ROW(),"String",$I62)</f>
        <v>maturity rec-62 
[11290]</v>
      </c>
      <c r="AK62" s="55" t="str">
        <f>[1]!OBMAKE(AK$15&amp;"-"&amp;ROW(),"String",$S62)</f>
        <v>start offset pay-62 
[11515]</v>
      </c>
      <c r="AL62" s="55" t="str">
        <f>[1]!OBMAKE(AL$15&amp;"-"&amp;ROW(),"String",$T62)</f>
        <v>maturity pay-62 
[10827]</v>
      </c>
      <c r="AN62" s="55" t="str">
        <f>[1]!OBMAKE(AN$15&amp;"-"&amp;ROW(),"String",D62)</f>
        <v>symbol-62 
[12333]</v>
      </c>
      <c r="AO62" s="55" t="str">
        <f>[1]!OBMAKE(AO$15&amp;"-"&amp;ROW(),"String",E62)</f>
        <v>type-62 
[11161]</v>
      </c>
      <c r="AP62" s="55" t="str">
        <f>[1]!OBCALL(AP$15&amp;"-"&amp;ROW(),obLibs&amp;"net.finmath.time.ScheduleGenerator","createScheduleFromConventions",$H$8,$AG62,$AH62:$AI62,[1]!OBMAKE("","String",$J62),[1]!OBMAKE("","String",$K62),$H$9,[1]!OBMAKE("","String",$L62),$H$10,[1]!OBMAKE("","int",$M62),[1]!OBMAKE("","int",$N62))</f>
        <v>tenor rec-62 
[14062]</v>
      </c>
      <c r="AQ62" s="55" t="str">
        <f>[1]!OBMAKE(AQ$15&amp;"-"&amp;ROW(),"String",O62)</f>
        <v>forward rec-62 
[11993]</v>
      </c>
      <c r="AR62" s="55" t="str">
        <f>[1]!OBMAKE(AR$15&amp;"-"&amp;ROW(),"double",P62)</f>
        <v>spread rec-62 
[11902]</v>
      </c>
      <c r="AS62" s="55" t="str">
        <f>[1]!OBMAKE(AS$15&amp;"-"&amp;ROW(),"String",Q62)</f>
        <v>discount rec-62 
[11186]</v>
      </c>
      <c r="AT62" s="55" t="str">
        <f>[1]!OBCALL(AT$15&amp;"-"&amp;ROW(),obLibs&amp;"net.finmath.time.ScheduleGenerator","createScheduleFromConventions",$H$8,$AG62,$AK62:$AL62,[1]!OBMAKE("","String",$U62),[1]!OBMAKE("","String",$V62),$H$9,[1]!OBMAKE("","String",$L62),$H$10,[1]!OBMAKE("","int",$X62),[1]!OBMAKE("","int",$Y62))</f>
        <v>tenor pay-62 
[13641]</v>
      </c>
      <c r="AU62" s="55" t="str">
        <f>[1]!OBMAKE(AU$15&amp;"-"&amp;ROW(),"String",Z62)</f>
        <v>forward pay-62 
[11253]</v>
      </c>
      <c r="AV62" s="55" t="str">
        <f>[1]!OBMAKE(AV$15&amp;"-"&amp;ROW(),"double",AA62)</f>
        <v>spread pay-62 
[11969]</v>
      </c>
      <c r="AW62" s="55" t="str">
        <f>[1]!OBMAKE(AW$15&amp;"-"&amp;ROW(),"String",AB62)</f>
        <v>disocunt pay-62 
[10964]</v>
      </c>
      <c r="AX62" s="55" t="str">
        <f>[1]!OBMAKE(AX$15&amp;"-"&amp;ROW(),"String",AD62)</f>
        <v>calibration curve-62 
[11921]</v>
      </c>
      <c r="AY62" s="55" t="str">
        <f>[1]!OBMAKE(AY$15&amp;"-"&amp;ROW(),"double",AE62)</f>
        <v>calibration time-62 
[14066]</v>
      </c>
      <c r="JJ62" s="14"/>
      <c r="JK62" s="14"/>
      <c r="JL62" s="14"/>
      <c r="JM62" s="14"/>
      <c r="JN62" s="14"/>
      <c r="JO62" s="14"/>
    </row>
    <row r="63" spans="1:275" ht="13.2" customHeight="1" x14ac:dyDescent="0.25">
      <c r="A63" s="48" t="str">
        <f t="shared" si="4"/>
        <v>forward-EUR-3M-5Y</v>
      </c>
      <c r="B63" s="49" t="str">
        <f>[1]!OBMAKE("calibItem-"&amp;ROW(),obLibs&amp;"net.finmath.marketdata.calibration.CalibratedCurves$CalibrationSpec",AN63:AY63)</f>
        <v>calibItem-63 
[14933]</v>
      </c>
      <c r="C63" s="49">
        <f>[1]!OBGET([1]!OBCALL("",[1]!OBCALL("",$B$11,"getCalibrationProductForSpec",B63),"getValue",[1]!OBCALL("",$B$11,"getModel")))</f>
        <v>3.9845904353796868E-13</v>
      </c>
      <c r="D63" s="14" t="str">
        <f t="shared" si="7"/>
        <v>forward-EUR-3M-5Y</v>
      </c>
      <c r="E63" s="14" t="s">
        <v>125</v>
      </c>
      <c r="F63" s="40">
        <v>2</v>
      </c>
      <c r="H63" s="40" t="s">
        <v>105</v>
      </c>
      <c r="I63" s="40" t="s">
        <v>133</v>
      </c>
      <c r="J63" s="40" t="s">
        <v>149</v>
      </c>
      <c r="K63" s="40" t="s">
        <v>108</v>
      </c>
      <c r="L63" s="40" t="s">
        <v>109</v>
      </c>
      <c r="M63" s="40">
        <v>0</v>
      </c>
      <c r="N63" s="40">
        <v>0</v>
      </c>
      <c r="O63" s="33" t="s">
        <v>40</v>
      </c>
      <c r="P63" s="40">
        <v>0</v>
      </c>
      <c r="Q63" s="33" t="s">
        <v>38</v>
      </c>
      <c r="S63" s="40" t="s">
        <v>105</v>
      </c>
      <c r="T63" s="40" t="str">
        <f t="shared" si="8"/>
        <v>5Y</v>
      </c>
      <c r="U63" s="40" t="s">
        <v>110</v>
      </c>
      <c r="V63" s="40" t="s">
        <v>150</v>
      </c>
      <c r="W63" s="40" t="s">
        <v>109</v>
      </c>
      <c r="X63" s="40">
        <v>0</v>
      </c>
      <c r="Y63" s="40">
        <v>0</v>
      </c>
      <c r="Z63" s="33" t="str">
        <f>""</f>
        <v/>
      </c>
      <c r="AA63" s="51">
        <f>0.00812+AC63/100/100</f>
        <v>8.1200000000000005E-3</v>
      </c>
      <c r="AB63" s="33" t="s">
        <v>38</v>
      </c>
      <c r="AC63" s="53"/>
      <c r="AD63" s="33" t="str">
        <f t="shared" si="6"/>
        <v>forward-EUR-3M</v>
      </c>
      <c r="AE63" s="54">
        <f>[1]!OBGET([1]!OBCALL("",AP63,IF(OR(AD63=Q63,AD63=AB63),"getPayment","getFixing"),[1]!OBMAKE("","int",[1]!OBGET([1]!OBCALL("",AP63,"getNumberOfPeriods"))-1)))</f>
        <v>4.7589041095890412</v>
      </c>
      <c r="AG63" s="55" t="str">
        <f>[1]!OBMAKE(AG$15&amp;"-"&amp;ROW(),"int",$F63)</f>
        <v>spot date-63 
[11456]</v>
      </c>
      <c r="AH63" s="55" t="str">
        <f>[1]!OBMAKE(AH$15&amp;"-"&amp;ROW(),"String",$H63)</f>
        <v>start offset rec-63 
[11871]</v>
      </c>
      <c r="AI63" s="55" t="str">
        <f>[1]!OBMAKE(AI$15&amp;"-"&amp;ROW(),"String",$I63)</f>
        <v>maturity rec-63 
[11988]</v>
      </c>
      <c r="AK63" s="55" t="str">
        <f>[1]!OBMAKE(AK$15&amp;"-"&amp;ROW(),"String",$S63)</f>
        <v>start offset pay-63 
[11911]</v>
      </c>
      <c r="AL63" s="55" t="str">
        <f>[1]!OBMAKE(AL$15&amp;"-"&amp;ROW(),"String",$T63)</f>
        <v>maturity pay-63 
[11144]</v>
      </c>
      <c r="AN63" s="55" t="str">
        <f>[1]!OBMAKE(AN$15&amp;"-"&amp;ROW(),"String",D63)</f>
        <v>symbol-63 
[12076]</v>
      </c>
      <c r="AO63" s="55" t="str">
        <f>[1]!OBMAKE(AO$15&amp;"-"&amp;ROW(),"String",E63)</f>
        <v>type-63 
[11056]</v>
      </c>
      <c r="AP63" s="55" t="str">
        <f>[1]!OBCALL(AP$15&amp;"-"&amp;ROW(),obLibs&amp;"net.finmath.time.ScheduleGenerator","createScheduleFromConventions",$H$8,$AG63,$AH63:$AI63,[1]!OBMAKE("","String",$J63),[1]!OBMAKE("","String",$K63),$H$9,[1]!OBMAKE("","String",$L63),$H$10,[1]!OBMAKE("","int",$M63),[1]!OBMAKE("","int",$N63))</f>
        <v>tenor rec-63 
[14189]</v>
      </c>
      <c r="AQ63" s="55" t="str">
        <f>[1]!OBMAKE(AQ$15&amp;"-"&amp;ROW(),"String",O63)</f>
        <v>forward rec-63 
[11646]</v>
      </c>
      <c r="AR63" s="55" t="str">
        <f>[1]!OBMAKE(AR$15&amp;"-"&amp;ROW(),"double",P63)</f>
        <v>spread rec-63 
[11271]</v>
      </c>
      <c r="AS63" s="55" t="str">
        <f>[1]!OBMAKE(AS$15&amp;"-"&amp;ROW(),"String",Q63)</f>
        <v>discount rec-63 
[11670]</v>
      </c>
      <c r="AT63" s="55" t="str">
        <f>[1]!OBCALL(AT$15&amp;"-"&amp;ROW(),obLibs&amp;"net.finmath.time.ScheduleGenerator","createScheduleFromConventions",$H$8,$AG63,$AK63:$AL63,[1]!OBMAKE("","String",$U63),[1]!OBMAKE("","String",$V63),$H$9,[1]!OBMAKE("","String",$L63),$H$10,[1]!OBMAKE("","int",$X63),[1]!OBMAKE("","int",$Y63))</f>
        <v>tenor pay-63 
[13598]</v>
      </c>
      <c r="AU63" s="55" t="str">
        <f>[1]!OBMAKE(AU$15&amp;"-"&amp;ROW(),"String",Z63)</f>
        <v>forward pay-63 
[11174]</v>
      </c>
      <c r="AV63" s="55" t="str">
        <f>[1]!OBMAKE(AV$15&amp;"-"&amp;ROW(),"double",AA63)</f>
        <v>spread pay-63 
[11720]</v>
      </c>
      <c r="AW63" s="55" t="str">
        <f>[1]!OBMAKE(AW$15&amp;"-"&amp;ROW(),"String",AB63)</f>
        <v>disocunt pay-63 
[11136]</v>
      </c>
      <c r="AX63" s="55" t="str">
        <f>[1]!OBMAKE(AX$15&amp;"-"&amp;ROW(),"String",AD63)</f>
        <v>calibration curve-63 
[11980]</v>
      </c>
      <c r="AY63" s="55" t="str">
        <f>[1]!OBMAKE(AY$15&amp;"-"&amp;ROW(),"double",AE63)</f>
        <v>calibration time-63 
[14193]</v>
      </c>
      <c r="JJ63" s="14"/>
      <c r="JK63" s="14"/>
      <c r="JL63" s="14"/>
      <c r="JM63" s="14"/>
      <c r="JN63" s="14"/>
      <c r="JO63" s="14"/>
    </row>
    <row r="64" spans="1:275" ht="13.2" customHeight="1" x14ac:dyDescent="0.25">
      <c r="A64" s="48" t="str">
        <f t="shared" si="4"/>
        <v>forward-EUR-3M-6Y</v>
      </c>
      <c r="B64" s="49" t="str">
        <f>[1]!OBMAKE("calibItem-"&amp;ROW(),obLibs&amp;"net.finmath.marketdata.calibration.CalibratedCurves$CalibrationSpec",AN64:AY64)</f>
        <v>calibItem-64 
[15013]</v>
      </c>
      <c r="C64" s="49">
        <f>[1]!OBGET([1]!OBCALL("",[1]!OBCALL("",$B$11,"getCalibrationProductForSpec",B64),"getValue",[1]!OBCALL("",$B$11,"getModel")))</f>
        <v>-6.3249405712895168E-13</v>
      </c>
      <c r="D64" s="14" t="str">
        <f t="shared" si="7"/>
        <v>forward-EUR-3M-6Y</v>
      </c>
      <c r="E64" s="14" t="s">
        <v>125</v>
      </c>
      <c r="F64" s="40">
        <v>2</v>
      </c>
      <c r="H64" s="40" t="s">
        <v>105</v>
      </c>
      <c r="I64" s="40" t="s">
        <v>134</v>
      </c>
      <c r="J64" s="40" t="s">
        <v>149</v>
      </c>
      <c r="K64" s="40" t="s">
        <v>108</v>
      </c>
      <c r="L64" s="40" t="s">
        <v>109</v>
      </c>
      <c r="M64" s="40">
        <v>0</v>
      </c>
      <c r="N64" s="40">
        <v>0</v>
      </c>
      <c r="O64" s="33" t="s">
        <v>40</v>
      </c>
      <c r="P64" s="40">
        <v>0</v>
      </c>
      <c r="Q64" s="33" t="s">
        <v>38</v>
      </c>
      <c r="S64" s="40" t="s">
        <v>105</v>
      </c>
      <c r="T64" s="40" t="str">
        <f t="shared" si="8"/>
        <v>6Y</v>
      </c>
      <c r="U64" s="40" t="s">
        <v>110</v>
      </c>
      <c r="V64" s="40" t="s">
        <v>150</v>
      </c>
      <c r="W64" s="40" t="s">
        <v>109</v>
      </c>
      <c r="X64" s="40">
        <v>0</v>
      </c>
      <c r="Y64" s="40">
        <v>0</v>
      </c>
      <c r="Z64" s="33" t="str">
        <f>""</f>
        <v/>
      </c>
      <c r="AA64" s="51">
        <f>0.00998+AC64/100/100</f>
        <v>9.9799999999999993E-3</v>
      </c>
      <c r="AB64" s="33" t="s">
        <v>38</v>
      </c>
      <c r="AC64" s="53"/>
      <c r="AD64" s="33" t="str">
        <f t="shared" si="6"/>
        <v>forward-EUR-3M</v>
      </c>
      <c r="AE64" s="54">
        <f>[1]!OBGET([1]!OBCALL("",AP64,IF(OR(AD64=Q64,AD64=AB64),"getPayment","getFixing"),[1]!OBMAKE("","int",[1]!OBGET([1]!OBCALL("",AP64,"getNumberOfPeriods"))-1)))</f>
        <v>5.7589041095890412</v>
      </c>
      <c r="AG64" s="55" t="str">
        <f>[1]!OBMAKE(AG$15&amp;"-"&amp;ROW(),"int",$F64)</f>
        <v>spot date-64 
[11394]</v>
      </c>
      <c r="AH64" s="55" t="str">
        <f>[1]!OBMAKE(AH$15&amp;"-"&amp;ROW(),"String",$H64)</f>
        <v>start offset rec-64 
[12233]</v>
      </c>
      <c r="AI64" s="55" t="str">
        <f>[1]!OBMAKE(AI$15&amp;"-"&amp;ROW(),"String",$I64)</f>
        <v>maturity rec-64 
[11699]</v>
      </c>
      <c r="AK64" s="55" t="str">
        <f>[1]!OBMAKE(AK$15&amp;"-"&amp;ROW(),"String",$S64)</f>
        <v>start offset pay-64 
[12294]</v>
      </c>
      <c r="AL64" s="55" t="str">
        <f>[1]!OBMAKE(AL$15&amp;"-"&amp;ROW(),"String",$T64)</f>
        <v>maturity pay-64 
[11039]</v>
      </c>
      <c r="AN64" s="55" t="str">
        <f>[1]!OBMAKE(AN$15&amp;"-"&amp;ROW(),"String",D64)</f>
        <v>symbol-64 
[12124]</v>
      </c>
      <c r="AO64" s="55" t="str">
        <f>[1]!OBMAKE(AO$15&amp;"-"&amp;ROW(),"String",E64)</f>
        <v>type-64 
[11374]</v>
      </c>
      <c r="AP64" s="55" t="str">
        <f>[1]!OBCALL(AP$15&amp;"-"&amp;ROW(),obLibs&amp;"net.finmath.time.ScheduleGenerator","createScheduleFromConventions",$H$8,$AG64,$AH64:$AI64,[1]!OBMAKE("","String",$J64),[1]!OBMAKE("","String",$K64),$H$9,[1]!OBMAKE("","String",$L64),$H$10,[1]!OBMAKE("","int",$M64),[1]!OBMAKE("","int",$N64))</f>
        <v>tenor rec-64 
[13877]</v>
      </c>
      <c r="AQ64" s="55" t="str">
        <f>[1]!OBMAKE(AQ$15&amp;"-"&amp;ROW(),"String",O64)</f>
        <v>forward rec-64 
[11494]</v>
      </c>
      <c r="AR64" s="55" t="str">
        <f>[1]!OBMAKE(AR$15&amp;"-"&amp;ROW(),"double",P64)</f>
        <v>spread rec-64 
[12150]</v>
      </c>
      <c r="AS64" s="55" t="str">
        <f>[1]!OBMAKE(AS$15&amp;"-"&amp;ROW(),"String",Q64)</f>
        <v>discount rec-64 
[11389]</v>
      </c>
      <c r="AT64" s="55" t="str">
        <f>[1]!OBCALL(AT$15&amp;"-"&amp;ROW(),obLibs&amp;"net.finmath.time.ScheduleGenerator","createScheduleFromConventions",$H$8,$AG64,$AK64:$AL64,[1]!OBMAKE("","String",$U64),[1]!OBMAKE("","String",$V64),$H$9,[1]!OBMAKE("","String",$L64),$H$10,[1]!OBMAKE("","int",$X64),[1]!OBMAKE("","int",$Y64))</f>
        <v>tenor pay-64 
[13072]</v>
      </c>
      <c r="AU64" s="55" t="str">
        <f>[1]!OBMAKE(AU$15&amp;"-"&amp;ROW(),"String",Z64)</f>
        <v>forward pay-64 
[11069]</v>
      </c>
      <c r="AV64" s="55" t="str">
        <f>[1]!OBMAKE(AV$15&amp;"-"&amp;ROW(),"double",AA64)</f>
        <v>spread pay-64 
[11462]</v>
      </c>
      <c r="AW64" s="55" t="str">
        <f>[1]!OBMAKE(AW$15&amp;"-"&amp;ROW(),"String",AB64)</f>
        <v>disocunt pay-64 
[10813]</v>
      </c>
      <c r="AX64" s="55" t="str">
        <f>[1]!OBMAKE(AX$15&amp;"-"&amp;ROW(),"String",AD64)</f>
        <v>calibration curve-64 
[11535]</v>
      </c>
      <c r="AY64" s="55" t="str">
        <f>[1]!OBMAKE(AY$15&amp;"-"&amp;ROW(),"double",AE64)</f>
        <v>calibration time-64 
[13881]</v>
      </c>
      <c r="JJ64" s="14"/>
      <c r="JK64" s="14"/>
      <c r="JL64" s="14"/>
      <c r="JM64" s="14"/>
      <c r="JN64" s="14"/>
      <c r="JO64" s="14"/>
    </row>
    <row r="65" spans="1:275" ht="13.2" customHeight="1" x14ac:dyDescent="0.25">
      <c r="A65" s="48" t="str">
        <f t="shared" si="4"/>
        <v>forward-EUR-3M-7Y</v>
      </c>
      <c r="B65" s="49" t="str">
        <f>[1]!OBMAKE("calibItem-"&amp;ROW(),obLibs&amp;"net.finmath.marketdata.calibration.CalibratedCurves$CalibrationSpec",AN65:AY65)</f>
        <v>calibItem-65 
[14964]</v>
      </c>
      <c r="C65" s="49">
        <f>[1]!OBGET([1]!OBCALL("",[1]!OBCALL("",$B$11,"getCalibrationProductForSpec",B65),"getValue",[1]!OBCALL("",$B$11,"getModel")))</f>
        <v>1.035616037370346E-12</v>
      </c>
      <c r="D65" s="14" t="str">
        <f t="shared" si="7"/>
        <v>forward-EUR-3M-7Y</v>
      </c>
      <c r="E65" s="14" t="s">
        <v>125</v>
      </c>
      <c r="F65" s="40">
        <v>2</v>
      </c>
      <c r="H65" s="40" t="s">
        <v>105</v>
      </c>
      <c r="I65" s="40" t="s">
        <v>135</v>
      </c>
      <c r="J65" s="40" t="s">
        <v>149</v>
      </c>
      <c r="K65" s="40" t="s">
        <v>108</v>
      </c>
      <c r="L65" s="40" t="s">
        <v>109</v>
      </c>
      <c r="M65" s="40">
        <v>0</v>
      </c>
      <c r="N65" s="40">
        <v>0</v>
      </c>
      <c r="O65" s="33" t="s">
        <v>40</v>
      </c>
      <c r="P65" s="40">
        <v>0</v>
      </c>
      <c r="Q65" s="33" t="s">
        <v>38</v>
      </c>
      <c r="S65" s="40" t="s">
        <v>105</v>
      </c>
      <c r="T65" s="40" t="str">
        <f t="shared" si="8"/>
        <v>7Y</v>
      </c>
      <c r="U65" s="40" t="s">
        <v>110</v>
      </c>
      <c r="V65" s="40" t="s">
        <v>150</v>
      </c>
      <c r="W65" s="40" t="s">
        <v>109</v>
      </c>
      <c r="X65" s="40">
        <v>0</v>
      </c>
      <c r="Y65" s="40">
        <v>0</v>
      </c>
      <c r="Z65" s="33" t="str">
        <f>""</f>
        <v/>
      </c>
      <c r="AA65" s="51">
        <v>1.1679999999999999E-2</v>
      </c>
      <c r="AB65" s="33" t="s">
        <v>38</v>
      </c>
      <c r="AC65" s="53"/>
      <c r="AD65" s="33" t="str">
        <f t="shared" si="6"/>
        <v>forward-EUR-3M</v>
      </c>
      <c r="AE65" s="54">
        <f>[1]!OBGET([1]!OBCALL("",AP65,IF(OR(AD65=Q65,AD65=AB65),"getPayment","getFixing"),[1]!OBMAKE("","int",[1]!OBGET([1]!OBCALL("",AP65,"getNumberOfPeriods"))-1)))</f>
        <v>6.7589041095890412</v>
      </c>
      <c r="AG65" s="55" t="str">
        <f>[1]!OBMAKE(AG$15&amp;"-"&amp;ROW(),"int",$F65)</f>
        <v>spot date-65 
[11328]</v>
      </c>
      <c r="AH65" s="55" t="str">
        <f>[1]!OBMAKE(AH$15&amp;"-"&amp;ROW(),"String",$H65)</f>
        <v>start offset rec-65 
[11652]</v>
      </c>
      <c r="AI65" s="55" t="str">
        <f>[1]!OBMAKE(AI$15&amp;"-"&amp;ROW(),"String",$I65)</f>
        <v>maturity rec-65 
[12257]</v>
      </c>
      <c r="AK65" s="55" t="str">
        <f>[1]!OBMAKE(AK$15&amp;"-"&amp;ROW(),"String",$S65)</f>
        <v>start offset pay-65 
[12356]</v>
      </c>
      <c r="AL65" s="55" t="str">
        <f>[1]!OBMAKE(AL$15&amp;"-"&amp;ROW(),"String",$T65)</f>
        <v>maturity pay-65 
[11686]</v>
      </c>
      <c r="AN65" s="55" t="str">
        <f>[1]!OBMAKE(AN$15&amp;"-"&amp;ROW(),"String",D65)</f>
        <v>symbol-65 
[11832]</v>
      </c>
      <c r="AO65" s="55" t="str">
        <f>[1]!OBMAKE(AO$15&amp;"-"&amp;ROW(),"String",E65)</f>
        <v>type-65 
[11246]</v>
      </c>
      <c r="AP65" s="55" t="str">
        <f>[1]!OBCALL(AP$15&amp;"-"&amp;ROW(),obLibs&amp;"net.finmath.time.ScheduleGenerator","createScheduleFromConventions",$H$8,$AG65,$AH65:$AI65,[1]!OBMAKE("","String",$J65),[1]!OBMAKE("","String",$K65),$H$9,[1]!OBMAKE("","String",$L65),$H$10,[1]!OBMAKE("","int",$M65),[1]!OBMAKE("","int",$N65))</f>
        <v>tenor rec-65 
[14019]</v>
      </c>
      <c r="AQ65" s="55" t="str">
        <f>[1]!OBMAKE(AQ$15&amp;"-"&amp;ROW(),"String",O65)</f>
        <v>forward rec-65 
[11424]</v>
      </c>
      <c r="AR65" s="55" t="str">
        <f>[1]!OBMAKE(AR$15&amp;"-"&amp;ROW(),"double",P65)</f>
        <v>spread rec-65 
[11864]</v>
      </c>
      <c r="AS65" s="55" t="str">
        <f>[1]!OBMAKE(AS$15&amp;"-"&amp;ROW(),"String",Q65)</f>
        <v>discount rec-65 
[11449]</v>
      </c>
      <c r="AT65" s="55" t="str">
        <f>[1]!OBCALL(AT$15&amp;"-"&amp;ROW(),obLibs&amp;"net.finmath.time.ScheduleGenerator","createScheduleFromConventions",$H$8,$AG65,$AK65:$AL65,[1]!OBMAKE("","String",$U65),[1]!OBMAKE("","String",$V65),$H$9,[1]!OBMAKE("","String",$L65),$H$10,[1]!OBMAKE("","int",$X65),[1]!OBMAKE("","int",$Y65))</f>
        <v>tenor pay-65 
[13905]</v>
      </c>
      <c r="AU65" s="55" t="str">
        <f>[1]!OBMAKE(AU$15&amp;"-"&amp;ROW(),"String",Z65)</f>
        <v>forward pay-65 
[11946]</v>
      </c>
      <c r="AV65" s="55" t="str">
        <f>[1]!OBMAKE(AV$15&amp;"-"&amp;ROW(),"double",AA65)</f>
        <v>spread pay-65 
[11440]</v>
      </c>
      <c r="AW65" s="55" t="str">
        <f>[1]!OBMAKE(AW$15&amp;"-"&amp;ROW(),"String",AB65)</f>
        <v>disocunt pay-65 
[11031]</v>
      </c>
      <c r="AX65" s="55" t="str">
        <f>[1]!OBMAKE(AX$15&amp;"-"&amp;ROW(),"String",AD65)</f>
        <v>calibration curve-65 
[12361]</v>
      </c>
      <c r="AY65" s="55" t="str">
        <f>[1]!OBMAKE(AY$15&amp;"-"&amp;ROW(),"double",AE65)</f>
        <v>calibration time-65 
[14248]</v>
      </c>
      <c r="JJ65" s="14"/>
      <c r="JK65" s="14"/>
      <c r="JL65" s="14"/>
      <c r="JM65" s="14"/>
      <c r="JN65" s="14"/>
      <c r="JO65" s="14"/>
    </row>
    <row r="66" spans="1:275" ht="13.2" customHeight="1" x14ac:dyDescent="0.25">
      <c r="A66" s="48" t="str">
        <f t="shared" si="4"/>
        <v>forward-EUR-3M-8Y</v>
      </c>
      <c r="B66" s="49" t="str">
        <f>[1]!OBMAKE("calibItem-"&amp;ROW(),obLibs&amp;"net.finmath.marketdata.calibration.CalibratedCurves$CalibrationSpec",AN66:AY66)</f>
        <v>calibItem-66 
[15016]</v>
      </c>
      <c r="C66" s="49">
        <f>[1]!OBGET([1]!OBCALL("",[1]!OBCALL("",$B$11,"getCalibrationProductForSpec",B66),"getValue",[1]!OBCALL("",$B$11,"getModel")))</f>
        <v>-1.7165158183729545E-12</v>
      </c>
      <c r="D66" s="14" t="str">
        <f t="shared" si="7"/>
        <v>forward-EUR-3M-8Y</v>
      </c>
      <c r="E66" s="14" t="s">
        <v>125</v>
      </c>
      <c r="F66" s="40">
        <v>2</v>
      </c>
      <c r="H66" s="40" t="s">
        <v>105</v>
      </c>
      <c r="I66" s="40" t="s">
        <v>136</v>
      </c>
      <c r="J66" s="40" t="s">
        <v>149</v>
      </c>
      <c r="K66" s="40" t="s">
        <v>108</v>
      </c>
      <c r="L66" s="40" t="s">
        <v>109</v>
      </c>
      <c r="M66" s="40">
        <v>0</v>
      </c>
      <c r="N66" s="40">
        <v>0</v>
      </c>
      <c r="O66" s="33" t="s">
        <v>40</v>
      </c>
      <c r="P66" s="40">
        <v>0</v>
      </c>
      <c r="Q66" s="33" t="s">
        <v>38</v>
      </c>
      <c r="S66" s="40" t="s">
        <v>105</v>
      </c>
      <c r="T66" s="40" t="str">
        <f t="shared" si="8"/>
        <v>8Y</v>
      </c>
      <c r="U66" s="40" t="s">
        <v>110</v>
      </c>
      <c r="V66" s="40" t="s">
        <v>150</v>
      </c>
      <c r="W66" s="40" t="s">
        <v>109</v>
      </c>
      <c r="X66" s="40">
        <v>0</v>
      </c>
      <c r="Y66" s="40">
        <v>0</v>
      </c>
      <c r="Z66" s="33" t="str">
        <f>""</f>
        <v/>
      </c>
      <c r="AA66" s="51">
        <v>1.316E-2</v>
      </c>
      <c r="AB66" s="33" t="s">
        <v>38</v>
      </c>
      <c r="AC66" s="53"/>
      <c r="AD66" s="33" t="str">
        <f t="shared" si="6"/>
        <v>forward-EUR-3M</v>
      </c>
      <c r="AE66" s="54">
        <f>[1]!OBGET([1]!OBCALL("",AP66,IF(OR(AD66=Q66,AD66=AB66),"getPayment","getFixing"),[1]!OBMAKE("","int",[1]!OBGET([1]!OBCALL("",AP66,"getNumberOfPeriods"))-1)))</f>
        <v>7.7643835616438359</v>
      </c>
      <c r="AG66" s="55" t="str">
        <f>[1]!OBMAKE(AG$15&amp;"-"&amp;ROW(),"int",$F66)</f>
        <v>spot date-66 
[11266]</v>
      </c>
      <c r="AH66" s="55" t="str">
        <f>[1]!OBMAKE(AH$15&amp;"-"&amp;ROW(),"String",$H66)</f>
        <v>start offset rec-66 
[12142]</v>
      </c>
      <c r="AI66" s="55" t="str">
        <f>[1]!OBMAKE(AI$15&amp;"-"&amp;ROW(),"String",$I66)</f>
        <v>maturity rec-66 
[11639]</v>
      </c>
      <c r="AK66" s="55" t="str">
        <f>[1]!OBMAKE(AK$15&amp;"-"&amp;ROW(),"String",$S66)</f>
        <v>start offset pay-66 
[11897]</v>
      </c>
      <c r="AL66" s="55" t="str">
        <f>[1]!OBMAKE(AL$15&amp;"-"&amp;ROW(),"String",$T66)</f>
        <v>maturity pay-66 
[10826]</v>
      </c>
      <c r="AN66" s="55" t="str">
        <f>[1]!OBMAKE(AN$15&amp;"-"&amp;ROW(),"String",D66)</f>
        <v>symbol-66 
[11500]</v>
      </c>
      <c r="AO66" s="55" t="str">
        <f>[1]!OBMAKE(AO$15&amp;"-"&amp;ROW(),"String",E66)</f>
        <v>type-66 
[11160]</v>
      </c>
      <c r="AP66" s="55" t="str">
        <f>[1]!OBCALL(AP$15&amp;"-"&amp;ROW(),obLibs&amp;"net.finmath.time.ScheduleGenerator","createScheduleFromConventions",$H$8,$AG66,$AH66:$AI66,[1]!OBMAKE("","String",$J66),[1]!OBMAKE("","String",$K66),$H$9,[1]!OBMAKE("","String",$L66),$H$10,[1]!OBMAKE("","int",$M66),[1]!OBMAKE("","int",$N66))</f>
        <v>tenor rec-66 
[13707]</v>
      </c>
      <c r="AQ66" s="55" t="str">
        <f>[1]!OBMAKE(AQ$15&amp;"-"&amp;ROW(),"String",O66)</f>
        <v>forward rec-66 
[12283]</v>
      </c>
      <c r="AR66" s="55" t="str">
        <f>[1]!OBMAKE(AR$15&amp;"-"&amp;ROW(),"double",P66)</f>
        <v>spread rec-66 
[12349]</v>
      </c>
      <c r="AS66" s="55" t="str">
        <f>[1]!OBMAKE(AS$15&amp;"-"&amp;ROW(),"String",Q66)</f>
        <v>discount rec-66 
[11261]</v>
      </c>
      <c r="AT66" s="55" t="str">
        <f>[1]!OBCALL(AT$15&amp;"-"&amp;ROW(),obLibs&amp;"net.finmath.time.ScheduleGenerator","createScheduleFromConventions",$H$8,$AG66,$AK66:$AL66,[1]!OBMAKE("","String",$U66),[1]!OBMAKE("","String",$V66),$H$9,[1]!OBMAKE("","String",$L66),$H$10,[1]!OBMAKE("","int",$X66),[1]!OBMAKE("","int",$Y66))</f>
        <v>tenor pay-66 
[13150]</v>
      </c>
      <c r="AU66" s="55" t="str">
        <f>[1]!OBMAKE(AU$15&amp;"-"&amp;ROW(),"String",Z66)</f>
        <v>forward pay-66 
[11602]</v>
      </c>
      <c r="AV66" s="55" t="str">
        <f>[1]!OBMAKE(AV$15&amp;"-"&amp;ROW(),"double",AA66)</f>
        <v>spread pay-66 
[12277]</v>
      </c>
      <c r="AW66" s="55" t="str">
        <f>[1]!OBMAKE(AW$15&amp;"-"&amp;ROW(),"String",AB66)</f>
        <v>disocunt pay-66 
[10963]</v>
      </c>
      <c r="AX66" s="55" t="str">
        <f>[1]!OBMAKE(AX$15&amp;"-"&amp;ROW(),"String",AD66)</f>
        <v>calibration curve-66 
[11800]</v>
      </c>
      <c r="AY66" s="55" t="str">
        <f>[1]!OBMAKE(AY$15&amp;"-"&amp;ROW(),"double",AE66)</f>
        <v>calibration time-66 
[14228]</v>
      </c>
      <c r="JJ66" s="14"/>
      <c r="JK66" s="14"/>
      <c r="JL66" s="14"/>
      <c r="JM66" s="14"/>
      <c r="JN66" s="14"/>
      <c r="JO66" s="14"/>
    </row>
    <row r="67" spans="1:275" ht="13.2" customHeight="1" x14ac:dyDescent="0.25">
      <c r="A67" s="48" t="str">
        <f t="shared" si="4"/>
        <v>forward-EUR-3M-9Y</v>
      </c>
      <c r="B67" s="49" t="str">
        <f>[1]!OBMAKE("calibItem-"&amp;ROW(),obLibs&amp;"net.finmath.marketdata.calibration.CalibratedCurves$CalibrationSpec",AN67:AY67)</f>
        <v>calibItem-67 
[14995]</v>
      </c>
      <c r="C67" s="49">
        <f>[1]!OBGET([1]!OBCALL("",[1]!OBCALL("",$B$11,"getCalibrationProductForSpec",B67),"getValue",[1]!OBCALL("",$B$11,"getModel")))</f>
        <v>2.8940183582903956E-12</v>
      </c>
      <c r="D67" s="14" t="str">
        <f t="shared" si="7"/>
        <v>forward-EUR-3M-9Y</v>
      </c>
      <c r="E67" s="14" t="s">
        <v>125</v>
      </c>
      <c r="F67" s="40">
        <v>2</v>
      </c>
      <c r="H67" s="40" t="s">
        <v>105</v>
      </c>
      <c r="I67" s="40" t="s">
        <v>137</v>
      </c>
      <c r="J67" s="40" t="s">
        <v>149</v>
      </c>
      <c r="K67" s="40" t="s">
        <v>108</v>
      </c>
      <c r="L67" s="40" t="s">
        <v>109</v>
      </c>
      <c r="M67" s="40">
        <v>0</v>
      </c>
      <c r="N67" s="40">
        <v>0</v>
      </c>
      <c r="O67" s="33" t="s">
        <v>40</v>
      </c>
      <c r="P67" s="40">
        <v>0</v>
      </c>
      <c r="Q67" s="33" t="s">
        <v>38</v>
      </c>
      <c r="S67" s="40" t="s">
        <v>105</v>
      </c>
      <c r="T67" s="40" t="str">
        <f t="shared" si="8"/>
        <v>9Y</v>
      </c>
      <c r="U67" s="40" t="s">
        <v>110</v>
      </c>
      <c r="V67" s="40" t="s">
        <v>150</v>
      </c>
      <c r="W67" s="40" t="s">
        <v>109</v>
      </c>
      <c r="X67" s="40">
        <v>0</v>
      </c>
      <c r="Y67" s="40">
        <v>0</v>
      </c>
      <c r="Z67" s="33" t="str">
        <f>""</f>
        <v/>
      </c>
      <c r="AA67" s="51">
        <v>1.4420000000000001E-2</v>
      </c>
      <c r="AB67" s="33" t="s">
        <v>38</v>
      </c>
      <c r="AC67" s="53"/>
      <c r="AD67" s="33" t="str">
        <f t="shared" si="6"/>
        <v>forward-EUR-3M</v>
      </c>
      <c r="AE67" s="54">
        <f>[1]!OBGET([1]!OBCALL("",AP67,IF(OR(AD67=Q67,AD67=AB67),"getPayment","getFixing"),[1]!OBMAKE("","int",[1]!OBGET([1]!OBCALL("",AP67,"getNumberOfPeriods"))-1)))</f>
        <v>8.7616438356164377</v>
      </c>
      <c r="AG67" s="55" t="str">
        <f>[1]!OBMAKE(AG$15&amp;"-"&amp;ROW(),"int",$F67)</f>
        <v>spot date-67 
[11965]</v>
      </c>
      <c r="AH67" s="55" t="str">
        <f>[1]!OBMAKE(AH$15&amp;"-"&amp;ROW(),"String",$H67)</f>
        <v>start offset rec-67 
[11430]</v>
      </c>
      <c r="AI67" s="55" t="str">
        <f>[1]!OBMAKE(AI$15&amp;"-"&amp;ROW(),"String",$I67)</f>
        <v>maturity rec-67 
[11487]</v>
      </c>
      <c r="AK67" s="55" t="str">
        <f>[1]!OBMAKE(AK$15&amp;"-"&amp;ROW(),"String",$S67)</f>
        <v>start offset pay-67 
[12315]</v>
      </c>
      <c r="AL67" s="55" t="str">
        <f>[1]!OBMAKE(AL$15&amp;"-"&amp;ROW(),"String",$T67)</f>
        <v>maturity pay-67 
[11587]</v>
      </c>
      <c r="AN67" s="55" t="str">
        <f>[1]!OBMAKE(AN$15&amp;"-"&amp;ROW(),"String",D67)</f>
        <v>symbol-67 
[11528]</v>
      </c>
      <c r="AO67" s="55" t="str">
        <f>[1]!OBMAKE(AO$15&amp;"-"&amp;ROW(),"String",E67)</f>
        <v>type-67 
[11055]</v>
      </c>
      <c r="AP67" s="55" t="str">
        <f>[1]!OBCALL(AP$15&amp;"-"&amp;ROW(),obLibs&amp;"net.finmath.time.ScheduleGenerator","createScheduleFromConventions",$H$8,$AG67,$AH67:$AI67,[1]!OBMAKE("","String",$J67),[1]!OBMAKE("","String",$K67),$H$9,[1]!OBMAKE("","String",$L67),$H$10,[1]!OBMAKE("","int",$M67),[1]!OBMAKE("","int",$N67))</f>
        <v>tenor rec-67 
[14401]</v>
      </c>
      <c r="AQ67" s="55" t="str">
        <f>[1]!OBMAKE(AQ$15&amp;"-"&amp;ROW(),"String",O67)</f>
        <v>forward rec-67 
[11296]</v>
      </c>
      <c r="AR67" s="55" t="str">
        <f>[1]!OBMAKE(AR$15&amp;"-"&amp;ROW(),"double",P67)</f>
        <v>spread rec-67 
[11620]</v>
      </c>
      <c r="AS67" s="55" t="str">
        <f>[1]!OBMAKE(AS$15&amp;"-"&amp;ROW(),"String",Q67)</f>
        <v>discount rec-67 
[11321]</v>
      </c>
      <c r="AT67" s="55" t="str">
        <f>[1]!OBCALL(AT$15&amp;"-"&amp;ROW(),obLibs&amp;"net.finmath.time.ScheduleGenerator","createScheduleFromConventions",$H$8,$AG67,$AK67:$AL67,[1]!OBMAKE("","String",$U67),[1]!OBMAKE("","String",$V67),$H$9,[1]!OBMAKE("","String",$L67),$H$10,[1]!OBMAKE("","int",$X67),[1]!OBMAKE("","int",$Y67))</f>
        <v>tenor pay-67 
[14050]</v>
      </c>
      <c r="AU67" s="55" t="str">
        <f>[1]!OBMAKE(AU$15&amp;"-"&amp;ROW(),"String",Z67)</f>
        <v>forward pay-67 
[11173]</v>
      </c>
      <c r="AV67" s="55" t="str">
        <f>[1]!OBMAKE(AV$15&amp;"-"&amp;ROW(),"double",AA67)</f>
        <v>spread pay-67 
[12103]</v>
      </c>
      <c r="AW67" s="55" t="str">
        <f>[1]!OBMAKE(AW$15&amp;"-"&amp;ROW(),"String",AB67)</f>
        <v>disocunt pay-67 
[11685]</v>
      </c>
      <c r="AX67" s="55" t="str">
        <f>[1]!OBMAKE(AX$15&amp;"-"&amp;ROW(),"String",AD67)</f>
        <v>calibration curve-67 
[12225]</v>
      </c>
      <c r="AY67" s="55" t="str">
        <f>[1]!OBMAKE(AY$15&amp;"-"&amp;ROW(),"double",AE67)</f>
        <v>calibration time-67 
[14405]</v>
      </c>
      <c r="JJ67" s="14"/>
      <c r="JK67" s="14"/>
      <c r="JL67" s="14"/>
      <c r="JM67" s="14"/>
      <c r="JN67" s="14"/>
      <c r="JO67" s="14"/>
    </row>
    <row r="68" spans="1:275" ht="13.2" customHeight="1" x14ac:dyDescent="0.25">
      <c r="A68" s="48" t="str">
        <f t="shared" si="4"/>
        <v>forward-EUR-3M-10Y</v>
      </c>
      <c r="B68" s="49" t="str">
        <f>[1]!OBMAKE("calibItem-"&amp;ROW(),obLibs&amp;"net.finmath.marketdata.calibration.CalibratedCurves$CalibrationSpec",AN68:AY68)</f>
        <v>calibItem-68 
[14908]</v>
      </c>
      <c r="C68" s="49">
        <f>[1]!OBGET([1]!OBCALL("",[1]!OBCALL("",$B$11,"getCalibrationProductForSpec",B68),"getValue",[1]!OBCALL("",$B$11,"getModel")))</f>
        <v>-3.1131763833514015E-12</v>
      </c>
      <c r="D68" s="14" t="str">
        <f t="shared" si="7"/>
        <v>forward-EUR-3M-10Y</v>
      </c>
      <c r="E68" s="14" t="s">
        <v>125</v>
      </c>
      <c r="F68" s="40">
        <v>2</v>
      </c>
      <c r="H68" s="40" t="s">
        <v>105</v>
      </c>
      <c r="I68" s="40" t="s">
        <v>138</v>
      </c>
      <c r="J68" s="40" t="s">
        <v>149</v>
      </c>
      <c r="K68" s="40" t="s">
        <v>108</v>
      </c>
      <c r="L68" s="40" t="s">
        <v>109</v>
      </c>
      <c r="M68" s="40">
        <v>0</v>
      </c>
      <c r="N68" s="40">
        <v>0</v>
      </c>
      <c r="O68" s="33" t="s">
        <v>40</v>
      </c>
      <c r="P68" s="40">
        <v>0</v>
      </c>
      <c r="Q68" s="33" t="s">
        <v>38</v>
      </c>
      <c r="S68" s="40" t="s">
        <v>105</v>
      </c>
      <c r="T68" s="40" t="str">
        <f t="shared" si="8"/>
        <v>10Y</v>
      </c>
      <c r="U68" s="40" t="s">
        <v>110</v>
      </c>
      <c r="V68" s="40" t="s">
        <v>150</v>
      </c>
      <c r="W68" s="40" t="s">
        <v>109</v>
      </c>
      <c r="X68" s="40">
        <v>0</v>
      </c>
      <c r="Y68" s="40">
        <v>0</v>
      </c>
      <c r="Z68" s="33" t="str">
        <f>""</f>
        <v/>
      </c>
      <c r="AA68" s="51">
        <f>0.01557</f>
        <v>1.5570000000000001E-2</v>
      </c>
      <c r="AB68" s="33" t="s">
        <v>38</v>
      </c>
      <c r="AC68" s="53"/>
      <c r="AD68" s="33" t="str">
        <f t="shared" si="6"/>
        <v>forward-EUR-3M</v>
      </c>
      <c r="AE68" s="54">
        <f>[1]!OBGET([1]!OBCALL("",AP68,IF(OR(AD68=Q68,AD68=AB68),"getPayment","getFixing"),[1]!OBMAKE("","int",[1]!OBGET([1]!OBCALL("",AP68,"getNumberOfPeriods"))-1)))</f>
        <v>9.7616438356164377</v>
      </c>
      <c r="AG68" s="55" t="str">
        <f>[1]!OBMAKE(AG$15&amp;"-"&amp;ROW(),"int",$F68)</f>
        <v>spot date-68 
[11192]</v>
      </c>
      <c r="AH68" s="55" t="str">
        <f>[1]!OBMAKE(AH$15&amp;"-"&amp;ROW(),"String",$H68)</f>
        <v>start offset rec-68 
[12137]</v>
      </c>
      <c r="AI68" s="55" t="str">
        <f>[1]!OBMAKE(AI$15&amp;"-"&amp;ROW(),"String",$I68)</f>
        <v>maturity rec-68 
[11417]</v>
      </c>
      <c r="AK68" s="55" t="str">
        <f>[1]!OBMAKE(AK$15&amp;"-"&amp;ROW(),"String",$S68)</f>
        <v>start offset pay-68 
[10798]</v>
      </c>
      <c r="AL68" s="55" t="str">
        <f>[1]!OBMAKE(AL$15&amp;"-"&amp;ROW(),"String",$T68)</f>
        <v>maturity pay-68 
[11143]</v>
      </c>
      <c r="AN68" s="55" t="str">
        <f>[1]!OBMAKE(AN$15&amp;"-"&amp;ROW(),"String",D68)</f>
        <v>symbol-68 
[12303]</v>
      </c>
      <c r="AO68" s="55" t="str">
        <f>[1]!OBMAKE(AO$15&amp;"-"&amp;ROW(),"String",E68)</f>
        <v>type-68 
[11688]</v>
      </c>
      <c r="AP68" s="55" t="str">
        <f>[1]!OBCALL(AP$15&amp;"-"&amp;ROW(),obLibs&amp;"net.finmath.time.ScheduleGenerator","createScheduleFromConventions",$H$8,$AG68,$AH68:$AI68,[1]!OBMAKE("","String",$J68),[1]!OBMAKE("","String",$K68),$H$9,[1]!OBMAKE("","String",$L68),$H$10,[1]!OBMAKE("","int",$M68),[1]!OBMAKE("","int",$N68))</f>
        <v>tenor rec-68 
[13558]</v>
      </c>
      <c r="AQ68" s="55" t="str">
        <f>[1]!OBMAKE(AQ$15&amp;"-"&amp;ROW(),"String",O68)</f>
        <v>forward rec-68 
[11889]</v>
      </c>
      <c r="AR68" s="55" t="str">
        <f>[1]!OBMAKE(AR$15&amp;"-"&amp;ROW(),"double",P68)</f>
        <v>spread rec-68 
[12259]</v>
      </c>
      <c r="AS68" s="55" t="str">
        <f>[1]!OBMAKE(AS$15&amp;"-"&amp;ROW(),"String",Q68)</f>
        <v>discount rec-68 
[11948]</v>
      </c>
      <c r="AT68" s="55" t="str">
        <f>[1]!OBCALL(AT$15&amp;"-"&amp;ROW(),obLibs&amp;"net.finmath.time.ScheduleGenerator","createScheduleFromConventions",$H$8,$AG68,$AK68:$AL68,[1]!OBMAKE("","String",$U68),[1]!OBMAKE("","String",$V68),$H$9,[1]!OBMAKE("","String",$L68),$H$10,[1]!OBMAKE("","int",$X68),[1]!OBMAKE("","int",$Y68))</f>
        <v>tenor pay-68 
[14044]</v>
      </c>
      <c r="AU68" s="55" t="str">
        <f>[1]!OBMAKE(AU$15&amp;"-"&amp;ROW(),"String",Z68)</f>
        <v>forward pay-68 
[11068]</v>
      </c>
      <c r="AV68" s="55" t="str">
        <f>[1]!OBMAKE(AV$15&amp;"-"&amp;ROW(),"double",AA68)</f>
        <v>spread pay-68 
[11741]</v>
      </c>
      <c r="AW68" s="55" t="str">
        <f>[1]!OBMAKE(AW$15&amp;"-"&amp;ROW(),"String",AB68)</f>
        <v>disocunt pay-68 
[10812]</v>
      </c>
      <c r="AX68" s="55" t="str">
        <f>[1]!OBMAKE(AX$15&amp;"-"&amp;ROW(),"String",AD68)</f>
        <v>calibration curve-68 
[10953]</v>
      </c>
      <c r="AY68" s="55" t="str">
        <f>[1]!OBMAKE(AY$15&amp;"-"&amp;ROW(),"double",AE68)</f>
        <v>calibration time-68 
[13562]</v>
      </c>
      <c r="JJ68" s="14"/>
      <c r="JK68" s="14"/>
      <c r="JL68" s="14"/>
      <c r="JM68" s="14"/>
      <c r="JN68" s="14"/>
      <c r="JO68" s="14"/>
    </row>
    <row r="69" spans="1:275" ht="13.2" customHeight="1" x14ac:dyDescent="0.25">
      <c r="A69" s="48" t="str">
        <f t="shared" si="4"/>
        <v>forward-EUR-3M-12Y</v>
      </c>
      <c r="B69" s="49" t="str">
        <f>[1]!OBMAKE("calibItem-"&amp;ROW(),obLibs&amp;"net.finmath.marketdata.calibration.CalibratedCurves$CalibrationSpec",AN69:AY69)</f>
        <v>calibItem-69 
[14991]</v>
      </c>
      <c r="C69" s="49">
        <f>[1]!OBGET([1]!OBCALL("",[1]!OBCALL("",$B$11,"getCalibrationProductForSpec",B69),"getValue",[1]!OBCALL("",$B$11,"getModel")))</f>
        <v>2.2466473126314668E-12</v>
      </c>
      <c r="D69" s="14" t="str">
        <f t="shared" si="7"/>
        <v>forward-EUR-3M-12Y</v>
      </c>
      <c r="E69" s="14" t="s">
        <v>125</v>
      </c>
      <c r="F69" s="40">
        <v>2</v>
      </c>
      <c r="H69" s="40" t="s">
        <v>105</v>
      </c>
      <c r="I69" s="40" t="s">
        <v>140</v>
      </c>
      <c r="J69" s="40" t="s">
        <v>149</v>
      </c>
      <c r="K69" s="40" t="s">
        <v>108</v>
      </c>
      <c r="L69" s="40" t="s">
        <v>109</v>
      </c>
      <c r="M69" s="40">
        <v>0</v>
      </c>
      <c r="N69" s="40">
        <v>0</v>
      </c>
      <c r="O69" s="33" t="s">
        <v>40</v>
      </c>
      <c r="P69" s="40">
        <v>0</v>
      </c>
      <c r="Q69" s="33" t="s">
        <v>38</v>
      </c>
      <c r="S69" s="40" t="s">
        <v>105</v>
      </c>
      <c r="T69" s="40" t="str">
        <f t="shared" si="8"/>
        <v>12Y</v>
      </c>
      <c r="U69" s="40" t="s">
        <v>110</v>
      </c>
      <c r="V69" s="40" t="s">
        <v>150</v>
      </c>
      <c r="W69" s="40" t="s">
        <v>109</v>
      </c>
      <c r="X69" s="40">
        <v>0</v>
      </c>
      <c r="Y69" s="40">
        <v>0</v>
      </c>
      <c r="Z69" s="33" t="str">
        <f>""</f>
        <v/>
      </c>
      <c r="AA69" s="51">
        <v>1.7520000000000001E-2</v>
      </c>
      <c r="AB69" s="33" t="s">
        <v>38</v>
      </c>
      <c r="AC69" s="53"/>
      <c r="AD69" s="33" t="str">
        <f t="shared" si="6"/>
        <v>forward-EUR-3M</v>
      </c>
      <c r="AE69" s="54">
        <f>[1]!OBGET([1]!OBCALL("",AP69,IF(OR(AD69=Q69,AD69=AB69),"getPayment","getFixing"),[1]!OBMAKE("","int",[1]!OBGET([1]!OBCALL("",AP69,"getNumberOfPeriods"))-1)))</f>
        <v>11.761643835616438</v>
      </c>
      <c r="AG69" s="55" t="str">
        <f>[1]!OBMAKE(AG$15&amp;"-"&amp;ROW(),"int",$F69)</f>
        <v>spot date-69 
[12276]</v>
      </c>
      <c r="AH69" s="55" t="str">
        <f>[1]!OBMAKE(AH$15&amp;"-"&amp;ROW(),"String",$H69)</f>
        <v>start offset rec-69 
[12139]</v>
      </c>
      <c r="AI69" s="55" t="str">
        <f>[1]!OBMAKE(AI$15&amp;"-"&amp;ROW(),"String",$I69)</f>
        <v>maturity rec-69 
[12119]</v>
      </c>
      <c r="AK69" s="55" t="str">
        <f>[1]!OBMAKE(AK$15&amp;"-"&amp;ROW(),"String",$S69)</f>
        <v>start offset pay-69 
[11482]</v>
      </c>
      <c r="AL69" s="55" t="str">
        <f>[1]!OBMAKE(AL$15&amp;"-"&amp;ROW(),"String",$T69)</f>
        <v>maturity pay-69 
[11038]</v>
      </c>
      <c r="AN69" s="55" t="str">
        <f>[1]!OBMAKE(AN$15&amp;"-"&amp;ROW(),"String",D69)</f>
        <v>symbol-69 
[12067]</v>
      </c>
      <c r="AO69" s="55" t="str">
        <f>[1]!OBMAKE(AO$15&amp;"-"&amp;ROW(),"String",E69)</f>
        <v>type-69 
[11595]</v>
      </c>
      <c r="AP69" s="55" t="str">
        <f>[1]!OBCALL(AP$15&amp;"-"&amp;ROW(),obLibs&amp;"net.finmath.time.ScheduleGenerator","createScheduleFromConventions",$H$8,$AG69,$AH69:$AI69,[1]!OBMAKE("","String",$J69),[1]!OBMAKE("","String",$K69),$H$9,[1]!OBMAKE("","String",$L69),$H$10,[1]!OBMAKE("","int",$M69),[1]!OBMAKE("","int",$N69))</f>
        <v>tenor rec-69 
[14718]</v>
      </c>
      <c r="AQ69" s="55" t="str">
        <f>[1]!OBMAKE(AQ$15&amp;"-"&amp;ROW(),"String",O69)</f>
        <v>forward rec-69 
[12274]</v>
      </c>
      <c r="AR69" s="55" t="str">
        <f>[1]!OBMAKE(AR$15&amp;"-"&amp;ROW(),"double",P69)</f>
        <v>spread rec-69 
[11877]</v>
      </c>
      <c r="AS69" s="55" t="str">
        <f>[1]!OBMAKE(AS$15&amp;"-"&amp;ROW(),"String",Q69)</f>
        <v>discount rec-69 
[11963]</v>
      </c>
      <c r="AT69" s="55" t="str">
        <f>[1]!OBCALL(AT$15&amp;"-"&amp;ROW(),obLibs&amp;"net.finmath.time.ScheduleGenerator","createScheduleFromConventions",$H$8,$AG69,$AK69:$AL69,[1]!OBMAKE("","String",$U69),[1]!OBMAKE("","String",$V69),$H$9,[1]!OBMAKE("","String",$L69),$H$10,[1]!OBMAKE("","int",$X69),[1]!OBMAKE("","int",$Y69))</f>
        <v>tenor pay-69 
[14728]</v>
      </c>
      <c r="AU69" s="55" t="str">
        <f>[1]!OBMAKE(AU$15&amp;"-"&amp;ROW(),"String",Z69)</f>
        <v>forward pay-69 
[11380]</v>
      </c>
      <c r="AV69" s="55" t="str">
        <f>[1]!OBMAKE(AV$15&amp;"-"&amp;ROW(),"double",AA69)</f>
        <v>spread pay-69 
[12306]</v>
      </c>
      <c r="AW69" s="55" t="str">
        <f>[1]!OBMAKE(AW$15&amp;"-"&amp;ROW(),"String",AB69)</f>
        <v>disocunt pay-69 
[11583]</v>
      </c>
      <c r="AX69" s="55" t="str">
        <f>[1]!OBMAKE(AX$15&amp;"-"&amp;ROW(),"String",AD69)</f>
        <v>calibration curve-69 
[10990]</v>
      </c>
      <c r="AY69" s="55" t="str">
        <f>[1]!OBMAKE(AY$15&amp;"-"&amp;ROW(),"double",AE69)</f>
        <v>calibration time-69 
[14722]</v>
      </c>
      <c r="JJ69" s="14"/>
      <c r="JK69" s="14"/>
      <c r="JL69" s="14"/>
      <c r="JM69" s="14"/>
      <c r="JN69" s="14"/>
      <c r="JO69" s="14"/>
    </row>
    <row r="70" spans="1:275" ht="13.2" customHeight="1" x14ac:dyDescent="0.25">
      <c r="A70" s="48" t="str">
        <f t="shared" si="4"/>
        <v>forward-EUR-3M-15Y</v>
      </c>
      <c r="B70" s="49" t="str">
        <f>[1]!OBMAKE("calibItem-"&amp;ROW(),obLibs&amp;"net.finmath.marketdata.calibration.CalibratedCurves$CalibrationSpec",AN70:AY70)</f>
        <v>calibItem-70 
[14985]</v>
      </c>
      <c r="C70" s="49">
        <f>[1]!OBGET([1]!OBCALL("",[1]!OBCALL("",$B$11,"getCalibrationProductForSpec",B70),"getValue",[1]!OBCALL("",$B$11,"getModel")))</f>
        <v>-1.4669376824372193E-12</v>
      </c>
      <c r="D70" s="14" t="str">
        <f t="shared" si="7"/>
        <v>forward-EUR-3M-15Y</v>
      </c>
      <c r="E70" s="14" t="s">
        <v>125</v>
      </c>
      <c r="F70" s="40">
        <v>2</v>
      </c>
      <c r="H70" s="40" t="s">
        <v>105</v>
      </c>
      <c r="I70" s="40" t="s">
        <v>141</v>
      </c>
      <c r="J70" s="40" t="s">
        <v>149</v>
      </c>
      <c r="K70" s="40" t="s">
        <v>108</v>
      </c>
      <c r="L70" s="40" t="s">
        <v>109</v>
      </c>
      <c r="M70" s="40">
        <v>0</v>
      </c>
      <c r="N70" s="40">
        <v>0</v>
      </c>
      <c r="O70" s="33" t="s">
        <v>40</v>
      </c>
      <c r="P70" s="40">
        <v>0</v>
      </c>
      <c r="Q70" s="33" t="s">
        <v>38</v>
      </c>
      <c r="S70" s="40" t="s">
        <v>105</v>
      </c>
      <c r="T70" s="40" t="str">
        <f t="shared" si="8"/>
        <v>15Y</v>
      </c>
      <c r="U70" s="40" t="s">
        <v>110</v>
      </c>
      <c r="V70" s="40" t="s">
        <v>150</v>
      </c>
      <c r="W70" s="40" t="s">
        <v>109</v>
      </c>
      <c r="X70" s="40">
        <v>0</v>
      </c>
      <c r="Y70" s="40">
        <v>0</v>
      </c>
      <c r="Z70" s="33" t="str">
        <f>""</f>
        <v/>
      </c>
      <c r="AA70" s="51">
        <v>1.942E-2</v>
      </c>
      <c r="AB70" s="33" t="s">
        <v>38</v>
      </c>
      <c r="AC70" s="53"/>
      <c r="AD70" s="33" t="str">
        <f t="shared" si="6"/>
        <v>forward-EUR-3M</v>
      </c>
      <c r="AE70" s="54">
        <f>[1]!OBGET([1]!OBCALL("",AP70,IF(OR(AD70=Q70,AD70=AB70),"getPayment","getFixing"),[1]!OBMAKE("","int",[1]!OBGET([1]!OBCALL("",AP70,"getNumberOfPeriods"))-1)))</f>
        <v>14.764383561643836</v>
      </c>
      <c r="AG70" s="55" t="str">
        <f>[1]!OBMAKE(AG$15&amp;"-"&amp;ROW(),"int",$F70)</f>
        <v>spot date-70 
[11693]</v>
      </c>
      <c r="AH70" s="55" t="str">
        <f>[1]!OBMAKE(AH$15&amp;"-"&amp;ROW(),"String",$H70)</f>
        <v>start offset rec-70 
[11752]</v>
      </c>
      <c r="AI70" s="55" t="str">
        <f>[1]!OBMAKE(AI$15&amp;"-"&amp;ROW(),"String",$I70)</f>
        <v>maturity rec-70 
[11289]</v>
      </c>
      <c r="AK70" s="55" t="str">
        <f>[1]!OBMAKE(AK$15&amp;"-"&amp;ROW(),"String",$S70)</f>
        <v>start offset pay-70 
[11230]</v>
      </c>
      <c r="AL70" s="55" t="str">
        <f>[1]!OBMAKE(AL$15&amp;"-"&amp;ROW(),"String",$T70)</f>
        <v>maturity pay-70 
[10825]</v>
      </c>
      <c r="AN70" s="55" t="str">
        <f>[1]!OBMAKE(AN$15&amp;"-"&amp;ROW(),"String",D70)</f>
        <v>symbol-70 
[11302]</v>
      </c>
      <c r="AO70" s="55" t="str">
        <f>[1]!OBMAKE(AO$15&amp;"-"&amp;ROW(),"String",E70)</f>
        <v>type-70 
[11159]</v>
      </c>
      <c r="AP70" s="55" t="str">
        <f>[1]!OBCALL(AP$15&amp;"-"&amp;ROW(),obLibs&amp;"net.finmath.time.ScheduleGenerator","createScheduleFromConventions",$H$8,$AG70,$AH70:$AI70,[1]!OBMAKE("","String",$J70),[1]!OBMAKE("","String",$K70),$H$9,[1]!OBMAKE("","String",$L70),$H$10,[1]!OBMAKE("","int",$M70),[1]!OBMAKE("","int",$N70))</f>
        <v>tenor rec-70 
[13192]</v>
      </c>
      <c r="AQ70" s="55" t="str">
        <f>[1]!OBMAKE(AQ$15&amp;"-"&amp;ROW(),"String",O70)</f>
        <v>forward rec-70 
[11736]</v>
      </c>
      <c r="AR70" s="55" t="str">
        <f>[1]!OBMAKE(AR$15&amp;"-"&amp;ROW(),"double",P70)</f>
        <v>spread rec-70 
[12055]</v>
      </c>
      <c r="AS70" s="55" t="str">
        <f>[1]!OBMAKE(AS$15&amp;"-"&amp;ROW(),"String",Q70)</f>
        <v>discount rec-70 
[11185]</v>
      </c>
      <c r="AT70" s="55" t="str">
        <f>[1]!OBCALL(AT$15&amp;"-"&amp;ROW(),obLibs&amp;"net.finmath.time.ScheduleGenerator","createScheduleFromConventions",$H$8,$AG70,$AK70:$AL70,[1]!OBMAKE("","String",$U70),[1]!OBMAKE("","String",$V70),$H$9,[1]!OBMAKE("","String",$L70),$H$10,[1]!OBMAKE("","int",$X70),[1]!OBMAKE("","int",$Y70))</f>
        <v>tenor pay-70 
[12969]</v>
      </c>
      <c r="AU70" s="55" t="str">
        <f>[1]!OBMAKE(AU$15&amp;"-"&amp;ROW(),"String",Z70)</f>
        <v>forward pay-70 
[11252]</v>
      </c>
      <c r="AV70" s="55" t="str">
        <f>[1]!OBMAKE(AV$15&amp;"-"&amp;ROW(),"double",AA70)</f>
        <v>spread pay-70 
[11793]</v>
      </c>
      <c r="AW70" s="55" t="str">
        <f>[1]!OBMAKE(AW$15&amp;"-"&amp;ROW(),"String",AB70)</f>
        <v>disocunt pay-70 
[10962]</v>
      </c>
      <c r="AX70" s="55" t="str">
        <f>[1]!OBMAKE(AX$15&amp;"-"&amp;ROW(),"String",AD70)</f>
        <v>calibration curve-70 
[11045]</v>
      </c>
      <c r="AY70" s="55" t="str">
        <f>[1]!OBMAKE(AY$15&amp;"-"&amp;ROW(),"double",AE70)</f>
        <v>calibration time-70 
[14236]</v>
      </c>
      <c r="JJ70" s="14"/>
      <c r="JK70" s="14"/>
      <c r="JL70" s="14"/>
      <c r="JM70" s="14"/>
      <c r="JN70" s="14"/>
      <c r="JO70" s="14"/>
    </row>
    <row r="71" spans="1:275" ht="13.2" customHeight="1" x14ac:dyDescent="0.25">
      <c r="A71" s="48" t="str">
        <f t="shared" si="4"/>
        <v>forward-EUR-3M-20Y</v>
      </c>
      <c r="B71" s="49" t="str">
        <f>[1]!OBMAKE("calibItem-"&amp;ROW(),obLibs&amp;"net.finmath.marketdata.calibration.CalibratedCurves$CalibrationSpec",AN71:AY71)</f>
        <v>calibItem-71 
[14983]</v>
      </c>
      <c r="C71" s="49">
        <f>[1]!OBGET([1]!OBCALL("",[1]!OBCALL("",$B$11,"getCalibrationProductForSpec",B71),"getValue",[1]!OBCALL("",$B$11,"getModel")))</f>
        <v>8.8640206286072498E-13</v>
      </c>
      <c r="D71" s="14" t="str">
        <f t="shared" si="7"/>
        <v>forward-EUR-3M-20Y</v>
      </c>
      <c r="E71" s="14" t="s">
        <v>125</v>
      </c>
      <c r="F71" s="40">
        <v>2</v>
      </c>
      <c r="H71" s="40" t="s">
        <v>105</v>
      </c>
      <c r="I71" s="40" t="s">
        <v>142</v>
      </c>
      <c r="J71" s="40" t="s">
        <v>149</v>
      </c>
      <c r="K71" s="40" t="s">
        <v>108</v>
      </c>
      <c r="L71" s="40" t="s">
        <v>109</v>
      </c>
      <c r="M71" s="40">
        <v>0</v>
      </c>
      <c r="N71" s="40">
        <v>0</v>
      </c>
      <c r="O71" s="33" t="s">
        <v>40</v>
      </c>
      <c r="P71" s="40">
        <v>0</v>
      </c>
      <c r="Q71" s="33" t="s">
        <v>38</v>
      </c>
      <c r="S71" s="40" t="s">
        <v>105</v>
      </c>
      <c r="T71" s="40" t="str">
        <f t="shared" si="8"/>
        <v>20Y</v>
      </c>
      <c r="U71" s="40" t="s">
        <v>110</v>
      </c>
      <c r="V71" s="40" t="s">
        <v>150</v>
      </c>
      <c r="W71" s="40" t="s">
        <v>109</v>
      </c>
      <c r="X71" s="40">
        <v>0</v>
      </c>
      <c r="Y71" s="40">
        <v>0</v>
      </c>
      <c r="Z71" s="33" t="str">
        <f>""</f>
        <v/>
      </c>
      <c r="AA71" s="51">
        <v>2.0289999999999999E-2</v>
      </c>
      <c r="AB71" s="33" t="s">
        <v>38</v>
      </c>
      <c r="AC71" s="53"/>
      <c r="AD71" s="33" t="str">
        <f t="shared" si="6"/>
        <v>forward-EUR-3M</v>
      </c>
      <c r="AE71" s="54">
        <f>[1]!OBGET([1]!OBCALL("",AP71,IF(OR(AD71=Q71,AD71=AB71),"getPayment","getFixing"),[1]!OBMAKE("","int",[1]!OBGET([1]!OBCALL("",AP71,"getNumberOfPeriods"))-1)))</f>
        <v>19.769863013698629</v>
      </c>
      <c r="AG71" s="55" t="str">
        <f>[1]!OBMAKE(AG$15&amp;"-"&amp;ROW(),"int",$F71)</f>
        <v>spot date-71 
[11455]</v>
      </c>
      <c r="AH71" s="55" t="str">
        <f>[1]!OBMAKE(AH$15&amp;"-"&amp;ROW(),"String",$H71)</f>
        <v>start offset rec-71 
[11198]</v>
      </c>
      <c r="AI71" s="55" t="str">
        <f>[1]!OBMAKE(AI$15&amp;"-"&amp;ROW(),"String",$I71)</f>
        <v>maturity rec-71 
[11731]</v>
      </c>
      <c r="AK71" s="55" t="str">
        <f>[1]!OBMAKE(AK$15&amp;"-"&amp;ROW(),"String",$S71)</f>
        <v>start offset pay-71 
[11316]</v>
      </c>
      <c r="AL71" s="55" t="str">
        <f>[1]!OBMAKE(AL$15&amp;"-"&amp;ROW(),"String",$T71)</f>
        <v>maturity pay-71 
[11365]</v>
      </c>
      <c r="AN71" s="55" t="str">
        <f>[1]!OBMAKE(AN$15&amp;"-"&amp;ROW(),"String",D71)</f>
        <v>symbol-71 
[11780]</v>
      </c>
      <c r="AO71" s="55" t="str">
        <f>[1]!OBMAKE(AO$15&amp;"-"&amp;ROW(),"String",E71)</f>
        <v>type-71 
[11054]</v>
      </c>
      <c r="AP71" s="55" t="str">
        <f>[1]!OBCALL(AP$15&amp;"-"&amp;ROW(),obLibs&amp;"net.finmath.time.ScheduleGenerator","createScheduleFromConventions",$H$8,$AG71,$AH71:$AI71,[1]!OBMAKE("","String",$J71),[1]!OBMAKE("","String",$K71),$H$9,[1]!OBMAKE("","String",$L71),$H$10,[1]!OBMAKE("","int",$M71),[1]!OBMAKE("","int",$N71))</f>
        <v>tenor rec-71 
[13997]</v>
      </c>
      <c r="AQ71" s="55" t="str">
        <f>[1]!OBMAKE(AQ$15&amp;"-"&amp;ROW(),"String",O71)</f>
        <v>forward rec-71 
[11645]</v>
      </c>
      <c r="AR71" s="55" t="str">
        <f>[1]!OBMAKE(AR$15&amp;"-"&amp;ROW(),"double",P71)</f>
        <v>spread rec-71 
[12088]</v>
      </c>
      <c r="AS71" s="55" t="str">
        <f>[1]!OBMAKE(AS$15&amp;"-"&amp;ROW(),"String",Q71)</f>
        <v>discount rec-71 
[11669]</v>
      </c>
      <c r="AT71" s="55" t="str">
        <f>[1]!OBCALL(AT$15&amp;"-"&amp;ROW(),obLibs&amp;"net.finmath.time.ScheduleGenerator","createScheduleFromConventions",$H$8,$AG71,$AK71:$AL71,[1]!OBMAKE("","String",$U71),[1]!OBMAKE("","String",$V71),$H$9,[1]!OBMAKE("","String",$L71),$H$10,[1]!OBMAKE("","int",$X71),[1]!OBMAKE("","int",$Y71))</f>
        <v>tenor pay-71 
[14612]</v>
      </c>
      <c r="AU71" s="55" t="str">
        <f>[1]!OBMAKE(AU$15&amp;"-"&amp;ROW(),"String",Z71)</f>
        <v>forward pay-71 
[11172]</v>
      </c>
      <c r="AV71" s="55" t="str">
        <f>[1]!OBMAKE(AV$15&amp;"-"&amp;ROW(),"double",AA71)</f>
        <v>spread pay-71 
[11882]</v>
      </c>
      <c r="AW71" s="55" t="str">
        <f>[1]!OBMAKE(AW$15&amp;"-"&amp;ROW(),"String",AB71)</f>
        <v>disocunt pay-71 
[11135]</v>
      </c>
      <c r="AX71" s="55" t="str">
        <f>[1]!OBMAKE(AX$15&amp;"-"&amp;ROW(),"String",AD71)</f>
        <v>calibration curve-71 
[10547]</v>
      </c>
      <c r="AY71" s="55" t="str">
        <f>[1]!OBMAKE(AY$15&amp;"-"&amp;ROW(),"double",AE71)</f>
        <v>calibration time-71 
[14001]</v>
      </c>
      <c r="JJ71" s="14"/>
      <c r="JK71" s="14"/>
      <c r="JL71" s="14"/>
      <c r="JM71" s="14"/>
      <c r="JN71" s="14"/>
      <c r="JO71" s="14"/>
    </row>
    <row r="72" spans="1:275" ht="13.2" customHeight="1" x14ac:dyDescent="0.25">
      <c r="A72" s="48" t="str">
        <f t="shared" si="4"/>
        <v>forward-EUR-3M-25Y</v>
      </c>
      <c r="B72" s="49" t="str">
        <f>[1]!OBMAKE("calibItem-"&amp;ROW(),obLibs&amp;"net.finmath.marketdata.calibration.CalibratedCurves$CalibrationSpec",AN72:AY72)</f>
        <v>calibItem-72 
[15002]</v>
      </c>
      <c r="C72" s="49">
        <f>[1]!OBGET([1]!OBCALL("",[1]!OBCALL("",$B$11,"getCalibrationProductForSpec",B72),"getValue",[1]!OBCALL("",$B$11,"getModel")))</f>
        <v>-6.6713301549725657E-13</v>
      </c>
      <c r="D72" s="14" t="str">
        <f t="shared" si="7"/>
        <v>forward-EUR-3M-25Y</v>
      </c>
      <c r="E72" s="14" t="s">
        <v>125</v>
      </c>
      <c r="F72" s="40">
        <v>2</v>
      </c>
      <c r="H72" s="40" t="s">
        <v>105</v>
      </c>
      <c r="I72" s="40" t="s">
        <v>143</v>
      </c>
      <c r="J72" s="40" t="s">
        <v>149</v>
      </c>
      <c r="K72" s="40" t="s">
        <v>108</v>
      </c>
      <c r="L72" s="40" t="s">
        <v>109</v>
      </c>
      <c r="M72" s="40">
        <v>0</v>
      </c>
      <c r="N72" s="40">
        <v>0</v>
      </c>
      <c r="O72" s="33" t="s">
        <v>40</v>
      </c>
      <c r="P72" s="40">
        <v>0</v>
      </c>
      <c r="Q72" s="33" t="s">
        <v>38</v>
      </c>
      <c r="S72" s="40" t="s">
        <v>105</v>
      </c>
      <c r="T72" s="40" t="str">
        <f t="shared" si="8"/>
        <v>25Y</v>
      </c>
      <c r="U72" s="40" t="s">
        <v>110</v>
      </c>
      <c r="V72" s="40" t="s">
        <v>150</v>
      </c>
      <c r="W72" s="40" t="s">
        <v>109</v>
      </c>
      <c r="X72" s="40">
        <v>0</v>
      </c>
      <c r="Y72" s="40">
        <v>0</v>
      </c>
      <c r="Z72" s="33" t="str">
        <f>""</f>
        <v/>
      </c>
      <c r="AA72" s="51">
        <v>2.0449999999999999E-2</v>
      </c>
      <c r="AB72" s="33" t="s">
        <v>38</v>
      </c>
      <c r="AC72" s="53"/>
      <c r="AD72" s="33" t="str">
        <f t="shared" si="6"/>
        <v>forward-EUR-3M</v>
      </c>
      <c r="AE72" s="54">
        <f>[1]!OBGET([1]!OBCALL("",AP72,IF(OR(AD72=Q72,AD72=AB72),"getPayment","getFixing"),[1]!OBMAKE("","int",[1]!OBGET([1]!OBCALL("",AP72,"getNumberOfPeriods"))-1)))</f>
        <v>24.775342465753425</v>
      </c>
      <c r="AG72" s="55" t="str">
        <f>[1]!OBMAKE(AG$15&amp;"-"&amp;ROW(),"int",$F72)</f>
        <v>spot date-72 
[11615]</v>
      </c>
      <c r="AH72" s="55" t="str">
        <f>[1]!OBMAKE(AH$15&amp;"-"&amp;ROW(),"String",$H72)</f>
        <v>start offset rec-72 
[11767]</v>
      </c>
      <c r="AI72" s="55" t="str">
        <f>[1]!OBMAKE(AI$15&amp;"-"&amp;ROW(),"String",$I72)</f>
        <v>maturity rec-72 
[11955]</v>
      </c>
      <c r="AK72" s="55" t="str">
        <f>[1]!OBMAKE(AK$15&amp;"-"&amp;ROW(),"String",$S72)</f>
        <v>start offset pay-72 
[10948]</v>
      </c>
      <c r="AL72" s="55" t="str">
        <f>[1]!OBMAKE(AL$15&amp;"-"&amp;ROW(),"String",$T72)</f>
        <v>maturity pay-72 
[11237]</v>
      </c>
      <c r="AN72" s="55" t="str">
        <f>[1]!OBMAKE(AN$15&amp;"-"&amp;ROW(),"String",D72)</f>
        <v>symbol-72 
[12097]</v>
      </c>
      <c r="AO72" s="55" t="str">
        <f>[1]!OBMAKE(AO$15&amp;"-"&amp;ROW(),"String",E72)</f>
        <v>type-72 
[11373]</v>
      </c>
      <c r="AP72" s="55" t="str">
        <f>[1]!OBCALL(AP$15&amp;"-"&amp;ROW(),obLibs&amp;"net.finmath.time.ScheduleGenerator","createScheduleFromConventions",$H$8,$AG72,$AH72:$AI72,[1]!OBMAKE("","String",$J72),[1]!OBMAKE("","String",$K72),$H$9,[1]!OBMAKE("","String",$L72),$H$10,[1]!OBMAKE("","int",$M72),[1]!OBMAKE("","int",$N72))</f>
        <v>tenor rec-72 
[13851]</v>
      </c>
      <c r="AQ72" s="55" t="str">
        <f>[1]!OBMAKE(AQ$15&amp;"-"&amp;ROW(),"String",O72)</f>
        <v>forward rec-72 
[11493]</v>
      </c>
      <c r="AR72" s="55" t="str">
        <f>[1]!OBMAKE(AR$15&amp;"-"&amp;ROW(),"double",P72)</f>
        <v>spread rec-72 
[11913]</v>
      </c>
      <c r="AS72" s="55" t="str">
        <f>[1]!OBMAKE(AS$15&amp;"-"&amp;ROW(),"String",Q72)</f>
        <v>discount rec-72 
[11610]</v>
      </c>
      <c r="AT72" s="55" t="str">
        <f>[1]!OBCALL(AT$15&amp;"-"&amp;ROW(),obLibs&amp;"net.finmath.time.ScheduleGenerator","createScheduleFromConventions",$H$8,$AG72,$AK72:$AL72,[1]!OBMAKE("","String",$U72),[1]!OBMAKE("","String",$V72),$H$9,[1]!OBMAKE("","String",$L72),$H$10,[1]!OBMAKE("","int",$X72),[1]!OBMAKE("","int",$Y72))</f>
        <v>tenor pay-72 
[14670]</v>
      </c>
      <c r="AU72" s="55" t="str">
        <f>[1]!OBMAKE(AU$15&amp;"-"&amp;ROW(),"String",Z72)</f>
        <v>forward pay-72 
[11067]</v>
      </c>
      <c r="AV72" s="55" t="str">
        <f>[1]!OBMAKE(AV$15&amp;"-"&amp;ROW(),"double",AA72)</f>
        <v>spread pay-72 
[11997]</v>
      </c>
      <c r="AW72" s="55" t="str">
        <f>[1]!OBMAKE(AW$15&amp;"-"&amp;ROW(),"String",AB72)</f>
        <v>disocunt pay-72 
[10811]</v>
      </c>
      <c r="AX72" s="55" t="str">
        <f>[1]!OBMAKE(AX$15&amp;"-"&amp;ROW(),"String",AD72)</f>
        <v>calibration curve-72 
[11359]</v>
      </c>
      <c r="AY72" s="55" t="str">
        <f>[1]!OBMAKE(AY$15&amp;"-"&amp;ROW(),"double",AE72)</f>
        <v>calibration time-72 
[13855]</v>
      </c>
      <c r="JJ72" s="14"/>
      <c r="JK72" s="14"/>
      <c r="JL72" s="14"/>
      <c r="JM72" s="14"/>
      <c r="JN72" s="14"/>
      <c r="JO72" s="14"/>
    </row>
    <row r="73" spans="1:275" ht="13.2" customHeight="1" x14ac:dyDescent="0.25">
      <c r="A73" s="48" t="str">
        <f t="shared" si="4"/>
        <v>forward-EUR-3M-30Y</v>
      </c>
      <c r="B73" s="49" t="str">
        <f>[1]!OBMAKE("calibItem-"&amp;ROW(),obLibs&amp;"net.finmath.marketdata.calibration.CalibratedCurves$CalibrationSpec",AN73:AY73)</f>
        <v>calibItem-73 
[15007]</v>
      </c>
      <c r="C73" s="49">
        <f>[1]!OBGET([1]!OBCALL("",[1]!OBCALL("",$B$11,"getCalibrationProductForSpec",B73),"getValue",[1]!OBCALL("",$B$11,"getModel")))</f>
        <v>3.7314595857651511E-13</v>
      </c>
      <c r="D73" s="14" t="str">
        <f t="shared" si="7"/>
        <v>forward-EUR-3M-30Y</v>
      </c>
      <c r="E73" s="14" t="s">
        <v>125</v>
      </c>
      <c r="F73" s="40">
        <v>2</v>
      </c>
      <c r="H73" s="40" t="s">
        <v>105</v>
      </c>
      <c r="I73" s="40" t="s">
        <v>144</v>
      </c>
      <c r="J73" s="40" t="s">
        <v>149</v>
      </c>
      <c r="K73" s="40" t="s">
        <v>108</v>
      </c>
      <c r="L73" s="40" t="s">
        <v>109</v>
      </c>
      <c r="M73" s="40">
        <v>0</v>
      </c>
      <c r="N73" s="40">
        <v>0</v>
      </c>
      <c r="O73" s="33" t="s">
        <v>40</v>
      </c>
      <c r="P73" s="40">
        <v>0</v>
      </c>
      <c r="Q73" s="33" t="s">
        <v>38</v>
      </c>
      <c r="S73" s="40" t="s">
        <v>105</v>
      </c>
      <c r="T73" s="40" t="str">
        <f t="shared" si="8"/>
        <v>30Y</v>
      </c>
      <c r="U73" s="40" t="s">
        <v>110</v>
      </c>
      <c r="V73" s="40" t="s">
        <v>150</v>
      </c>
      <c r="W73" s="40" t="s">
        <v>109</v>
      </c>
      <c r="X73" s="40">
        <v>0</v>
      </c>
      <c r="Y73" s="40">
        <v>0</v>
      </c>
      <c r="Z73" s="33" t="str">
        <f>""</f>
        <v/>
      </c>
      <c r="AA73" s="51">
        <v>2.0969999999999999E-2</v>
      </c>
      <c r="AB73" s="33" t="s">
        <v>38</v>
      </c>
      <c r="AC73" s="53"/>
      <c r="AD73" s="33" t="str">
        <f t="shared" si="6"/>
        <v>forward-EUR-3M</v>
      </c>
      <c r="AE73" s="54">
        <f>[1]!OBGET([1]!OBCALL("",AP73,IF(OR(AD73=Q73,AD73=AB73),"getPayment","getFixing"),[1]!OBMAKE("","int",[1]!OBGET([1]!OBCALL("",AP73,"getNumberOfPeriods"))-1)))</f>
        <v>29.780821917808218</v>
      </c>
      <c r="AG73" s="55" t="str">
        <f>[1]!OBMAKE(AG$15&amp;"-"&amp;ROW(),"int",$F73)</f>
        <v>spot date-73 
[11327]</v>
      </c>
      <c r="AH73" s="55" t="str">
        <f>[1]!OBMAKE(AH$15&amp;"-"&amp;ROW(),"String",$H73)</f>
        <v>start offset rec-73 
[12156]</v>
      </c>
      <c r="AI73" s="55" t="str">
        <f>[1]!OBMAKE(AI$15&amp;"-"&amp;ROW(),"String",$I73)</f>
        <v>maturity rec-73 
[11987]</v>
      </c>
      <c r="AK73" s="55" t="str">
        <f>[1]!OBMAKE(AK$15&amp;"-"&amp;ROW(),"String",$S73)</f>
        <v>start offset pay-73 
[11107]</v>
      </c>
      <c r="AL73" s="55" t="str">
        <f>[1]!OBMAKE(AL$15&amp;"-"&amp;ROW(),"String",$T73)</f>
        <v>maturity pay-73 
[11142]</v>
      </c>
      <c r="AN73" s="55" t="str">
        <f>[1]!OBMAKE(AN$15&amp;"-"&amp;ROW(),"String",D73)</f>
        <v>symbol-73 
[11774]</v>
      </c>
      <c r="AO73" s="55" t="str">
        <f>[1]!OBMAKE(AO$15&amp;"-"&amp;ROW(),"String",E73)</f>
        <v>type-73 
[11245]</v>
      </c>
      <c r="AP73" s="55" t="str">
        <f>[1]!OBCALL(AP$15&amp;"-"&amp;ROW(),obLibs&amp;"net.finmath.time.ScheduleGenerator","createScheduleFromConventions",$H$8,$AG73,$AH73:$AI73,[1]!OBMAKE("","String",$J73),[1]!OBMAKE("","String",$K73),$H$9,[1]!OBMAKE("","String",$L73),$H$10,[1]!OBMAKE("","int",$M73),[1]!OBMAKE("","int",$N73))</f>
        <v>tenor rec-73 
[13543]</v>
      </c>
      <c r="AQ73" s="55" t="str">
        <f>[1]!OBMAKE(AQ$15&amp;"-"&amp;ROW(),"String",O73)</f>
        <v>forward rec-73 
[11423]</v>
      </c>
      <c r="AR73" s="55" t="str">
        <f>[1]!OBMAKE(AR$15&amp;"-"&amp;ROW(),"double",P73)</f>
        <v>spread rec-73 
[11712]</v>
      </c>
      <c r="AS73" s="55" t="str">
        <f>[1]!OBMAKE(AS$15&amp;"-"&amp;ROW(),"String",Q73)</f>
        <v>discount rec-73 
[11448]</v>
      </c>
      <c r="AT73" s="55" t="str">
        <f>[1]!OBCALL(AT$15&amp;"-"&amp;ROW(),obLibs&amp;"net.finmath.time.ScheduleGenerator","createScheduleFromConventions",$H$8,$AG73,$AK73:$AL73,[1]!OBMAKE("","String",$U73),[1]!OBMAKE("","String",$V73),$H$9,[1]!OBMAKE("","String",$L73),$H$10,[1]!OBMAKE("","int",$X73),[1]!OBMAKE("","int",$Y73))</f>
        <v>tenor pay-73 
[13973]</v>
      </c>
      <c r="AU73" s="55" t="str">
        <f>[1]!OBMAKE(AU$15&amp;"-"&amp;ROW(),"String",Z73)</f>
        <v>forward pay-73 
[12320]</v>
      </c>
      <c r="AV73" s="55" t="str">
        <f>[1]!OBMAKE(AV$15&amp;"-"&amp;ROW(),"double",AA73)</f>
        <v>spread pay-73 
[11826]</v>
      </c>
      <c r="AW73" s="55" t="str">
        <f>[1]!OBMAKE(AW$15&amp;"-"&amp;ROW(),"String",AB73)</f>
        <v>disocunt pay-73 
[11030]</v>
      </c>
      <c r="AX73" s="55" t="str">
        <f>[1]!OBMAKE(AX$15&amp;"-"&amp;ROW(),"String",AD73)</f>
        <v>calibration curve-73 
[10874]</v>
      </c>
      <c r="AY73" s="55" t="str">
        <f>[1]!OBMAKE(AY$15&amp;"-"&amp;ROW(),"double",AE73)</f>
        <v>calibration time-73 
[14306]</v>
      </c>
      <c r="JJ73" s="14"/>
      <c r="JK73" s="14"/>
      <c r="JL73" s="14"/>
      <c r="JM73" s="14"/>
      <c r="JN73" s="14"/>
      <c r="JO73" s="14"/>
    </row>
    <row r="74" spans="1:275" ht="13.2" customHeight="1" x14ac:dyDescent="0.25">
      <c r="A74" s="48" t="str">
        <f t="shared" si="4"/>
        <v>forward-EUR-3M-40Y</v>
      </c>
      <c r="B74" s="49" t="str">
        <f>[1]!OBMAKE("calibItem-"&amp;ROW(),obLibs&amp;"net.finmath.marketdata.calibration.CalibratedCurves$CalibrationSpec",AN74:AY74)</f>
        <v>calibItem-74 
[14967]</v>
      </c>
      <c r="C74" s="49">
        <f>[1]!OBGET([1]!OBCALL("",[1]!OBCALL("",$B$11,"getCalibrationProductForSpec",B74),"getValue",[1]!OBCALL("",$B$11,"getModel")))</f>
        <v>-9.4591001698063337E-14</v>
      </c>
      <c r="D74" s="14" t="str">
        <f t="shared" si="7"/>
        <v>forward-EUR-3M-40Y</v>
      </c>
      <c r="E74" s="14" t="s">
        <v>125</v>
      </c>
      <c r="F74" s="40">
        <v>2</v>
      </c>
      <c r="H74" s="40" t="s">
        <v>105</v>
      </c>
      <c r="I74" s="40" t="s">
        <v>145</v>
      </c>
      <c r="J74" s="40" t="s">
        <v>149</v>
      </c>
      <c r="K74" s="40" t="s">
        <v>108</v>
      </c>
      <c r="L74" s="40" t="s">
        <v>109</v>
      </c>
      <c r="M74" s="40">
        <v>0</v>
      </c>
      <c r="N74" s="40">
        <v>0</v>
      </c>
      <c r="O74" s="33" t="s">
        <v>40</v>
      </c>
      <c r="P74" s="40">
        <v>0</v>
      </c>
      <c r="Q74" s="33" t="s">
        <v>38</v>
      </c>
      <c r="S74" s="40" t="s">
        <v>105</v>
      </c>
      <c r="T74" s="40" t="str">
        <f t="shared" si="8"/>
        <v>40Y</v>
      </c>
      <c r="U74" s="40" t="s">
        <v>110</v>
      </c>
      <c r="V74" s="40" t="s">
        <v>150</v>
      </c>
      <c r="W74" s="40" t="s">
        <v>109</v>
      </c>
      <c r="X74" s="40">
        <v>0</v>
      </c>
      <c r="Y74" s="40">
        <v>0</v>
      </c>
      <c r="Z74" s="33" t="str">
        <f>""</f>
        <v/>
      </c>
      <c r="AA74" s="51">
        <v>2.2079999999999999E-2</v>
      </c>
      <c r="AB74" s="33" t="s">
        <v>38</v>
      </c>
      <c r="AC74" s="53"/>
      <c r="AD74" s="33" t="str">
        <f t="shared" si="6"/>
        <v>forward-EUR-3M</v>
      </c>
      <c r="AE74" s="54">
        <f>[1]!OBGET([1]!OBCALL("",AP74,IF(OR(AD74=Q74,AD74=AB74),"getPayment","getFixing"),[1]!OBMAKE("","int",[1]!OBGET([1]!OBCALL("",AP74,"getNumberOfPeriods"))-1)))</f>
        <v>39.780821917808218</v>
      </c>
      <c r="AG74" s="55" t="str">
        <f>[1]!OBMAKE(AG$15&amp;"-"&amp;ROW(),"int",$F74)</f>
        <v>spot date-74 
[11393]</v>
      </c>
      <c r="AH74" s="55" t="str">
        <f>[1]!OBMAKE(AH$15&amp;"-"&amp;ROW(),"String",$H74)</f>
        <v>start offset rec-74 
[12008]</v>
      </c>
      <c r="AI74" s="55" t="str">
        <f>[1]!OBMAKE(AI$15&amp;"-"&amp;ROW(),"String",$I74)</f>
        <v>maturity rec-74 
[11638]</v>
      </c>
      <c r="AK74" s="55" t="str">
        <f>[1]!OBMAKE(AK$15&amp;"-"&amp;ROW(),"String",$S74)</f>
        <v>start offset pay-74 
[11128]</v>
      </c>
      <c r="AL74" s="55" t="str">
        <f>[1]!OBMAKE(AL$15&amp;"-"&amp;ROW(),"String",$T74)</f>
        <v>maturity pay-74 
[10824]</v>
      </c>
      <c r="AN74" s="55" t="str">
        <f>[1]!OBMAKE(AN$15&amp;"-"&amp;ROW(),"String",D74)</f>
        <v>symbol-74 
[11702]</v>
      </c>
      <c r="AO74" s="55" t="str">
        <f>[1]!OBMAKE(AO$15&amp;"-"&amp;ROW(),"String",E74)</f>
        <v>type-74 
[11158]</v>
      </c>
      <c r="AP74" s="55" t="str">
        <f>[1]!OBCALL(AP$15&amp;"-"&amp;ROW(),obLibs&amp;"net.finmath.time.ScheduleGenerator","createScheduleFromConventions",$H$8,$AG74,$AH74:$AI74,[1]!OBMAKE("","String",$J74),[1]!OBMAKE("","String",$K74),$H$9,[1]!OBMAKE("","String",$L74),$H$10,[1]!OBMAKE("","int",$M74),[1]!OBMAKE("","int",$N74))</f>
        <v>tenor rec-74 
[13144]</v>
      </c>
      <c r="AQ74" s="55" t="str">
        <f>[1]!OBMAKE(AQ$15&amp;"-"&amp;ROW(),"String",O74)</f>
        <v>forward rec-74 
[11992]</v>
      </c>
      <c r="AR74" s="55" t="str">
        <f>[1]!OBMAKE(AR$15&amp;"-"&amp;ROW(),"double",P74)</f>
        <v>spread rec-74 
[12238]</v>
      </c>
      <c r="AS74" s="55" t="str">
        <f>[1]!OBMAKE(AS$15&amp;"-"&amp;ROW(),"String",Q74)</f>
        <v>discount rec-74 
[11388]</v>
      </c>
      <c r="AT74" s="55" t="str">
        <f>[1]!OBCALL(AT$15&amp;"-"&amp;ROW(),obLibs&amp;"net.finmath.time.ScheduleGenerator","createScheduleFromConventions",$H$8,$AG74,$AK74:$AL74,[1]!OBMAKE("","String",$U74),[1]!OBMAKE("","String",$V74),$H$9,[1]!OBMAKE("","String",$L74),$H$10,[1]!OBMAKE("","int",$X74),[1]!OBMAKE("","int",$Y74))</f>
        <v>tenor pay-74 
[13568]</v>
      </c>
      <c r="AU74" s="55" t="str">
        <f>[1]!OBMAKE(AU$15&amp;"-"&amp;ROW(),"String",Z74)</f>
        <v>forward pay-74 
[11601]</v>
      </c>
      <c r="AV74" s="55" t="str">
        <f>[1]!OBMAKE(AV$15&amp;"-"&amp;ROW(),"double",AA74)</f>
        <v>spread pay-74 
[11762]</v>
      </c>
      <c r="AW74" s="55" t="str">
        <f>[1]!OBMAKE(AW$15&amp;"-"&amp;ROW(),"String",AB74)</f>
        <v>disocunt pay-74 
[10961]</v>
      </c>
      <c r="AX74" s="55" t="str">
        <f>[1]!OBMAKE(AX$15&amp;"-"&amp;ROW(),"String",AD74)</f>
        <v>calibration curve-74 
[11412]</v>
      </c>
      <c r="AY74" s="55" t="str">
        <f>[1]!OBMAKE(AY$15&amp;"-"&amp;ROW(),"double",AE74)</f>
        <v>calibration time-74 
[14103]</v>
      </c>
      <c r="JJ74" s="14"/>
      <c r="JK74" s="14"/>
      <c r="JL74" s="14"/>
      <c r="JM74" s="14"/>
      <c r="JN74" s="14"/>
      <c r="JO74" s="14"/>
    </row>
    <row r="75" spans="1:275" s="46" customFormat="1" ht="13.2" customHeight="1" x14ac:dyDescent="0.25">
      <c r="A75" s="48" t="str">
        <f t="shared" si="4"/>
        <v>forward-EUR-3M-50Y</v>
      </c>
      <c r="B75" s="58" t="str">
        <f>[1]!OBMAKE("calibItem-"&amp;ROW(),obLibs&amp;"net.finmath.marketdata.calibration.CalibratedCurves$CalibrationSpec",AN75:AY75)</f>
        <v>calibItem-75 
[15017]</v>
      </c>
      <c r="C75" s="58">
        <f>[1]!OBGET([1]!OBCALL("",[1]!OBCALL("",$B$11,"getCalibrationProductForSpec",B75),"getValue",[1]!OBCALL("",$B$11,"getModel")))</f>
        <v>1.4099832412739488E-14</v>
      </c>
      <c r="D75" s="46" t="str">
        <f t="shared" si="7"/>
        <v>forward-EUR-3M-50Y</v>
      </c>
      <c r="E75" s="46" t="s">
        <v>125</v>
      </c>
      <c r="F75" s="59">
        <v>2</v>
      </c>
      <c r="H75" s="59" t="s">
        <v>105</v>
      </c>
      <c r="I75" s="59" t="s">
        <v>146</v>
      </c>
      <c r="J75" s="59" t="s">
        <v>149</v>
      </c>
      <c r="K75" s="59" t="s">
        <v>108</v>
      </c>
      <c r="L75" s="59" t="s">
        <v>109</v>
      </c>
      <c r="M75" s="59">
        <v>0</v>
      </c>
      <c r="N75" s="59">
        <v>0</v>
      </c>
      <c r="O75" s="61" t="s">
        <v>40</v>
      </c>
      <c r="P75" s="59">
        <v>0</v>
      </c>
      <c r="Q75" s="61" t="s">
        <v>38</v>
      </c>
      <c r="S75" s="59" t="s">
        <v>105</v>
      </c>
      <c r="T75" s="59" t="str">
        <f t="shared" si="8"/>
        <v>50Y</v>
      </c>
      <c r="U75" s="59" t="s">
        <v>110</v>
      </c>
      <c r="V75" s="59" t="s">
        <v>150</v>
      </c>
      <c r="W75" s="59" t="s">
        <v>109</v>
      </c>
      <c r="X75" s="59">
        <v>0</v>
      </c>
      <c r="Y75" s="59">
        <v>0</v>
      </c>
      <c r="Z75" s="61" t="str">
        <f>""</f>
        <v/>
      </c>
      <c r="AA75" s="62">
        <v>2.2859999999999998E-2</v>
      </c>
      <c r="AB75" s="61" t="s">
        <v>38</v>
      </c>
      <c r="AC75" s="63"/>
      <c r="AD75" s="61" t="str">
        <f t="shared" si="6"/>
        <v>forward-EUR-3M</v>
      </c>
      <c r="AE75" s="64">
        <f>[1]!OBGET([1]!OBCALL("",AP75,IF(OR(AD75=Q75,AD75=AB75),"getPayment","getFixing"),[1]!OBMAKE("","int",[1]!OBGET([1]!OBCALL("",AP75,"getNumberOfPeriods"))-1)))</f>
        <v>49.789041095890411</v>
      </c>
      <c r="AG75" s="65" t="str">
        <f>[1]!OBMAKE(AG$15&amp;"-"&amp;ROW(),"int",$F75)</f>
        <v>spot date-75 
[11875]</v>
      </c>
      <c r="AH75" s="65" t="str">
        <f>[1]!OBMAKE(AH$15&amp;"-"&amp;ROW(),"String",$H75)</f>
        <v>start offset rec-75 
[11398]</v>
      </c>
      <c r="AI75" s="65" t="str">
        <f>[1]!OBMAKE(AI$15&amp;"-"&amp;ROW(),"String",$I75)</f>
        <v>maturity rec-75 
[11486]</v>
      </c>
      <c r="AK75" s="65" t="str">
        <f>[1]!OBMAKE(AK$15&amp;"-"&amp;ROW(),"String",$S75)</f>
        <v>start offset pay-75 
[10580]</v>
      </c>
      <c r="AL75" s="65" t="str">
        <f>[1]!OBMAKE(AL$15&amp;"-"&amp;ROW(),"String",$T75)</f>
        <v>maturity pay-75 
[11037]</v>
      </c>
      <c r="AN75" s="65" t="str">
        <f>[1]!OBMAKE(AN$15&amp;"-"&amp;ROW(),"String",D75)</f>
        <v>symbol-75 
[11844]</v>
      </c>
      <c r="AO75" s="65" t="str">
        <f>[1]!OBMAKE(AO$15&amp;"-"&amp;ROW(),"String",E75)</f>
        <v>type-75 
[11053]</v>
      </c>
      <c r="AP75" s="65" t="str">
        <f>[1]!OBCALL(AP$15&amp;"-"&amp;ROW(),obLibs&amp;"net.finmath.time.ScheduleGenerator","createScheduleFromConventions",$H$8,$AG75,$AH75:$AI75,[1]!OBMAKE("","String",$J75),[1]!OBMAKE("","String",$K75),$H$9,[1]!OBMAKE("","String",$L75),$H$10,[1]!OBMAKE("","int",$M75),[1]!OBMAKE("","int",$N75))</f>
        <v>tenor rec-75 
[14696]</v>
      </c>
      <c r="AQ75" s="65" t="str">
        <f>[1]!OBMAKE(AQ$15&amp;"-"&amp;ROW(),"String",O75)</f>
        <v>forward rec-75 
[11295]</v>
      </c>
      <c r="AR75" s="65" t="str">
        <f>[1]!OBMAKE(AR$15&amp;"-"&amp;ROW(),"double",P75)</f>
        <v>spread rec-75 
[12350]</v>
      </c>
      <c r="AS75" s="65" t="str">
        <f>[1]!OBMAKE(AS$15&amp;"-"&amp;ROW(),"String",Q75)</f>
        <v>discount rec-75 
[11320]</v>
      </c>
      <c r="AT75" s="65" t="str">
        <f>[1]!OBCALL(AT$15&amp;"-"&amp;ROW(),obLibs&amp;"net.finmath.time.ScheduleGenerator","createScheduleFromConventions",$H$8,$AG75,$AK75:$AL75,[1]!OBMAKE("","String",$U75),[1]!OBMAKE("","String",$V75),$H$9,[1]!OBMAKE("","String",$L75),$H$10,[1]!OBMAKE("","int",$X75),[1]!OBMAKE("","int",$Y75))</f>
        <v>tenor pay-75 
[12981]</v>
      </c>
      <c r="AU75" s="65" t="str">
        <f>[1]!OBMAKE(AU$15&amp;"-"&amp;ROW(),"String",Z75)</f>
        <v>forward pay-75 
[11171]</v>
      </c>
      <c r="AV75" s="65" t="str">
        <f>[1]!OBMAKE(AV$15&amp;"-"&amp;ROW(),"double",AA75)</f>
        <v>spread pay-75 
[11476]</v>
      </c>
      <c r="AW75" s="65" t="str">
        <f>[1]!OBMAKE(AW$15&amp;"-"&amp;ROW(),"String",AB75)</f>
        <v>disocunt pay-75 
[11361]</v>
      </c>
      <c r="AX75" s="65" t="str">
        <f>[1]!OBMAKE(AX$15&amp;"-"&amp;ROW(),"String",AD75)</f>
        <v>calibration curve-75 
[11678]</v>
      </c>
      <c r="AY75" s="65" t="str">
        <f>[1]!OBMAKE(AY$15&amp;"-"&amp;ROW(),"double",AE75)</f>
        <v>calibration time-75 
[14700]</v>
      </c>
    </row>
    <row r="76" spans="1:275" ht="13.2" customHeight="1" x14ac:dyDescent="0.25">
      <c r="A76" s="48" t="str">
        <f t="shared" si="4"/>
        <v>forward-EUR-6M-0Dx6M</v>
      </c>
      <c r="B76" s="49" t="str">
        <f>[1]!OBMAKE("calibItem-"&amp;ROW(),obLibs&amp;"net.finmath.marketdata.calibration.CalibratedCurves$CalibrationSpec",AN76:AY76)</f>
        <v>calibItem-76 
[13660]</v>
      </c>
      <c r="C76" s="49">
        <f>[1]!OBGET([1]!OBCALL("",[1]!OBCALL("",$B$11,"getCalibrationProductForSpec",B76),"getValue",[1]!OBCALL("",$B$11,"getModel")))</f>
        <v>1.73258601042511E-15</v>
      </c>
      <c r="D76" s="14" t="str">
        <f t="shared" ref="D76:D82" si="9">AD76&amp;"-"&amp;H76&amp;"x"&amp;I76</f>
        <v>forward-EUR-6M-0Dx6M</v>
      </c>
      <c r="E76" s="14" t="s">
        <v>147</v>
      </c>
      <c r="F76" s="40">
        <v>2</v>
      </c>
      <c r="H76" s="40" t="s">
        <v>105</v>
      </c>
      <c r="I76" s="40" t="s">
        <v>44</v>
      </c>
      <c r="J76" s="40" t="s">
        <v>107</v>
      </c>
      <c r="K76" s="40" t="s">
        <v>108</v>
      </c>
      <c r="L76" s="40" t="s">
        <v>115</v>
      </c>
      <c r="M76" s="40">
        <v>0</v>
      </c>
      <c r="N76" s="40">
        <v>0</v>
      </c>
      <c r="O76" s="33" t="s">
        <v>41</v>
      </c>
      <c r="P76" s="51">
        <v>5.8999999999999999E-3</v>
      </c>
      <c r="Q76" s="33" t="s">
        <v>38</v>
      </c>
      <c r="S76" s="40" t="s">
        <v>105</v>
      </c>
      <c r="T76" s="40" t="s">
        <v>44</v>
      </c>
      <c r="U76" s="40" t="s">
        <v>110</v>
      </c>
      <c r="V76" s="40" t="s">
        <v>148</v>
      </c>
      <c r="W76" s="40" t="s">
        <v>115</v>
      </c>
      <c r="X76" s="40">
        <v>0</v>
      </c>
      <c r="Y76" s="40">
        <v>0</v>
      </c>
      <c r="Z76" s="33" t="str">
        <f>""</f>
        <v/>
      </c>
      <c r="AA76" s="51">
        <v>0</v>
      </c>
      <c r="AB76" s="33" t="s">
        <v>38</v>
      </c>
      <c r="AC76" s="53"/>
      <c r="AD76" s="33" t="str">
        <f t="shared" si="6"/>
        <v>forward-EUR-6M</v>
      </c>
      <c r="AE76" s="54">
        <v>5.4794520547945197E-3</v>
      </c>
      <c r="AG76" s="55" t="str">
        <f>[1]!OBMAKE(AG$15&amp;"-"&amp;ROW(),"int",$F76)</f>
        <v>spot date-76 
[10797]</v>
      </c>
      <c r="AH76" s="55" t="str">
        <f>[1]!OBMAKE(AH$15&amp;"-"&amp;ROW(),"String",$H76)</f>
        <v>start offset rec-76 
[11191]</v>
      </c>
      <c r="AI76" s="55" t="str">
        <f>[1]!OBMAKE(AI$15&amp;"-"&amp;ROW(),"String",$I76)</f>
        <v>maturity rec-76 
[12023]</v>
      </c>
      <c r="AK76" s="55" t="str">
        <f>[1]!OBMAKE(AK$15&amp;"-"&amp;ROW(),"String",$S76)</f>
        <v>start offset pay-76 
[11416]</v>
      </c>
      <c r="AL76" s="55" t="str">
        <f>[1]!OBMAKE(AL$15&amp;"-"&amp;ROW(),"String",$T76)</f>
        <v>maturity pay-76 
[11943]</v>
      </c>
      <c r="AN76" s="55" t="str">
        <f>[1]!OBMAKE(AN$15&amp;"-"&amp;ROW(),"String",D76)</f>
        <v>symbol-76 
[11942]</v>
      </c>
      <c r="AO76" s="55" t="str">
        <f>[1]!OBMAKE(AO$15&amp;"-"&amp;ROW(),"String",E76)</f>
        <v>type-76 
[12162]</v>
      </c>
      <c r="AP76" s="55" t="str">
        <f>[1]!OBCALL(AP$15&amp;"-"&amp;ROW(),obLibs&amp;"net.finmath.time.ScheduleGenerator","createScheduleFromConventions",$H$8,$AG76,$AH76:$AI76,[1]!OBMAKE("","String",$J76),[1]!OBMAKE("","String",$K76),$H$9,[1]!OBMAKE("","String",$L76),$H$10,[1]!OBMAKE("","int",$M76),[1]!OBMAKE("","int",$N76))</f>
        <v>tenor rec-76 
[12912]</v>
      </c>
      <c r="AQ76" s="55" t="str">
        <f>[1]!OBMAKE(AQ$15&amp;"-"&amp;ROW(),"String",O76)</f>
        <v>forward rec-76 
[10754]</v>
      </c>
      <c r="AR76" s="55" t="str">
        <f>[1]!OBMAKE(AR$15&amp;"-"&amp;ROW(),"double",P76)</f>
        <v>spread rec-76 
[12227]</v>
      </c>
      <c r="AS76" s="55" t="str">
        <f>[1]!OBMAKE(AS$15&amp;"-"&amp;ROW(),"String",Q76)</f>
        <v>discount rec-76 
[11519]</v>
      </c>
      <c r="AT76" s="55" t="str">
        <f>[1]!OBCALL(AT$15&amp;"-"&amp;ROW(),obLibs&amp;"net.finmath.time.ScheduleGenerator","createScheduleFromConventions",$H$8,$AG76,$AK76:$AL76,[1]!OBMAKE("","String",$U76),[1]!OBMAKE("","String",$V76),$H$9,[1]!OBMAKE("","String",$L76),$H$10,[1]!OBMAKE("","int",$X76),[1]!OBMAKE("","int",$Y76))</f>
        <v>tenor pay-76 
[13659]</v>
      </c>
      <c r="AU76" s="55" t="str">
        <f>[1]!OBMAKE(AU$15&amp;"-"&amp;ROW(),"String",Z76)</f>
        <v>forward pay-76 
[10724]</v>
      </c>
      <c r="AV76" s="55" t="str">
        <f>[1]!OBMAKE(AV$15&amp;"-"&amp;ROW(),"double",AA76)</f>
        <v>spread pay-76 
[11066]</v>
      </c>
      <c r="AW76" s="55" t="str">
        <f>[1]!OBMAKE(AW$15&amp;"-"&amp;ROW(),"String",AB76)</f>
        <v>disocunt pay-76 
[12284]</v>
      </c>
      <c r="AX76" s="55" t="str">
        <f>[1]!OBMAKE(AX$15&amp;"-"&amp;ROW(),"String",AD76)</f>
        <v>calibration curve-76 
[11944]</v>
      </c>
      <c r="AY76" s="55" t="str">
        <f>[1]!OBMAKE(AY$15&amp;"-"&amp;ROW(),"double",AE76)</f>
        <v>calibration time-76 
[11023]</v>
      </c>
      <c r="JJ76" s="14"/>
      <c r="JK76" s="14"/>
      <c r="JL76" s="14"/>
      <c r="JM76" s="14"/>
      <c r="JN76" s="14"/>
      <c r="JO76" s="14"/>
    </row>
    <row r="77" spans="1:275" ht="13.2" customHeight="1" x14ac:dyDescent="0.25">
      <c r="A77" s="48" t="str">
        <f t="shared" si="4"/>
        <v>forward-EUR-6M-1Mx6M</v>
      </c>
      <c r="B77" s="49" t="str">
        <f>[1]!OBMAKE("calibItem-"&amp;ROW(),obLibs&amp;"net.finmath.marketdata.calibration.CalibratedCurves$CalibrationSpec",AN77:AY77)</f>
        <v>calibItem-77 
[13701]</v>
      </c>
      <c r="C77" s="49">
        <f>[1]!OBGET([1]!OBCALL("",[1]!OBCALL("",$B$11,"getCalibrationProductForSpec",B77),"getValue",[1]!OBCALL("",$B$11,"getModel")))</f>
        <v>0</v>
      </c>
      <c r="D77" s="14" t="str">
        <f t="shared" si="9"/>
        <v>forward-EUR-6M-1Mx6M</v>
      </c>
      <c r="E77" s="14" t="s">
        <v>147</v>
      </c>
      <c r="F77" s="40">
        <v>2</v>
      </c>
      <c r="H77" s="40" t="s">
        <v>114</v>
      </c>
      <c r="I77" s="40" t="s">
        <v>44</v>
      </c>
      <c r="J77" s="40" t="s">
        <v>107</v>
      </c>
      <c r="K77" s="40" t="s">
        <v>108</v>
      </c>
      <c r="L77" s="40" t="s">
        <v>115</v>
      </c>
      <c r="M77" s="40">
        <v>0</v>
      </c>
      <c r="N77" s="40">
        <v>0</v>
      </c>
      <c r="O77" s="33" t="s">
        <v>41</v>
      </c>
      <c r="P77" s="51">
        <v>5.9695572786400003E-3</v>
      </c>
      <c r="Q77" s="33" t="s">
        <v>38</v>
      </c>
      <c r="S77" s="40" t="s">
        <v>114</v>
      </c>
      <c r="T77" s="40" t="s">
        <v>119</v>
      </c>
      <c r="U77" s="40" t="s">
        <v>110</v>
      </c>
      <c r="V77" s="40" t="s">
        <v>148</v>
      </c>
      <c r="W77" s="40" t="s">
        <v>115</v>
      </c>
      <c r="X77" s="40">
        <v>0</v>
      </c>
      <c r="Y77" s="40">
        <v>0</v>
      </c>
      <c r="Z77" s="33" t="str">
        <f>""</f>
        <v/>
      </c>
      <c r="AA77" s="51">
        <v>0</v>
      </c>
      <c r="AB77" s="33" t="s">
        <v>38</v>
      </c>
      <c r="AC77" s="53"/>
      <c r="AD77" s="33" t="str">
        <f t="shared" si="6"/>
        <v>forward-EUR-6M</v>
      </c>
      <c r="AE77" s="54">
        <v>9.3150684931506897E-2</v>
      </c>
      <c r="AG77" s="55" t="str">
        <f>[1]!OBMAKE(AG$15&amp;"-"&amp;ROW(),"int",$F77)</f>
        <v>spot date-77 
[11260]</v>
      </c>
      <c r="AH77" s="55" t="str">
        <f>[1]!OBMAKE(AH$15&amp;"-"&amp;ROW(),"String",$H77)</f>
        <v>start offset rec-77 
[11257]</v>
      </c>
      <c r="AI77" s="55" t="str">
        <f>[1]!OBMAKE(AI$15&amp;"-"&amp;ROW(),"String",$I77)</f>
        <v>maturity rec-77 
[11675]</v>
      </c>
      <c r="AK77" s="55" t="str">
        <f>[1]!OBMAKE(AK$15&amp;"-"&amp;ROW(),"String",$S77)</f>
        <v>start offset pay-77 
[11540]</v>
      </c>
      <c r="AL77" s="55" t="str">
        <f>[1]!OBMAKE(AL$15&amp;"-"&amp;ROW(),"String",$T77)</f>
        <v>maturity pay-77 
[10810]</v>
      </c>
      <c r="AN77" s="55" t="str">
        <f>[1]!OBMAKE(AN$15&amp;"-"&amp;ROW(),"String",D77)</f>
        <v>symbol-77 
[11003]</v>
      </c>
      <c r="AO77" s="55" t="str">
        <f>[1]!OBMAKE(AO$15&amp;"-"&amp;ROW(),"String",E77)</f>
        <v>type-77 
[11586]</v>
      </c>
      <c r="AP77" s="55" t="str">
        <f>[1]!OBCALL(AP$15&amp;"-"&amp;ROW(),obLibs&amp;"net.finmath.time.ScheduleGenerator","createScheduleFromConventions",$H$8,$AG77,$AH77:$AI77,[1]!OBMAKE("","String",$J77),[1]!OBMAKE("","String",$K77),$H$9,[1]!OBMAKE("","String",$L77),$H$10,[1]!OBMAKE("","int",$M77),[1]!OBMAKE("","int",$N77))</f>
        <v>tenor rec-77 
[13174]</v>
      </c>
      <c r="AQ77" s="55" t="str">
        <f>[1]!OBMAKE(AQ$15&amp;"-"&amp;ROW(),"String",O77)</f>
        <v>forward rec-77 
[12179]</v>
      </c>
      <c r="AR77" s="55" t="str">
        <f>[1]!OBMAKE(AR$15&amp;"-"&amp;ROW(),"double",P77)</f>
        <v>spread rec-77 
[10546]</v>
      </c>
      <c r="AS77" s="55" t="str">
        <f>[1]!OBMAKE(AS$15&amp;"-"&amp;ROW(),"String",Q77)</f>
        <v>discount rec-77 
[11869]</v>
      </c>
      <c r="AT77" s="55" t="str">
        <f>[1]!OBCALL(AT$15&amp;"-"&amp;ROW(),obLibs&amp;"net.finmath.time.ScheduleGenerator","createScheduleFromConventions",$H$8,$AG77,$AK77:$AL77,[1]!OBMAKE("","String",$U77),[1]!OBMAKE("","String",$V77),$H$9,[1]!OBMAKE("","String",$L77),$H$10,[1]!OBMAKE("","int",$X77),[1]!OBMAKE("","int",$Y77))</f>
        <v>tenor pay-77 
[13700]</v>
      </c>
      <c r="AU77" s="55" t="str">
        <f>[1]!OBMAKE(AU$15&amp;"-"&amp;ROW(),"String",Z77)</f>
        <v>forward pay-77 
[11594]</v>
      </c>
      <c r="AV77" s="55" t="str">
        <f>[1]!OBMAKE(AV$15&amp;"-"&amp;ROW(),"double",AA77)</f>
        <v>spread pay-77 
[10947]</v>
      </c>
      <c r="AW77" s="55" t="str">
        <f>[1]!OBMAKE(AW$15&amp;"-"&amp;ROW(),"String",AB77)</f>
        <v>disocunt pay-77 
[11379]</v>
      </c>
      <c r="AX77" s="55" t="str">
        <f>[1]!OBMAKE(AX$15&amp;"-"&amp;ROW(),"String",AD77)</f>
        <v>calibration curve-77 
[12082]</v>
      </c>
      <c r="AY77" s="55" t="str">
        <f>[1]!OBMAKE(AY$15&amp;"-"&amp;ROW(),"double",AE77)</f>
        <v>calibration time-77 
[12173]</v>
      </c>
      <c r="JJ77" s="14"/>
      <c r="JK77" s="14"/>
      <c r="JL77" s="14"/>
      <c r="JM77" s="14"/>
      <c r="JN77" s="14"/>
      <c r="JO77" s="14"/>
    </row>
    <row r="78" spans="1:275" ht="13.2" customHeight="1" x14ac:dyDescent="0.25">
      <c r="A78" s="48" t="str">
        <f t="shared" si="4"/>
        <v>forward-EUR-6M-2Mx6M</v>
      </c>
      <c r="B78" s="49" t="str">
        <f>[1]!OBMAKE("calibItem-"&amp;ROW(),obLibs&amp;"net.finmath.marketdata.calibration.CalibratedCurves$CalibrationSpec",AN78:AY78)</f>
        <v>calibItem-78 
[14606]</v>
      </c>
      <c r="C78" s="49">
        <f>[1]!OBGET([1]!OBCALL("",[1]!OBCALL("",$B$11,"getCalibrationProductForSpec",B78),"getValue",[1]!OBCALL("",$B$11,"getModel")))</f>
        <v>0</v>
      </c>
      <c r="D78" s="14" t="str">
        <f t="shared" si="9"/>
        <v>forward-EUR-6M-2Mx6M</v>
      </c>
      <c r="E78" s="14" t="s">
        <v>147</v>
      </c>
      <c r="F78" s="40">
        <v>2</v>
      </c>
      <c r="H78" s="40" t="s">
        <v>116</v>
      </c>
      <c r="I78" s="40" t="s">
        <v>44</v>
      </c>
      <c r="J78" s="40" t="s">
        <v>107</v>
      </c>
      <c r="K78" s="40" t="s">
        <v>108</v>
      </c>
      <c r="L78" s="40" t="s">
        <v>115</v>
      </c>
      <c r="M78" s="40">
        <v>0</v>
      </c>
      <c r="N78" s="40">
        <v>0</v>
      </c>
      <c r="O78" s="33" t="s">
        <v>41</v>
      </c>
      <c r="P78" s="51">
        <v>5.9595547773900002E-3</v>
      </c>
      <c r="Q78" s="33" t="s">
        <v>38</v>
      </c>
      <c r="S78" s="40" t="s">
        <v>116</v>
      </c>
      <c r="T78" s="40" t="s">
        <v>120</v>
      </c>
      <c r="U78" s="40" t="s">
        <v>110</v>
      </c>
      <c r="V78" s="40" t="s">
        <v>148</v>
      </c>
      <c r="W78" s="40" t="s">
        <v>115</v>
      </c>
      <c r="X78" s="40">
        <v>0</v>
      </c>
      <c r="Y78" s="40">
        <v>0</v>
      </c>
      <c r="Z78" s="33" t="str">
        <f>""</f>
        <v/>
      </c>
      <c r="AA78" s="51">
        <v>0</v>
      </c>
      <c r="AB78" s="33" t="s">
        <v>38</v>
      </c>
      <c r="AC78" s="53"/>
      <c r="AD78" s="33" t="str">
        <f t="shared" si="6"/>
        <v>forward-EUR-6M</v>
      </c>
      <c r="AE78" s="54">
        <v>0.17260273972602699</v>
      </c>
      <c r="AG78" s="55" t="str">
        <f>[1]!OBMAKE(AG$15&amp;"-"&amp;ROW(),"int",$F78)</f>
        <v>spot date-78 
[12048]</v>
      </c>
      <c r="AH78" s="55" t="str">
        <f>[1]!OBMAKE(AH$15&amp;"-"&amp;ROW(),"String",$H78)</f>
        <v>start offset rec-78 
[11233]</v>
      </c>
      <c r="AI78" s="55" t="str">
        <f>[1]!OBMAKE(AI$15&amp;"-"&amp;ROW(),"String",$I78)</f>
        <v>maturity rec-78 
[10802]</v>
      </c>
      <c r="AK78" s="55" t="str">
        <f>[1]!OBMAKE(AK$15&amp;"-"&amp;ROW(),"String",$S78)</f>
        <v>start offset pay-78 
[11265]</v>
      </c>
      <c r="AL78" s="55" t="str">
        <f>[1]!OBMAKE(AL$15&amp;"-"&amp;ROW(),"String",$T78)</f>
        <v>maturity pay-78 
[12263]</v>
      </c>
      <c r="AN78" s="55" t="str">
        <f>[1]!OBMAKE(AN$15&amp;"-"&amp;ROW(),"String",D78)</f>
        <v>symbol-78 
[11288]</v>
      </c>
      <c r="AO78" s="55" t="str">
        <f>[1]!OBMAKE(AO$15&amp;"-"&amp;ROW(),"String",E78)</f>
        <v>type-78 
[10899]</v>
      </c>
      <c r="AP78" s="55" t="str">
        <f>[1]!OBCALL(AP$15&amp;"-"&amp;ROW(),obLibs&amp;"net.finmath.time.ScheduleGenerator","createScheduleFromConventions",$H$8,$AG78,$AH78:$AI78,[1]!OBMAKE("","String",$J78),[1]!OBMAKE("","String",$K78),$H$9,[1]!OBMAKE("","String",$L78),$H$10,[1]!OBMAKE("","int",$M78),[1]!OBMAKE("","int",$N78))</f>
        <v>tenor rec-78 
[14605]</v>
      </c>
      <c r="AQ78" s="55" t="str">
        <f>[1]!OBMAKE(AQ$15&amp;"-"&amp;ROW(),"String",O78)</f>
        <v>forward rec-78 
[11461]</v>
      </c>
      <c r="AR78" s="55" t="str">
        <f>[1]!OBMAKE(AR$15&amp;"-"&amp;ROW(),"double",P78)</f>
        <v>spread rec-78 
[11157]</v>
      </c>
      <c r="AS78" s="55" t="str">
        <f>[1]!OBMAKE(AS$15&amp;"-"&amp;ROW(),"String",Q78)</f>
        <v>discount rec-78 
[11563]</v>
      </c>
      <c r="AT78" s="55" t="str">
        <f>[1]!OBCALL(AT$15&amp;"-"&amp;ROW(),obLibs&amp;"net.finmath.time.ScheduleGenerator","createScheduleFromConventions",$H$8,$AG78,$AK78:$AL78,[1]!OBMAKE("","String",$U78),[1]!OBMAKE("","String",$V78),$H$9,[1]!OBMAKE("","String",$L78),$H$10,[1]!OBMAKE("","int",$X78),[1]!OBMAKE("","int",$Y78))</f>
        <v>tenor pay-78 
[13180]</v>
      </c>
      <c r="AU78" s="55" t="str">
        <f>[1]!OBMAKE(AU$15&amp;"-"&amp;ROW(),"String",Z78)</f>
        <v>forward pay-78 
[12153]</v>
      </c>
      <c r="AV78" s="55" t="str">
        <f>[1]!OBMAKE(AV$15&amp;"-"&amp;ROW(),"double",AA78)</f>
        <v>spread pay-78 
[11184]</v>
      </c>
      <c r="AW78" s="55" t="str">
        <f>[1]!OBMAKE(AW$15&amp;"-"&amp;ROW(),"String",AB78)</f>
        <v>disocunt pay-78 
[11684]</v>
      </c>
      <c r="AX78" s="55" t="str">
        <f>[1]!OBMAKE(AX$15&amp;"-"&amp;ROW(),"String",AD78)</f>
        <v>calibration curve-78 
[10823]</v>
      </c>
      <c r="AY78" s="55" t="str">
        <f>[1]!OBMAKE(AY$15&amp;"-"&amp;ROW(),"double",AE78)</f>
        <v>calibration time-78 
[11548]</v>
      </c>
      <c r="JJ78" s="14"/>
      <c r="JK78" s="14"/>
      <c r="JL78" s="14"/>
      <c r="JM78" s="14"/>
      <c r="JN78" s="14"/>
      <c r="JO78" s="14"/>
    </row>
    <row r="79" spans="1:275" ht="13.2" customHeight="1" x14ac:dyDescent="0.25">
      <c r="A79" s="48" t="str">
        <f t="shared" si="4"/>
        <v>forward-EUR-6M-3Mx6M</v>
      </c>
      <c r="B79" s="49" t="str">
        <f>[1]!OBMAKE("calibItem-"&amp;ROW(),obLibs&amp;"net.finmath.marketdata.calibration.CalibratedCurves$CalibrationSpec",AN79:AY79)</f>
        <v>calibItem-79 
[14282]</v>
      </c>
      <c r="C79" s="49">
        <f>[1]!OBGET([1]!OBCALL("",[1]!OBCALL("",$B$11,"getCalibrationProductForSpec",B79),"getValue",[1]!OBCALL("",$B$11,"getModel")))</f>
        <v>0</v>
      </c>
      <c r="D79" s="14" t="str">
        <f t="shared" si="9"/>
        <v>forward-EUR-6M-3Mx6M</v>
      </c>
      <c r="E79" s="14" t="s">
        <v>147</v>
      </c>
      <c r="F79" s="40">
        <v>2</v>
      </c>
      <c r="H79" s="40" t="s">
        <v>43</v>
      </c>
      <c r="I79" s="40" t="s">
        <v>44</v>
      </c>
      <c r="J79" s="40" t="s">
        <v>107</v>
      </c>
      <c r="K79" s="40" t="s">
        <v>108</v>
      </c>
      <c r="L79" s="40" t="s">
        <v>115</v>
      </c>
      <c r="M79" s="40">
        <v>0</v>
      </c>
      <c r="N79" s="40">
        <v>0</v>
      </c>
      <c r="O79" s="33" t="s">
        <v>41</v>
      </c>
      <c r="P79" s="51">
        <v>5.93954977489E-3</v>
      </c>
      <c r="Q79" s="33" t="s">
        <v>38</v>
      </c>
      <c r="S79" s="40" t="s">
        <v>43</v>
      </c>
      <c r="T79" s="40" t="s">
        <v>121</v>
      </c>
      <c r="U79" s="40" t="s">
        <v>110</v>
      </c>
      <c r="V79" s="40" t="s">
        <v>148</v>
      </c>
      <c r="W79" s="40" t="s">
        <v>115</v>
      </c>
      <c r="X79" s="40">
        <v>0</v>
      </c>
      <c r="Y79" s="40">
        <v>0</v>
      </c>
      <c r="Z79" s="33" t="str">
        <f>""</f>
        <v/>
      </c>
      <c r="AA79" s="51">
        <v>0</v>
      </c>
      <c r="AB79" s="33" t="s">
        <v>38</v>
      </c>
      <c r="AC79" s="53"/>
      <c r="AD79" s="33" t="str">
        <f t="shared" si="6"/>
        <v>forward-EUR-6M</v>
      </c>
      <c r="AE79" s="54">
        <v>0.25753424657534302</v>
      </c>
      <c r="AG79" s="55" t="str">
        <f>[1]!OBMAKE(AG$15&amp;"-"&amp;ROW(),"int",$F79)</f>
        <v>spot date-79 
[12121]</v>
      </c>
      <c r="AH79" s="55" t="str">
        <f>[1]!OBMAKE(AH$15&amp;"-"&amp;ROW(),"String",$H79)</f>
        <v>start offset rec-79 
[11514]</v>
      </c>
      <c r="AI79" s="55" t="str">
        <f>[1]!OBMAKE(AI$15&amp;"-"&amp;ROW(),"String",$I79)</f>
        <v>maturity rec-79 
[10960]</v>
      </c>
      <c r="AK79" s="55" t="str">
        <f>[1]!OBMAKE(AK$15&amp;"-"&amp;ROW(),"String",$S79)</f>
        <v>start offset pay-79 
[12226]</v>
      </c>
      <c r="AL79" s="55" t="str">
        <f>[1]!OBMAKE(AL$15&amp;"-"&amp;ROW(),"String",$T79)</f>
        <v>maturity pay-79 
[11251]</v>
      </c>
      <c r="AN79" s="55" t="str">
        <f>[1]!OBMAKE(AN$15&amp;"-"&amp;ROW(),"String",D79)</f>
        <v>symbol-79 
[11651]</v>
      </c>
      <c r="AO79" s="55" t="str">
        <f>[1]!OBMAKE(AO$15&amp;"-"&amp;ROW(),"String",E79)</f>
        <v>type-79 
[11886]</v>
      </c>
      <c r="AP79" s="55" t="str">
        <f>[1]!OBCALL(AP$15&amp;"-"&amp;ROW(),obLibs&amp;"net.finmath.time.ScheduleGenerator","createScheduleFromConventions",$H$8,$AG79,$AH79:$AI79,[1]!OBMAKE("","String",$J79),[1]!OBMAKE("","String",$K79),$H$9,[1]!OBMAKE("","String",$L79),$H$10,[1]!OBMAKE("","int",$M79),[1]!OBMAKE("","int",$N79))</f>
        <v>tenor rec-79 
[13198]</v>
      </c>
      <c r="AQ79" s="55" t="str">
        <f>[1]!OBMAKE(AQ$15&amp;"-"&amp;ROW(),"String",O79)</f>
        <v>forward rec-79 
[11454]</v>
      </c>
      <c r="AR79" s="55" t="str">
        <f>[1]!OBMAKE(AR$15&amp;"-"&amp;ROW(),"double",P79)</f>
        <v>spread rec-79 
[12036]</v>
      </c>
      <c r="AS79" s="55" t="str">
        <f>[1]!OBMAKE(AS$15&amp;"-"&amp;ROW(),"String",Q79)</f>
        <v>discount rec-79 
[11052]</v>
      </c>
      <c r="AT79" s="55" t="str">
        <f>[1]!OBCALL(AT$15&amp;"-"&amp;ROW(),obLibs&amp;"net.finmath.time.ScheduleGenerator","createScheduleFromConventions",$H$8,$AG79,$AK79:$AL79,[1]!OBMAKE("","String",$U79),[1]!OBMAKE("","String",$V79),$H$9,[1]!OBMAKE("","String",$L79),$H$10,[1]!OBMAKE("","int",$X79),[1]!OBMAKE("","int",$Y79))</f>
        <v>tenor pay-79 
[14281]</v>
      </c>
      <c r="AU79" s="55" t="str">
        <f>[1]!OBMAKE(AU$15&amp;"-"&amp;ROW(),"String",Z79)</f>
        <v>forward pay-79 
[11141]</v>
      </c>
      <c r="AV79" s="55" t="str">
        <f>[1]!OBMAKE(AV$15&amp;"-"&amp;ROW(),"double",AA79)</f>
        <v>spread pay-79 
[12018]</v>
      </c>
      <c r="AW79" s="55" t="str">
        <f>[1]!OBMAKE(AW$15&amp;"-"&amp;ROW(),"String",AB79)</f>
        <v>disocunt pay-79 
[11668]</v>
      </c>
      <c r="AX79" s="55" t="str">
        <f>[1]!OBMAKE(AX$15&amp;"-"&amp;ROW(),"String",AD79)</f>
        <v>calibration curve-79 
[10579]</v>
      </c>
      <c r="AY79" s="55" t="str">
        <f>[1]!OBMAKE(AY$15&amp;"-"&amp;ROW(),"double",AE79)</f>
        <v>calibration time-79 
[11644]</v>
      </c>
      <c r="JJ79" s="14"/>
      <c r="JK79" s="14"/>
      <c r="JL79" s="14"/>
      <c r="JM79" s="14"/>
      <c r="JN79" s="14"/>
      <c r="JO79" s="14"/>
    </row>
    <row r="80" spans="1:275" ht="13.2" customHeight="1" x14ac:dyDescent="0.25">
      <c r="A80" s="48" t="str">
        <f t="shared" ref="A80:A110" si="10">D80</f>
        <v>forward-EUR-6M-6Mx6M</v>
      </c>
      <c r="B80" s="49" t="str">
        <f>[1]!OBMAKE("calibItem-"&amp;ROW(),obLibs&amp;"net.finmath.marketdata.calibration.CalibratedCurves$CalibrationSpec",AN80:AY80)</f>
        <v>calibItem-80 
[14936]</v>
      </c>
      <c r="C80" s="49">
        <f>[1]!OBGET([1]!OBCALL("",[1]!OBCALL("",$B$11,"getCalibrationProductForSpec",B80),"getValue",[1]!OBCALL("",$B$11,"getModel")))</f>
        <v>1.7334327528762351E-15</v>
      </c>
      <c r="D80" s="14" t="str">
        <f t="shared" si="9"/>
        <v>forward-EUR-6M-6Mx6M</v>
      </c>
      <c r="E80" s="14" t="s">
        <v>147</v>
      </c>
      <c r="F80" s="40">
        <v>2</v>
      </c>
      <c r="H80" s="40" t="s">
        <v>44</v>
      </c>
      <c r="I80" s="40" t="s">
        <v>44</v>
      </c>
      <c r="J80" s="40" t="s">
        <v>107</v>
      </c>
      <c r="K80" s="40" t="s">
        <v>108</v>
      </c>
      <c r="L80" s="40" t="s">
        <v>115</v>
      </c>
      <c r="M80" s="40">
        <v>0</v>
      </c>
      <c r="N80" s="40">
        <v>0</v>
      </c>
      <c r="O80" s="33" t="s">
        <v>41</v>
      </c>
      <c r="P80" s="51">
        <v>5.9095422711399996E-3</v>
      </c>
      <c r="Q80" s="33" t="s">
        <v>38</v>
      </c>
      <c r="S80" s="40" t="s">
        <v>44</v>
      </c>
      <c r="T80" s="40" t="s">
        <v>124</v>
      </c>
      <c r="U80" s="40" t="s">
        <v>110</v>
      </c>
      <c r="V80" s="40" t="s">
        <v>148</v>
      </c>
      <c r="W80" s="40" t="s">
        <v>115</v>
      </c>
      <c r="X80" s="40">
        <v>0</v>
      </c>
      <c r="Y80" s="40">
        <v>0</v>
      </c>
      <c r="Z80" s="33" t="str">
        <f>""</f>
        <v/>
      </c>
      <c r="AA80" s="51">
        <v>0</v>
      </c>
      <c r="AB80" s="33" t="s">
        <v>38</v>
      </c>
      <c r="AC80" s="53"/>
      <c r="AD80" s="33" t="str">
        <f t="shared" si="6"/>
        <v>forward-EUR-6M</v>
      </c>
      <c r="AE80" s="54">
        <v>0.50684931506849296</v>
      </c>
      <c r="AG80" s="55" t="str">
        <f>[1]!OBMAKE(AG$15&amp;"-"&amp;ROW(),"int",$F80)</f>
        <v>spot date-80 
[10873]</v>
      </c>
      <c r="AH80" s="55" t="str">
        <f>[1]!OBMAKE(AH$15&amp;"-"&amp;ROW(),"String",$H80)</f>
        <v>start offset rec-80 
[11170]</v>
      </c>
      <c r="AI80" s="55" t="str">
        <f>[1]!OBMAKE(AI$15&amp;"-"&amp;ROW(),"String",$I80)</f>
        <v>maturity rec-80 
[11270]</v>
      </c>
      <c r="AK80" s="55" t="str">
        <f>[1]!OBMAKE(AK$15&amp;"-"&amp;ROW(),"String",$S80)</f>
        <v>start offset pay-80 
[11134]</v>
      </c>
      <c r="AL80" s="55" t="str">
        <f>[1]!OBMAKE(AL$15&amp;"-"&amp;ROW(),"String",$T80)</f>
        <v>maturity pay-80 
[10796]</v>
      </c>
      <c r="AN80" s="55" t="str">
        <f>[1]!OBMAKE(AN$15&amp;"-"&amp;ROW(),"String",D80)</f>
        <v>symbol-80 
[11949]</v>
      </c>
      <c r="AO80" s="55" t="str">
        <f>[1]!OBMAKE(AO$15&amp;"-"&amp;ROW(),"String",E80)</f>
        <v>type-80 
[11534]</v>
      </c>
      <c r="AP80" s="55" t="str">
        <f>[1]!OBCALL(AP$15&amp;"-"&amp;ROW(),obLibs&amp;"net.finmath.time.ScheduleGenerator","createScheduleFromConventions",$H$8,$AG80,$AH80:$AI80,[1]!OBMAKE("","String",$J80),[1]!OBMAKE("","String",$K80),$H$9,[1]!OBMAKE("","String",$L80),$H$10,[1]!OBMAKE("","int",$M80),[1]!OBMAKE("","int",$N80))</f>
        <v>tenor rec-80 
[12939]</v>
      </c>
      <c r="AQ80" s="55" t="str">
        <f>[1]!OBMAKE(AQ$15&amp;"-"&amp;ROW(),"String",O80)</f>
        <v>forward rec-80 
[11590]</v>
      </c>
      <c r="AR80" s="55" t="str">
        <f>[1]!OBMAKE(AR$15&amp;"-"&amp;ROW(),"double",P80)</f>
        <v>spread rec-80 
[11036]</v>
      </c>
      <c r="AS80" s="55" t="str">
        <f>[1]!OBMAKE(AS$15&amp;"-"&amp;ROW(),"String",Q80)</f>
        <v>discount rec-80 
[11819]</v>
      </c>
      <c r="AT80" s="55" t="str">
        <f>[1]!OBCALL(AT$15&amp;"-"&amp;ROW(),obLibs&amp;"net.finmath.time.ScheduleGenerator","createScheduleFromConventions",$H$8,$AG80,$AK80:$AL80,[1]!OBMAKE("","String",$U80),[1]!OBMAKE("","String",$V80),$H$9,[1]!OBMAKE("","String",$L80),$H$10,[1]!OBMAKE("","int",$X80),[1]!OBMAKE("","int",$Y80))</f>
        <v>tenor pay-80 
[13871]</v>
      </c>
      <c r="AU80" s="55" t="str">
        <f>[1]!OBMAKE(AU$15&amp;"-"&amp;ROW(),"String",Z80)</f>
        <v>forward pay-80 
[11350]</v>
      </c>
      <c r="AV80" s="55" t="str">
        <f>[1]!OBMAKE(AV$15&amp;"-"&amp;ROW(),"double",AA80)</f>
        <v>spread pay-80 
[11492]</v>
      </c>
      <c r="AW80" s="55" t="str">
        <f>[1]!OBMAKE(AW$15&amp;"-"&amp;ROW(),"String",AB80)</f>
        <v>disocunt pay-80 
[11723]</v>
      </c>
      <c r="AX80" s="55" t="str">
        <f>[1]!OBMAKE(AX$15&amp;"-"&amp;ROW(),"String",AD80)</f>
        <v>calibration curve-80 
[12171]</v>
      </c>
      <c r="AY80" s="55" t="str">
        <f>[1]!OBMAKE(AY$15&amp;"-"&amp;ROW(),"double",AE80)</f>
        <v>calibration time-80 
[11094]</v>
      </c>
      <c r="JJ80" s="14"/>
      <c r="JK80" s="14"/>
      <c r="JL80" s="14"/>
      <c r="JM80" s="14"/>
      <c r="JN80" s="14"/>
      <c r="JO80" s="14"/>
    </row>
    <row r="81" spans="1:275" ht="13.2" customHeight="1" x14ac:dyDescent="0.25">
      <c r="A81" s="48" t="str">
        <f t="shared" si="10"/>
        <v>forward-EUR-6M-9Mx6M</v>
      </c>
      <c r="B81" s="49" t="str">
        <f>[1]!OBMAKE("calibItem-"&amp;ROW(),obLibs&amp;"net.finmath.marketdata.calibration.CalibratedCurves$CalibrationSpec",AN81:AY81)</f>
        <v>calibItem-81 
[14962]</v>
      </c>
      <c r="C81" s="49">
        <f>[1]!OBGET([1]!OBCALL("",[1]!OBCALL("",$B$11,"getCalibrationProductForSpec",B81),"getValue",[1]!OBCALL("",$B$11,"getModel")))</f>
        <v>4.3673549541219736E-19</v>
      </c>
      <c r="D81" s="14" t="str">
        <f t="shared" si="9"/>
        <v>forward-EUR-6M-9Mx6M</v>
      </c>
      <c r="E81" s="14" t="s">
        <v>147</v>
      </c>
      <c r="F81" s="40">
        <v>2</v>
      </c>
      <c r="H81" s="40" t="s">
        <v>121</v>
      </c>
      <c r="I81" s="40" t="s">
        <v>44</v>
      </c>
      <c r="J81" s="40" t="s">
        <v>107</v>
      </c>
      <c r="K81" s="40" t="s">
        <v>108</v>
      </c>
      <c r="L81" s="40" t="s">
        <v>115</v>
      </c>
      <c r="M81" s="40">
        <v>0</v>
      </c>
      <c r="N81" s="40">
        <v>0</v>
      </c>
      <c r="O81" s="33" t="s">
        <v>41</v>
      </c>
      <c r="P81" s="51">
        <v>5.8395247623799999E-3</v>
      </c>
      <c r="Q81" s="33" t="s">
        <v>38</v>
      </c>
      <c r="S81" s="40" t="s">
        <v>121</v>
      </c>
      <c r="T81" s="40" t="s">
        <v>126</v>
      </c>
      <c r="U81" s="40" t="s">
        <v>110</v>
      </c>
      <c r="V81" s="40" t="s">
        <v>148</v>
      </c>
      <c r="W81" s="40" t="s">
        <v>115</v>
      </c>
      <c r="X81" s="40">
        <v>0</v>
      </c>
      <c r="Y81" s="40">
        <v>0</v>
      </c>
      <c r="Z81" s="33" t="str">
        <f>""</f>
        <v/>
      </c>
      <c r="AA81" s="51">
        <v>0</v>
      </c>
      <c r="AB81" s="33" t="s">
        <v>38</v>
      </c>
      <c r="AC81" s="53"/>
      <c r="AD81" s="33" t="str">
        <f t="shared" si="6"/>
        <v>forward-EUR-6M</v>
      </c>
      <c r="AE81" s="54">
        <v>0.75342465753424703</v>
      </c>
      <c r="AG81" s="55" t="str">
        <f>[1]!OBMAKE(AG$15&amp;"-"&amp;ROW(),"int",$F81)</f>
        <v>spot date-81 
[11372]</v>
      </c>
      <c r="AH81" s="55" t="str">
        <f>[1]!OBMAKE(AH$15&amp;"-"&amp;ROW(),"String",$H81)</f>
        <v>start offset rec-81 
[11579]</v>
      </c>
      <c r="AI81" s="55" t="str">
        <f>[1]!OBMAKE(AI$15&amp;"-"&amp;ROW(),"String",$I81)</f>
        <v>maturity rec-81 
[11065]</v>
      </c>
      <c r="AK81" s="55" t="str">
        <f>[1]!OBMAKE(AK$15&amp;"-"&amp;ROW(),"String",$S81)</f>
        <v>start offset pay-81 
[12244]</v>
      </c>
      <c r="AL81" s="55" t="str">
        <f>[1]!OBMAKE(AL$15&amp;"-"&amp;ROW(),"String",$T81)</f>
        <v>maturity pay-81 
[12219]</v>
      </c>
      <c r="AN81" s="55" t="str">
        <f>[1]!OBMAKE(AN$15&amp;"-"&amp;ROW(),"String",D81)</f>
        <v>symbol-81 
[12324]</v>
      </c>
      <c r="AO81" s="55" t="str">
        <f>[1]!OBMAKE(AO$15&amp;"-"&amp;ROW(),"String",E81)</f>
        <v>type-81 
[11326]</v>
      </c>
      <c r="AP81" s="55" t="str">
        <f>[1]!OBCALL(AP$15&amp;"-"&amp;ROW(),obLibs&amp;"net.finmath.time.ScheduleGenerator","createScheduleFromConventions",$H$8,$AG81,$AH81:$AI81,[1]!OBMAKE("","String",$J81),[1]!OBMAKE("","String",$K81),$H$9,[1]!OBMAKE("","String",$L81),$H$10,[1]!OBMAKE("","int",$M81),[1]!OBMAKE("","int",$N81))</f>
        <v>tenor rec-81 
[14423]</v>
      </c>
      <c r="AQ81" s="55" t="str">
        <f>[1]!OBMAKE(AQ$15&amp;"-"&amp;ROW(),"String",O81)</f>
        <v>forward rec-81 
[10809]</v>
      </c>
      <c r="AR81" s="55" t="str">
        <f>[1]!OBMAKE(AR$15&amp;"-"&amp;ROW(),"double",P81)</f>
        <v>spread rec-81 
[10753]</v>
      </c>
      <c r="AS81" s="55" t="str">
        <f>[1]!OBMAKE(AS$15&amp;"-"&amp;ROW(),"String",Q81)</f>
        <v>discount rec-81 
[11364]</v>
      </c>
      <c r="AT81" s="55" t="str">
        <f>[1]!OBCALL(AT$15&amp;"-"&amp;ROW(),obLibs&amp;"net.finmath.time.ScheduleGenerator","createScheduleFromConventions",$H$8,$AG81,$AK81:$AL81,[1]!OBMAKE("","String",$U81),[1]!OBMAKE("","String",$V81),$H$9,[1]!OBMAKE("","String",$L81),$H$10,[1]!OBMAKE("","int",$X81),[1]!OBMAKE("","int",$Y81))</f>
        <v>tenor pay-81 
[14712]</v>
      </c>
      <c r="AU81" s="55" t="str">
        <f>[1]!OBMAKE(AU$15&amp;"-"&amp;ROW(),"String",Z81)</f>
        <v>forward pay-81 
[11730]</v>
      </c>
      <c r="AV81" s="55" t="str">
        <f>[1]!OBMAKE(AV$15&amp;"-"&amp;ROW(),"double",AA81)</f>
        <v>spread pay-81 
[10545]</v>
      </c>
      <c r="AW81" s="55" t="str">
        <f>[1]!OBMAKE(AW$15&amp;"-"&amp;ROW(),"String",AB81)</f>
        <v>disocunt pay-81 
[11422]</v>
      </c>
      <c r="AX81" s="55" t="str">
        <f>[1]!OBMAKE(AX$15&amp;"-"&amp;ROW(),"String",AD81)</f>
        <v>calibration curve-81 
[11499]</v>
      </c>
      <c r="AY81" s="55" t="str">
        <f>[1]!OBMAKE(AY$15&amp;"-"&amp;ROW(),"double",AE81)</f>
        <v>calibration time-81 
[11244]</v>
      </c>
      <c r="JJ81" s="14"/>
      <c r="JK81" s="14"/>
      <c r="JL81" s="14"/>
      <c r="JM81" s="14"/>
      <c r="JN81" s="14"/>
      <c r="JO81" s="14"/>
    </row>
    <row r="82" spans="1:275" ht="13.2" customHeight="1" x14ac:dyDescent="0.25">
      <c r="A82" s="48" t="str">
        <f t="shared" si="10"/>
        <v>forward-EUR-6M-12Mx6M</v>
      </c>
      <c r="B82" s="49" t="str">
        <f>[1]!OBMAKE("calibItem-"&amp;ROW(),obLibs&amp;"net.finmath.marketdata.calibration.CalibratedCurves$CalibrationSpec",AN82:AY82)</f>
        <v>calibItem-82 
[14976]</v>
      </c>
      <c r="C82" s="49">
        <f>[1]!OBGET([1]!OBCALL("",[1]!OBCALL("",$B$11,"getCalibrationProductForSpec",B82),"getValue",[1]!OBCALL("",$B$11,"getModel")))</f>
        <v>1.9059089649393579E-15</v>
      </c>
      <c r="D82" s="14" t="str">
        <f t="shared" si="9"/>
        <v>forward-EUR-6M-12Mx6M</v>
      </c>
      <c r="E82" s="14" t="s">
        <v>147</v>
      </c>
      <c r="F82" s="40">
        <v>2</v>
      </c>
      <c r="H82" s="40" t="s">
        <v>124</v>
      </c>
      <c r="I82" s="40" t="s">
        <v>44</v>
      </c>
      <c r="J82" s="40" t="s">
        <v>107</v>
      </c>
      <c r="K82" s="40" t="s">
        <v>108</v>
      </c>
      <c r="L82" s="40" t="s">
        <v>115</v>
      </c>
      <c r="M82" s="40">
        <v>0</v>
      </c>
      <c r="N82" s="40">
        <v>0</v>
      </c>
      <c r="O82" s="33" t="s">
        <v>41</v>
      </c>
      <c r="P82" s="51">
        <v>5.8395247623799999E-3</v>
      </c>
      <c r="Q82" s="33" t="s">
        <v>38</v>
      </c>
      <c r="S82" s="40" t="s">
        <v>124</v>
      </c>
      <c r="T82" s="40" t="s">
        <v>127</v>
      </c>
      <c r="U82" s="40" t="s">
        <v>110</v>
      </c>
      <c r="V82" s="40" t="s">
        <v>148</v>
      </c>
      <c r="W82" s="40" t="s">
        <v>115</v>
      </c>
      <c r="X82" s="40">
        <v>0</v>
      </c>
      <c r="Y82" s="40">
        <v>0</v>
      </c>
      <c r="Z82" s="33" t="str">
        <f>""</f>
        <v/>
      </c>
      <c r="AA82" s="51">
        <v>0</v>
      </c>
      <c r="AB82" s="33" t="s">
        <v>38</v>
      </c>
      <c r="AC82" s="53"/>
      <c r="AD82" s="33" t="str">
        <f t="shared" si="6"/>
        <v>forward-EUR-6M</v>
      </c>
      <c r="AE82" s="54">
        <v>1.0054794520547901</v>
      </c>
      <c r="AG82" s="55" t="str">
        <f>[1]!OBMAKE(AG$15&amp;"-"&amp;ROW(),"int",$F82)</f>
        <v>spot date-82 
[11799]</v>
      </c>
      <c r="AH82" s="55" t="str">
        <f>[1]!OBMAKE(AH$15&amp;"-"&amp;ROW(),"String",$H82)</f>
        <v>start offset rec-82 
[11447]</v>
      </c>
      <c r="AI82" s="55" t="str">
        <f>[1]!OBMAKE(AI$15&amp;"-"&amp;ROW(),"String",$I82)</f>
        <v>maturity rec-82 
[10946]</v>
      </c>
      <c r="AK82" s="55" t="str">
        <f>[1]!OBMAKE(AK$15&amp;"-"&amp;ROW(),"String",$S82)</f>
        <v>start offset pay-82 
[11859]</v>
      </c>
      <c r="AL82" s="55" t="str">
        <f>[1]!OBMAKE(AL$15&amp;"-"&amp;ROW(),"String",$T82)</f>
        <v>maturity pay-82 
[12296]</v>
      </c>
      <c r="AN82" s="55" t="str">
        <f>[1]!OBMAKE(AN$15&amp;"-"&amp;ROW(),"String",D82)</f>
        <v>symbol-82 
[11029]</v>
      </c>
      <c r="AO82" s="55" t="str">
        <f>[1]!OBMAKE(AO$15&amp;"-"&amp;ROW(),"String",E82)</f>
        <v>type-82 
[11231]</v>
      </c>
      <c r="AP82" s="55" t="str">
        <f>[1]!OBCALL(AP$15&amp;"-"&amp;ROW(),obLibs&amp;"net.finmath.time.ScheduleGenerator","createScheduleFromConventions",$H$8,$AG82,$AH82:$AI82,[1]!OBMAKE("","String",$J82),[1]!OBMAKE("","String",$K82),$H$9,[1]!OBMAKE("","String",$L82),$H$10,[1]!OBMAKE("","int",$M82),[1]!OBMAKE("","int",$N82))</f>
        <v>tenor rec-82 
[13014]</v>
      </c>
      <c r="AQ82" s="55" t="str">
        <f>[1]!OBMAKE(AQ$15&amp;"-"&amp;ROW(),"String",O82)</f>
        <v>forward rec-82 
[11784]</v>
      </c>
      <c r="AR82" s="55" t="str">
        <f>[1]!OBMAKE(AR$15&amp;"-"&amp;ROW(),"double",P82)</f>
        <v>spread rec-82 
[11637]</v>
      </c>
      <c r="AS82" s="55" t="str">
        <f>[1]!OBMAKE(AS$15&amp;"-"&amp;ROW(),"String",Q82)</f>
        <v>discount rec-82 
[11219]</v>
      </c>
      <c r="AT82" s="55" t="str">
        <f>[1]!OBCALL(AT$15&amp;"-"&amp;ROW(),obLibs&amp;"net.finmath.time.ScheduleGenerator","createScheduleFromConventions",$H$8,$AG82,$AK82:$AL82,[1]!OBMAKE("","String",$U82),[1]!OBMAKE("","String",$V82),$H$9,[1]!OBMAKE("","String",$L82),$H$10,[1]!OBMAKE("","int",$X82),[1]!OBMAKE("","int",$Y82))</f>
        <v>tenor pay-82 
[12999]</v>
      </c>
      <c r="AU82" s="55" t="str">
        <f>[1]!OBMAKE(AU$15&amp;"-"&amp;ROW(),"String",Z82)</f>
        <v>forward pay-82 
[11968]</v>
      </c>
      <c r="AV82" s="55" t="str">
        <f>[1]!OBMAKE(AV$15&amp;"-"&amp;ROW(),"double",AA82)</f>
        <v>spread pay-82 
[11156]</v>
      </c>
      <c r="AW82" s="55" t="str">
        <f>[1]!OBMAKE(AW$15&amp;"-"&amp;ROW(),"String",AB82)</f>
        <v>disocunt pay-82 
[10723]</v>
      </c>
      <c r="AX82" s="55" t="str">
        <f>[1]!OBMAKE(AX$15&amp;"-"&amp;ROW(),"String",AD82)</f>
        <v>calibration curve-82 
[11614]</v>
      </c>
      <c r="AY82" s="55" t="str">
        <f>[1]!OBMAKE(AY$15&amp;"-"&amp;ROW(),"double",AE82)</f>
        <v>calibration time-82 
[12100]</v>
      </c>
      <c r="JJ82" s="14"/>
      <c r="JK82" s="14"/>
      <c r="JL82" s="14"/>
      <c r="JM82" s="14"/>
      <c r="JN82" s="14"/>
      <c r="JO82" s="14"/>
    </row>
    <row r="83" spans="1:275" ht="13.2" customHeight="1" x14ac:dyDescent="0.25">
      <c r="A83" s="48" t="str">
        <f t="shared" si="10"/>
        <v>forward-EUR-6M-2Y</v>
      </c>
      <c r="B83" s="49" t="str">
        <f>[1]!OBMAKE("calibItem-"&amp;ROW(),obLibs&amp;"net.finmath.marketdata.calibration.CalibratedCurves$CalibrationSpec",AN83:AY83)</f>
        <v>calibItem-83 
[15014]</v>
      </c>
      <c r="C83" s="49">
        <f>[1]!OBGET([1]!OBCALL("",[1]!OBCALL("",$B$11,"getCalibrationProductForSpec",B83),"getValue",[1]!OBCALL("",$B$11,"getModel")))</f>
        <v>-3.6637359812630166E-15</v>
      </c>
      <c r="D83" s="14" t="str">
        <f t="shared" ref="D83:D110" si="11">AD83&amp;"-"&amp;I83</f>
        <v>forward-EUR-6M-2Y</v>
      </c>
      <c r="E83" s="14" t="s">
        <v>125</v>
      </c>
      <c r="F83" s="40">
        <v>2</v>
      </c>
      <c r="H83" s="40" t="s">
        <v>105</v>
      </c>
      <c r="I83" s="40" t="s">
        <v>129</v>
      </c>
      <c r="J83" s="40" t="s">
        <v>151</v>
      </c>
      <c r="K83" s="40" t="s">
        <v>108</v>
      </c>
      <c r="L83" s="40" t="s">
        <v>109</v>
      </c>
      <c r="M83" s="40">
        <v>0</v>
      </c>
      <c r="N83" s="40">
        <v>0</v>
      </c>
      <c r="O83" s="33" t="s">
        <v>41</v>
      </c>
      <c r="P83" s="40">
        <v>0</v>
      </c>
      <c r="Q83" s="33" t="s">
        <v>38</v>
      </c>
      <c r="S83" s="40" t="s">
        <v>105</v>
      </c>
      <c r="T83" s="40" t="str">
        <f t="shared" ref="T83:T110" si="12">I83</f>
        <v>2Y</v>
      </c>
      <c r="U83" s="40" t="s">
        <v>149</v>
      </c>
      <c r="V83" s="40" t="s">
        <v>108</v>
      </c>
      <c r="W83" s="40" t="s">
        <v>109</v>
      </c>
      <c r="X83" s="40">
        <v>0</v>
      </c>
      <c r="Y83" s="40">
        <v>0</v>
      </c>
      <c r="Z83" s="33" t="s">
        <v>40</v>
      </c>
      <c r="AA83" s="51">
        <v>2.5500000000000002E-3</v>
      </c>
      <c r="AB83" s="33" t="s">
        <v>38</v>
      </c>
      <c r="AC83" s="53"/>
      <c r="AD83" s="33" t="str">
        <f t="shared" si="6"/>
        <v>forward-EUR-6M</v>
      </c>
      <c r="AE83" s="54">
        <f>[1]!OBGET([1]!OBCALL("",AP83,IF(OR(AD83=Q83,AD83=AB83),"getPayment","getFixing"),[1]!OBMAKE("","int",[1]!OBGET([1]!OBCALL("",AP83,"getNumberOfPeriods"))-1)))</f>
        <v>1.5041095890410958</v>
      </c>
      <c r="AG83" s="55" t="str">
        <f>[1]!OBMAKE(AG$15&amp;"-"&amp;ROW(),"int",$F83)</f>
        <v>spot date-83 
[12363]</v>
      </c>
      <c r="AH83" s="55" t="str">
        <f>[1]!OBMAKE(AH$15&amp;"-"&amp;ROW(),"String",$H83)</f>
        <v>start offset rec-83 
[11609]</v>
      </c>
      <c r="AI83" s="55" t="str">
        <f>[1]!OBMAKE(AI$15&amp;"-"&amp;ROW(),"String",$I83)</f>
        <v>maturity rec-83 
[11127]</v>
      </c>
      <c r="AK83" s="55" t="str">
        <f>[1]!OBMAKE(AK$15&amp;"-"&amp;ROW(),"String",$S83)</f>
        <v>start offset pay-83 
[10822]</v>
      </c>
      <c r="AL83" s="55" t="str">
        <f>[1]!OBMAKE(AL$15&amp;"-"&amp;ROW(),"String",$T83)</f>
        <v>maturity pay-83 
[12030]</v>
      </c>
      <c r="AN83" s="55" t="str">
        <f>[1]!OBMAKE(AN$15&amp;"-"&amp;ROW(),"String",D83)</f>
        <v>symbol-83 
[10959]</v>
      </c>
      <c r="AO83" s="55" t="str">
        <f>[1]!OBMAKE(AO$15&amp;"-"&amp;ROW(),"String",E83)</f>
        <v>type-83 
[11284]</v>
      </c>
      <c r="AP83" s="55" t="str">
        <f>[1]!OBCALL(AP$15&amp;"-"&amp;ROW(),obLibs&amp;"net.finmath.time.ScheduleGenerator","createScheduleFromConventions",$H$8,$AG83,$AH83:$AI83,[1]!OBMAKE("","String",$J83),[1]!OBMAKE("","String",$K83),$H$9,[1]!OBMAKE("","String",$L83),$H$10,[1]!OBMAKE("","int",$M83),[1]!OBMAKE("","int",$N83))</f>
        <v>tenor rec-83 
[14654]</v>
      </c>
      <c r="AQ83" s="55" t="str">
        <f>[1]!OBMAKE(AQ$15&amp;"-"&amp;ROW(),"String",O83)</f>
        <v>forward rec-83 
[11429]</v>
      </c>
      <c r="AR83" s="55" t="str">
        <f>[1]!OBMAKE(AR$15&amp;"-"&amp;ROW(),"double",P83)</f>
        <v>spread rec-83 
[11485]</v>
      </c>
      <c r="AS83" s="55" t="str">
        <f>[1]!OBMAKE(AS$15&amp;"-"&amp;ROW(),"String",Q83)</f>
        <v>discount rec-83 
[10578]</v>
      </c>
      <c r="AT83" s="55" t="str">
        <f>[1]!OBCALL(AT$15&amp;"-"&amp;ROW(),obLibs&amp;"net.finmath.time.ScheduleGenerator","createScheduleFromConventions",$H$8,$AG83,$AK83:$AL83,[1]!OBMAKE("","String",$U83),[1]!OBMAKE("","String",$V83),$H$9,[1]!OBMAKE("","String",$L83),$H$10,[1]!OBMAKE("","int",$X83),[1]!OBMAKE("","int",$Y83))</f>
        <v>tenor pay-83 
[13580]</v>
      </c>
      <c r="AU83" s="55" t="str">
        <f>[1]!OBMAKE(AU$15&amp;"-"&amp;ROW(),"String",Z83)</f>
        <v>forward pay-83 
[12188]</v>
      </c>
      <c r="AV83" s="55" t="str">
        <f>[1]!OBMAKE(AV$15&amp;"-"&amp;ROW(),"double",AA83)</f>
        <v>spread pay-83 
[11051]</v>
      </c>
      <c r="AW83" s="55" t="str">
        <f>[1]!OBMAKE(AW$15&amp;"-"&amp;ROW(),"String",AB83)</f>
        <v>disocunt pay-83 
[10989]</v>
      </c>
      <c r="AX83" s="55" t="str">
        <f>[1]!OBMAKE(AX$15&amp;"-"&amp;ROW(),"String",AD83)</f>
        <v>calibration curve-83 
[11735]</v>
      </c>
      <c r="AY83" s="55" t="str">
        <f>[1]!OBMAKE(AY$15&amp;"-"&amp;ROW(),"double",AE83)</f>
        <v>calibration time-83 
[14658]</v>
      </c>
      <c r="JJ83" s="14"/>
      <c r="JK83" s="14"/>
      <c r="JL83" s="14"/>
      <c r="JM83" s="14"/>
      <c r="JN83" s="14"/>
      <c r="JO83" s="14"/>
    </row>
    <row r="84" spans="1:275" ht="13.2" customHeight="1" x14ac:dyDescent="0.25">
      <c r="A84" s="48" t="str">
        <f t="shared" si="10"/>
        <v>forward-EUR-6M-3Y</v>
      </c>
      <c r="B84" s="49" t="str">
        <f>[1]!OBMAKE("calibItem-"&amp;ROW(),obLibs&amp;"net.finmath.marketdata.calibration.CalibratedCurves$CalibrationSpec",AN84:AY84)</f>
        <v>calibItem-84 
[14918]</v>
      </c>
      <c r="C84" s="49">
        <f>[1]!OBGET([1]!OBCALL("",[1]!OBCALL("",$B$11,"getCalibrationProductForSpec",B84),"getValue",[1]!OBCALL("",$B$11,"getModel")))</f>
        <v>5.9952043329758453E-15</v>
      </c>
      <c r="D84" s="14" t="str">
        <f t="shared" si="11"/>
        <v>forward-EUR-6M-3Y</v>
      </c>
      <c r="E84" s="14" t="s">
        <v>125</v>
      </c>
      <c r="F84" s="40">
        <v>2</v>
      </c>
      <c r="H84" s="40" t="s">
        <v>105</v>
      </c>
      <c r="I84" s="40" t="s">
        <v>131</v>
      </c>
      <c r="J84" s="40" t="s">
        <v>151</v>
      </c>
      <c r="K84" s="40" t="s">
        <v>108</v>
      </c>
      <c r="L84" s="40" t="s">
        <v>109</v>
      </c>
      <c r="M84" s="40">
        <v>0</v>
      </c>
      <c r="N84" s="40">
        <v>0</v>
      </c>
      <c r="O84" s="33" t="s">
        <v>41</v>
      </c>
      <c r="P84" s="40">
        <v>0</v>
      </c>
      <c r="Q84" s="33" t="s">
        <v>38</v>
      </c>
      <c r="S84" s="40" t="s">
        <v>105</v>
      </c>
      <c r="T84" s="40" t="str">
        <f t="shared" si="12"/>
        <v>3Y</v>
      </c>
      <c r="U84" s="40" t="s">
        <v>149</v>
      </c>
      <c r="V84" s="40" t="s">
        <v>108</v>
      </c>
      <c r="W84" s="40" t="s">
        <v>109</v>
      </c>
      <c r="X84" s="40">
        <v>0</v>
      </c>
      <c r="Y84" s="40">
        <v>0</v>
      </c>
      <c r="Z84" s="33" t="s">
        <v>40</v>
      </c>
      <c r="AA84" s="51">
        <v>2.4499999999999999E-3</v>
      </c>
      <c r="AB84" s="33" t="s">
        <v>38</v>
      </c>
      <c r="AC84" s="53"/>
      <c r="AD84" s="33" t="str">
        <f t="shared" si="6"/>
        <v>forward-EUR-6M</v>
      </c>
      <c r="AE84" s="54">
        <f>[1]!OBGET([1]!OBCALL("",AP84,IF(OR(AD84=Q84,AD84=AB84),"getPayment","getFixing"),[1]!OBMAKE("","int",[1]!OBGET([1]!OBCALL("",AP84,"getNumberOfPeriods"))-1)))</f>
        <v>2.5095890410958903</v>
      </c>
      <c r="AG84" s="55" t="str">
        <f>[1]!OBMAKE(AG$15&amp;"-"&amp;ROW(),"int",$F84)</f>
        <v>spot date-84 
[12230]</v>
      </c>
      <c r="AH84" s="55" t="str">
        <f>[1]!OBMAKE(AH$15&amp;"-"&amp;ROW(),"String",$H84)</f>
        <v>start offset rec-84 
[11319]</v>
      </c>
      <c r="AI84" s="55" t="str">
        <f>[1]!OBMAKE(AI$15&amp;"-"&amp;ROW(),"String",$I84)</f>
        <v>maturity rec-84 
[10795]</v>
      </c>
      <c r="AK84" s="55" t="str">
        <f>[1]!OBMAKE(AK$15&amp;"-"&amp;ROW(),"String",$S84)</f>
        <v>start offset pay-84 
[11600]</v>
      </c>
      <c r="AL84" s="55" t="str">
        <f>[1]!OBMAKE(AL$15&amp;"-"&amp;ROW(),"String",$T84)</f>
        <v>maturity pay-84 
[11694]</v>
      </c>
      <c r="AN84" s="55" t="str">
        <f>[1]!OBMAKE(AN$15&amp;"-"&amp;ROW(),"String",D84)</f>
        <v>symbol-84 
[11941]</v>
      </c>
      <c r="AO84" s="55" t="str">
        <f>[1]!OBMAKE(AO$15&amp;"-"&amp;ROW(),"String",E84)</f>
        <v>type-84 
[11149]</v>
      </c>
      <c r="AP84" s="55" t="str">
        <f>[1]!OBCALL(AP$15&amp;"-"&amp;ROW(),obLibs&amp;"net.finmath.time.ScheduleGenerator","createScheduleFromConventions",$H$8,$AG84,$AH84:$AI84,[1]!OBMAKE("","String",$J84),[1]!OBMAKE("","String",$K84),$H$9,[1]!OBMAKE("","String",$L84),$H$10,[1]!OBMAKE("","int",$M84),[1]!OBMAKE("","int",$N84))</f>
        <v>tenor rec-84 
[13936]</v>
      </c>
      <c r="AQ84" s="55" t="str">
        <f>[1]!OBMAKE(AQ$15&amp;"-"&amp;ROW(),"String",O84)</f>
        <v>forward rec-84 
[12206]</v>
      </c>
      <c r="AR84" s="55" t="str">
        <f>[1]!OBMAKE(AR$15&amp;"-"&amp;ROW(),"double",P84)</f>
        <v>spread rec-84 
[11415]</v>
      </c>
      <c r="AS84" s="55" t="str">
        <f>[1]!OBMAKE(AS$15&amp;"-"&amp;ROW(),"String",Q84)</f>
        <v>discount rec-84 
[10898]</v>
      </c>
      <c r="AT84" s="55" t="str">
        <f>[1]!OBCALL(AT$15&amp;"-"&amp;ROW(),obLibs&amp;"net.finmath.time.ScheduleGenerator","createScheduleFromConventions",$H$8,$AG84,$AK84:$AL84,[1]!OBMAKE("","String",$U84),[1]!OBMAKE("","String",$V84),$H$9,[1]!OBMAKE("","String",$L84),$H$10,[1]!OBMAKE("","int",$X84),[1]!OBMAKE("","int",$Y84))</f>
        <v>tenor pay-84 
[13531]</v>
      </c>
      <c r="AU84" s="55" t="str">
        <f>[1]!OBMAKE(AU$15&amp;"-"&amp;ROW(),"String",Z84)</f>
        <v>forward pay-84 
[12338]</v>
      </c>
      <c r="AV84" s="55" t="str">
        <f>[1]!OBMAKE(AV$15&amp;"-"&amp;ROW(),"double",AA84)</f>
        <v>spread pay-84 
[12218]</v>
      </c>
      <c r="AW84" s="55" t="str">
        <f>[1]!OBMAKE(AW$15&amp;"-"&amp;ROW(),"String",AB84)</f>
        <v>disocunt pay-84 
[10872]</v>
      </c>
      <c r="AX84" s="55" t="str">
        <f>[1]!OBMAKE(AX$15&amp;"-"&amp;ROW(),"String",AD84)</f>
        <v>calibration curve-84 
[11708]</v>
      </c>
      <c r="AY84" s="55" t="str">
        <f>[1]!OBMAKE(AY$15&amp;"-"&amp;ROW(),"double",AE84)</f>
        <v>calibration time-84 
[13940]</v>
      </c>
      <c r="JJ84" s="14"/>
      <c r="JK84" s="14"/>
      <c r="JL84" s="14"/>
      <c r="JM84" s="14"/>
      <c r="JN84" s="14"/>
      <c r="JO84" s="14"/>
    </row>
    <row r="85" spans="1:275" ht="13.2" customHeight="1" x14ac:dyDescent="0.25">
      <c r="A85" s="48" t="str">
        <f t="shared" si="10"/>
        <v>forward-EUR-6M-4Y</v>
      </c>
      <c r="B85" s="49" t="str">
        <f>[1]!OBMAKE("calibItem-"&amp;ROW(),obLibs&amp;"net.finmath.marketdata.calibration.CalibratedCurves$CalibrationSpec",AN85:AY85)</f>
        <v>calibItem-85 
[14945]</v>
      </c>
      <c r="C85" s="49">
        <f>[1]!OBGET([1]!OBCALL("",[1]!OBCALL("",$B$11,"getCalibrationProductForSpec",B85),"getValue",[1]!OBCALL("",$B$11,"getModel")))</f>
        <v>-8.659739592076221E-15</v>
      </c>
      <c r="D85" s="14" t="str">
        <f t="shared" si="11"/>
        <v>forward-EUR-6M-4Y</v>
      </c>
      <c r="E85" s="14" t="s">
        <v>125</v>
      </c>
      <c r="F85" s="40">
        <v>2</v>
      </c>
      <c r="H85" s="40" t="s">
        <v>105</v>
      </c>
      <c r="I85" s="40" t="s">
        <v>132</v>
      </c>
      <c r="J85" s="40" t="s">
        <v>151</v>
      </c>
      <c r="K85" s="40" t="s">
        <v>108</v>
      </c>
      <c r="L85" s="40" t="s">
        <v>109</v>
      </c>
      <c r="M85" s="40">
        <v>0</v>
      </c>
      <c r="N85" s="40">
        <v>0</v>
      </c>
      <c r="O85" s="33" t="s">
        <v>41</v>
      </c>
      <c r="P85" s="40">
        <v>0</v>
      </c>
      <c r="Q85" s="33" t="s">
        <v>38</v>
      </c>
      <c r="S85" s="40" t="s">
        <v>105</v>
      </c>
      <c r="T85" s="40" t="str">
        <f t="shared" si="12"/>
        <v>4Y</v>
      </c>
      <c r="U85" s="40" t="s">
        <v>149</v>
      </c>
      <c r="V85" s="40" t="s">
        <v>108</v>
      </c>
      <c r="W85" s="40" t="s">
        <v>109</v>
      </c>
      <c r="X85" s="40">
        <v>0</v>
      </c>
      <c r="Y85" s="40">
        <v>0</v>
      </c>
      <c r="Z85" s="33" t="s">
        <v>40</v>
      </c>
      <c r="AA85" s="51">
        <v>2.2699999999999999E-3</v>
      </c>
      <c r="AB85" s="33" t="s">
        <v>38</v>
      </c>
      <c r="AC85" s="53"/>
      <c r="AD85" s="33" t="str">
        <f t="shared" si="6"/>
        <v>forward-EUR-6M</v>
      </c>
      <c r="AE85" s="54">
        <f>[1]!OBGET([1]!OBCALL("",AP85,IF(OR(AD85=Q85,AD85=AB85),"getPayment","getFixing"),[1]!OBMAKE("","int",[1]!OBGET([1]!OBCALL("",AP85,"getNumberOfPeriods"))-1)))</f>
        <v>3.506849315068493</v>
      </c>
      <c r="AG85" s="55" t="str">
        <f>[1]!OBMAKE(AG$15&amp;"-"&amp;ROW(),"int",$F85)</f>
        <v>spot date-85 
[11891]</v>
      </c>
      <c r="AH85" s="55" t="str">
        <f>[1]!OBMAKE(AH$15&amp;"-"&amp;ROW(),"String",$H85)</f>
        <v>start offset rec-85 
[11387]</v>
      </c>
      <c r="AI85" s="55" t="str">
        <f>[1]!OBMAKE(AI$15&amp;"-"&amp;ROW(),"String",$I85)</f>
        <v>maturity rec-85 
[11022]</v>
      </c>
      <c r="AK85" s="55" t="str">
        <f>[1]!OBMAKE(AK$15&amp;"-"&amp;ROW(),"String",$S85)</f>
        <v>start offset pay-85 
[11236]</v>
      </c>
      <c r="AL85" s="55" t="str">
        <f>[1]!OBMAKE(AL$15&amp;"-"&amp;ROW(),"String",$T85)</f>
        <v>maturity pay-85 
[12054]</v>
      </c>
      <c r="AN85" s="55" t="str">
        <f>[1]!OBMAKE(AN$15&amp;"-"&amp;ROW(),"String",D85)</f>
        <v>symbol-85 
[10808]</v>
      </c>
      <c r="AO85" s="55" t="str">
        <f>[1]!OBMAKE(AO$15&amp;"-"&amp;ROW(),"String",E85)</f>
        <v>type-85 
[11180]</v>
      </c>
      <c r="AP85" s="55" t="str">
        <f>[1]!OBCALL(AP$15&amp;"-"&amp;ROW(),obLibs&amp;"net.finmath.time.ScheduleGenerator","createScheduleFromConventions",$H$8,$AG85,$AH85:$AI85,[1]!OBMAKE("","String",$J85),[1]!OBMAKE("","String",$K85),$H$9,[1]!OBMAKE("","String",$L85),$H$10,[1]!OBMAKE("","int",$M85),[1]!OBMAKE("","int",$N85))</f>
        <v>tenor rec-85 
[14265]</v>
      </c>
      <c r="AQ85" s="55" t="str">
        <f>[1]!OBMAKE(AQ$15&amp;"-"&amp;ROW(),"String",O85)</f>
        <v>forward rec-85 
[12075]</v>
      </c>
      <c r="AR85" s="55" t="str">
        <f>[1]!OBMAKE(AR$15&amp;"-"&amp;ROW(),"double",P85)</f>
        <v>spread rec-85 
[11986]</v>
      </c>
      <c r="AS85" s="55" t="str">
        <f>[1]!OBMAKE(AS$15&amp;"-"&amp;ROW(),"String",Q85)</f>
        <v>discount rec-85 
[11106]</v>
      </c>
      <c r="AT85" s="55" t="str">
        <f>[1]!OBCALL(AT$15&amp;"-"&amp;ROW(),obLibs&amp;"net.finmath.time.ScheduleGenerator","createScheduleFromConventions",$H$8,$AG85,$AK85:$AL85,[1]!OBMAKE("","String",$U85),[1]!OBMAKE("","String",$V85),$H$9,[1]!OBMAKE("","String",$L85),$H$10,[1]!OBMAKE("","int",$X85),[1]!OBMAKE("","int",$Y85))</f>
        <v>tenor pay-85 
[14740]</v>
      </c>
      <c r="AU85" s="55" t="str">
        <f>[1]!OBMAKE(AU$15&amp;"-"&amp;ROW(),"String",Z85)</f>
        <v>forward pay-85 
[11979]</v>
      </c>
      <c r="AV85" s="55" t="str">
        <f>[1]!OBMAKE(AV$15&amp;"-"&amp;ROW(),"double",AA85)</f>
        <v>spread pay-85 
[11593]</v>
      </c>
      <c r="AW85" s="55" t="str">
        <f>[1]!OBMAKE(AW$15&amp;"-"&amp;ROW(),"String",AB85)</f>
        <v>disocunt pay-85 
[10544]</v>
      </c>
      <c r="AX85" s="55" t="str">
        <f>[1]!OBMAKE(AX$15&amp;"-"&amp;ROW(),"String",AD85)</f>
        <v>calibration curve-85 
[11294]</v>
      </c>
      <c r="AY85" s="55" t="str">
        <f>[1]!OBMAKE(AY$15&amp;"-"&amp;ROW(),"double",AE85)</f>
        <v>calibration time-85 
[14269]</v>
      </c>
      <c r="JJ85" s="14"/>
      <c r="JK85" s="14"/>
      <c r="JL85" s="14"/>
      <c r="JM85" s="14"/>
      <c r="JN85" s="14"/>
      <c r="JO85" s="14"/>
    </row>
    <row r="86" spans="1:275" ht="13.2" customHeight="1" x14ac:dyDescent="0.25">
      <c r="A86" s="48" t="str">
        <f t="shared" si="10"/>
        <v>forward-EUR-6M-5Y</v>
      </c>
      <c r="B86" s="49" t="str">
        <f>[1]!OBMAKE("calibItem-"&amp;ROW(),obLibs&amp;"net.finmath.marketdata.calibration.CalibratedCurves$CalibrationSpec",AN86:AY86)</f>
        <v>calibItem-86 
[14979]</v>
      </c>
      <c r="C86" s="49">
        <f>[1]!OBGET([1]!OBCALL("",[1]!OBCALL("",$B$11,"getCalibrationProductForSpec",B86),"getValue",[1]!OBCALL("",$B$11,"getModel")))</f>
        <v>1.2656542480726785E-14</v>
      </c>
      <c r="D86" s="14" t="str">
        <f t="shared" si="11"/>
        <v>forward-EUR-6M-5Y</v>
      </c>
      <c r="E86" s="14" t="s">
        <v>125</v>
      </c>
      <c r="F86" s="40">
        <v>2</v>
      </c>
      <c r="H86" s="40" t="s">
        <v>105</v>
      </c>
      <c r="I86" s="40" t="s">
        <v>133</v>
      </c>
      <c r="J86" s="40" t="s">
        <v>151</v>
      </c>
      <c r="K86" s="40" t="s">
        <v>108</v>
      </c>
      <c r="L86" s="40" t="s">
        <v>109</v>
      </c>
      <c r="M86" s="40">
        <v>0</v>
      </c>
      <c r="N86" s="40">
        <v>0</v>
      </c>
      <c r="O86" s="33" t="s">
        <v>41</v>
      </c>
      <c r="P86" s="40">
        <v>0</v>
      </c>
      <c r="Q86" s="33" t="s">
        <v>38</v>
      </c>
      <c r="S86" s="40" t="s">
        <v>105</v>
      </c>
      <c r="T86" s="40" t="str">
        <f t="shared" si="12"/>
        <v>5Y</v>
      </c>
      <c r="U86" s="40" t="s">
        <v>149</v>
      </c>
      <c r="V86" s="40" t="s">
        <v>108</v>
      </c>
      <c r="W86" s="40" t="s">
        <v>109</v>
      </c>
      <c r="X86" s="40">
        <v>0</v>
      </c>
      <c r="Y86" s="40">
        <v>0</v>
      </c>
      <c r="Z86" s="33" t="s">
        <v>40</v>
      </c>
      <c r="AA86" s="51">
        <v>2.0999999999999999E-3</v>
      </c>
      <c r="AB86" s="33" t="s">
        <v>38</v>
      </c>
      <c r="AC86" s="53"/>
      <c r="AD86" s="33" t="str">
        <f t="shared" si="6"/>
        <v>forward-EUR-6M</v>
      </c>
      <c r="AE86" s="54">
        <f>[1]!OBGET([1]!OBCALL("",AP86,IF(OR(AD86=Q86,AD86=AB86),"getPayment","getFixing"),[1]!OBMAKE("","int",[1]!OBGET([1]!OBCALL("",AP86,"getNumberOfPeriods"))-1)))</f>
        <v>4.506849315068493</v>
      </c>
      <c r="AG86" s="55" t="str">
        <f>[1]!OBMAKE(AG$15&amp;"-"&amp;ROW(),"int",$F86)</f>
        <v>spot date-86 
[12235]</v>
      </c>
      <c r="AH86" s="55" t="str">
        <f>[1]!OBMAKE(AH$15&amp;"-"&amp;ROW(),"String",$H86)</f>
        <v>start offset rec-86 
[11874]</v>
      </c>
      <c r="AI86" s="55" t="str">
        <f>[1]!OBMAKE(AI$15&amp;"-"&amp;ROW(),"String",$I86)</f>
        <v>maturity rec-86 
[10945]</v>
      </c>
      <c r="AK86" s="55" t="str">
        <f>[1]!OBMAKE(AK$15&amp;"-"&amp;ROW(),"String",$S86)</f>
        <v>start offset pay-86 
[11169]</v>
      </c>
      <c r="AL86" s="55" t="str">
        <f>[1]!OBMAKE(AL$15&amp;"-"&amp;ROW(),"String",$T86)</f>
        <v>maturity pay-86 
[11917]</v>
      </c>
      <c r="AN86" s="55" t="str">
        <f>[1]!OBMAKE(AN$15&amp;"-"&amp;ROW(),"String",D86)</f>
        <v>symbol-86 
[11582]</v>
      </c>
      <c r="AO86" s="55" t="str">
        <f>[1]!OBMAKE(AO$15&amp;"-"&amp;ROW(),"String",E86)</f>
        <v>type-86 
[10952]</v>
      </c>
      <c r="AP86" s="55" t="str">
        <f>[1]!OBCALL(AP$15&amp;"-"&amp;ROW(),obLibs&amp;"net.finmath.time.ScheduleGenerator","createScheduleFromConventions",$H$8,$AG86,$AH86:$AI86,[1]!OBMAKE("","String",$J86),[1]!OBMAKE("","String",$K86),$H$9,[1]!OBMAKE("","String",$L86),$H$10,[1]!OBMAKE("","int",$M86),[1]!OBMAKE("","int",$N86))</f>
        <v>tenor rec-86 
[14435]</v>
      </c>
      <c r="AQ86" s="55" t="str">
        <f>[1]!OBMAKE(AQ$15&amp;"-"&amp;ROW(),"String",O86)</f>
        <v>forward rec-86 
[12131]</v>
      </c>
      <c r="AR86" s="55" t="str">
        <f>[1]!OBMAKE(AR$15&amp;"-"&amp;ROW(),"double",P86)</f>
        <v>spread rec-86 
[11287]</v>
      </c>
      <c r="AS86" s="55" t="str">
        <f>[1]!OBMAKE(AS$15&amp;"-"&amp;ROW(),"String",Q86)</f>
        <v>discount rec-86 
[10752]</v>
      </c>
      <c r="AT86" s="55" t="str">
        <f>[1]!OBCALL(AT$15&amp;"-"&amp;ROW(),obLibs&amp;"net.finmath.time.ScheduleGenerator","createScheduleFromConventions",$H$8,$AG86,$AK86:$AL86,[1]!OBMAKE("","String",$U86),[1]!OBMAKE("","String",$V86),$H$9,[1]!OBMAKE("","String",$L86),$H$10,[1]!OBMAKE("","int",$X86),[1]!OBMAKE("","int",$Y86))</f>
        <v>tenor pay-86 
[13020]</v>
      </c>
      <c r="AU86" s="55" t="str">
        <f>[1]!OBMAKE(AU$15&amp;"-"&amp;ROW(),"String",Z86)</f>
        <v>forward pay-86 
[12223]</v>
      </c>
      <c r="AV86" s="55" t="str">
        <f>[1]!OBMAKE(AV$15&amp;"-"&amp;ROW(),"double",AA86)</f>
        <v>spread pay-86 
[11155]</v>
      </c>
      <c r="AW86" s="55" t="str">
        <f>[1]!OBMAKE(AW$15&amp;"-"&amp;ROW(),"String",AB86)</f>
        <v>disocunt pay-86 
[11341]</v>
      </c>
      <c r="AX86" s="55" t="str">
        <f>[1]!OBMAKE(AX$15&amp;"-"&amp;ROW(),"String",AD86)</f>
        <v>calibration curve-86 
[11190]</v>
      </c>
      <c r="AY86" s="55" t="str">
        <f>[1]!OBMAKE(AY$15&amp;"-"&amp;ROW(),"double",AE86)</f>
        <v>calibration time-86 
[14439]</v>
      </c>
      <c r="JJ86" s="14"/>
      <c r="JK86" s="14"/>
      <c r="JL86" s="14"/>
      <c r="JM86" s="14"/>
      <c r="JN86" s="14"/>
      <c r="JO86" s="14"/>
    </row>
    <row r="87" spans="1:275" ht="13.2" customHeight="1" x14ac:dyDescent="0.25">
      <c r="A87" s="48" t="str">
        <f t="shared" si="10"/>
        <v>forward-EUR-6M-6Y</v>
      </c>
      <c r="B87" s="49" t="str">
        <f>[1]!OBMAKE("calibItem-"&amp;ROW(),obLibs&amp;"net.finmath.marketdata.calibration.CalibratedCurves$CalibrationSpec",AN87:AY87)</f>
        <v>calibItem-87 
[14914]</v>
      </c>
      <c r="C87" s="49">
        <f>[1]!OBGET([1]!OBCALL("",[1]!OBCALL("",$B$11,"getCalibrationProductForSpec",B87),"getValue",[1]!OBCALL("",$B$11,"getModel")))</f>
        <v>-2.1427304375265521E-14</v>
      </c>
      <c r="D87" s="14" t="str">
        <f t="shared" si="11"/>
        <v>forward-EUR-6M-6Y</v>
      </c>
      <c r="E87" s="14" t="s">
        <v>125</v>
      </c>
      <c r="F87" s="40">
        <v>2</v>
      </c>
      <c r="H87" s="40" t="s">
        <v>105</v>
      </c>
      <c r="I87" s="40" t="s">
        <v>134</v>
      </c>
      <c r="J87" s="40" t="s">
        <v>151</v>
      </c>
      <c r="K87" s="40" t="s">
        <v>108</v>
      </c>
      <c r="L87" s="40" t="s">
        <v>109</v>
      </c>
      <c r="M87" s="40">
        <v>0</v>
      </c>
      <c r="N87" s="40">
        <v>0</v>
      </c>
      <c r="O87" s="33" t="s">
        <v>41</v>
      </c>
      <c r="P87" s="40">
        <v>0</v>
      </c>
      <c r="Q87" s="33" t="s">
        <v>38</v>
      </c>
      <c r="S87" s="40" t="s">
        <v>105</v>
      </c>
      <c r="T87" s="40" t="str">
        <f t="shared" si="12"/>
        <v>6Y</v>
      </c>
      <c r="U87" s="40" t="s">
        <v>149</v>
      </c>
      <c r="V87" s="40" t="s">
        <v>108</v>
      </c>
      <c r="W87" s="40" t="s">
        <v>109</v>
      </c>
      <c r="X87" s="40">
        <v>0</v>
      </c>
      <c r="Y87" s="40">
        <v>0</v>
      </c>
      <c r="Z87" s="33" t="s">
        <v>40</v>
      </c>
      <c r="AA87" s="51">
        <v>1.99E-3</v>
      </c>
      <c r="AB87" s="33" t="s">
        <v>38</v>
      </c>
      <c r="AC87" s="53"/>
      <c r="AD87" s="33" t="str">
        <f t="shared" si="6"/>
        <v>forward-EUR-6M</v>
      </c>
      <c r="AE87" s="54">
        <f>[1]!OBGET([1]!OBCALL("",AP87,IF(OR(AD87=Q87,AD87=AB87),"getPayment","getFixing"),[1]!OBMAKE("","int",[1]!OBGET([1]!OBCALL("",AP87,"getNumberOfPeriods"))-1)))</f>
        <v>5.506849315068493</v>
      </c>
      <c r="AG87" s="55" t="str">
        <f>[1]!OBMAKE(AG$15&amp;"-"&amp;ROW(),"int",$F87)</f>
        <v>spot date-87 
[11777]</v>
      </c>
      <c r="AH87" s="55" t="str">
        <f>[1]!OBMAKE(AH$15&amp;"-"&amp;ROW(),"String",$H87)</f>
        <v>start offset rec-87 
[11183]</v>
      </c>
      <c r="AI87" s="55" t="str">
        <f>[1]!OBMAKE(AI$15&amp;"-"&amp;ROW(),"String",$I87)</f>
        <v>maturity rec-87 
[11357]</v>
      </c>
      <c r="AK87" s="55" t="str">
        <f>[1]!OBMAKE(AK$15&amp;"-"&amp;ROW(),"String",$S87)</f>
        <v>start offset pay-87 
[10972]</v>
      </c>
      <c r="AL87" s="55" t="str">
        <f>[1]!OBMAKE(AL$15&amp;"-"&amp;ROW(),"String",$T87)</f>
        <v>maturity pay-87 
[11283]</v>
      </c>
      <c r="AN87" s="55" t="str">
        <f>[1]!OBMAKE(AN$15&amp;"-"&amp;ROW(),"String",D87)</f>
        <v>symbol-87 
[10958]</v>
      </c>
      <c r="AO87" s="55" t="str">
        <f>[1]!OBMAKE(AO$15&amp;"-"&amp;ROW(),"String",E87)</f>
        <v>type-87 
[12117]</v>
      </c>
      <c r="AP87" s="55" t="str">
        <f>[1]!OBCALL(AP$15&amp;"-"&amp;ROW(),obLibs&amp;"net.finmath.time.ScheduleGenerator","createScheduleFromConventions",$H$8,$AG87,$AH87:$AI87,[1]!OBMAKE("","String",$J87),[1]!OBMAKE("","String",$K87),$H$9,[1]!OBMAKE("","String",$L87),$H$10,[1]!OBMAKE("","int",$M87),[1]!OBMAKE("","int",$N87))</f>
        <v>tenor rec-87 
[13026]</v>
      </c>
      <c r="AQ87" s="55" t="str">
        <f>[1]!OBMAKE(AQ$15&amp;"-"&amp;ROW(),"String",O87)</f>
        <v>forward rec-87 
[11301]</v>
      </c>
      <c r="AR87" s="55" t="str">
        <f>[1]!OBMAKE(AR$15&amp;"-"&amp;ROW(),"double",P87)</f>
        <v>spread rec-87 
[12330]</v>
      </c>
      <c r="AS87" s="55" t="str">
        <f>[1]!OBMAKE(AS$15&amp;"-"&amp;ROW(),"String",Q87)</f>
        <v>discount rec-87 
[10577]</v>
      </c>
      <c r="AT87" s="55" t="str">
        <f>[1]!OBCALL(AT$15&amp;"-"&amp;ROW(),obLibs&amp;"net.finmath.time.ScheduleGenerator","createScheduleFromConventions",$H$8,$AG87,$AK87:$AL87,[1]!OBMAKE("","String",$U87),[1]!OBMAKE("","String",$V87),$H$9,[1]!OBMAKE("","String",$L87),$H$10,[1]!OBMAKE("","int",$X87),[1]!OBMAKE("","int",$Y87))</f>
        <v>tenor pay-87 
[14137]</v>
      </c>
      <c r="AU87" s="55" t="str">
        <f>[1]!OBMAKE(AU$15&amp;"-"&amp;ROW(),"String",Z87)</f>
        <v>forward pay-87 
[11904]</v>
      </c>
      <c r="AV87" s="55" t="str">
        <f>[1]!OBMAKE(AV$15&amp;"-"&amp;ROW(),"double",AA87)</f>
        <v>spread pay-87 
[11050]</v>
      </c>
      <c r="AW87" s="55" t="str">
        <f>[1]!OBMAKE(AW$15&amp;"-"&amp;ROW(),"String",AB87)</f>
        <v>disocunt pay-87 
[10722]</v>
      </c>
      <c r="AX87" s="55" t="str">
        <f>[1]!OBMAKE(AX$15&amp;"-"&amp;ROW(),"String",AD87)</f>
        <v>calibration curve-87 
[11991]</v>
      </c>
      <c r="AY87" s="55" t="str">
        <f>[1]!OBMAKE(AY$15&amp;"-"&amp;ROW(),"double",AE87)</f>
        <v>calibration time-87 
[13784]</v>
      </c>
      <c r="JJ87" s="14"/>
      <c r="JK87" s="14"/>
      <c r="JL87" s="14"/>
      <c r="JM87" s="14"/>
      <c r="JN87" s="14"/>
      <c r="JO87" s="14"/>
    </row>
    <row r="88" spans="1:275" ht="13.2" customHeight="1" x14ac:dyDescent="0.25">
      <c r="A88" s="48" t="str">
        <f t="shared" si="10"/>
        <v>forward-EUR-6M-7Y</v>
      </c>
      <c r="B88" s="49" t="str">
        <f>[1]!OBMAKE("calibItem-"&amp;ROW(),obLibs&amp;"net.finmath.marketdata.calibration.CalibratedCurves$CalibrationSpec",AN88:AY88)</f>
        <v>calibItem-88 
[14957]</v>
      </c>
      <c r="C88" s="49">
        <f>[1]!OBGET([1]!OBCALL("",[1]!OBCALL("",$B$11,"getCalibrationProductForSpec",B88),"getValue",[1]!OBCALL("",$B$11,"getModel")))</f>
        <v>4.4519943287468777E-14</v>
      </c>
      <c r="D88" s="14" t="str">
        <f t="shared" si="11"/>
        <v>forward-EUR-6M-7Y</v>
      </c>
      <c r="E88" s="14" t="s">
        <v>125</v>
      </c>
      <c r="F88" s="40">
        <v>2</v>
      </c>
      <c r="H88" s="40" t="s">
        <v>105</v>
      </c>
      <c r="I88" s="40" t="s">
        <v>135</v>
      </c>
      <c r="J88" s="40" t="s">
        <v>151</v>
      </c>
      <c r="K88" s="40" t="s">
        <v>108</v>
      </c>
      <c r="L88" s="40" t="s">
        <v>109</v>
      </c>
      <c r="M88" s="40">
        <v>0</v>
      </c>
      <c r="N88" s="40">
        <v>0</v>
      </c>
      <c r="O88" s="33" t="s">
        <v>41</v>
      </c>
      <c r="P88" s="40">
        <v>0</v>
      </c>
      <c r="Q88" s="33" t="s">
        <v>38</v>
      </c>
      <c r="S88" s="40" t="s">
        <v>105</v>
      </c>
      <c r="T88" s="40" t="str">
        <f t="shared" si="12"/>
        <v>7Y</v>
      </c>
      <c r="U88" s="40" t="s">
        <v>149</v>
      </c>
      <c r="V88" s="40" t="s">
        <v>108</v>
      </c>
      <c r="W88" s="40" t="s">
        <v>109</v>
      </c>
      <c r="X88" s="40">
        <v>0</v>
      </c>
      <c r="Y88" s="40">
        <v>0</v>
      </c>
      <c r="Z88" s="33" t="s">
        <v>40</v>
      </c>
      <c r="AA88" s="51">
        <v>1.89E-3</v>
      </c>
      <c r="AB88" s="33" t="s">
        <v>38</v>
      </c>
      <c r="AC88" s="53"/>
      <c r="AD88" s="33" t="str">
        <f t="shared" si="6"/>
        <v>forward-EUR-6M</v>
      </c>
      <c r="AE88" s="54">
        <f>[1]!OBGET([1]!OBCALL("",AP88,IF(OR(AD88=Q88,AD88=AB88),"getPayment","getFixing"),[1]!OBMAKE("","int",[1]!OBGET([1]!OBCALL("",AP88,"getNumberOfPeriods"))-1)))</f>
        <v>6.506849315068493</v>
      </c>
      <c r="AG88" s="55" t="str">
        <f>[1]!OBMAKE(AG$15&amp;"-"&amp;ROW(),"int",$F88)</f>
        <v>spot date-88 
[12129]</v>
      </c>
      <c r="AH88" s="55" t="str">
        <f>[1]!OBMAKE(AH$15&amp;"-"&amp;ROW(),"String",$H88)</f>
        <v>start offset rec-88 
[11667]</v>
      </c>
      <c r="AI88" s="55" t="str">
        <f>[1]!OBMAKE(AI$15&amp;"-"&amp;ROW(),"String",$I88)</f>
        <v>maturity rec-88 
[10794]</v>
      </c>
      <c r="AK88" s="55" t="str">
        <f>[1]!OBMAKE(AK$15&amp;"-"&amp;ROW(),"String",$S88)</f>
        <v>start offset pay-88 
[11064]</v>
      </c>
      <c r="AL88" s="55" t="str">
        <f>[1]!OBMAKE(AL$15&amp;"-"&amp;ROW(),"String",$T88)</f>
        <v>maturity pay-88 
[11197]</v>
      </c>
      <c r="AN88" s="55" t="str">
        <f>[1]!OBMAKE(AN$15&amp;"-"&amp;ROW(),"String",D88)</f>
        <v>symbol-88 
[11133]</v>
      </c>
      <c r="AO88" s="55" t="str">
        <f>[1]!OBMAKE(AO$15&amp;"-"&amp;ROW(),"String",E88)</f>
        <v>type-88 
[11044]</v>
      </c>
      <c r="AP88" s="55" t="str">
        <f>[1]!OBCALL(AP$15&amp;"-"&amp;ROW(),obLibs&amp;"net.finmath.time.ScheduleGenerator","createScheduleFromConventions",$H$8,$AG88,$AH88:$AI88,[1]!OBMAKE("","String",$J88),[1]!OBMAKE("","String",$K88),$H$9,[1]!OBMAKE("","String",$L88),$H$10,[1]!OBMAKE("","int",$M88),[1]!OBMAKE("","int",$N88))</f>
        <v>tenor rec-88 
[13920]</v>
      </c>
      <c r="AQ88" s="55" t="str">
        <f>[1]!OBMAKE(AQ$15&amp;"-"&amp;ROW(),"String",O88)</f>
        <v>forward rec-88 
[11825]</v>
      </c>
      <c r="AR88" s="55" t="str">
        <f>[1]!OBMAKE(AR$15&amp;"-"&amp;ROW(),"double",P88)</f>
        <v>spread rec-88 
[11867]</v>
      </c>
      <c r="AS88" s="55" t="str">
        <f>[1]!OBMAKE(AS$15&amp;"-"&amp;ROW(),"String",Q88)</f>
        <v>discount rec-88 
[11002]</v>
      </c>
      <c r="AT88" s="55" t="str">
        <f>[1]!OBCALL(AT$15&amp;"-"&amp;ROW(),obLibs&amp;"net.finmath.time.ScheduleGenerator","createScheduleFromConventions",$H$8,$AG88,$AK88:$AL88,[1]!OBMAKE("","String",$U88),[1]!OBMAKE("","String",$V88),$H$9,[1]!OBMAKE("","String",$L88),$H$10,[1]!OBMAKE("","int",$X88),[1]!OBMAKE("","int",$Y88))</f>
        <v>tenor pay-88 
[14092]</v>
      </c>
      <c r="AU88" s="55" t="str">
        <f>[1]!OBMAKE(AU$15&amp;"-"&amp;ROW(),"String",Z88)</f>
        <v>forward pay-88 
[11527]</v>
      </c>
      <c r="AV88" s="55" t="str">
        <f>[1]!OBMAKE(AV$15&amp;"-"&amp;ROW(),"double",AA88)</f>
        <v>spread pay-88 
[11371]</v>
      </c>
      <c r="AW88" s="55" t="str">
        <f>[1]!OBMAKE(AW$15&amp;"-"&amp;ROW(),"String",AB88)</f>
        <v>disocunt pay-88 
[11213]</v>
      </c>
      <c r="AX88" s="55" t="str">
        <f>[1]!OBMAKE(AX$15&amp;"-"&amp;ROW(),"String",AD88)</f>
        <v>calibration curve-88 
[11674]</v>
      </c>
      <c r="AY88" s="55" t="str">
        <f>[1]!OBMAKE(AY$15&amp;"-"&amp;ROW(),"double",AE88)</f>
        <v>calibration time-88 
[13959]</v>
      </c>
      <c r="JJ88" s="14"/>
      <c r="JK88" s="14"/>
      <c r="JL88" s="14"/>
      <c r="JM88" s="14"/>
      <c r="JN88" s="14"/>
      <c r="JO88" s="14"/>
    </row>
    <row r="89" spans="1:275" ht="13.2" customHeight="1" x14ac:dyDescent="0.25">
      <c r="A89" s="48" t="str">
        <f t="shared" si="10"/>
        <v>forward-EUR-6M-8Y</v>
      </c>
      <c r="B89" s="49" t="str">
        <f>[1]!OBMAKE("calibItem-"&amp;ROW(),obLibs&amp;"net.finmath.marketdata.calibration.CalibratedCurves$CalibrationSpec",AN89:AY89)</f>
        <v>calibItem-89 
[14986]</v>
      </c>
      <c r="C89" s="49">
        <f>[1]!OBGET([1]!OBCALL("",[1]!OBCALL("",$B$11,"getCalibrationProductForSpec",B89),"getValue",[1]!OBCALL("",$B$11,"getModel")))</f>
        <v>-1.0558220964185239E-13</v>
      </c>
      <c r="D89" s="14" t="str">
        <f t="shared" si="11"/>
        <v>forward-EUR-6M-8Y</v>
      </c>
      <c r="E89" s="14" t="s">
        <v>125</v>
      </c>
      <c r="F89" s="40">
        <v>2</v>
      </c>
      <c r="H89" s="40" t="s">
        <v>105</v>
      </c>
      <c r="I89" s="40" t="s">
        <v>136</v>
      </c>
      <c r="J89" s="40" t="s">
        <v>151</v>
      </c>
      <c r="K89" s="40" t="s">
        <v>108</v>
      </c>
      <c r="L89" s="40" t="s">
        <v>109</v>
      </c>
      <c r="M89" s="40">
        <v>0</v>
      </c>
      <c r="N89" s="40">
        <v>0</v>
      </c>
      <c r="O89" s="33" t="s">
        <v>41</v>
      </c>
      <c r="P89" s="40">
        <v>0</v>
      </c>
      <c r="Q89" s="33" t="s">
        <v>38</v>
      </c>
      <c r="S89" s="40" t="s">
        <v>105</v>
      </c>
      <c r="T89" s="40" t="str">
        <f t="shared" si="12"/>
        <v>8Y</v>
      </c>
      <c r="U89" s="40" t="s">
        <v>149</v>
      </c>
      <c r="V89" s="40" t="s">
        <v>108</v>
      </c>
      <c r="W89" s="40" t="s">
        <v>109</v>
      </c>
      <c r="X89" s="40">
        <v>0</v>
      </c>
      <c r="Y89" s="40">
        <v>0</v>
      </c>
      <c r="Z89" s="33" t="s">
        <v>40</v>
      </c>
      <c r="AA89" s="51">
        <v>1.7700000000000001E-3</v>
      </c>
      <c r="AB89" s="33" t="s">
        <v>38</v>
      </c>
      <c r="AC89" s="53"/>
      <c r="AD89" s="33" t="str">
        <f t="shared" si="6"/>
        <v>forward-EUR-6M</v>
      </c>
      <c r="AE89" s="54">
        <f>[1]!OBGET([1]!OBCALL("",AP89,IF(OR(AD89=Q89,AD89=AB89),"getPayment","getFixing"),[1]!OBMAKE("","int",[1]!OBGET([1]!OBCALL("",AP89,"getNumberOfPeriods"))-1)))</f>
        <v>7.506849315068493</v>
      </c>
      <c r="AG89" s="55" t="str">
        <f>[1]!OBMAKE(AG$15&amp;"-"&amp;ROW(),"int",$F89)</f>
        <v>spot date-89 
[11740]</v>
      </c>
      <c r="AH89" s="55" t="str">
        <f>[1]!OBMAKE(AH$15&amp;"-"&amp;ROW(),"String",$H89)</f>
        <v>start offset rec-89 
[11259]</v>
      </c>
      <c r="AI89" s="55" t="str">
        <f>[1]!OBMAKE(AI$15&amp;"-"&amp;ROW(),"String",$I89)</f>
        <v>maturity rec-89 
[11229]</v>
      </c>
      <c r="AK89" s="55" t="str">
        <f>[1]!OBMAKE(AK$15&amp;"-"&amp;ROW(),"String",$S89)</f>
        <v>start offset pay-89 
[11140]</v>
      </c>
      <c r="AL89" s="55" t="str">
        <f>[1]!OBMAKE(AL$15&amp;"-"&amp;ROW(),"String",$T89)</f>
        <v>maturity pay-89 
[12198]</v>
      </c>
      <c r="AN89" s="55" t="str">
        <f>[1]!OBMAKE(AN$15&amp;"-"&amp;ROW(),"String",D89)</f>
        <v>symbol-89 
[10807]</v>
      </c>
      <c r="AO89" s="55" t="str">
        <f>[1]!OBMAKE(AO$15&amp;"-"&amp;ROW(),"String",E89)</f>
        <v>type-89 
[11664]</v>
      </c>
      <c r="AP89" s="55" t="str">
        <f>[1]!OBCALL(AP$15&amp;"-"&amp;ROW(),obLibs&amp;"net.finmath.time.ScheduleGenerator","createScheduleFromConventions",$H$8,$AG89,$AH89:$AI89,[1]!OBMAKE("","String",$J89),[1]!OBMAKE("","String",$K89),$H$9,[1]!OBMAKE("","String",$L89),$H$10,[1]!OBMAKE("","int",$M89),[1]!OBMAKE("","int",$N89))</f>
        <v>tenor rec-89 
[14618]</v>
      </c>
      <c r="AQ89" s="55" t="str">
        <f>[1]!OBMAKE(AQ$15&amp;"-"&amp;ROW(),"String",O89)</f>
        <v>forward rec-89 
[12242]</v>
      </c>
      <c r="AR89" s="55" t="str">
        <f>[1]!OBMAKE(AR$15&amp;"-"&amp;ROW(),"double",P89)</f>
        <v>spread rec-89 
[12118]</v>
      </c>
      <c r="AS89" s="55" t="str">
        <f>[1]!OBMAKE(AS$15&amp;"-"&amp;ROW(),"String",Q89)</f>
        <v>discount rec-89 
[10897]</v>
      </c>
      <c r="AT89" s="55" t="str">
        <f>[1]!OBCALL(AT$15&amp;"-"&amp;ROW(),obLibs&amp;"net.finmath.time.ScheduleGenerator","createScheduleFromConventions",$H$8,$AG89,$AK89:$AL89,[1]!OBMAKE("","String",$U89),[1]!OBMAKE("","String",$V89),$H$9,[1]!OBMAKE("","String",$L89),$H$10,[1]!OBMAKE("","int",$X89),[1]!OBMAKE("","int",$Y89))</f>
        <v>tenor pay-89 
[13552]</v>
      </c>
      <c r="AU89" s="55" t="str">
        <f>[1]!OBMAKE(AU$15&amp;"-"&amp;ROW(),"String",Z89)</f>
        <v>forward pay-89 
[12177]</v>
      </c>
      <c r="AV89" s="55" t="str">
        <f>[1]!OBMAKE(AV$15&amp;"-"&amp;ROW(),"double",AA89)</f>
        <v>spread pay-89 
[11243]</v>
      </c>
      <c r="AW89" s="55" t="str">
        <f>[1]!OBMAKE(AW$15&amp;"-"&amp;ROW(),"String",AB89)</f>
        <v>disocunt pay-89 
[10543]</v>
      </c>
      <c r="AX89" s="55" t="str">
        <f>[1]!OBMAKE(AX$15&amp;"-"&amp;ROW(),"String",AD89)</f>
        <v>calibration curve-89 
[11700]</v>
      </c>
      <c r="AY89" s="55" t="str">
        <f>[1]!OBMAKE(AY$15&amp;"-"&amp;ROW(),"double",AE89)</f>
        <v>calibration time-89 
[14622]</v>
      </c>
      <c r="JJ89" s="14"/>
      <c r="JK89" s="14"/>
      <c r="JL89" s="14"/>
      <c r="JM89" s="14"/>
      <c r="JN89" s="14"/>
      <c r="JO89" s="14"/>
    </row>
    <row r="90" spans="1:275" ht="13.2" customHeight="1" x14ac:dyDescent="0.25">
      <c r="A90" s="48" t="str">
        <f t="shared" si="10"/>
        <v>forward-EUR-6M-9Y</v>
      </c>
      <c r="B90" s="49" t="str">
        <f>[1]!OBMAKE("calibItem-"&amp;ROW(),obLibs&amp;"net.finmath.marketdata.calibration.CalibratedCurves$CalibrationSpec",AN90:AY90)</f>
        <v>calibItem-90 
[14984]</v>
      </c>
      <c r="C90" s="49">
        <f>[1]!OBGET([1]!OBCALL("",[1]!OBCALL("",$B$11,"getCalibrationProductForSpec",B90),"getValue",[1]!OBCALL("",$B$11,"getModel")))</f>
        <v>2.7533531010703882E-13</v>
      </c>
      <c r="D90" s="14" t="str">
        <f t="shared" si="11"/>
        <v>forward-EUR-6M-9Y</v>
      </c>
      <c r="E90" s="14" t="s">
        <v>125</v>
      </c>
      <c r="F90" s="40">
        <v>2</v>
      </c>
      <c r="H90" s="40" t="s">
        <v>105</v>
      </c>
      <c r="I90" s="40" t="s">
        <v>137</v>
      </c>
      <c r="J90" s="40" t="s">
        <v>151</v>
      </c>
      <c r="K90" s="40" t="s">
        <v>108</v>
      </c>
      <c r="L90" s="40" t="s">
        <v>109</v>
      </c>
      <c r="M90" s="40">
        <v>0</v>
      </c>
      <c r="N90" s="40">
        <v>0</v>
      </c>
      <c r="O90" s="33" t="s">
        <v>41</v>
      </c>
      <c r="P90" s="40">
        <v>0</v>
      </c>
      <c r="Q90" s="33" t="s">
        <v>38</v>
      </c>
      <c r="S90" s="40" t="s">
        <v>105</v>
      </c>
      <c r="T90" s="40" t="str">
        <f t="shared" si="12"/>
        <v>9Y</v>
      </c>
      <c r="U90" s="40" t="s">
        <v>149</v>
      </c>
      <c r="V90" s="40" t="s">
        <v>108</v>
      </c>
      <c r="W90" s="40" t="s">
        <v>109</v>
      </c>
      <c r="X90" s="40">
        <v>0</v>
      </c>
      <c r="Y90" s="40">
        <v>0</v>
      </c>
      <c r="Z90" s="33" t="s">
        <v>40</v>
      </c>
      <c r="AA90" s="51">
        <v>1.6999999999999999E-3</v>
      </c>
      <c r="AB90" s="33" t="s">
        <v>38</v>
      </c>
      <c r="AC90" s="53"/>
      <c r="AD90" s="33" t="str">
        <f t="shared" si="6"/>
        <v>forward-EUR-6M</v>
      </c>
      <c r="AE90" s="54">
        <f>[1]!OBGET([1]!OBCALL("",AP90,IF(OR(AD90=Q90,AD90=AB90),"getPayment","getFixing"),[1]!OBMAKE("","int",[1]!OBGET([1]!OBCALL("",AP90,"getNumberOfPeriods"))-1)))</f>
        <v>8.5123287671232877</v>
      </c>
      <c r="AG90" s="55" t="str">
        <f>[1]!OBMAKE(AG$15&amp;"-"&amp;ROW(),"int",$F90)</f>
        <v>spot date-90 
[12268]</v>
      </c>
      <c r="AH90" s="55" t="str">
        <f>[1]!OBMAKE(AH$15&amp;"-"&amp;ROW(),"String",$H90)</f>
        <v>start offset rec-90 
[11446]</v>
      </c>
      <c r="AI90" s="55" t="str">
        <f>[1]!OBMAKE(AI$15&amp;"-"&amp;ROW(),"String",$I90)</f>
        <v>maturity rec-90 
[10944]</v>
      </c>
      <c r="AK90" s="55" t="str">
        <f>[1]!OBMAKE(AK$15&amp;"-"&amp;ROW(),"String",$S90)</f>
        <v>start offset pay-90 
[11378]</v>
      </c>
      <c r="AL90" s="55" t="str">
        <f>[1]!OBMAKE(AL$15&amp;"-"&amp;ROW(),"String",$T90)</f>
        <v>maturity pay-90 
[11792]</v>
      </c>
      <c r="AN90" s="55" t="str">
        <f>[1]!OBMAKE(AN$15&amp;"-"&amp;ROW(),"String",D90)</f>
        <v>symbol-90 
[11028]</v>
      </c>
      <c r="AO90" s="55" t="str">
        <f>[1]!OBMAKE(AO$15&amp;"-"&amp;ROW(),"String",E90)</f>
        <v>type-90 
[11130]</v>
      </c>
      <c r="AP90" s="55" t="str">
        <f>[1]!OBCALL(AP$15&amp;"-"&amp;ROW(),obLibs&amp;"net.finmath.time.ScheduleGenerator","createScheduleFromConventions",$H$8,$AG90,$AH90:$AI90,[1]!OBMAKE("","String",$J90),[1]!OBMAKE("","String",$K90),$H$9,[1]!OBMAKE("","String",$L90),$H$10,[1]!OBMAKE("","int",$M90),[1]!OBMAKE("","int",$N90))</f>
        <v>tenor rec-90 
[13926]</v>
      </c>
      <c r="AQ90" s="55" t="str">
        <f>[1]!OBMAKE(AQ$15&amp;"-"&amp;ROW(),"String",O90)</f>
        <v>forward rec-90 
[12159]</v>
      </c>
      <c r="AR90" s="55" t="str">
        <f>[1]!OBMAKE(AR$15&amp;"-"&amp;ROW(),"double",P90)</f>
        <v>spread rec-90 
[11636]</v>
      </c>
      <c r="AS90" s="55" t="str">
        <f>[1]!OBMAKE(AS$15&amp;"-"&amp;ROW(),"String",Q90)</f>
        <v>discount rec-90 
[11851]</v>
      </c>
      <c r="AT90" s="55" t="str">
        <f>[1]!OBCALL(AT$15&amp;"-"&amp;ROW(),obLibs&amp;"net.finmath.time.ScheduleGenerator","createScheduleFromConventions",$H$8,$AG90,$AK90:$AL90,[1]!OBMAKE("","String",$U90),[1]!OBMAKE("","String",$V90),$H$9,[1]!OBMAKE("","String",$L90),$H$10,[1]!OBMAKE("","int",$X90),[1]!OBMAKE("","int",$Y90))</f>
        <v>tenor pay-90 
[13991]</v>
      </c>
      <c r="AU90" s="55" t="str">
        <f>[1]!OBMAKE(AU$15&amp;"-"&amp;ROW(),"String",Z90)</f>
        <v>forward pay-90 
[12109]</v>
      </c>
      <c r="AV90" s="55" t="str">
        <f>[1]!OBMAKE(AV$15&amp;"-"&amp;ROW(),"double",AA90)</f>
        <v>spread pay-90 
[11154]</v>
      </c>
      <c r="AW90" s="55" t="str">
        <f>[1]!OBMAKE(AW$15&amp;"-"&amp;ROW(),"String",AB90)</f>
        <v>disocunt pay-90 
[10871]</v>
      </c>
      <c r="AX90" s="55" t="str">
        <f>[1]!OBMAKE(AX$15&amp;"-"&amp;ROW(),"String",AD90)</f>
        <v>calibration curve-90 
[11392]</v>
      </c>
      <c r="AY90" s="55" t="str">
        <f>[1]!OBMAKE(AY$15&amp;"-"&amp;ROW(),"double",AE90)</f>
        <v>calibration time-90 
[13930]</v>
      </c>
      <c r="JJ90" s="14"/>
      <c r="JK90" s="14"/>
      <c r="JL90" s="14"/>
      <c r="JM90" s="14"/>
      <c r="JN90" s="14"/>
      <c r="JO90" s="14"/>
    </row>
    <row r="91" spans="1:275" ht="13.2" customHeight="1" x14ac:dyDescent="0.25">
      <c r="A91" s="48" t="str">
        <f t="shared" si="10"/>
        <v>forward-EUR-6M-10Y</v>
      </c>
      <c r="B91" s="49" t="str">
        <f>[1]!OBMAKE("calibItem-"&amp;ROW(),obLibs&amp;"net.finmath.marketdata.calibration.CalibratedCurves$CalibrationSpec",AN91:AY91)</f>
        <v>calibItem-91 
[14920]</v>
      </c>
      <c r="C91" s="49">
        <f>[1]!OBGET([1]!OBCALL("",[1]!OBCALL("",$B$11,"getCalibrationProductForSpec",B91),"getValue",[1]!OBCALL("",$B$11,"getModel")))</f>
        <v>-3.8036240823657863E-13</v>
      </c>
      <c r="D91" s="14" t="str">
        <f t="shared" si="11"/>
        <v>forward-EUR-6M-10Y</v>
      </c>
      <c r="E91" s="14" t="s">
        <v>125</v>
      </c>
      <c r="F91" s="40">
        <v>2</v>
      </c>
      <c r="H91" s="40" t="s">
        <v>105</v>
      </c>
      <c r="I91" s="40" t="s">
        <v>138</v>
      </c>
      <c r="J91" s="40" t="s">
        <v>151</v>
      </c>
      <c r="K91" s="40" t="s">
        <v>108</v>
      </c>
      <c r="L91" s="40" t="s">
        <v>109</v>
      </c>
      <c r="M91" s="40">
        <v>0</v>
      </c>
      <c r="N91" s="40">
        <v>0</v>
      </c>
      <c r="O91" s="33" t="s">
        <v>41</v>
      </c>
      <c r="P91" s="40">
        <v>0</v>
      </c>
      <c r="Q91" s="33" t="s">
        <v>38</v>
      </c>
      <c r="S91" s="40" t="s">
        <v>105</v>
      </c>
      <c r="T91" s="40" t="str">
        <f t="shared" si="12"/>
        <v>10Y</v>
      </c>
      <c r="U91" s="40" t="s">
        <v>149</v>
      </c>
      <c r="V91" s="40" t="s">
        <v>108</v>
      </c>
      <c r="W91" s="40" t="s">
        <v>109</v>
      </c>
      <c r="X91" s="40">
        <v>0</v>
      </c>
      <c r="Y91" s="40">
        <v>0</v>
      </c>
      <c r="Z91" s="33" t="s">
        <v>40</v>
      </c>
      <c r="AA91" s="51">
        <v>1.64E-3</v>
      </c>
      <c r="AB91" s="33" t="s">
        <v>38</v>
      </c>
      <c r="AC91" s="53"/>
      <c r="AD91" s="33" t="str">
        <f t="shared" si="6"/>
        <v>forward-EUR-6M</v>
      </c>
      <c r="AE91" s="54">
        <f>[1]!OBGET([1]!OBCALL("",AP91,IF(OR(AD91=Q91,AD91=AB91),"getPayment","getFixing"),[1]!OBMAKE("","int",[1]!OBGET([1]!OBCALL("",AP91,"getNumberOfPeriods"))-1)))</f>
        <v>9.5095890410958912</v>
      </c>
      <c r="AG91" s="55" t="str">
        <f>[1]!OBMAKE(AG$15&amp;"-"&amp;ROW(),"int",$F91)</f>
        <v>spot date-91 
[12313]</v>
      </c>
      <c r="AH91" s="55" t="str">
        <f>[1]!OBMAKE(AH$15&amp;"-"&amp;ROW(),"String",$H91)</f>
        <v>start offset rec-91 
[11861]</v>
      </c>
      <c r="AI91" s="55" t="str">
        <f>[1]!OBMAKE(AI$15&amp;"-"&amp;ROW(),"String",$I91)</f>
        <v>maturity rec-91 
[11126]</v>
      </c>
      <c r="AK91" s="55" t="str">
        <f>[1]!OBMAKE(AK$15&amp;"-"&amp;ROW(),"String",$S91)</f>
        <v>start offset pay-91 
[10821]</v>
      </c>
      <c r="AL91" s="55" t="str">
        <f>[1]!OBMAKE(AL$15&amp;"-"&amp;ROW(),"String",$T91)</f>
        <v>maturity pay-91 
[11866]</v>
      </c>
      <c r="AN91" s="55" t="str">
        <f>[1]!OBMAKE(AN$15&amp;"-"&amp;ROW(),"String",D91)</f>
        <v>symbol-91 
[10957]</v>
      </c>
      <c r="AO91" s="55" t="str">
        <f>[1]!OBMAKE(AO$15&amp;"-"&amp;ROW(),"String",E91)</f>
        <v>type-91 
[12322]</v>
      </c>
      <c r="AP91" s="55" t="str">
        <f>[1]!OBCALL(AP$15&amp;"-"&amp;ROW(),obLibs&amp;"net.finmath.time.ScheduleGenerator","createScheduleFromConventions",$H$8,$AG91,$AH91:$AI91,[1]!OBMAKE("","String",$J91),[1]!OBMAKE("","String",$K91),$H$9,[1]!OBMAKE("","String",$L91),$H$10,[1]!OBMAKE("","int",$M91),[1]!OBMAKE("","int",$N91))</f>
        <v>tenor rec-91 
[14521]</v>
      </c>
      <c r="AQ91" s="55" t="str">
        <f>[1]!OBMAKE(AQ$15&amp;"-"&amp;ROW(),"String",O91)</f>
        <v>forward rec-91 
[11958]</v>
      </c>
      <c r="AR91" s="55" t="str">
        <f>[1]!OBMAKE(AR$15&amp;"-"&amp;ROW(),"double",P91)</f>
        <v>spread rec-91 
[11484]</v>
      </c>
      <c r="AS91" s="55" t="str">
        <f>[1]!OBMAKE(AS$15&amp;"-"&amp;ROW(),"String",Q91)</f>
        <v>discount rec-91 
[10576]</v>
      </c>
      <c r="AT91" s="55" t="str">
        <f>[1]!OBCALL(AT$15&amp;"-"&amp;ROW(),obLibs&amp;"net.finmath.time.ScheduleGenerator","createScheduleFromConventions",$H$8,$AG91,$AK91:$AL91,[1]!OBMAKE("","String",$U91),[1]!OBMAKE("","String",$V91),$H$9,[1]!OBMAKE("","String",$L91),$H$10,[1]!OBMAKE("","int",$X91),[1]!OBMAKE("","int",$Y91))</f>
        <v>tenor pay-91 
[13186]</v>
      </c>
      <c r="AU91" s="55" t="str">
        <f>[1]!OBMAKE(AU$15&amp;"-"&amp;ROW(),"String",Z91)</f>
        <v>forward pay-91 
[11766]</v>
      </c>
      <c r="AV91" s="55" t="str">
        <f>[1]!OBMAKE(AV$15&amp;"-"&amp;ROW(),"double",AA91)</f>
        <v>spread pay-91 
[11049]</v>
      </c>
      <c r="AW91" s="55" t="str">
        <f>[1]!OBMAKE(AW$15&amp;"-"&amp;ROW(),"String",AB91)</f>
        <v>disocunt pay-91 
[11093]</v>
      </c>
      <c r="AX91" s="55" t="str">
        <f>[1]!OBMAKE(AX$15&amp;"-"&amp;ROW(),"String",AD91)</f>
        <v>calibration curve-91 
[12180]</v>
      </c>
      <c r="AY91" s="55" t="str">
        <f>[1]!OBMAKE(AY$15&amp;"-"&amp;ROW(),"double",AE91)</f>
        <v>calibration time-91 
[14525]</v>
      </c>
      <c r="JJ91" s="14"/>
      <c r="JK91" s="14"/>
      <c r="JL91" s="14"/>
      <c r="JM91" s="14"/>
      <c r="JN91" s="14"/>
      <c r="JO91" s="14"/>
    </row>
    <row r="92" spans="1:275" ht="13.2" customHeight="1" x14ac:dyDescent="0.25">
      <c r="A92" s="48" t="str">
        <f t="shared" si="10"/>
        <v>forward-EUR-6M-12Y</v>
      </c>
      <c r="B92" s="49" t="str">
        <f>[1]!OBMAKE("calibItem-"&amp;ROW(),obLibs&amp;"net.finmath.marketdata.calibration.CalibratedCurves$CalibrationSpec",AN92:AY92)</f>
        <v>calibItem-92 
[15015]</v>
      </c>
      <c r="C92" s="49">
        <f>[1]!OBGET([1]!OBCALL("",[1]!OBCALL("",$B$11,"getCalibrationProductForSpec",B92),"getValue",[1]!OBCALL("",$B$11,"getModel")))</f>
        <v>3.2829294838165879E-13</v>
      </c>
      <c r="D92" s="14" t="str">
        <f t="shared" si="11"/>
        <v>forward-EUR-6M-12Y</v>
      </c>
      <c r="E92" s="14" t="s">
        <v>125</v>
      </c>
      <c r="F92" s="40">
        <v>2</v>
      </c>
      <c r="H92" s="40" t="s">
        <v>105</v>
      </c>
      <c r="I92" s="40" t="s">
        <v>140</v>
      </c>
      <c r="J92" s="40" t="s">
        <v>151</v>
      </c>
      <c r="K92" s="40" t="s">
        <v>108</v>
      </c>
      <c r="L92" s="40" t="s">
        <v>109</v>
      </c>
      <c r="M92" s="40">
        <v>0</v>
      </c>
      <c r="N92" s="40">
        <v>0</v>
      </c>
      <c r="O92" s="33" t="s">
        <v>41</v>
      </c>
      <c r="P92" s="40">
        <v>0</v>
      </c>
      <c r="Q92" s="33" t="s">
        <v>38</v>
      </c>
      <c r="S92" s="40" t="s">
        <v>105</v>
      </c>
      <c r="T92" s="40" t="str">
        <f t="shared" si="12"/>
        <v>12Y</v>
      </c>
      <c r="U92" s="40" t="s">
        <v>149</v>
      </c>
      <c r="V92" s="40" t="s">
        <v>108</v>
      </c>
      <c r="W92" s="40" t="s">
        <v>109</v>
      </c>
      <c r="X92" s="40">
        <v>0</v>
      </c>
      <c r="Y92" s="40">
        <v>0</v>
      </c>
      <c r="Z92" s="33" t="s">
        <v>40</v>
      </c>
      <c r="AA92" s="51">
        <v>1.56E-3</v>
      </c>
      <c r="AB92" s="33" t="s">
        <v>38</v>
      </c>
      <c r="AC92" s="53"/>
      <c r="AD92" s="33" t="str">
        <f t="shared" si="6"/>
        <v>forward-EUR-6M</v>
      </c>
      <c r="AE92" s="54">
        <f>[1]!OBGET([1]!OBCALL("",AP92,IF(OR(AD92=Q92,AD92=AB92),"getPayment","getFixing"),[1]!OBMAKE("","int",[1]!OBGET([1]!OBCALL("",AP92,"getNumberOfPeriods"))-1)))</f>
        <v>11.509589041095891</v>
      </c>
      <c r="AG92" s="55" t="str">
        <f>[1]!OBMAKE(AG$15&amp;"-"&amp;ROW(),"int",$F92)</f>
        <v>spot date-92 
[11751]</v>
      </c>
      <c r="AH92" s="55" t="str">
        <f>[1]!OBMAKE(AH$15&amp;"-"&amp;ROW(),"String",$H92)</f>
        <v>start offset rec-92 
[11318]</v>
      </c>
      <c r="AI92" s="55" t="str">
        <f>[1]!OBMAKE(AI$15&amp;"-"&amp;ROW(),"String",$I92)</f>
        <v>maturity rec-92 
[10793]</v>
      </c>
      <c r="AK92" s="55" t="str">
        <f>[1]!OBMAKE(AK$15&amp;"-"&amp;ROW(),"String",$S92)</f>
        <v>start offset pay-92 
[11250]</v>
      </c>
      <c r="AL92" s="55" t="str">
        <f>[1]!OBMAKE(AL$15&amp;"-"&amp;ROW(),"String",$T92)</f>
        <v>maturity pay-92 
[11619]</v>
      </c>
      <c r="AN92" s="55" t="str">
        <f>[1]!OBMAKE(AN$15&amp;"-"&amp;ROW(),"String",D92)</f>
        <v>symbol-92 
[11360]</v>
      </c>
      <c r="AO92" s="55" t="str">
        <f>[1]!OBMAKE(AO$15&amp;"-"&amp;ROW(),"String",E92)</f>
        <v>type-92 
[11368]</v>
      </c>
      <c r="AP92" s="55" t="str">
        <f>[1]!OBCALL(AP$15&amp;"-"&amp;ROW(),obLibs&amp;"net.finmath.time.ScheduleGenerator","createScheduleFromConventions",$H$8,$AG92,$AH92:$AI92,[1]!OBMAKE("","String",$J92),[1]!OBMAKE("","String",$K92),$H$9,[1]!OBMAKE("","String",$L92),$H$10,[1]!OBMAKE("","int",$M92),[1]!OBMAKE("","int",$N92))</f>
        <v>tenor rec-92 
[14746]</v>
      </c>
      <c r="AQ92" s="55" t="str">
        <f>[1]!OBMAKE(AQ$15&amp;"-"&amp;ROW(),"String",O92)</f>
        <v>forward rec-92 
[12081]</v>
      </c>
      <c r="AR92" s="55" t="str">
        <f>[1]!OBMAKE(AR$15&amp;"-"&amp;ROW(),"double",P92)</f>
        <v>spread rec-92 
[11414]</v>
      </c>
      <c r="AS92" s="55" t="str">
        <f>[1]!OBMAKE(AS$15&amp;"-"&amp;ROW(),"String",Q92)</f>
        <v>discount rec-92 
[10751]</v>
      </c>
      <c r="AT92" s="55" t="str">
        <f>[1]!OBCALL(AT$15&amp;"-"&amp;ROW(),obLibs&amp;"net.finmath.time.ScheduleGenerator","createScheduleFromConventions",$H$8,$AG92,$AK92:$AL92,[1]!OBMAKE("","String",$U92),[1]!OBMAKE("","String",$V92),$H$9,[1]!OBMAKE("","String",$L92),$H$10,[1]!OBMAKE("","int",$X92),[1]!OBMAKE("","int",$Y92))</f>
        <v>tenor pay-92 
[14477]</v>
      </c>
      <c r="AU92" s="55" t="str">
        <f>[1]!OBMAKE(AU$15&amp;"-"&amp;ROW(),"String",Z92)</f>
        <v>forward pay-92 
[12134]</v>
      </c>
      <c r="AV92" s="55" t="str">
        <f>[1]!OBMAKE(AV$15&amp;"-"&amp;ROW(),"double",AA92)</f>
        <v>spread pay-92 
[11857]</v>
      </c>
      <c r="AW92" s="55" t="str">
        <f>[1]!OBMAKE(AW$15&amp;"-"&amp;ROW(),"String",AB92)</f>
        <v>disocunt pay-92 
[10721]</v>
      </c>
      <c r="AX92" s="55" t="str">
        <f>[1]!OBMAKE(AX$15&amp;"-"&amp;ROW(),"String",AD92)</f>
        <v>calibration curve-92 
[11453]</v>
      </c>
      <c r="AY92" s="55" t="str">
        <f>[1]!OBMAKE(AY$15&amp;"-"&amp;ROW(),"double",AE92)</f>
        <v>calibration time-92 
[14750]</v>
      </c>
      <c r="JJ92" s="14"/>
      <c r="JK92" s="14"/>
      <c r="JL92" s="14"/>
      <c r="JM92" s="14"/>
      <c r="JN92" s="14"/>
      <c r="JO92" s="14"/>
    </row>
    <row r="93" spans="1:275" ht="13.2" customHeight="1" x14ac:dyDescent="0.25">
      <c r="A93" s="48" t="str">
        <f t="shared" si="10"/>
        <v>forward-EUR-6M-15Y</v>
      </c>
      <c r="B93" s="49" t="str">
        <f>[1]!OBMAKE("calibItem-"&amp;ROW(),obLibs&amp;"net.finmath.marketdata.calibration.CalibratedCurves$CalibrationSpec",AN93:AY93)</f>
        <v>calibItem-93 
[14951]</v>
      </c>
      <c r="C93" s="49">
        <f>[1]!OBGET([1]!OBCALL("",[1]!OBCALL("",$B$11,"getCalibrationProductForSpec",B93),"getValue",[1]!OBCALL("",$B$11,"getModel")))</f>
        <v>-2.3103741142449508E-13</v>
      </c>
      <c r="D93" s="14" t="str">
        <f t="shared" si="11"/>
        <v>forward-EUR-6M-15Y</v>
      </c>
      <c r="E93" s="14" t="s">
        <v>125</v>
      </c>
      <c r="F93" s="40">
        <v>2</v>
      </c>
      <c r="H93" s="40" t="s">
        <v>105</v>
      </c>
      <c r="I93" s="40" t="s">
        <v>141</v>
      </c>
      <c r="J93" s="40" t="s">
        <v>151</v>
      </c>
      <c r="K93" s="40" t="s">
        <v>108</v>
      </c>
      <c r="L93" s="40" t="s">
        <v>109</v>
      </c>
      <c r="M93" s="40">
        <v>0</v>
      </c>
      <c r="N93" s="40">
        <v>0</v>
      </c>
      <c r="O93" s="33" t="s">
        <v>41</v>
      </c>
      <c r="P93" s="40">
        <v>0</v>
      </c>
      <c r="Q93" s="33" t="s">
        <v>38</v>
      </c>
      <c r="S93" s="40" t="s">
        <v>105</v>
      </c>
      <c r="T93" s="40" t="str">
        <f t="shared" si="12"/>
        <v>15Y</v>
      </c>
      <c r="U93" s="40" t="s">
        <v>149</v>
      </c>
      <c r="V93" s="40" t="s">
        <v>108</v>
      </c>
      <c r="W93" s="40" t="s">
        <v>109</v>
      </c>
      <c r="X93" s="40">
        <v>0</v>
      </c>
      <c r="Y93" s="40">
        <v>0</v>
      </c>
      <c r="Z93" s="33" t="s">
        <v>40</v>
      </c>
      <c r="AA93" s="51">
        <v>1.3500000000000001E-3</v>
      </c>
      <c r="AB93" s="33" t="s">
        <v>38</v>
      </c>
      <c r="AC93" s="53"/>
      <c r="AD93" s="33" t="str">
        <f t="shared" si="6"/>
        <v>forward-EUR-6M</v>
      </c>
      <c r="AE93" s="54">
        <f>[1]!OBGET([1]!OBCALL("",AP93,IF(OR(AD93=Q93,AD93=AB93),"getPayment","getFixing"),[1]!OBMAKE("","int",[1]!OBGET([1]!OBCALL("",AP93,"getNumberOfPeriods"))-1)))</f>
        <v>14.515068493150684</v>
      </c>
      <c r="AG93" s="55" t="str">
        <f>[1]!OBMAKE(AG$15&amp;"-"&amp;ROW(),"int",$F93)</f>
        <v>spot date-93 
[11996]</v>
      </c>
      <c r="AH93" s="55" t="str">
        <f>[1]!OBMAKE(AH$15&amp;"-"&amp;ROW(),"String",$H93)</f>
        <v>start offset rec-93 
[11608]</v>
      </c>
      <c r="AI93" s="55" t="str">
        <f>[1]!OBMAKE(AI$15&amp;"-"&amp;ROW(),"String",$I93)</f>
        <v>maturity rec-93 
[11021]</v>
      </c>
      <c r="AK93" s="55" t="str">
        <f>[1]!OBMAKE(AK$15&amp;"-"&amp;ROW(),"String",$S93)</f>
        <v>start offset pay-93 
[11035]</v>
      </c>
      <c r="AL93" s="55" t="str">
        <f>[1]!OBMAKE(AL$15&amp;"-"&amp;ROW(),"String",$T93)</f>
        <v>maturity pay-93 
[11920]</v>
      </c>
      <c r="AN93" s="55" t="str">
        <f>[1]!OBMAKE(AN$15&amp;"-"&amp;ROW(),"String",D93)</f>
        <v>symbol-93 
[10806]</v>
      </c>
      <c r="AO93" s="55" t="str">
        <f>[1]!OBMAKE(AO$15&amp;"-"&amp;ROW(),"String",E93)</f>
        <v>type-93 
[11947]</v>
      </c>
      <c r="AP93" s="55" t="str">
        <f>[1]!OBCALL(AP$15&amp;"-"&amp;ROW(),obLibs&amp;"net.finmath.time.ScheduleGenerator","createScheduleFromConventions",$H$8,$AG93,$AH93:$AI93,[1]!OBMAKE("","String",$J93),[1]!OBMAKE("","String",$K93),$H$9,[1]!OBMAKE("","String",$L93),$H$10,[1]!OBMAKE("","int",$M93),[1]!OBMAKE("","int",$N93))</f>
        <v>tenor rec-93 
[14541]</v>
      </c>
      <c r="AQ93" s="55" t="str">
        <f>[1]!OBMAKE(AQ$15&amp;"-"&amp;ROW(),"String",O93)</f>
        <v>forward rec-93 
[11931]</v>
      </c>
      <c r="AR93" s="55" t="str">
        <f>[1]!OBMAKE(AR$15&amp;"-"&amp;ROW(),"double",P93)</f>
        <v>spread rec-93 
[11729]</v>
      </c>
      <c r="AS93" s="55" t="str">
        <f>[1]!OBMAKE(AS$15&amp;"-"&amp;ROW(),"String",Q93)</f>
        <v>discount rec-93 
[11569]</v>
      </c>
      <c r="AT93" s="55" t="str">
        <f>[1]!OBCALL(AT$15&amp;"-"&amp;ROW(),obLibs&amp;"net.finmath.time.ScheduleGenerator","createScheduleFromConventions",$H$8,$AG93,$AK93:$AL93,[1]!OBMAKE("","String",$U93),[1]!OBMAKE("","String",$V93),$H$9,[1]!OBMAKE("","String",$L93),$H$10,[1]!OBMAKE("","int",$X93),[1]!OBMAKE("","int",$Y93))</f>
        <v>tenor pay-93 
[13105]</v>
      </c>
      <c r="AU93" s="55" t="str">
        <f>[1]!OBMAKE(AU$15&amp;"-"&amp;ROW(),"String",Z93)</f>
        <v>forward pay-93 
[11475]</v>
      </c>
      <c r="AV93" s="55" t="str">
        <f>[1]!OBMAKE(AV$15&amp;"-"&amp;ROW(),"double",AA93)</f>
        <v>spread pay-93 
[11592]</v>
      </c>
      <c r="AW93" s="55" t="str">
        <f>[1]!OBMAKE(AW$15&amp;"-"&amp;ROW(),"String",AB93)</f>
        <v>disocunt pay-93 
[10542]</v>
      </c>
      <c r="AX93" s="55" t="str">
        <f>[1]!OBMAKE(AX$15&amp;"-"&amp;ROW(),"String",AD93)</f>
        <v>calibration curve-93 
[11643]</v>
      </c>
      <c r="AY93" s="55" t="str">
        <f>[1]!OBMAKE(AY$15&amp;"-"&amp;ROW(),"double",AE93)</f>
        <v>calibration time-93 
[14545]</v>
      </c>
      <c r="JJ93" s="14"/>
      <c r="JK93" s="14"/>
      <c r="JL93" s="14"/>
      <c r="JM93" s="14"/>
      <c r="JN93" s="14"/>
      <c r="JO93" s="14"/>
    </row>
    <row r="94" spans="1:275" ht="13.2" customHeight="1" x14ac:dyDescent="0.25">
      <c r="A94" s="48" t="str">
        <f t="shared" si="10"/>
        <v>forward-EUR-6M-20Y</v>
      </c>
      <c r="B94" s="49" t="str">
        <f>[1]!OBMAKE("calibItem-"&amp;ROW(),obLibs&amp;"net.finmath.marketdata.calibration.CalibratedCurves$CalibrationSpec",AN94:AY94)</f>
        <v>calibItem-94 
[14987]</v>
      </c>
      <c r="C94" s="49">
        <f>[1]!OBGET([1]!OBCALL("",[1]!OBCALL("",$B$11,"getCalibrationProductForSpec",B94),"getValue",[1]!OBCALL("",$B$11,"getModel")))</f>
        <v>1.3944401189291966E-13</v>
      </c>
      <c r="D94" s="14" t="str">
        <f t="shared" si="11"/>
        <v>forward-EUR-6M-20Y</v>
      </c>
      <c r="E94" s="14" t="s">
        <v>125</v>
      </c>
      <c r="F94" s="40">
        <v>2</v>
      </c>
      <c r="H94" s="40" t="s">
        <v>105</v>
      </c>
      <c r="I94" s="40" t="s">
        <v>142</v>
      </c>
      <c r="J94" s="40" t="s">
        <v>151</v>
      </c>
      <c r="K94" s="40" t="s">
        <v>108</v>
      </c>
      <c r="L94" s="40" t="s">
        <v>109</v>
      </c>
      <c r="M94" s="40">
        <v>0</v>
      </c>
      <c r="N94" s="40">
        <v>0</v>
      </c>
      <c r="O94" s="33" t="s">
        <v>41</v>
      </c>
      <c r="P94" s="40">
        <v>0</v>
      </c>
      <c r="Q94" s="33" t="s">
        <v>38</v>
      </c>
      <c r="S94" s="40" t="s">
        <v>105</v>
      </c>
      <c r="T94" s="40" t="str">
        <f t="shared" si="12"/>
        <v>20Y</v>
      </c>
      <c r="U94" s="40" t="s">
        <v>149</v>
      </c>
      <c r="V94" s="40" t="s">
        <v>108</v>
      </c>
      <c r="W94" s="40" t="s">
        <v>109</v>
      </c>
      <c r="X94" s="40">
        <v>0</v>
      </c>
      <c r="Y94" s="40">
        <v>0</v>
      </c>
      <c r="Z94" s="33" t="s">
        <v>40</v>
      </c>
      <c r="AA94" s="51">
        <v>1.25E-3</v>
      </c>
      <c r="AB94" s="33" t="s">
        <v>38</v>
      </c>
      <c r="AC94" s="53"/>
      <c r="AD94" s="33" t="str">
        <f t="shared" si="6"/>
        <v>forward-EUR-6M</v>
      </c>
      <c r="AE94" s="54">
        <f>[1]!OBGET([1]!OBCALL("",AP94,IF(OR(AD94=Q94,AD94=AB94),"getPayment","getFixing"),[1]!OBMAKE("","int",[1]!OBGET([1]!OBCALL("",AP94,"getNumberOfPeriods"))-1)))</f>
        <v>19.520547945205479</v>
      </c>
      <c r="AG94" s="55" t="str">
        <f>[1]!OBMAKE(AG$15&amp;"-"&amp;ROW(),"int",$F94)</f>
        <v>spot date-94 
[12143]</v>
      </c>
      <c r="AH94" s="55" t="str">
        <f>[1]!OBMAKE(AH$15&amp;"-"&amp;ROW(),"String",$H94)</f>
        <v>start offset rec-94 
[11706]</v>
      </c>
      <c r="AI94" s="55" t="str">
        <f>[1]!OBMAKE(AI$15&amp;"-"&amp;ROW(),"String",$I94)</f>
        <v>maturity rec-94 
[10943]</v>
      </c>
      <c r="AK94" s="55" t="str">
        <f>[1]!OBMAKE(AK$15&amp;"-"&amp;ROW(),"String",$S94)</f>
        <v>start offset pay-94 
[11168]</v>
      </c>
      <c r="AL94" s="55" t="str">
        <f>[1]!OBMAKE(AL$15&amp;"-"&amp;ROW(),"String",$T94)</f>
        <v>maturity pay-94 
[12047]</v>
      </c>
      <c r="AN94" s="55" t="str">
        <f>[1]!OBMAKE(AN$15&amp;"-"&amp;ROW(),"String",D94)</f>
        <v>symbol-94 
[11232]</v>
      </c>
      <c r="AO94" s="55" t="str">
        <f>[1]!OBMAKE(AO$15&amp;"-"&amp;ROW(),"String",E94)</f>
        <v>type-94 
[10801]</v>
      </c>
      <c r="AP94" s="55" t="str">
        <f>[1]!OBCALL(AP$15&amp;"-"&amp;ROW(),obLibs&amp;"net.finmath.time.ScheduleGenerator","createScheduleFromConventions",$H$8,$AG94,$AH94:$AI94,[1]!OBMAKE("","String",$J94),[1]!OBMAKE("","String",$K94),$H$9,[1]!OBMAKE("","String",$L94),$H$10,[1]!OBMAKE("","int",$M94),[1]!OBMAKE("","int",$N94))</f>
        <v>tenor rec-94 
[14288]</v>
      </c>
      <c r="AQ94" s="55" t="str">
        <f>[1]!OBMAKE(AQ$15&amp;"-"&amp;ROW(),"String",O94)</f>
        <v>forward rec-94 
[12040]</v>
      </c>
      <c r="AR94" s="55" t="str">
        <f>[1]!OBMAKE(AR$15&amp;"-"&amp;ROW(),"double",P94)</f>
        <v>spread rec-94 
[11286]</v>
      </c>
      <c r="AS94" s="55" t="str">
        <f>[1]!OBMAKE(AS$15&amp;"-"&amp;ROW(),"String",Q94)</f>
        <v>discount rec-94 
[10896]</v>
      </c>
      <c r="AT94" s="55" t="str">
        <f>[1]!OBCALL(AT$15&amp;"-"&amp;ROW(),obLibs&amp;"net.finmath.time.ScheduleGenerator","createScheduleFromConventions",$H$8,$AG94,$AK94:$AL94,[1]!OBMAKE("","String",$U94),[1]!OBMAKE("","String",$V94),$H$9,[1]!OBMAKE("","String",$L94),$H$10,[1]!OBMAKE("","int",$X94),[1]!OBMAKE("","int",$Y94))</f>
        <v>tenor pay-94 
[14445]</v>
      </c>
      <c r="AU94" s="55" t="str">
        <f>[1]!OBMAKE(AU$15&amp;"-"&amp;ROW(),"String",Z94)</f>
        <v>forward pay-94 
[11460]</v>
      </c>
      <c r="AV94" s="55" t="str">
        <f>[1]!OBMAKE(AV$15&amp;"-"&amp;ROW(),"double",AA94)</f>
        <v>spread pay-94 
[11153]</v>
      </c>
      <c r="AW94" s="55" t="str">
        <f>[1]!OBMAKE(AW$15&amp;"-"&amp;ROW(),"String",AB94)</f>
        <v>disocunt pay-94 
[10988]</v>
      </c>
      <c r="AX94" s="55" t="str">
        <f>[1]!OBMAKE(AX$15&amp;"-"&amp;ROW(),"String",AD94)</f>
        <v>calibration curve-94 
[11264]</v>
      </c>
      <c r="AY94" s="55" t="str">
        <f>[1]!OBMAKE(AY$15&amp;"-"&amp;ROW(),"double",AE94)</f>
        <v>calibration time-94 
[14292]</v>
      </c>
      <c r="JJ94" s="14"/>
      <c r="JK94" s="14"/>
      <c r="JL94" s="14"/>
      <c r="JM94" s="14"/>
      <c r="JN94" s="14"/>
      <c r="JO94" s="14"/>
    </row>
    <row r="95" spans="1:275" ht="13.2" customHeight="1" x14ac:dyDescent="0.25">
      <c r="A95" s="48" t="str">
        <f t="shared" si="10"/>
        <v>forward-EUR-6M-25Y</v>
      </c>
      <c r="B95" s="49" t="str">
        <f>[1]!OBMAKE("calibItem-"&amp;ROW(),obLibs&amp;"net.finmath.marketdata.calibration.CalibratedCurves$CalibrationSpec",AN95:AY95)</f>
        <v>calibItem-95 
[14952]</v>
      </c>
      <c r="C95" s="49">
        <f>[1]!OBGET([1]!OBCALL("",[1]!OBCALL("",$B$11,"getCalibrationProductForSpec",B95),"getValue",[1]!OBCALL("",$B$11,"getModel")))</f>
        <v>-1.0602629885170245E-13</v>
      </c>
      <c r="D95" s="14" t="str">
        <f t="shared" si="11"/>
        <v>forward-EUR-6M-25Y</v>
      </c>
      <c r="E95" s="14" t="s">
        <v>125</v>
      </c>
      <c r="F95" s="40">
        <v>2</v>
      </c>
      <c r="H95" s="40" t="s">
        <v>105</v>
      </c>
      <c r="I95" s="40" t="s">
        <v>143</v>
      </c>
      <c r="J95" s="40" t="s">
        <v>151</v>
      </c>
      <c r="K95" s="40" t="s">
        <v>108</v>
      </c>
      <c r="L95" s="40" t="s">
        <v>109</v>
      </c>
      <c r="M95" s="40">
        <v>0</v>
      </c>
      <c r="N95" s="40">
        <v>0</v>
      </c>
      <c r="O95" s="33" t="s">
        <v>41</v>
      </c>
      <c r="P95" s="40">
        <v>0</v>
      </c>
      <c r="Q95" s="33" t="s">
        <v>38</v>
      </c>
      <c r="S95" s="40" t="s">
        <v>105</v>
      </c>
      <c r="T95" s="40" t="str">
        <f t="shared" si="12"/>
        <v>25Y</v>
      </c>
      <c r="U95" s="40" t="s">
        <v>149</v>
      </c>
      <c r="V95" s="40" t="s">
        <v>108</v>
      </c>
      <c r="W95" s="40" t="s">
        <v>109</v>
      </c>
      <c r="X95" s="40">
        <v>0</v>
      </c>
      <c r="Y95" s="40">
        <v>0</v>
      </c>
      <c r="Z95" s="33" t="s">
        <v>40</v>
      </c>
      <c r="AA95" s="51">
        <v>1.17E-3</v>
      </c>
      <c r="AB95" s="33" t="s">
        <v>38</v>
      </c>
      <c r="AC95" s="53"/>
      <c r="AD95" s="33" t="str">
        <f t="shared" si="6"/>
        <v>forward-EUR-6M</v>
      </c>
      <c r="AE95" s="54">
        <f>[1]!OBGET([1]!OBCALL("",AP95,IF(OR(AD95=Q95,AD95=AB95),"getPayment","getFixing"),[1]!OBMAKE("","int",[1]!OBGET([1]!OBCALL("",AP95,"getNumberOfPeriods"))-1)))</f>
        <v>24.526027397260275</v>
      </c>
      <c r="AG95" s="55" t="str">
        <f>[1]!OBMAKE(AG$15&amp;"-"&amp;ROW(),"int",$F95)</f>
        <v>spot date-95 
[12033]</v>
      </c>
      <c r="AH95" s="55" t="str">
        <f>[1]!OBMAKE(AH$15&amp;"-"&amp;ROW(),"String",$H95)</f>
        <v>start offset rec-95 
[11182]</v>
      </c>
      <c r="AI95" s="55" t="str">
        <f>[1]!OBMAKE(AI$15&amp;"-"&amp;ROW(),"String",$I95)</f>
        <v>maturity rec-95 
[11940]</v>
      </c>
      <c r="AK95" s="55" t="str">
        <f>[1]!OBMAKE(AK$15&amp;"-"&amp;ROW(),"String",$S95)</f>
        <v>start offset pay-95 
[10971]</v>
      </c>
      <c r="AL95" s="55" t="str">
        <f>[1]!OBMAKE(AL$15&amp;"-"&amp;ROW(),"String",$T95)</f>
        <v>maturity pay-95 
[11632]</v>
      </c>
      <c r="AN95" s="55" t="str">
        <f>[1]!OBMAKE(AN$15&amp;"-"&amp;ROW(),"String",D95)</f>
        <v>symbol-95 
[10956]</v>
      </c>
      <c r="AO95" s="55" t="str">
        <f>[1]!OBMAKE(AO$15&amp;"-"&amp;ROW(),"String",E95)</f>
        <v>type-95 
[11727]</v>
      </c>
      <c r="AP95" s="55" t="str">
        <f>[1]!OBCALL(AP$15&amp;"-"&amp;ROW(),obLibs&amp;"net.finmath.time.ScheduleGenerator","createScheduleFromConventions",$H$8,$AG95,$AH95:$AI95,[1]!OBMAKE("","String",$J95),[1]!OBMAKE("","String",$K95),$H$9,[1]!OBMAKE("","String",$L95),$H$10,[1]!OBMAKE("","int",$M95),[1]!OBMAKE("","int",$N95))</f>
        <v>tenor rec-95 
[13537]</v>
      </c>
      <c r="AQ95" s="55" t="str">
        <f>[1]!OBMAKE(AQ$15&amp;"-"&amp;ROW(),"String",O95)</f>
        <v>forward rec-95 
[11650]</v>
      </c>
      <c r="AR95" s="55" t="str">
        <f>[1]!OBMAKE(AR$15&amp;"-"&amp;ROW(),"double",P95)</f>
        <v>spread rec-95 
[11985]</v>
      </c>
      <c r="AS95" s="55" t="str">
        <f>[1]!OBMAKE(AS$15&amp;"-"&amp;ROW(),"String",Q95)</f>
        <v>discount rec-95 
[10575]</v>
      </c>
      <c r="AT95" s="55" t="str">
        <f>[1]!OBCALL(AT$15&amp;"-"&amp;ROW(),obLibs&amp;"net.finmath.time.ScheduleGenerator","createScheduleFromConventions",$H$8,$AG95,$AK95:$AL95,[1]!OBMAKE("","String",$U95),[1]!OBMAKE("","String",$V95),$H$9,[1]!OBMAKE("","String",$L95),$H$10,[1]!OBMAKE("","int",$X95),[1]!OBMAKE("","int",$Y95))</f>
        <v>tenor pay-95 
[13138]</v>
      </c>
      <c r="AU95" s="55" t="str">
        <f>[1]!OBMAKE(AU$15&amp;"-"&amp;ROW(),"String",Z95)</f>
        <v>forward pay-95 
[11533]</v>
      </c>
      <c r="AV95" s="55" t="str">
        <f>[1]!OBMAKE(AV$15&amp;"-"&amp;ROW(),"double",AA95)</f>
        <v>spread pay-95 
[11048]</v>
      </c>
      <c r="AW95" s="55" t="str">
        <f>[1]!OBMAKE(AW$15&amp;"-"&amp;ROW(),"String",AB95)</f>
        <v>disocunt pay-95 
[10870]</v>
      </c>
      <c r="AX95" s="55" t="str">
        <f>[1]!OBMAKE(AX$15&amp;"-"&amp;ROW(),"String",AD95)</f>
        <v>calibration curve-95 
[11491]</v>
      </c>
      <c r="AY95" s="55" t="str">
        <f>[1]!OBMAKE(AY$15&amp;"-"&amp;ROW(),"double",AE95)</f>
        <v>calibration time-95 
[13948]</v>
      </c>
      <c r="JJ95" s="14"/>
      <c r="JK95" s="14"/>
      <c r="JL95" s="14"/>
      <c r="JM95" s="14"/>
      <c r="JN95" s="14"/>
      <c r="JO95" s="14"/>
    </row>
    <row r="96" spans="1:275" ht="13.2" customHeight="1" x14ac:dyDescent="0.25">
      <c r="A96" s="48" t="str">
        <f t="shared" si="10"/>
        <v>forward-EUR-6M-30Y</v>
      </c>
      <c r="B96" s="49" t="str">
        <f>[1]!OBMAKE("calibItem-"&amp;ROW(),obLibs&amp;"net.finmath.marketdata.calibration.CalibratedCurves$CalibrationSpec",AN96:AY96)</f>
        <v>calibItem-96 
[14981]</v>
      </c>
      <c r="C96" s="49">
        <f>[1]!OBGET([1]!OBCALL("",[1]!OBCALL("",$B$11,"getCalibrationProductForSpec",B96),"getValue",[1]!OBCALL("",$B$11,"getModel")))</f>
        <v>5.8064664187895687E-14</v>
      </c>
      <c r="D96" s="14" t="str">
        <f t="shared" si="11"/>
        <v>forward-EUR-6M-30Y</v>
      </c>
      <c r="E96" s="14" t="s">
        <v>125</v>
      </c>
      <c r="F96" s="40">
        <v>2</v>
      </c>
      <c r="H96" s="40" t="s">
        <v>105</v>
      </c>
      <c r="I96" s="40" t="s">
        <v>144</v>
      </c>
      <c r="J96" s="40" t="s">
        <v>151</v>
      </c>
      <c r="K96" s="40" t="s">
        <v>108</v>
      </c>
      <c r="L96" s="40" t="s">
        <v>109</v>
      </c>
      <c r="M96" s="40">
        <v>0</v>
      </c>
      <c r="N96" s="40">
        <v>0</v>
      </c>
      <c r="O96" s="33" t="s">
        <v>41</v>
      </c>
      <c r="P96" s="40">
        <v>0</v>
      </c>
      <c r="Q96" s="33" t="s">
        <v>38</v>
      </c>
      <c r="S96" s="40" t="s">
        <v>105</v>
      </c>
      <c r="T96" s="40" t="str">
        <f t="shared" si="12"/>
        <v>30Y</v>
      </c>
      <c r="U96" s="40" t="s">
        <v>149</v>
      </c>
      <c r="V96" s="40" t="s">
        <v>108</v>
      </c>
      <c r="W96" s="40" t="s">
        <v>109</v>
      </c>
      <c r="X96" s="40">
        <v>0</v>
      </c>
      <c r="Y96" s="40">
        <v>0</v>
      </c>
      <c r="Z96" s="33" t="s">
        <v>40</v>
      </c>
      <c r="AA96" s="51">
        <v>1.07E-3</v>
      </c>
      <c r="AB96" s="33" t="s">
        <v>38</v>
      </c>
      <c r="AC96" s="53"/>
      <c r="AD96" s="33" t="str">
        <f t="shared" si="6"/>
        <v>forward-EUR-6M</v>
      </c>
      <c r="AE96" s="54">
        <f>[1]!OBGET([1]!OBCALL("",AP96,IF(OR(AD96=Q96,AD96=AB96),"getPayment","getFixing"),[1]!OBMAKE("","int",[1]!OBGET([1]!OBCALL("",AP96,"getNumberOfPeriods"))-1)))</f>
        <v>29.523287671232875</v>
      </c>
      <c r="AG96" s="55" t="str">
        <f>[1]!OBMAKE(AG$15&amp;"-"&amp;ROW(),"int",$F96)</f>
        <v>spot date-96 
[11513]</v>
      </c>
      <c r="AH96" s="55" t="str">
        <f>[1]!OBMAKE(AH$15&amp;"-"&amp;ROW(),"String",$H96)</f>
        <v>start offset rec-96 
[11666]</v>
      </c>
      <c r="AI96" s="55" t="str">
        <f>[1]!OBMAKE(AI$15&amp;"-"&amp;ROW(),"String",$I96)</f>
        <v>maturity rec-96 
[10792]</v>
      </c>
      <c r="AK96" s="55" t="str">
        <f>[1]!OBMAKE(AK$15&amp;"-"&amp;ROW(),"String",$S96)</f>
        <v>start offset pay-96 
[11063]</v>
      </c>
      <c r="AL96" s="55" t="str">
        <f>[1]!OBMAKE(AL$15&amp;"-"&amp;ROW(),"String",$T96)</f>
        <v>maturity pay-96 
[11397]</v>
      </c>
      <c r="AN96" s="55" t="str">
        <f>[1]!OBMAKE(AN$15&amp;"-"&amp;ROW(),"String",D96)</f>
        <v>symbol-96 
[11132]</v>
      </c>
      <c r="AO96" s="55" t="str">
        <f>[1]!OBMAKE(AO$15&amp;"-"&amp;ROW(),"String",E96)</f>
        <v>type-96 
[11240]</v>
      </c>
      <c r="AP96" s="55" t="str">
        <f>[1]!OBCALL(AP$15&amp;"-"&amp;ROW(),obLibs&amp;"net.finmath.time.ScheduleGenerator","createScheduleFromConventions",$H$8,$AG96,$AH96:$AI96,[1]!OBMAKE("","String",$J96),[1]!OBMAKE("","String",$K96),$H$9,[1]!OBMAKE("","String",$L96),$H$10,[1]!OBMAKE("","int",$M96),[1]!OBMAKE("","int",$N96))</f>
        <v>tenor rec-96 
[13056]</v>
      </c>
      <c r="AQ96" s="55" t="str">
        <f>[1]!OBMAKE(AQ$15&amp;"-"&amp;ROW(),"String",O96)</f>
        <v>forward rec-96 
[12355]</v>
      </c>
      <c r="AR96" s="55" t="str">
        <f>[1]!OBMAKE(AR$15&amp;"-"&amp;ROW(),"double",P96)</f>
        <v>spread rec-96 
[11698]</v>
      </c>
      <c r="AS96" s="55" t="str">
        <f>[1]!OBMAKE(AS$15&amp;"-"&amp;ROW(),"String",Q96)</f>
        <v>discount rec-96 
[11105]</v>
      </c>
      <c r="AT96" s="55" t="str">
        <f>[1]!OBCALL(AT$15&amp;"-"&amp;ROW(),obLibs&amp;"net.finmath.time.ScheduleGenerator","createScheduleFromConventions",$H$8,$AG96,$AK96:$AL96,[1]!OBMAKE("","String",$U96),[1]!OBMAKE("","String",$V96),$H$9,[1]!OBMAKE("","String",$L96),$H$10,[1]!OBMAKE("","int",$X96),[1]!OBMAKE("","int",$Y96))</f>
        <v>tenor pay-96 
[13635]</v>
      </c>
      <c r="AU96" s="55" t="str">
        <f>[1]!OBMAKE(AU$15&amp;"-"&amp;ROW(),"String",Z96)</f>
        <v>forward pay-96 
[11761]</v>
      </c>
      <c r="AV96" s="55" t="str">
        <f>[1]!OBMAKE(AV$15&amp;"-"&amp;ROW(),"double",AA96)</f>
        <v>spread pay-96 
[11370]</v>
      </c>
      <c r="AW96" s="55" t="str">
        <f>[1]!OBMAKE(AW$15&amp;"-"&amp;ROW(),"String",AB96)</f>
        <v>disocunt pay-96 
[11935]</v>
      </c>
      <c r="AX96" s="55" t="str">
        <f>[1]!OBMAKE(AX$15&amp;"-"&amp;ROW(),"String",AD96)</f>
        <v>calibration curve-96 
[11325]</v>
      </c>
      <c r="AY96" s="55" t="str">
        <f>[1]!OBMAKE(AY$15&amp;"-"&amp;ROW(),"double",AE96)</f>
        <v>calibration time-96 
[14246]</v>
      </c>
      <c r="JJ96" s="14"/>
      <c r="JK96" s="14"/>
      <c r="JL96" s="14"/>
      <c r="JM96" s="14"/>
      <c r="JN96" s="14"/>
      <c r="JO96" s="14"/>
    </row>
    <row r="97" spans="1:275" ht="13.2" customHeight="1" x14ac:dyDescent="0.25">
      <c r="A97" s="48" t="str">
        <f t="shared" si="10"/>
        <v>forward-EUR-6M-40Y</v>
      </c>
      <c r="B97" s="49" t="str">
        <f>[1]!OBMAKE("calibItem-"&amp;ROW(),obLibs&amp;"net.finmath.marketdata.calibration.CalibratedCurves$CalibrationSpec",AN97:AY97)</f>
        <v>calibItem-97 
[14915]</v>
      </c>
      <c r="C97" s="49">
        <f>[1]!OBGET([1]!OBCALL("",[1]!OBCALL("",$B$11,"getCalibrationProductForSpec",B97),"getValue",[1]!OBCALL("",$B$11,"getModel")))</f>
        <v>-1.7486012637846216E-14</v>
      </c>
      <c r="D97" s="14" t="str">
        <f t="shared" si="11"/>
        <v>forward-EUR-6M-40Y</v>
      </c>
      <c r="E97" s="14" t="s">
        <v>125</v>
      </c>
      <c r="F97" s="40">
        <v>2</v>
      </c>
      <c r="H97" s="40" t="s">
        <v>105</v>
      </c>
      <c r="I97" s="40" t="s">
        <v>145</v>
      </c>
      <c r="J97" s="40" t="s">
        <v>151</v>
      </c>
      <c r="K97" s="40" t="s">
        <v>108</v>
      </c>
      <c r="L97" s="40" t="s">
        <v>109</v>
      </c>
      <c r="M97" s="40">
        <v>0</v>
      </c>
      <c r="N97" s="40">
        <v>0</v>
      </c>
      <c r="O97" s="33" t="s">
        <v>41</v>
      </c>
      <c r="P97" s="40">
        <v>0</v>
      </c>
      <c r="Q97" s="33" t="s">
        <v>38</v>
      </c>
      <c r="S97" s="40" t="s">
        <v>105</v>
      </c>
      <c r="T97" s="40" t="str">
        <f t="shared" si="12"/>
        <v>40Y</v>
      </c>
      <c r="U97" s="40" t="s">
        <v>149</v>
      </c>
      <c r="V97" s="40" t="s">
        <v>108</v>
      </c>
      <c r="W97" s="40" t="s">
        <v>109</v>
      </c>
      <c r="X97" s="40">
        <v>0</v>
      </c>
      <c r="Y97" s="40">
        <v>0</v>
      </c>
      <c r="Z97" s="33" t="s">
        <v>40</v>
      </c>
      <c r="AA97" s="51">
        <v>9.5E-4</v>
      </c>
      <c r="AB97" s="33" t="s">
        <v>38</v>
      </c>
      <c r="AC97" s="53"/>
      <c r="AD97" s="33" t="str">
        <f t="shared" si="6"/>
        <v>forward-EUR-6M</v>
      </c>
      <c r="AE97" s="54">
        <f>[1]!OBGET([1]!OBCALL("",AP97,IF(OR(AD97=Q97,AD97=AB97),"getPayment","getFixing"),[1]!OBMAKE("","int",[1]!OBGET([1]!OBCALL("",AP97,"getNumberOfPeriods"))-1)))</f>
        <v>39.528767123287672</v>
      </c>
      <c r="AG97" s="55" t="str">
        <f>[1]!OBMAKE(AG$15&amp;"-"&amp;ROW(),"int",$F97)</f>
        <v>spot date-97 
[11498]</v>
      </c>
      <c r="AH97" s="55" t="str">
        <f>[1]!OBMAKE(AH$15&amp;"-"&amp;ROW(),"String",$H97)</f>
        <v>start offset rec-97 
[11386]</v>
      </c>
      <c r="AI97" s="55" t="str">
        <f>[1]!OBMAKE(AI$15&amp;"-"&amp;ROW(),"String",$I97)</f>
        <v>maturity rec-97 
[11578]</v>
      </c>
      <c r="AK97" s="55" t="str">
        <f>[1]!OBMAKE(AK$15&amp;"-"&amp;ROW(),"String",$S97)</f>
        <v>start offset pay-97 
[12319]</v>
      </c>
      <c r="AL97" s="55" t="str">
        <f>[1]!OBMAKE(AL$15&amp;"-"&amp;ROW(),"String",$T97)</f>
        <v>maturity pay-97 
[11798]</v>
      </c>
      <c r="AN97" s="55" t="str">
        <f>[1]!OBMAKE(AN$15&amp;"-"&amp;ROW(),"String",D97)</f>
        <v>symbol-97 
[10805]</v>
      </c>
      <c r="AO97" s="55" t="str">
        <f>[1]!OBMAKE(AO$15&amp;"-"&amp;ROW(),"String",E97)</f>
        <v>type-97 
[11443]</v>
      </c>
      <c r="AP97" s="55" t="str">
        <f>[1]!OBCALL(AP$15&amp;"-"&amp;ROW(),obLibs&amp;"net.finmath.time.ScheduleGenerator","createScheduleFromConventions",$H$8,$AG97,$AH97:$AI97,[1]!OBMAKE("","String",$J97),[1]!OBMAKE("","String",$K97),$H$9,[1]!OBMAKE("","String",$L97),$H$10,[1]!OBMAKE("","int",$M97),[1]!OBMAKE("","int",$N97))</f>
        <v>tenor rec-97 
[14128]</v>
      </c>
      <c r="AQ97" s="55" t="str">
        <f>[1]!OBMAKE(AQ$15&amp;"-"&amp;ROW(),"String",O97)</f>
        <v>forward rec-97 
[11818]</v>
      </c>
      <c r="AR97" s="55" t="str">
        <f>[1]!OBMAKE(AR$15&amp;"-"&amp;ROW(),"double",P97)</f>
        <v>spread rec-97 
[12281]</v>
      </c>
      <c r="AS97" s="55" t="str">
        <f>[1]!OBMAKE(AS$15&amp;"-"&amp;ROW(),"String",Q97)</f>
        <v>discount rec-97 
[10750]</v>
      </c>
      <c r="AT97" s="55" t="str">
        <f>[1]!OBCALL(AT$15&amp;"-"&amp;ROW(),obLibs&amp;"net.finmath.time.ScheduleGenerator","createScheduleFromConventions",$H$8,$AG97,$AK97:$AL97,[1]!OBMAKE("","String",$U97),[1]!OBMAKE("","String",$V97),$H$9,[1]!OBMAKE("","String",$L97),$H$10,[1]!OBMAKE("","int",$X97),[1]!OBMAKE("","int",$Y97))</f>
        <v>tenor pay-97 
[13162]</v>
      </c>
      <c r="AU97" s="55" t="str">
        <f>[1]!OBMAKE(AU$15&amp;"-"&amp;ROW(),"String",Z97)</f>
        <v>forward pay-97 
[12115]</v>
      </c>
      <c r="AV97" s="55" t="str">
        <f>[1]!OBMAKE(AV$15&amp;"-"&amp;ROW(),"double",AA97)</f>
        <v>spread pay-97 
[11242]</v>
      </c>
      <c r="AW97" s="55" t="str">
        <f>[1]!OBMAKE(AW$15&amp;"-"&amp;ROW(),"String",AB97)</f>
        <v>disocunt pay-97 
[10541]</v>
      </c>
      <c r="AX97" s="55" t="str">
        <f>[1]!OBMAKE(AX$15&amp;"-"&amp;ROW(),"String",AD97)</f>
        <v>calibration curve-97 
[11421]</v>
      </c>
      <c r="AY97" s="55" t="str">
        <f>[1]!OBMAKE(AY$15&amp;"-"&amp;ROW(),"double",AE97)</f>
        <v>calibration time-97 
[14229]</v>
      </c>
      <c r="JJ97" s="14"/>
      <c r="JK97" s="14"/>
      <c r="JL97" s="14"/>
      <c r="JM97" s="14"/>
      <c r="JN97" s="14"/>
      <c r="JO97" s="14"/>
    </row>
    <row r="98" spans="1:275" s="46" customFormat="1" ht="13.2" customHeight="1" x14ac:dyDescent="0.25">
      <c r="A98" s="48" t="str">
        <f t="shared" si="10"/>
        <v>forward-EUR-6M-50Y</v>
      </c>
      <c r="B98" s="58" t="str">
        <f>[1]!OBMAKE("calibItem-"&amp;ROW(),obLibs&amp;"net.finmath.marketdata.calibration.CalibratedCurves$CalibrationSpec",AN98:AY98)</f>
        <v>calibItem-98 
[14946]</v>
      </c>
      <c r="C98" s="58">
        <f>[1]!OBGET([1]!OBCALL("",[1]!OBCALL("",$B$11,"getCalibrationProductForSpec",B98),"getValue",[1]!OBCALL("",$B$11,"getModel")))</f>
        <v>1.8318679906315083E-15</v>
      </c>
      <c r="D98" s="46" t="str">
        <f t="shared" si="11"/>
        <v>forward-EUR-6M-50Y</v>
      </c>
      <c r="E98" s="46" t="s">
        <v>125</v>
      </c>
      <c r="F98" s="59">
        <v>2</v>
      </c>
      <c r="H98" s="59" t="s">
        <v>105</v>
      </c>
      <c r="I98" s="59" t="s">
        <v>146</v>
      </c>
      <c r="J98" s="59" t="s">
        <v>151</v>
      </c>
      <c r="K98" s="59" t="s">
        <v>108</v>
      </c>
      <c r="L98" s="59" t="s">
        <v>109</v>
      </c>
      <c r="M98" s="59">
        <v>0</v>
      </c>
      <c r="N98" s="59">
        <v>0</v>
      </c>
      <c r="O98" s="61" t="s">
        <v>41</v>
      </c>
      <c r="P98" s="59">
        <v>0</v>
      </c>
      <c r="Q98" s="61" t="s">
        <v>38</v>
      </c>
      <c r="S98" s="59" t="s">
        <v>105</v>
      </c>
      <c r="T98" s="59" t="str">
        <f t="shared" si="12"/>
        <v>50Y</v>
      </c>
      <c r="U98" s="59" t="s">
        <v>149</v>
      </c>
      <c r="V98" s="59" t="s">
        <v>108</v>
      </c>
      <c r="W98" s="59" t="s">
        <v>109</v>
      </c>
      <c r="X98" s="59">
        <v>0</v>
      </c>
      <c r="Y98" s="59">
        <v>0</v>
      </c>
      <c r="Z98" s="61" t="s">
        <v>40</v>
      </c>
      <c r="AA98" s="62">
        <v>8.8000000000000003E-4</v>
      </c>
      <c r="AB98" s="61" t="s">
        <v>38</v>
      </c>
      <c r="AC98" s="63"/>
      <c r="AD98" s="61" t="str">
        <f t="shared" si="6"/>
        <v>forward-EUR-6M</v>
      </c>
      <c r="AE98" s="64">
        <f>[1]!OBGET([1]!OBCALL("",AP98,IF(OR(AD98=Q98,AD98=AB98),"getPayment","getFixing"),[1]!OBMAKE("","int",[1]!OBGET([1]!OBCALL("",AP98,"getNumberOfPeriods"))-1)))</f>
        <v>49.536986301369865</v>
      </c>
      <c r="AG98" s="65" t="str">
        <f>[1]!OBMAKE(AG$15&amp;"-"&amp;ROW(),"int",$F98)</f>
        <v>spot date-98 
[12215]</v>
      </c>
      <c r="AH98" s="65" t="str">
        <f>[1]!OBMAKE(AH$15&amp;"-"&amp;ROW(),"String",$H98)</f>
        <v>start offset rec-98 
[11445]</v>
      </c>
      <c r="AI98" s="65" t="str">
        <f>[1]!OBMAKE(AI$15&amp;"-"&amp;ROW(),"String",$I98)</f>
        <v>maturity rec-98 
[10942]</v>
      </c>
      <c r="AK98" s="65" t="str">
        <f>[1]!OBMAKE(AK$15&amp;"-"&amp;ROW(),"String",$S98)</f>
        <v>start offset pay-98 
[11689]</v>
      </c>
      <c r="AL98" s="65" t="str">
        <f>[1]!OBMAKE(AL$15&amp;"-"&amp;ROW(),"String",$T98)</f>
        <v>maturity pay-98 
[11407]</v>
      </c>
      <c r="AN98" s="65" t="str">
        <f>[1]!OBMAKE(AN$15&amp;"-"&amp;ROW(),"String",D98)</f>
        <v>symbol-98 
[11027]</v>
      </c>
      <c r="AO98" s="65" t="str">
        <f>[1]!OBMAKE(AO$15&amp;"-"&amp;ROW(),"String",E98)</f>
        <v>type-98 
[11025]</v>
      </c>
      <c r="AP98" s="65" t="str">
        <f>[1]!OBCALL(AP$15&amp;"-"&amp;ROW(),obLibs&amp;"net.finmath.time.ScheduleGenerator","createScheduleFromConventions",$H$8,$AG98,$AH98:$AI98,[1]!OBMAKE("","String",$J98),[1]!OBMAKE("","String",$K98),$H$9,[1]!OBMAKE("","String",$L98),$H$10,[1]!OBMAKE("","int",$M98),[1]!OBMAKE("","int",$N98))</f>
        <v>tenor rec-98 
[13616]</v>
      </c>
      <c r="AQ98" s="65" t="str">
        <f>[1]!OBMAKE(AQ$15&amp;"-"&amp;ROW(),"String",O98)</f>
        <v>forward rec-98 
[12311]</v>
      </c>
      <c r="AR98" s="65" t="str">
        <f>[1]!OBMAKE(AR$15&amp;"-"&amp;ROW(),"double",P98)</f>
        <v>spread rec-98 
[11635]</v>
      </c>
      <c r="AS98" s="65" t="str">
        <f>[1]!OBMAKE(AS$15&amp;"-"&amp;ROW(),"String",Q98)</f>
        <v>discount rec-98 
[11001]</v>
      </c>
      <c r="AT98" s="65" t="str">
        <f>[1]!OBCALL(AT$15&amp;"-"&amp;ROW(),obLibs&amp;"net.finmath.time.ScheduleGenerator","createScheduleFromConventions",$H$8,$AG98,$AK98:$AL98,[1]!OBMAKE("","String",$U98),[1]!OBMAKE("","String",$V98),$H$9,[1]!OBMAKE("","String",$L98),$H$10,[1]!OBMAKE("","int",$X98),[1]!OBMAKE("","int",$Y98))</f>
        <v>tenor pay-98 
[13374]</v>
      </c>
      <c r="AU98" s="65" t="str">
        <f>[1]!OBMAKE(AU$15&amp;"-"&amp;ROW(),"String",Z98)</f>
        <v>forward pay-98 
[11711]</v>
      </c>
      <c r="AV98" s="65" t="str">
        <f>[1]!OBMAKE(AV$15&amp;"-"&amp;ROW(),"double",AA98)</f>
        <v>spread pay-98 
[11152]</v>
      </c>
      <c r="AW98" s="65" t="str">
        <f>[1]!OBMAKE(AW$15&amp;"-"&amp;ROW(),"String",AB98)</f>
        <v>disocunt pay-98 
[10720]</v>
      </c>
      <c r="AX98" s="65" t="str">
        <f>[1]!OBMAKE(AX$15&amp;"-"&amp;ROW(),"String",AD98)</f>
        <v>calibration curve-98 
[12272]</v>
      </c>
      <c r="AY98" s="65" t="str">
        <f>[1]!OBMAKE(AY$15&amp;"-"&amp;ROW(),"double",AE98)</f>
        <v>calibration time-98 
[13620]</v>
      </c>
    </row>
    <row r="99" spans="1:275" s="75" customFormat="1" ht="13.2" customHeight="1" x14ac:dyDescent="0.25">
      <c r="A99" s="48" t="str">
        <f t="shared" si="10"/>
        <v>discount-EUR-FND-1Y</v>
      </c>
      <c r="B99" s="66" t="str">
        <f>[1]!OBMAKE("calibItem-"&amp;ROW(),obLibs&amp;"net.finmath.marketdata.calibration.CalibratedCurves$CalibrationSpec",AN99:AY99)</f>
        <v>calibItem-99 
[14989]</v>
      </c>
      <c r="C99" s="66">
        <f>[1]!OBGET([1]!OBCALL("",[1]!OBCALL("",$B$11,"getCalibrationProductForSpec",B99),"getValue",[1]!OBCALL("",$B$11,"getModel")))</f>
        <v>0</v>
      </c>
      <c r="D99" s="67" t="str">
        <f t="shared" si="11"/>
        <v>discount-EUR-FND-1Y</v>
      </c>
      <c r="E99" s="67" t="s">
        <v>152</v>
      </c>
      <c r="F99" s="68">
        <v>2</v>
      </c>
      <c r="G99" s="67"/>
      <c r="H99" s="68" t="s">
        <v>105</v>
      </c>
      <c r="I99" s="68" t="s">
        <v>153</v>
      </c>
      <c r="J99" s="68" t="s">
        <v>149</v>
      </c>
      <c r="K99" s="68" t="s">
        <v>108</v>
      </c>
      <c r="L99" s="68" t="s">
        <v>109</v>
      </c>
      <c r="M99" s="68">
        <v>0</v>
      </c>
      <c r="N99" s="68">
        <v>0</v>
      </c>
      <c r="O99" s="69" t="str">
        <f t="shared" ref="O99:O110" si="13">Z99</f>
        <v>forward-EUR-3M</v>
      </c>
      <c r="P99" s="70">
        <f t="shared" ref="P99:P110" si="14">AA99</f>
        <v>1E-3</v>
      </c>
      <c r="Q99" s="69" t="s">
        <v>154</v>
      </c>
      <c r="R99" s="67"/>
      <c r="S99" s="68" t="s">
        <v>105</v>
      </c>
      <c r="T99" s="68" t="str">
        <f t="shared" si="12"/>
        <v>1Y</v>
      </c>
      <c r="U99" s="68" t="s">
        <v>149</v>
      </c>
      <c r="V99" s="68" t="s">
        <v>108</v>
      </c>
      <c r="W99" s="68" t="s">
        <v>109</v>
      </c>
      <c r="X99" s="68">
        <v>0</v>
      </c>
      <c r="Y99" s="68">
        <v>0</v>
      </c>
      <c r="Z99" s="69" t="s">
        <v>40</v>
      </c>
      <c r="AA99" s="71">
        <v>1E-3</v>
      </c>
      <c r="AB99" s="69" t="s">
        <v>154</v>
      </c>
      <c r="AC99" s="72"/>
      <c r="AD99" s="69" t="str">
        <f t="shared" ref="AD99:AD110" si="15">AB99</f>
        <v>discount-EUR-FND</v>
      </c>
      <c r="AE99" s="73">
        <f>[1]!OBGET([1]!OBCALL("",AP99,IF(OR(AD99=Q99,AD99=AB99),"getPayment","getFixing"),[1]!OBMAKE("","int",[1]!OBGET([1]!OBCALL("",AP99,"getNumberOfPeriods"))-1)))</f>
        <v>1.0136986301369864</v>
      </c>
      <c r="AF99" s="67"/>
      <c r="AG99" s="74" t="str">
        <f>[1]!OBMAKE(AG$15&amp;"-"&amp;ROW(),"int",$F99)</f>
        <v>spot date-99 
[12237]</v>
      </c>
      <c r="AH99" s="74" t="str">
        <f>[1]!OBMAKE(AH$15&amp;"-"&amp;ROW(),"String",$H99)</f>
        <v>start offset rec-99 
[11258]</v>
      </c>
      <c r="AI99" s="74" t="str">
        <f>[1]!OBMAKE(AI$15&amp;"-"&amp;ROW(),"String",$I99)</f>
        <v>maturity rec-99 
[11125]</v>
      </c>
      <c r="AJ99" s="67"/>
      <c r="AK99" s="74" t="str">
        <f>[1]!OBMAKE(AK$15&amp;"-"&amp;ROW(),"String",$S99)</f>
        <v>start offset pay-99 
[10820]</v>
      </c>
      <c r="AL99" s="74" t="str">
        <f>[1]!OBMAKE(AL$15&amp;"-"&amp;ROW(),"String",$T99)</f>
        <v>maturity pay-99 
[11410]</v>
      </c>
      <c r="AM99" s="67"/>
      <c r="AN99" s="74" t="str">
        <f>[1]!OBMAKE(AN$15&amp;"-"&amp;ROW(),"String",D99)</f>
        <v>symbol-99 
[10955]</v>
      </c>
      <c r="AO99" s="74" t="str">
        <f>[1]!OBMAKE(AO$15&amp;"-"&amp;ROW(),"String",E99)</f>
        <v>type-99 
[11633]</v>
      </c>
      <c r="AP99" s="74" t="str">
        <f>[1]!OBCALL(AP$15&amp;"-"&amp;ROW(),obLibs&amp;"net.finmath.time.ScheduleGenerator","createScheduleFromConventions",$H$8,$AG99,$AH99:$AI99,[1]!OBMAKE("","String",$J99),[1]!OBMAKE("","String",$K99),$H$9,[1]!OBMAKE("","String",$L99),$H$10,[1]!OBMAKE("","int",$M99),[1]!OBMAKE("","int",$N99))</f>
        <v>tenor rec-99 
[14573]</v>
      </c>
      <c r="AQ99" s="74" t="str">
        <f>[1]!OBMAKE(AQ$15&amp;"-"&amp;ROW(),"String",O99)</f>
        <v>forward rec-99 
[11428]</v>
      </c>
      <c r="AR99" s="74" t="str">
        <f>[1]!OBMAKE(AR$15&amp;"-"&amp;ROW(),"double",P99)</f>
        <v>spread rec-99 
[11483]</v>
      </c>
      <c r="AS99" s="74" t="str">
        <f>[1]!OBMAKE(AS$15&amp;"-"&amp;ROW(),"String",Q99)</f>
        <v>discount rec-99 
[10574]</v>
      </c>
      <c r="AT99" s="74" t="str">
        <f>[1]!OBCALL(AT$15&amp;"-"&amp;ROW(),obLibs&amp;"net.finmath.time.ScheduleGenerator","createScheduleFromConventions",$H$8,$AG99,$AK99:$AL99,[1]!OBMAKE("","String",$U99),[1]!OBMAKE("","String",$V99),$H$9,[1]!OBMAKE("","String",$L99),$H$10,[1]!OBMAKE("","int",$X99),[1]!OBMAKE("","int",$Y99))</f>
        <v>tenor pay-99 
[12927]</v>
      </c>
      <c r="AU99" s="74" t="str">
        <f>[1]!OBMAKE(AU$15&amp;"-"&amp;ROW(),"String",Z99)</f>
        <v>forward pay-99 
[12022]</v>
      </c>
      <c r="AV99" s="74" t="str">
        <f>[1]!OBMAKE(AV$15&amp;"-"&amp;ROW(),"double",AA99)</f>
        <v>spread pay-99 
[11047]</v>
      </c>
      <c r="AW99" s="74" t="str">
        <f>[1]!OBMAKE(AW$15&amp;"-"&amp;ROW(),"String",AB99)</f>
        <v>disocunt pay-99 
[11562]</v>
      </c>
      <c r="AX99" s="74" t="str">
        <f>[1]!OBMAKE(AX$15&amp;"-"&amp;ROW(),"String",AD99)</f>
        <v>calibration curve-99 
[11888]</v>
      </c>
      <c r="AY99" s="74" t="str">
        <f>[1]!OBMAKE(AY$15&amp;"-"&amp;ROW(),"double",AE99)</f>
        <v>calibration time-99 
[14577]</v>
      </c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  <c r="DQ99" s="67"/>
      <c r="DR99" s="67"/>
      <c r="DS99" s="67"/>
      <c r="DT99" s="67"/>
      <c r="DU99" s="67"/>
      <c r="DV99" s="67"/>
      <c r="DW99" s="67"/>
      <c r="DX99" s="67"/>
      <c r="DY99" s="67"/>
      <c r="DZ99" s="67"/>
      <c r="EA99" s="67"/>
      <c r="EB99" s="67"/>
      <c r="EC99" s="67"/>
      <c r="ED99" s="67"/>
      <c r="EE99" s="67"/>
      <c r="EF99" s="67"/>
      <c r="EG99" s="67"/>
      <c r="EH99" s="67"/>
      <c r="EI99" s="67"/>
      <c r="EJ99" s="67"/>
      <c r="EK99" s="67"/>
      <c r="EL99" s="67"/>
      <c r="EM99" s="67"/>
      <c r="EN99" s="67"/>
      <c r="EO99" s="67"/>
      <c r="EP99" s="67"/>
      <c r="EQ99" s="67"/>
      <c r="ER99" s="67"/>
      <c r="ES99" s="67"/>
      <c r="ET99" s="67"/>
      <c r="EU99" s="67"/>
      <c r="EV99" s="67"/>
      <c r="EW99" s="67"/>
      <c r="EX99" s="67"/>
      <c r="EY99" s="67"/>
      <c r="EZ99" s="67"/>
      <c r="FA99" s="67"/>
      <c r="FB99" s="67"/>
      <c r="FC99" s="67"/>
      <c r="FD99" s="67"/>
      <c r="FE99" s="67"/>
      <c r="FF99" s="67"/>
      <c r="FG99" s="67"/>
      <c r="FH99" s="67"/>
      <c r="FI99" s="67"/>
      <c r="FJ99" s="67"/>
      <c r="FK99" s="67"/>
      <c r="FL99" s="67"/>
      <c r="FM99" s="67"/>
      <c r="FN99" s="67"/>
      <c r="FO99" s="67"/>
      <c r="FP99" s="67"/>
      <c r="FQ99" s="67"/>
      <c r="FR99" s="67"/>
      <c r="FS99" s="67"/>
      <c r="FT99" s="67"/>
      <c r="FU99" s="67"/>
      <c r="FV99" s="67"/>
      <c r="FW99" s="67"/>
      <c r="FX99" s="67"/>
      <c r="FY99" s="67"/>
      <c r="FZ99" s="67"/>
      <c r="GA99" s="67"/>
      <c r="GB99" s="67"/>
      <c r="GC99" s="67"/>
      <c r="GD99" s="67"/>
      <c r="GE99" s="67"/>
      <c r="GF99" s="67"/>
      <c r="GG99" s="67"/>
      <c r="GH99" s="67"/>
      <c r="GI99" s="67"/>
      <c r="GJ99" s="67"/>
      <c r="GK99" s="67"/>
      <c r="GL99" s="67"/>
      <c r="GM99" s="67"/>
      <c r="GN99" s="67"/>
      <c r="GO99" s="67"/>
      <c r="GP99" s="67"/>
      <c r="GQ99" s="67"/>
      <c r="GR99" s="67"/>
      <c r="GS99" s="67"/>
      <c r="GT99" s="67"/>
      <c r="GU99" s="67"/>
      <c r="GV99" s="67"/>
      <c r="GW99" s="67"/>
      <c r="GX99" s="67"/>
      <c r="GY99" s="67"/>
      <c r="GZ99" s="67"/>
      <c r="HA99" s="67"/>
      <c r="HB99" s="67"/>
      <c r="HC99" s="67"/>
      <c r="HD99" s="67"/>
      <c r="HE99" s="67"/>
      <c r="HF99" s="67"/>
      <c r="HG99" s="67"/>
      <c r="HH99" s="67"/>
      <c r="HI99" s="67"/>
      <c r="HJ99" s="67"/>
      <c r="HK99" s="67"/>
      <c r="HL99" s="67"/>
      <c r="HM99" s="67"/>
      <c r="HN99" s="67"/>
      <c r="HO99" s="67"/>
      <c r="HP99" s="67"/>
      <c r="HQ99" s="67"/>
      <c r="HR99" s="67"/>
      <c r="HS99" s="67"/>
      <c r="HT99" s="67"/>
      <c r="HU99" s="67"/>
      <c r="HV99" s="67"/>
      <c r="HW99" s="67"/>
      <c r="HX99" s="67"/>
      <c r="HY99" s="67"/>
      <c r="HZ99" s="67"/>
      <c r="IA99" s="67"/>
      <c r="IB99" s="67"/>
      <c r="IC99" s="67"/>
      <c r="ID99" s="67"/>
      <c r="IE99" s="67"/>
      <c r="IF99" s="67"/>
      <c r="IG99" s="67"/>
      <c r="IH99" s="67"/>
      <c r="II99" s="67"/>
      <c r="IJ99" s="67"/>
      <c r="IK99" s="67"/>
      <c r="IL99" s="67"/>
      <c r="IM99" s="67"/>
      <c r="IN99" s="67"/>
      <c r="IO99" s="67"/>
      <c r="IP99" s="67"/>
      <c r="IQ99" s="67"/>
      <c r="IR99" s="67"/>
      <c r="IS99" s="67"/>
      <c r="IT99" s="67"/>
      <c r="IU99" s="67"/>
      <c r="IV99" s="67"/>
      <c r="IW99" s="67"/>
      <c r="IX99" s="67"/>
      <c r="IY99" s="67"/>
      <c r="IZ99" s="67"/>
      <c r="JA99" s="67"/>
      <c r="JB99" s="67"/>
      <c r="JC99" s="67"/>
      <c r="JD99" s="67"/>
      <c r="JE99" s="67"/>
      <c r="JF99" s="67"/>
      <c r="JG99" s="67"/>
      <c r="JH99" s="67"/>
      <c r="JI99" s="67"/>
      <c r="JJ99" s="67"/>
      <c r="JK99" s="67"/>
      <c r="JL99" s="67"/>
      <c r="JM99" s="67"/>
      <c r="JN99" s="67"/>
      <c r="JO99" s="67"/>
    </row>
    <row r="100" spans="1:275" ht="13.2" customHeight="1" x14ac:dyDescent="0.25">
      <c r="A100" s="48" t="str">
        <f t="shared" si="10"/>
        <v>discount-EUR-FND-2Y</v>
      </c>
      <c r="B100" s="49" t="str">
        <f>[1]!OBMAKE("calibItem-"&amp;ROW(),obLibs&amp;"net.finmath.marketdata.calibration.CalibratedCurves$CalibrationSpec",AN100:AY100)</f>
        <v>calibItem-100 
[15006]</v>
      </c>
      <c r="C100" s="49">
        <f>[1]!OBGET([1]!OBCALL("",[1]!OBCALL("",$B$11,"getCalibrationProductForSpec",B100),"getValue",[1]!OBCALL("",$B$11,"getModel")))</f>
        <v>1.1102230246251565E-16</v>
      </c>
      <c r="D100" s="14" t="str">
        <f t="shared" si="11"/>
        <v>discount-EUR-FND-2Y</v>
      </c>
      <c r="E100" s="14" t="s">
        <v>152</v>
      </c>
      <c r="F100" s="40">
        <v>2</v>
      </c>
      <c r="H100" s="40" t="s">
        <v>105</v>
      </c>
      <c r="I100" s="40" t="s">
        <v>129</v>
      </c>
      <c r="J100" s="40" t="s">
        <v>149</v>
      </c>
      <c r="K100" s="40" t="s">
        <v>108</v>
      </c>
      <c r="L100" s="40" t="s">
        <v>109</v>
      </c>
      <c r="M100" s="40">
        <v>0</v>
      </c>
      <c r="N100" s="40">
        <v>0</v>
      </c>
      <c r="O100" s="33" t="str">
        <f t="shared" si="13"/>
        <v>forward-EUR-3M</v>
      </c>
      <c r="P100" s="76">
        <f t="shared" si="14"/>
        <v>1E-3</v>
      </c>
      <c r="Q100" s="33" t="s">
        <v>154</v>
      </c>
      <c r="S100" s="40" t="s">
        <v>105</v>
      </c>
      <c r="T100" s="40" t="str">
        <f t="shared" si="12"/>
        <v>2Y</v>
      </c>
      <c r="U100" s="40" t="s">
        <v>149</v>
      </c>
      <c r="V100" s="40" t="s">
        <v>108</v>
      </c>
      <c r="W100" s="40" t="s">
        <v>109</v>
      </c>
      <c r="X100" s="40">
        <v>0</v>
      </c>
      <c r="Y100" s="40">
        <v>0</v>
      </c>
      <c r="Z100" s="33" t="s">
        <v>40</v>
      </c>
      <c r="AA100" s="51">
        <v>1E-3</v>
      </c>
      <c r="AB100" s="33" t="s">
        <v>154</v>
      </c>
      <c r="AC100" s="53"/>
      <c r="AD100" s="33" t="str">
        <f t="shared" si="15"/>
        <v>discount-EUR-FND</v>
      </c>
      <c r="AE100" s="54">
        <f>[1]!OBGET([1]!OBCALL("",AP100,IF(OR(AD100=Q100,AD100=AB100),"getPayment","getFixing"),[1]!OBMAKE("","int",[1]!OBGET([1]!OBCALL("",AP100,"getNumberOfPeriods"))-1)))</f>
        <v>2.010958904109589</v>
      </c>
      <c r="AG100" s="55" t="str">
        <f>[1]!OBMAKE(AG$15&amp;"-"&amp;ROW(),"int",$F100)</f>
        <v>spot date-100 
[12007]</v>
      </c>
      <c r="AH100" s="55" t="str">
        <f>[1]!OBMAKE(AH$15&amp;"-"&amp;ROW(),"String",$H100)</f>
        <v>start offset rec-100 
[11317]</v>
      </c>
      <c r="AI100" s="55" t="str">
        <f>[1]!OBMAKE(AI$15&amp;"-"&amp;ROW(),"String",$I100)</f>
        <v>maturity rec-100 
[10791]</v>
      </c>
      <c r="AK100" s="55" t="str">
        <f>[1]!OBMAKE(AK$15&amp;"-"&amp;ROW(),"String",$S100)</f>
        <v>start offset pay-100 
[11599]</v>
      </c>
      <c r="AL100" s="55" t="str">
        <f>[1]!OBMAKE(AL$15&amp;"-"&amp;ROW(),"String",$T100)</f>
        <v>maturity pay-100 
[11269]</v>
      </c>
      <c r="AN100" s="55" t="str">
        <f>[1]!OBMAKE(AN$15&amp;"-"&amp;ROW(),"String",D100)</f>
        <v>symbol-100 
[12270]</v>
      </c>
      <c r="AO100" s="55" t="str">
        <f>[1]!OBMAKE(AO$15&amp;"-"&amp;ROW(),"String",E100)</f>
        <v>type-100 
[11148]</v>
      </c>
      <c r="AP100" s="55" t="str">
        <f>[1]!OBCALL(AP$15&amp;"-"&amp;ROW(),obLibs&amp;"net.finmath.time.ScheduleGenerator","createScheduleFromConventions",$H$8,$AG100,$AH100:$AI100,[1]!OBMAKE("","String",$J100),[1]!OBMAKE("","String",$K100),$H$9,[1]!OBMAKE("","String",$L100),$H$10,[1]!OBMAKE("","int",$M100),[1]!OBMAKE("","int",$N100))</f>
        <v>tenor rec-100 
[13120]</v>
      </c>
      <c r="AQ100" s="55" t="str">
        <f>[1]!OBMAKE(AQ$15&amp;"-"&amp;ROW(),"String",O100)</f>
        <v>forward rec-100 
[12305]</v>
      </c>
      <c r="AR100" s="55" t="str">
        <f>[1]!OBMAKE(AR$15&amp;"-"&amp;ROW(),"double",P100)</f>
        <v>spread rec-100 
[11413]</v>
      </c>
      <c r="AS100" s="55" t="str">
        <f>[1]!OBMAKE(AS$15&amp;"-"&amp;ROW(),"String",Q100)</f>
        <v>discount rec-100 
[10895]</v>
      </c>
      <c r="AT100" s="55" t="str">
        <f>[1]!OBCALL(AT$15&amp;"-"&amp;ROW(),obLibs&amp;"net.finmath.time.ScheduleGenerator","createScheduleFromConventions",$H$8,$AG100,$AK100:$AL100,[1]!OBMAKE("","String",$U100),[1]!OBMAKE("","String",$V100),$H$9,[1]!OBMAKE("","String",$L100),$H$10,[1]!OBMAKE("","int",$X100),[1]!OBMAKE("","int",$Y100))</f>
        <v>tenor pay-100 
[14583]</v>
      </c>
      <c r="AU100" s="55" t="str">
        <f>[1]!OBMAKE(AU$15&amp;"-"&amp;ROW(),"String",Z100)</f>
        <v>forward pay-100 
[11840]</v>
      </c>
      <c r="AV100" s="55" t="str">
        <f>[1]!OBMAKE(AV$15&amp;"-"&amp;ROW(),"double",AA100)</f>
        <v>spread pay-100 
[11687]</v>
      </c>
      <c r="AW100" s="55" t="str">
        <f>[1]!OBMAKE(AW$15&amp;"-"&amp;ROW(),"String",AB100)</f>
        <v>disocunt pay-100 
[10869]</v>
      </c>
      <c r="AX100" s="55" t="str">
        <f>[1]!OBMAKE(AX$15&amp;"-"&amp;ROW(),"String",AD100)</f>
        <v>calibration curve-100 
[11964]</v>
      </c>
      <c r="AY100" s="55" t="str">
        <f>[1]!OBMAKE(AY$15&amp;"-"&amp;ROW(),"double",AE100)</f>
        <v>calibration time-100 
[13780]</v>
      </c>
      <c r="JJ100" s="14"/>
      <c r="JK100" s="14"/>
      <c r="JL100" s="14"/>
      <c r="JM100" s="14"/>
      <c r="JN100" s="14"/>
      <c r="JO100" s="14"/>
    </row>
    <row r="101" spans="1:275" ht="13.2" customHeight="1" x14ac:dyDescent="0.25">
      <c r="A101" s="48" t="str">
        <f t="shared" si="10"/>
        <v>discount-EUR-FND-3Y</v>
      </c>
      <c r="B101" s="49" t="str">
        <f>[1]!OBMAKE("calibItem-"&amp;ROW(),obLibs&amp;"net.finmath.marketdata.calibration.CalibratedCurves$CalibrationSpec",AN101:AY101)</f>
        <v>calibItem-101 
[14925]</v>
      </c>
      <c r="C101" s="49">
        <f>[1]!OBGET([1]!OBCALL("",[1]!OBCALL("",$B$11,"getCalibrationProductForSpec",B101),"getValue",[1]!OBCALL("",$B$11,"getModel")))</f>
        <v>3.3306690738754696E-16</v>
      </c>
      <c r="D101" s="14" t="str">
        <f t="shared" si="11"/>
        <v>discount-EUR-FND-3Y</v>
      </c>
      <c r="E101" s="14" t="s">
        <v>152</v>
      </c>
      <c r="F101" s="40">
        <v>2</v>
      </c>
      <c r="H101" s="40" t="s">
        <v>105</v>
      </c>
      <c r="I101" s="40" t="s">
        <v>131</v>
      </c>
      <c r="J101" s="40" t="s">
        <v>149</v>
      </c>
      <c r="K101" s="40" t="s">
        <v>108</v>
      </c>
      <c r="L101" s="40" t="s">
        <v>109</v>
      </c>
      <c r="M101" s="40">
        <v>0</v>
      </c>
      <c r="N101" s="40">
        <v>0</v>
      </c>
      <c r="O101" s="33" t="str">
        <f t="shared" si="13"/>
        <v>forward-EUR-3M</v>
      </c>
      <c r="P101" s="76">
        <f t="shared" si="14"/>
        <v>2E-3</v>
      </c>
      <c r="Q101" s="33" t="s">
        <v>154</v>
      </c>
      <c r="S101" s="40" t="s">
        <v>105</v>
      </c>
      <c r="T101" s="40" t="str">
        <f t="shared" si="12"/>
        <v>3Y</v>
      </c>
      <c r="U101" s="40" t="s">
        <v>149</v>
      </c>
      <c r="V101" s="40" t="s">
        <v>108</v>
      </c>
      <c r="W101" s="40" t="s">
        <v>109</v>
      </c>
      <c r="X101" s="40">
        <v>0</v>
      </c>
      <c r="Y101" s="40">
        <v>0</v>
      </c>
      <c r="Z101" s="33" t="s">
        <v>40</v>
      </c>
      <c r="AA101" s="51">
        <v>2E-3</v>
      </c>
      <c r="AB101" s="33" t="s">
        <v>154</v>
      </c>
      <c r="AC101" s="53"/>
      <c r="AD101" s="33" t="str">
        <f t="shared" si="15"/>
        <v>discount-EUR-FND</v>
      </c>
      <c r="AE101" s="54">
        <f>[1]!OBGET([1]!OBCALL("",AP101,IF(OR(AD101=Q101,AD101=AB101),"getPayment","getFixing"),[1]!OBMAKE("","int",[1]!OBGET([1]!OBCALL("",AP101,"getNumberOfPeriods"))-1)))</f>
        <v>3.0082191780821916</v>
      </c>
      <c r="AG101" s="55" t="str">
        <f>[1]!OBMAKE(AG$15&amp;"-"&amp;ROW(),"int",$F101)</f>
        <v>spot date-101 
[12228]</v>
      </c>
      <c r="AH101" s="55" t="str">
        <f>[1]!OBMAKE(AH$15&amp;"-"&amp;ROW(),"String",$H101)</f>
        <v>start offset rec-101 
[11691]</v>
      </c>
      <c r="AI101" s="55" t="str">
        <f>[1]!OBMAKE(AI$15&amp;"-"&amp;ROW(),"String",$I101)</f>
        <v>maturity rec-101 
[11020]</v>
      </c>
      <c r="AK101" s="55" t="str">
        <f>[1]!OBMAKE(AK$15&amp;"-"&amp;ROW(),"String",$S101)</f>
        <v>start offset pay-101 
[11585]</v>
      </c>
      <c r="AL101" s="55" t="str">
        <f>[1]!OBMAKE(AL$15&amp;"-"&amp;ROW(),"String",$T101)</f>
        <v>maturity pay-101 
[12053]</v>
      </c>
      <c r="AN101" s="55" t="str">
        <f>[1]!OBMAKE(AN$15&amp;"-"&amp;ROW(),"String",D101)</f>
        <v>symbol-101 
[10804]</v>
      </c>
      <c r="AO101" s="55" t="str">
        <f>[1]!OBMAKE(AO$15&amp;"-"&amp;ROW(),"String",E101)</f>
        <v>type-101 
[11606]</v>
      </c>
      <c r="AP101" s="55" t="str">
        <f>[1]!OBCALL(AP$15&amp;"-"&amp;ROW(),obLibs&amp;"net.finmath.time.ScheduleGenerator","createScheduleFromConventions",$H$8,$AG101,$AH101:$AI101,[1]!OBMAKE("","String",$J101),[1]!OBMAKE("","String",$K101),$H$9,[1]!OBMAKE("","String",$L101),$H$10,[1]!OBMAKE("","int",$M101),[1]!OBMAKE("","int",$N101))</f>
        <v>tenor rec-101 
[13279]</v>
      </c>
      <c r="AQ101" s="55" t="str">
        <f>[1]!OBMAKE(AQ$15&amp;"-"&amp;ROW(),"String",O101)</f>
        <v>forward rec-101 
[12246]</v>
      </c>
      <c r="AR101" s="55" t="str">
        <f>[1]!OBMAKE(AR$15&amp;"-"&amp;ROW(),"double",P101)</f>
        <v>spread rec-101 
[11885]</v>
      </c>
      <c r="AS101" s="55" t="str">
        <f>[1]!OBMAKE(AS$15&amp;"-"&amp;ROW(),"String",Q101)</f>
        <v>discount rec-101 
[11349]</v>
      </c>
      <c r="AT101" s="55" t="str">
        <f>[1]!OBCALL(AT$15&amp;"-"&amp;ROW(),obLibs&amp;"net.finmath.time.ScheduleGenerator","createScheduleFromConventions",$H$8,$AG101,$AK101:$AL101,[1]!OBMAKE("","String",$U101),[1]!OBMAKE("","String",$V101),$H$9,[1]!OBMAKE("","String",$L101),$H$10,[1]!OBMAKE("","int",$X101),[1]!OBMAKE("","int",$Y101))</f>
        <v>tenor pay-101 
[13500]</v>
      </c>
      <c r="AU101" s="55" t="str">
        <f>[1]!OBMAKE(AU$15&amp;"-"&amp;ROW(),"String",Z101)</f>
        <v>forward pay-101 
[11722]</v>
      </c>
      <c r="AV101" s="55" t="str">
        <f>[1]!OBMAKE(AV$15&amp;"-"&amp;ROW(),"double",AA101)</f>
        <v>spread pay-101 
[11591]</v>
      </c>
      <c r="AW101" s="55" t="str">
        <f>[1]!OBMAKE(AW$15&amp;"-"&amp;ROW(),"String",AB101)</f>
        <v>disocunt pay-101 
[10540]</v>
      </c>
      <c r="AX101" s="55" t="str">
        <f>[1]!OBMAKE(AX$15&amp;"-"&amp;ROW(),"String",AD101)</f>
        <v>calibration curve-101 
[11293]</v>
      </c>
      <c r="AY101" s="55" t="str">
        <f>[1]!OBMAKE(AY$15&amp;"-"&amp;ROW(),"double",AE101)</f>
        <v>calibration time-101 
[14226]</v>
      </c>
      <c r="JJ101" s="14"/>
      <c r="JK101" s="14"/>
      <c r="JL101" s="14"/>
      <c r="JM101" s="14"/>
      <c r="JN101" s="14"/>
      <c r="JO101" s="14"/>
    </row>
    <row r="102" spans="1:275" ht="13.2" customHeight="1" x14ac:dyDescent="0.25">
      <c r="A102" s="48" t="str">
        <f t="shared" si="10"/>
        <v>discount-EUR-FND-4Y</v>
      </c>
      <c r="B102" s="49" t="str">
        <f>[1]!OBMAKE("calibItem-"&amp;ROW(),obLibs&amp;"net.finmath.marketdata.calibration.CalibratedCurves$CalibrationSpec",AN102:AY102)</f>
        <v>calibItem-102 
[14949]</v>
      </c>
      <c r="C102" s="49">
        <f>[1]!OBGET([1]!OBCALL("",[1]!OBCALL("",$B$11,"getCalibrationProductForSpec",B102),"getValue",[1]!OBCALL("",$B$11,"getModel")))</f>
        <v>6.6613381477509392E-16</v>
      </c>
      <c r="D102" s="14" t="str">
        <f t="shared" si="11"/>
        <v>discount-EUR-FND-4Y</v>
      </c>
      <c r="E102" s="14" t="s">
        <v>152</v>
      </c>
      <c r="F102" s="40">
        <v>2</v>
      </c>
      <c r="H102" s="40" t="s">
        <v>105</v>
      </c>
      <c r="I102" s="40" t="s">
        <v>132</v>
      </c>
      <c r="J102" s="40" t="s">
        <v>149</v>
      </c>
      <c r="K102" s="40" t="s">
        <v>108</v>
      </c>
      <c r="L102" s="40" t="s">
        <v>109</v>
      </c>
      <c r="M102" s="40">
        <v>0</v>
      </c>
      <c r="N102" s="40">
        <v>0</v>
      </c>
      <c r="O102" s="33" t="str">
        <f t="shared" si="13"/>
        <v>forward-EUR-3M</v>
      </c>
      <c r="P102" s="76">
        <f t="shared" si="14"/>
        <v>2E-3</v>
      </c>
      <c r="Q102" s="33" t="s">
        <v>154</v>
      </c>
      <c r="S102" s="40" t="s">
        <v>105</v>
      </c>
      <c r="T102" s="40" t="str">
        <f t="shared" si="12"/>
        <v>4Y</v>
      </c>
      <c r="U102" s="40" t="s">
        <v>149</v>
      </c>
      <c r="V102" s="40" t="s">
        <v>108</v>
      </c>
      <c r="W102" s="40" t="s">
        <v>109</v>
      </c>
      <c r="X102" s="40">
        <v>0</v>
      </c>
      <c r="Y102" s="40">
        <v>0</v>
      </c>
      <c r="Z102" s="33" t="s">
        <v>40</v>
      </c>
      <c r="AA102" s="51">
        <v>2E-3</v>
      </c>
      <c r="AB102" s="33" t="s">
        <v>154</v>
      </c>
      <c r="AC102" s="53"/>
      <c r="AD102" s="33" t="str">
        <f t="shared" si="15"/>
        <v>discount-EUR-FND</v>
      </c>
      <c r="AE102" s="54">
        <f>[1]!OBGET([1]!OBCALL("",AP102,IF(OR(AD102=Q102,AD102=AB102),"getPayment","getFixing"),[1]!OBMAKE("","int",[1]!OBGET([1]!OBCALL("",AP102,"getNumberOfPeriods"))-1)))</f>
        <v>4.0082191780821921</v>
      </c>
      <c r="AG102" s="55" t="str">
        <f>[1]!OBMAKE(AG$15&amp;"-"&amp;ROW(),"int",$F102)</f>
        <v>spot date-102 
[11779]</v>
      </c>
      <c r="AH102" s="55" t="str">
        <f>[1]!OBMAKE(AH$15&amp;"-"&amp;ROW(),"String",$H102)</f>
        <v>start offset rec-102 
[11962]</v>
      </c>
      <c r="AI102" s="55" t="str">
        <f>[1]!OBMAKE(AI$15&amp;"-"&amp;ROW(),"String",$I102)</f>
        <v>maturity rec-102 
[10941]</v>
      </c>
      <c r="AK102" s="55" t="str">
        <f>[1]!OBMAKE(AK$15&amp;"-"&amp;ROW(),"String",$S102)</f>
        <v>start offset pay-102 
[11167]</v>
      </c>
      <c r="AL102" s="55" t="str">
        <f>[1]!OBMAKE(AL$15&amp;"-"&amp;ROW(),"String",$T102)</f>
        <v>maturity pay-102 
[12017]</v>
      </c>
      <c r="AN102" s="55" t="str">
        <f>[1]!OBMAKE(AN$15&amp;"-"&amp;ROW(),"String",D102)</f>
        <v>symbol-102 
[11581]</v>
      </c>
      <c r="AO102" s="55" t="str">
        <f>[1]!OBMAKE(AO$15&amp;"-"&amp;ROW(),"String",E102)</f>
        <v>type-102 
[10951]</v>
      </c>
      <c r="AP102" s="55" t="str">
        <f>[1]!OBCALL(AP$15&amp;"-"&amp;ROW(),obLibs&amp;"net.finmath.time.ScheduleGenerator","createScheduleFromConventions",$H$8,$AG102,$AH102:$AI102,[1]!OBMAKE("","String",$J102),[1]!OBMAKE("","String",$K102),$H$9,[1]!OBMAKE("","String",$L102),$H$10,[1]!OBMAKE("","int",$M102),[1]!OBMAKE("","int",$N102))</f>
        <v>tenor rec-102 
[14772]</v>
      </c>
      <c r="AQ102" s="55" t="str">
        <f>[1]!OBMAKE(AQ$15&amp;"-"&amp;ROW(),"String",O102)</f>
        <v>forward rec-102 
[11755]</v>
      </c>
      <c r="AR102" s="55" t="str">
        <f>[1]!OBMAKE(AR$15&amp;"-"&amp;ROW(),"double",P102)</f>
        <v>spread rec-102 
[11285]</v>
      </c>
      <c r="AS102" s="55" t="str">
        <f>[1]!OBMAKE(AS$15&amp;"-"&amp;ROW(),"String",Q102)</f>
        <v>discount rec-102 
[10749]</v>
      </c>
      <c r="AT102" s="55" t="str">
        <f>[1]!OBCALL(AT$15&amp;"-"&amp;ROW(),obLibs&amp;"net.finmath.time.ScheduleGenerator","createScheduleFromConventions",$H$8,$AG102,$AK102:$AL102,[1]!OBMAKE("","String",$U102),[1]!OBMAKE("","String",$V102),$H$9,[1]!OBMAKE("","String",$L102),$H$10,[1]!OBMAKE("","int",$X102),[1]!OBMAKE("","int",$Y102))</f>
        <v>tenor pay-102 
[13985]</v>
      </c>
      <c r="AU102" s="55" t="str">
        <f>[1]!OBMAKE(AU$15&amp;"-"&amp;ROW(),"String",Z102)</f>
        <v>forward pay-102 
[11967]</v>
      </c>
      <c r="AV102" s="55" t="str">
        <f>[1]!OBMAKE(AV$15&amp;"-"&amp;ROW(),"double",AA102)</f>
        <v>spread pay-102 
[11151]</v>
      </c>
      <c r="AW102" s="55" t="str">
        <f>[1]!OBMAKE(AW$15&amp;"-"&amp;ROW(),"String",AB102)</f>
        <v>disocunt pay-102 
[11092]</v>
      </c>
      <c r="AX102" s="55" t="str">
        <f>[1]!OBMAKE(AX$15&amp;"-"&amp;ROW(),"String",AD102)</f>
        <v>calibration curve-102 
[11189]</v>
      </c>
      <c r="AY102" s="55" t="str">
        <f>[1]!OBMAKE(AY$15&amp;"-"&amp;ROW(),"double",AE102)</f>
        <v>calibration time-102 
[14776]</v>
      </c>
      <c r="JJ102" s="14"/>
      <c r="JK102" s="14"/>
      <c r="JL102" s="14"/>
      <c r="JM102" s="14"/>
      <c r="JN102" s="14"/>
      <c r="JO102" s="14"/>
    </row>
    <row r="103" spans="1:275" ht="13.2" customHeight="1" x14ac:dyDescent="0.25">
      <c r="A103" s="48" t="str">
        <f t="shared" si="10"/>
        <v>discount-EUR-FND-5Y</v>
      </c>
      <c r="B103" s="49" t="str">
        <f>[1]!OBMAKE("calibItem-"&amp;ROW(),obLibs&amp;"net.finmath.marketdata.calibration.CalibratedCurves$CalibrationSpec",AN103:AY103)</f>
        <v>calibItem-103 
[14924]</v>
      </c>
      <c r="C103" s="49">
        <f>[1]!OBGET([1]!OBCALL("",[1]!OBCALL("",$B$11,"getCalibrationProductForSpec",B103),"getValue",[1]!OBCALL("",$B$11,"getModel")))</f>
        <v>4.4408920985006262E-16</v>
      </c>
      <c r="D103" s="14" t="str">
        <f t="shared" si="11"/>
        <v>discount-EUR-FND-5Y</v>
      </c>
      <c r="E103" s="14" t="s">
        <v>152</v>
      </c>
      <c r="F103" s="40">
        <v>2</v>
      </c>
      <c r="H103" s="40" t="s">
        <v>105</v>
      </c>
      <c r="I103" s="40" t="s">
        <v>133</v>
      </c>
      <c r="J103" s="40" t="s">
        <v>149</v>
      </c>
      <c r="K103" s="40" t="s">
        <v>108</v>
      </c>
      <c r="L103" s="40" t="s">
        <v>109</v>
      </c>
      <c r="M103" s="40">
        <v>0</v>
      </c>
      <c r="N103" s="40">
        <v>0</v>
      </c>
      <c r="O103" s="33" t="str">
        <f t="shared" si="13"/>
        <v>forward-EUR-3M</v>
      </c>
      <c r="P103" s="76">
        <f t="shared" si="14"/>
        <v>2E-3</v>
      </c>
      <c r="Q103" s="33" t="s">
        <v>154</v>
      </c>
      <c r="S103" s="40" t="s">
        <v>105</v>
      </c>
      <c r="T103" s="40" t="str">
        <f t="shared" si="12"/>
        <v>5Y</v>
      </c>
      <c r="U103" s="40" t="s">
        <v>149</v>
      </c>
      <c r="V103" s="40" t="s">
        <v>108</v>
      </c>
      <c r="W103" s="40" t="s">
        <v>109</v>
      </c>
      <c r="X103" s="40">
        <v>0</v>
      </c>
      <c r="Y103" s="40">
        <v>0</v>
      </c>
      <c r="Z103" s="33" t="s">
        <v>40</v>
      </c>
      <c r="AA103" s="51">
        <v>2E-3</v>
      </c>
      <c r="AB103" s="33" t="s">
        <v>154</v>
      </c>
      <c r="AC103" s="53"/>
      <c r="AD103" s="33" t="str">
        <f t="shared" si="15"/>
        <v>discount-EUR-FND</v>
      </c>
      <c r="AE103" s="54">
        <f>[1]!OBGET([1]!OBCALL("",AP103,IF(OR(AD103=Q103,AD103=AB103),"getPayment","getFixing"),[1]!OBMAKE("","int",[1]!OBGET([1]!OBCALL("",AP103,"getNumberOfPeriods"))-1)))</f>
        <v>5.0109589041095894</v>
      </c>
      <c r="AG103" s="55" t="str">
        <f>[1]!OBMAKE(AG$15&amp;"-"&amp;ROW(),"int",$F103)</f>
        <v>spot date-103 
[12074]</v>
      </c>
      <c r="AH103" s="55" t="str">
        <f>[1]!OBMAKE(AH$15&amp;"-"&amp;ROW(),"String",$H103)</f>
        <v>start offset rec-103 
[11181]</v>
      </c>
      <c r="AI103" s="55" t="str">
        <f>[1]!OBMAKE(AI$15&amp;"-"&amp;ROW(),"String",$I103)</f>
        <v>maturity rec-103 
[11356]</v>
      </c>
      <c r="AK103" s="55" t="str">
        <f>[1]!OBMAKE(AK$15&amp;"-"&amp;ROW(),"String",$S103)</f>
        <v>start offset pay-103 
[10970]</v>
      </c>
      <c r="AL103" s="55" t="str">
        <f>[1]!OBMAKE(AL$15&amp;"-"&amp;ROW(),"String",$T103)</f>
        <v>maturity pay-103 
[11282]</v>
      </c>
      <c r="AN103" s="55" t="str">
        <f>[1]!OBMAKE(AN$15&amp;"-"&amp;ROW(),"String",D103)</f>
        <v>symbol-103 
[10954]</v>
      </c>
      <c r="AO103" s="55" t="str">
        <f>[1]!OBMAKE(AO$15&amp;"-"&amp;ROW(),"String",E103)</f>
        <v>type-103 
[11481]</v>
      </c>
      <c r="AP103" s="55" t="str">
        <f>[1]!OBCALL(AP$15&amp;"-"&amp;ROW(),obLibs&amp;"net.finmath.time.ScheduleGenerator","createScheduleFromConventions",$H$8,$AG103,$AH103:$AI103,[1]!OBMAKE("","String",$J103),[1]!OBMAKE("","String",$K103),$H$9,[1]!OBMAKE("","String",$L103),$H$10,[1]!OBMAKE("","int",$M103),[1]!OBMAKE("","int",$N103))</f>
        <v>tenor rec-103 
[13126]</v>
      </c>
      <c r="AQ103" s="55" t="str">
        <f>[1]!OBMAKE(AQ$15&amp;"-"&amp;ROW(),"String",O103)</f>
        <v>forward rec-103 
[11300]</v>
      </c>
      <c r="AR103" s="55" t="str">
        <f>[1]!OBMAKE(AR$15&amp;"-"&amp;ROW(),"double",P103)</f>
        <v>spread rec-103 
[11580]</v>
      </c>
      <c r="AS103" s="55" t="str">
        <f>[1]!OBMAKE(AS$15&amp;"-"&amp;ROW(),"String",Q103)</f>
        <v>discount rec-103 
[10573]</v>
      </c>
      <c r="AT103" s="55" t="str">
        <f>[1]!OBCALL(AT$15&amp;"-"&amp;ROW(),obLibs&amp;"net.finmath.time.ScheduleGenerator","createScheduleFromConventions",$H$8,$AG103,$AK103:$AL103,[1]!OBMAKE("","String",$U103),[1]!OBMAKE("","String",$V103),$H$9,[1]!OBMAKE("","String",$L103),$H$10,[1]!OBMAKE("","int",$X103),[1]!OBMAKE("","int",$Y103))</f>
        <v>tenor pay-103 
[14589]</v>
      </c>
      <c r="AU103" s="55" t="str">
        <f>[1]!OBMAKE(AU$15&amp;"-"&amp;ROW(),"String",Z103)</f>
        <v>forward pay-103 
[12339]</v>
      </c>
      <c r="AV103" s="55" t="str">
        <f>[1]!OBMAKE(AV$15&amp;"-"&amp;ROW(),"double",AA103)</f>
        <v>spread pay-103 
[11728]</v>
      </c>
      <c r="AW103" s="55" t="str">
        <f>[1]!OBMAKE(AW$15&amp;"-"&amp;ROW(),"String",AB103)</f>
        <v>disocunt pay-103 
[10719]</v>
      </c>
      <c r="AX103" s="55" t="str">
        <f>[1]!OBMAKE(AX$15&amp;"-"&amp;ROW(),"String",AD103)</f>
        <v>calibration curve-103 
[11734]</v>
      </c>
      <c r="AY103" s="55" t="str">
        <f>[1]!OBMAKE(AY$15&amp;"-"&amp;ROW(),"double",AE103)</f>
        <v>calibration time-103 
[14005]</v>
      </c>
      <c r="JJ103" s="14"/>
      <c r="JK103" s="14"/>
      <c r="JL103" s="14"/>
      <c r="JM103" s="14"/>
      <c r="JN103" s="14"/>
      <c r="JO103" s="14"/>
    </row>
    <row r="104" spans="1:275" ht="13.2" customHeight="1" x14ac:dyDescent="0.25">
      <c r="A104" s="48" t="str">
        <f t="shared" si="10"/>
        <v>discount-EUR-FND-7Y</v>
      </c>
      <c r="B104" s="49" t="str">
        <f>[1]!OBMAKE("calibItem-"&amp;ROW(),obLibs&amp;"net.finmath.marketdata.calibration.CalibratedCurves$CalibrationSpec",AN104:AY104)</f>
        <v>calibItem-104 
[14956]</v>
      </c>
      <c r="C104" s="49">
        <f>[1]!OBGET([1]!OBCALL("",[1]!OBCALL("",$B$11,"getCalibrationProductForSpec",B104),"getValue",[1]!OBCALL("",$B$11,"getModel")))</f>
        <v>1.1102230246251565E-16</v>
      </c>
      <c r="D104" s="14" t="str">
        <f t="shared" si="11"/>
        <v>discount-EUR-FND-7Y</v>
      </c>
      <c r="E104" s="14" t="s">
        <v>152</v>
      </c>
      <c r="F104" s="40">
        <v>2</v>
      </c>
      <c r="H104" s="40" t="s">
        <v>105</v>
      </c>
      <c r="I104" s="40" t="s">
        <v>135</v>
      </c>
      <c r="J104" s="40" t="s">
        <v>149</v>
      </c>
      <c r="K104" s="40" t="s">
        <v>108</v>
      </c>
      <c r="L104" s="40" t="s">
        <v>109</v>
      </c>
      <c r="M104" s="40">
        <v>0</v>
      </c>
      <c r="N104" s="40">
        <v>0</v>
      </c>
      <c r="O104" s="33" t="str">
        <f t="shared" si="13"/>
        <v>forward-EUR-3M</v>
      </c>
      <c r="P104" s="76">
        <f t="shared" si="14"/>
        <v>2E-3</v>
      </c>
      <c r="Q104" s="33" t="s">
        <v>154</v>
      </c>
      <c r="S104" s="40" t="s">
        <v>105</v>
      </c>
      <c r="T104" s="40" t="str">
        <f t="shared" si="12"/>
        <v>7Y</v>
      </c>
      <c r="U104" s="40" t="s">
        <v>149</v>
      </c>
      <c r="V104" s="40" t="s">
        <v>108</v>
      </c>
      <c r="W104" s="40" t="s">
        <v>109</v>
      </c>
      <c r="X104" s="40">
        <v>0</v>
      </c>
      <c r="Y104" s="40">
        <v>0</v>
      </c>
      <c r="Z104" s="33" t="s">
        <v>40</v>
      </c>
      <c r="AA104" s="51">
        <v>2E-3</v>
      </c>
      <c r="AB104" s="33" t="s">
        <v>154</v>
      </c>
      <c r="AC104" s="53"/>
      <c r="AD104" s="33" t="str">
        <f t="shared" si="15"/>
        <v>discount-EUR-FND</v>
      </c>
      <c r="AE104" s="54">
        <f>[1]!OBGET([1]!OBCALL("",AP104,IF(OR(AD104=Q104,AD104=AB104),"getPayment","getFixing"),[1]!OBMAKE("","int",[1]!OBGET([1]!OBCALL("",AP104,"getNumberOfPeriods"))-1)))</f>
        <v>7.0164383561643833</v>
      </c>
      <c r="AG104" s="55" t="str">
        <f>[1]!OBMAKE(AG$15&amp;"-"&amp;ROW(),"int",$F104)</f>
        <v>spot date-104 
[12184]</v>
      </c>
      <c r="AH104" s="55" t="str">
        <f>[1]!OBMAKE(AH$15&amp;"-"&amp;ROW(),"String",$H104)</f>
        <v>start offset rec-104 
[11046]</v>
      </c>
      <c r="AI104" s="55" t="str">
        <f>[1]!OBMAKE(AI$15&amp;"-"&amp;ROW(),"String",$I104)</f>
        <v>maturity rec-104 
[10790]</v>
      </c>
      <c r="AK104" s="55" t="str">
        <f>[1]!OBMAKE(AK$15&amp;"-"&amp;ROW(),"String",$S104)</f>
        <v>start offset pay-104 
[11062]</v>
      </c>
      <c r="AL104" s="55" t="str">
        <f>[1]!OBMAKE(AL$15&amp;"-"&amp;ROW(),"String",$T104)</f>
        <v>maturity pay-104 
[11196]</v>
      </c>
      <c r="AN104" s="55" t="str">
        <f>[1]!OBMAKE(AN$15&amp;"-"&amp;ROW(),"String",D104)</f>
        <v>symbol-104 
[11665]</v>
      </c>
      <c r="AO104" s="55" t="str">
        <f>[1]!OBMAKE(AO$15&amp;"-"&amp;ROW(),"String",E104)</f>
        <v>type-104 
[11043]</v>
      </c>
      <c r="AP104" s="55" t="str">
        <f>[1]!OBCALL(AP$15&amp;"-"&amp;ROW(),obLibs&amp;"net.finmath.time.ScheduleGenerator","createScheduleFromConventions",$H$8,$AG104,$AH104:$AI104,[1]!OBMAKE("","String",$J104),[1]!OBMAKE("","String",$K104),$H$9,[1]!OBMAKE("","String",$L104),$H$10,[1]!OBMAKE("","int",$M104),[1]!OBMAKE("","int",$N104))</f>
        <v>tenor rec-104 
[13096]</v>
      </c>
      <c r="AQ104" s="55" t="str">
        <f>[1]!OBMAKE(AQ$15&amp;"-"&amp;ROW(),"String",O104)</f>
        <v>forward rec-104 
[11824]</v>
      </c>
      <c r="AR104" s="55" t="str">
        <f>[1]!OBMAKE(AR$15&amp;"-"&amp;ROW(),"double",P104)</f>
        <v>spread rec-104 
[10950]</v>
      </c>
      <c r="AS104" s="55" t="str">
        <f>[1]!OBMAKE(AS$15&amp;"-"&amp;ROW(),"String",Q104)</f>
        <v>discount rec-104 
[11218]</v>
      </c>
      <c r="AT104" s="55" t="str">
        <f>[1]!OBCALL(AT$15&amp;"-"&amp;ROW(),obLibs&amp;"net.finmath.time.ScheduleGenerator","createScheduleFromConventions",$H$8,$AG104,$AK104:$AL104,[1]!OBMAKE("","String",$U104),[1]!OBMAKE("","String",$V104),$H$9,[1]!OBMAKE("","String",$L104),$H$10,[1]!OBMAKE("","int",$X104),[1]!OBMAKE("","int",$Y104))</f>
        <v>tenor pay-104 
[14505]</v>
      </c>
      <c r="AU104" s="55" t="str">
        <f>[1]!OBMAKE(AU$15&amp;"-"&amp;ROW(),"String",Z104)</f>
        <v>forward pay-104 
[12149]</v>
      </c>
      <c r="AV104" s="55" t="str">
        <f>[1]!OBMAKE(AV$15&amp;"-"&amp;ROW(),"double",AA104)</f>
        <v>spread pay-104 
[11131]</v>
      </c>
      <c r="AW104" s="55" t="str">
        <f>[1]!OBMAKE(AW$15&amp;"-"&amp;ROW(),"String",AB104)</f>
        <v>disocunt pay-104 
[10987]</v>
      </c>
      <c r="AX104" s="55" t="str">
        <f>[1]!OBMAKE(AX$15&amp;"-"&amp;ROW(),"String",AD104)</f>
        <v>calibration curve-104 
[11673]</v>
      </c>
      <c r="AY104" s="55" t="str">
        <f>[1]!OBMAKE(AY$15&amp;"-"&amp;ROW(),"double",AE104)</f>
        <v>calibration time-104 
[13807]</v>
      </c>
      <c r="JJ104" s="14"/>
      <c r="JK104" s="14"/>
      <c r="JL104" s="14"/>
      <c r="JM104" s="14"/>
      <c r="JN104" s="14"/>
      <c r="JO104" s="14"/>
    </row>
    <row r="105" spans="1:275" ht="13.2" customHeight="1" x14ac:dyDescent="0.25">
      <c r="A105" s="48" t="str">
        <f t="shared" si="10"/>
        <v>discount-EUR-FND-10Y</v>
      </c>
      <c r="B105" s="49" t="str">
        <f>[1]!OBMAKE("calibItem-"&amp;ROW(),obLibs&amp;"net.finmath.marketdata.calibration.CalibratedCurves$CalibrationSpec",AN105:AY105)</f>
        <v>calibItem-105 
[15009]</v>
      </c>
      <c r="C105" s="49">
        <f>[1]!OBGET([1]!OBCALL("",[1]!OBCALL("",$B$11,"getCalibrationProductForSpec",B105),"getValue",[1]!OBCALL("",$B$11,"getModel")))</f>
        <v>3.3306690738754696E-16</v>
      </c>
      <c r="D105" s="14" t="str">
        <f t="shared" si="11"/>
        <v>discount-EUR-FND-10Y</v>
      </c>
      <c r="E105" s="14" t="s">
        <v>152</v>
      </c>
      <c r="F105" s="40">
        <v>2</v>
      </c>
      <c r="H105" s="40" t="s">
        <v>105</v>
      </c>
      <c r="I105" s="40" t="s">
        <v>138</v>
      </c>
      <c r="J105" s="40" t="s">
        <v>149</v>
      </c>
      <c r="K105" s="40" t="s">
        <v>108</v>
      </c>
      <c r="L105" s="40" t="s">
        <v>109</v>
      </c>
      <c r="M105" s="40">
        <v>0</v>
      </c>
      <c r="N105" s="40">
        <v>0</v>
      </c>
      <c r="O105" s="33" t="str">
        <f t="shared" si="13"/>
        <v>forward-EUR-3M</v>
      </c>
      <c r="P105" s="76">
        <f t="shared" si="14"/>
        <v>5.0000000000000001E-3</v>
      </c>
      <c r="Q105" s="33" t="s">
        <v>154</v>
      </c>
      <c r="S105" s="40" t="s">
        <v>105</v>
      </c>
      <c r="T105" s="40" t="str">
        <f t="shared" si="12"/>
        <v>10Y</v>
      </c>
      <c r="U105" s="40" t="s">
        <v>149</v>
      </c>
      <c r="V105" s="40" t="s">
        <v>108</v>
      </c>
      <c r="W105" s="40" t="s">
        <v>109</v>
      </c>
      <c r="X105" s="40">
        <v>0</v>
      </c>
      <c r="Y105" s="40">
        <v>0</v>
      </c>
      <c r="Z105" s="33" t="s">
        <v>40</v>
      </c>
      <c r="AA105" s="51">
        <v>5.0000000000000001E-3</v>
      </c>
      <c r="AB105" s="33" t="s">
        <v>154</v>
      </c>
      <c r="AC105" s="53"/>
      <c r="AD105" s="33" t="str">
        <f t="shared" si="15"/>
        <v>discount-EUR-FND</v>
      </c>
      <c r="AE105" s="54">
        <f>[1]!OBGET([1]!OBCALL("",AP105,IF(OR(AD105=Q105,AD105=AB105),"getPayment","getFixing"),[1]!OBMAKE("","int",[1]!OBGET([1]!OBCALL("",AP105,"getNumberOfPeriods"))-1)))</f>
        <v>10.013698630136986</v>
      </c>
      <c r="AG105" s="55" t="str">
        <f>[1]!OBMAKE(AG$15&amp;"-"&amp;ROW(),"int",$F105)</f>
        <v>spot date-105 
[12123]</v>
      </c>
      <c r="AH105" s="55" t="str">
        <f>[1]!OBMAKE(AH$15&amp;"-"&amp;ROW(),"String",$H105)</f>
        <v>start offset rec-105 
[11954]</v>
      </c>
      <c r="AI105" s="55" t="str">
        <f>[1]!OBMAKE(AI$15&amp;"-"&amp;ROW(),"String",$I105)</f>
        <v>maturity rec-105 
[11228]</v>
      </c>
      <c r="AK105" s="55" t="str">
        <f>[1]!OBMAKE(AK$15&amp;"-"&amp;ROW(),"String",$S105)</f>
        <v>start offset pay-105 
[11139]</v>
      </c>
      <c r="AL105" s="55" t="str">
        <f>[1]!OBMAKE(AL$15&amp;"-"&amp;ROW(),"String",$T105)</f>
        <v>maturity pay-105 
[12347]</v>
      </c>
      <c r="AN105" s="55" t="str">
        <f>[1]!OBMAKE(AN$15&amp;"-"&amp;ROW(),"String",D105)</f>
        <v>symbol-105 
[10726]</v>
      </c>
      <c r="AO105" s="55" t="str">
        <f>[1]!OBMAKE(AO$15&amp;"-"&amp;ROW(),"String",E105)</f>
        <v>type-105 
[11315]</v>
      </c>
      <c r="AP105" s="55" t="str">
        <f>[1]!OBCALL(AP$15&amp;"-"&amp;ROW(),obLibs&amp;"net.finmath.time.ScheduleGenerator","createScheduleFromConventions",$H$8,$AG105,$AH105:$AI105,[1]!OBMAKE("","String",$J105),[1]!OBMAKE("","String",$K105),$H$9,[1]!OBMAKE("","String",$L105),$H$10,[1]!OBMAKE("","int",$M105),[1]!OBMAKE("","int",$N105))</f>
        <v>tenor rec-105 
[13626]</v>
      </c>
      <c r="AQ105" s="55" t="str">
        <f>[1]!OBMAKE(AQ$15&amp;"-"&amp;ROW(),"String",O105)</f>
        <v>forward rec-105 
[12292]</v>
      </c>
      <c r="AR105" s="55" t="str">
        <f>[1]!OBMAKE(AR$15&amp;"-"&amp;ROW(),"double",P105)</f>
        <v>spread rec-105 
[11129]</v>
      </c>
      <c r="AS105" s="55" t="str">
        <f>[1]!OBMAKE(AS$15&amp;"-"&amp;ROW(),"String",Q105)</f>
        <v>discount rec-105 
[10894]</v>
      </c>
      <c r="AT105" s="55" t="str">
        <f>[1]!OBCALL(AT$15&amp;"-"&amp;ROW(),obLibs&amp;"net.finmath.time.ScheduleGenerator","createScheduleFromConventions",$H$8,$AG105,$AK105:$AL105,[1]!OBMAKE("","String",$U105),[1]!OBMAKE("","String",$V105),$H$9,[1]!OBMAKE("","String",$L105),$H$10,[1]!OBMAKE("","int",$X105),[1]!OBMAKE("","int",$Y105))</f>
        <v>tenor pay-105 
[14766]</v>
      </c>
      <c r="AU105" s="55" t="str">
        <f>[1]!OBMAKE(AU$15&amp;"-"&amp;ROW(),"String",Z105)</f>
        <v>forward pay-105 
[11978]</v>
      </c>
      <c r="AV105" s="55" t="str">
        <f>[1]!OBMAKE(AV$15&amp;"-"&amp;ROW(),"double",AA105)</f>
        <v>spread pay-105 
[11369]</v>
      </c>
      <c r="AW105" s="55" t="str">
        <f>[1]!OBMAKE(AW$15&amp;"-"&amp;ROW(),"String",AB105)</f>
        <v>disocunt pay-105 
[10539]</v>
      </c>
      <c r="AX105" s="55" t="str">
        <f>[1]!OBMAKE(AX$15&amp;"-"&amp;ROW(),"String",AD105)</f>
        <v>calibration curve-105 
[11956]</v>
      </c>
      <c r="AY105" s="55" t="str">
        <f>[1]!OBMAKE(AY$15&amp;"-"&amp;ROW(),"double",AE105)</f>
        <v>calibration time-105 
[14240]</v>
      </c>
      <c r="JJ105" s="14"/>
      <c r="JK105" s="14"/>
      <c r="JL105" s="14"/>
      <c r="JM105" s="14"/>
      <c r="JN105" s="14"/>
      <c r="JO105" s="14"/>
    </row>
    <row r="106" spans="1:275" ht="13.2" customHeight="1" x14ac:dyDescent="0.25">
      <c r="A106" s="48" t="str">
        <f t="shared" si="10"/>
        <v>discount-EUR-FND-15Y</v>
      </c>
      <c r="B106" s="49" t="str">
        <f>[1]!OBMAKE("calibItem-"&amp;ROW(),obLibs&amp;"net.finmath.marketdata.calibration.CalibratedCurves$CalibrationSpec",AN106:AY106)</f>
        <v>calibItem-106 
[15010]</v>
      </c>
      <c r="C106" s="49">
        <f>[1]!OBGET([1]!OBCALL("",[1]!OBCALL("",$B$11,"getCalibrationProductForSpec",B106),"getValue",[1]!OBCALL("",$B$11,"getModel")))</f>
        <v>4.4408920985006262E-16</v>
      </c>
      <c r="D106" s="14" t="str">
        <f t="shared" si="11"/>
        <v>discount-EUR-FND-15Y</v>
      </c>
      <c r="E106" s="14" t="s">
        <v>152</v>
      </c>
      <c r="F106" s="40">
        <v>2</v>
      </c>
      <c r="H106" s="40" t="s">
        <v>105</v>
      </c>
      <c r="I106" s="40" t="s">
        <v>141</v>
      </c>
      <c r="J106" s="40" t="s">
        <v>149</v>
      </c>
      <c r="K106" s="40" t="s">
        <v>108</v>
      </c>
      <c r="L106" s="40" t="s">
        <v>109</v>
      </c>
      <c r="M106" s="40">
        <v>0</v>
      </c>
      <c r="N106" s="40">
        <v>0</v>
      </c>
      <c r="O106" s="33" t="str">
        <f t="shared" si="13"/>
        <v>forward-EUR-3M</v>
      </c>
      <c r="P106" s="76">
        <f t="shared" si="14"/>
        <v>5.0000000000000001E-3</v>
      </c>
      <c r="Q106" s="33" t="s">
        <v>154</v>
      </c>
      <c r="S106" s="40" t="s">
        <v>105</v>
      </c>
      <c r="T106" s="40" t="str">
        <f t="shared" si="12"/>
        <v>15Y</v>
      </c>
      <c r="U106" s="40" t="s">
        <v>149</v>
      </c>
      <c r="V106" s="40" t="s">
        <v>108</v>
      </c>
      <c r="W106" s="40" t="s">
        <v>109</v>
      </c>
      <c r="X106" s="40">
        <v>0</v>
      </c>
      <c r="Y106" s="40">
        <v>0</v>
      </c>
      <c r="Z106" s="33" t="s">
        <v>40</v>
      </c>
      <c r="AA106" s="51">
        <v>5.0000000000000001E-3</v>
      </c>
      <c r="AB106" s="33" t="s">
        <v>154</v>
      </c>
      <c r="AC106" s="53"/>
      <c r="AD106" s="33" t="str">
        <f t="shared" si="15"/>
        <v>discount-EUR-FND</v>
      </c>
      <c r="AE106" s="54">
        <f>[1]!OBGET([1]!OBCALL("",AP106,IF(OR(AD106=Q106,AD106=AB106),"getPayment","getFixing"),[1]!OBMAKE("","int",[1]!OBGET([1]!OBCALL("",AP106,"getNumberOfPeriods"))-1)))</f>
        <v>15.016438356164384</v>
      </c>
      <c r="AG106" s="55" t="str">
        <f>[1]!OBMAKE(AG$15&amp;"-"&amp;ROW(),"int",$F106)</f>
        <v>spot date-106 
[11843]</v>
      </c>
      <c r="AH106" s="55" t="str">
        <f>[1]!OBMAKE(AH$15&amp;"-"&amp;ROW(),"String",$H106)</f>
        <v>start offset rec-106 
[11607]</v>
      </c>
      <c r="AI106" s="55" t="str">
        <f>[1]!OBMAKE(AI$15&amp;"-"&amp;ROW(),"String",$I106)</f>
        <v>maturity rec-106 
[10940]</v>
      </c>
      <c r="AK106" s="55" t="str">
        <f>[1]!OBMAKE(AK$15&amp;"-"&amp;ROW(),"String",$S106)</f>
        <v>start offset pay-106 
[11377]</v>
      </c>
      <c r="AL106" s="55" t="str">
        <f>[1]!OBMAKE(AL$15&amp;"-"&amp;ROW(),"String",$T106)</f>
        <v>maturity pay-106 
[11526]</v>
      </c>
      <c r="AN106" s="55" t="str">
        <f>[1]!OBMAKE(AN$15&amp;"-"&amp;ROW(),"String",D106)</f>
        <v>symbol-106 
[11214]</v>
      </c>
      <c r="AO106" s="55" t="str">
        <f>[1]!OBMAKE(AO$15&amp;"-"&amp;ROW(),"String",E106)</f>
        <v>type-106 
[11854]</v>
      </c>
      <c r="AP106" s="55" t="str">
        <f>[1]!OBCALL(AP$15&amp;"-"&amp;ROW(),obLibs&amp;"net.finmath.time.ScheduleGenerator","createScheduleFromConventions",$H$8,$AG106,$AH106:$AI106,[1]!OBMAKE("","String",$J106),[1]!OBMAKE("","String",$K106),$H$9,[1]!OBMAKE("","String",$L106),$H$10,[1]!OBMAKE("","int",$M106),[1]!OBMAKE("","int",$N106))</f>
        <v>tenor rec-106 
[14255]</v>
      </c>
      <c r="AQ106" s="55" t="str">
        <f>[1]!OBMAKE(AQ$15&amp;"-"&amp;ROW(),"String",O106)</f>
        <v>forward rec-106 
[12106]</v>
      </c>
      <c r="AR106" s="55" t="str">
        <f>[1]!OBMAKE(AR$15&amp;"-"&amp;ROW(),"double",P106)</f>
        <v>spread rec-106 
[10799]</v>
      </c>
      <c r="AS106" s="55" t="str">
        <f>[1]!OBMAKE(AS$15&amp;"-"&amp;ROW(),"String",Q106)</f>
        <v>discount rec-106 
[11104]</v>
      </c>
      <c r="AT106" s="55" t="str">
        <f>[1]!OBCALL(AT$15&amp;"-"&amp;ROW(),obLibs&amp;"net.finmath.time.ScheduleGenerator","createScheduleFromConventions",$H$8,$AG106,$AK106:$AL106,[1]!OBMAKE("","String",$U106),[1]!OBMAKE("","String",$V106),$H$9,[1]!OBMAKE("","String",$L106),$H$10,[1]!OBMAKE("","int",$X106),[1]!OBMAKE("","int",$Y106))</f>
        <v>tenor pay-106 
[13090]</v>
      </c>
      <c r="AU106" s="55" t="str">
        <f>[1]!OBMAKE(AU$15&amp;"-"&amp;ROW(),"String",Z106)</f>
        <v>forward pay-106 
[12174]</v>
      </c>
      <c r="AV106" s="55" t="str">
        <f>[1]!OBMAKE(AV$15&amp;"-"&amp;ROW(),"double",AA106)</f>
        <v>spread pay-106 
[10803]</v>
      </c>
      <c r="AW106" s="55" t="str">
        <f>[1]!OBMAKE(AW$15&amp;"-"&amp;ROW(),"String",AB106)</f>
        <v>disocunt pay-106 
[10868]</v>
      </c>
      <c r="AX106" s="55" t="str">
        <f>[1]!OBMAKE(AX$15&amp;"-"&amp;ROW(),"String",AD106)</f>
        <v>calibration curve-106 
[11613]</v>
      </c>
      <c r="AY106" s="55" t="str">
        <f>[1]!OBMAKE(AY$15&amp;"-"&amp;ROW(),"double",AE106)</f>
        <v>calibration time-106 
[14259]</v>
      </c>
      <c r="JJ106" s="14"/>
      <c r="JK106" s="14"/>
      <c r="JL106" s="14"/>
      <c r="JM106" s="14"/>
      <c r="JN106" s="14"/>
      <c r="JO106" s="14"/>
    </row>
    <row r="107" spans="1:275" ht="13.2" customHeight="1" x14ac:dyDescent="0.25">
      <c r="A107" s="48" t="str">
        <f t="shared" si="10"/>
        <v>discount-EUR-FND-20Y</v>
      </c>
      <c r="B107" s="49" t="str">
        <f>[1]!OBMAKE("calibItem-"&amp;ROW(),obLibs&amp;"net.finmath.marketdata.calibration.CalibratedCurves$CalibrationSpec",AN107:AY107)</f>
        <v>calibItem-107 
[14988]</v>
      </c>
      <c r="C107" s="49">
        <f>[1]!OBGET([1]!OBCALL("",[1]!OBCALL("",$B$11,"getCalibrationProductForSpec",B107),"getValue",[1]!OBCALL("",$B$11,"getModel")))</f>
        <v>5.5511151231257827E-16</v>
      </c>
      <c r="D107" s="14" t="str">
        <f t="shared" si="11"/>
        <v>discount-EUR-FND-20Y</v>
      </c>
      <c r="E107" s="14" t="s">
        <v>152</v>
      </c>
      <c r="F107" s="40">
        <v>2</v>
      </c>
      <c r="H107" s="40" t="s">
        <v>105</v>
      </c>
      <c r="I107" s="40" t="s">
        <v>142</v>
      </c>
      <c r="J107" s="40" t="s">
        <v>149</v>
      </c>
      <c r="K107" s="40" t="s">
        <v>108</v>
      </c>
      <c r="L107" s="40" t="s">
        <v>109</v>
      </c>
      <c r="M107" s="40">
        <v>0</v>
      </c>
      <c r="N107" s="40">
        <v>0</v>
      </c>
      <c r="O107" s="33" t="str">
        <f t="shared" si="13"/>
        <v>forward-EUR-3M</v>
      </c>
      <c r="P107" s="76">
        <f t="shared" si="14"/>
        <v>5.0000000000000001E-3</v>
      </c>
      <c r="Q107" s="33" t="s">
        <v>154</v>
      </c>
      <c r="S107" s="40" t="s">
        <v>105</v>
      </c>
      <c r="T107" s="40" t="str">
        <f t="shared" si="12"/>
        <v>20Y</v>
      </c>
      <c r="U107" s="40" t="s">
        <v>149</v>
      </c>
      <c r="V107" s="40" t="s">
        <v>108</v>
      </c>
      <c r="W107" s="40" t="s">
        <v>109</v>
      </c>
      <c r="X107" s="40">
        <v>0</v>
      </c>
      <c r="Y107" s="40">
        <v>0</v>
      </c>
      <c r="Z107" s="33" t="s">
        <v>40</v>
      </c>
      <c r="AA107" s="51">
        <v>5.0000000000000001E-3</v>
      </c>
      <c r="AB107" s="33" t="s">
        <v>154</v>
      </c>
      <c r="AC107" s="53"/>
      <c r="AD107" s="33" t="str">
        <f t="shared" si="15"/>
        <v>discount-EUR-FND</v>
      </c>
      <c r="AE107" s="54">
        <f>[1]!OBGET([1]!OBCALL("",AP107,IF(OR(AD107=Q107,AD107=AB107),"getPayment","getFixing"),[1]!OBMAKE("","int",[1]!OBGET([1]!OBCALL("",AP107,"getNumberOfPeriods"))-1)))</f>
        <v>20.019178082191782</v>
      </c>
      <c r="AG107" s="55" t="str">
        <f>[1]!OBMAKE(AG$15&amp;"-"&amp;ROW(),"int",$F107)</f>
        <v>spot date-107 
[12203]</v>
      </c>
      <c r="AH107" s="55" t="str">
        <f>[1]!OBMAKE(AH$15&amp;"-"&amp;ROW(),"String",$H107)</f>
        <v>start offset rec-107 
[11984]</v>
      </c>
      <c r="AI107" s="55" t="str">
        <f>[1]!OBMAKE(AI$15&amp;"-"&amp;ROW(),"String",$I107)</f>
        <v>maturity rec-107 
[11124]</v>
      </c>
      <c r="AK107" s="55" t="str">
        <f>[1]!OBMAKE(AK$15&amp;"-"&amp;ROW(),"String",$S107)</f>
        <v>start offset pay-107 
[10819]</v>
      </c>
      <c r="AL107" s="55" t="str">
        <f>[1]!OBMAKE(AL$15&amp;"-"&amp;ROW(),"String",$T107)</f>
        <v>maturity pay-107 
[11697]</v>
      </c>
      <c r="AN107" s="55" t="str">
        <f>[1]!OBMAKE(AN$15&amp;"-"&amp;ROW(),"String",D107)</f>
        <v>symbol-107 
[10875]</v>
      </c>
      <c r="AO107" s="55" t="str">
        <f>[1]!OBMAKE(AO$15&amp;"-"&amp;ROW(),"String",E107)</f>
        <v>type-107 
[11411]</v>
      </c>
      <c r="AP107" s="55" t="str">
        <f>[1]!OBCALL(AP$15&amp;"-"&amp;ROW(),obLibs&amp;"net.finmath.time.ScheduleGenerator","createScheduleFromConventions",$H$8,$AG107,$AH107:$AI107,[1]!OBMAKE("","String",$J107),[1]!OBMAKE("","String",$K107),$H$9,[1]!OBMAKE("","String",$L107),$H$10,[1]!OBMAKE("","int",$M107),[1]!OBMAKE("","int",$N107))</f>
        <v>tenor rec-107 
[14457]</v>
      </c>
      <c r="AQ107" s="55" t="str">
        <f>[1]!OBMAKE(AQ$15&amp;"-"&amp;ROW(),"String",O107)</f>
        <v>forward rec-107 
[12323]</v>
      </c>
      <c r="AR107" s="55" t="str">
        <f>[1]!OBMAKE(AR$15&amp;"-"&amp;ROW(),"double",P107)</f>
        <v>spread rec-107 
[11024]</v>
      </c>
      <c r="AS107" s="55" t="str">
        <f>[1]!OBMAKE(AS$15&amp;"-"&amp;ROW(),"String",Q107)</f>
        <v>discount rec-107 
[10572]</v>
      </c>
      <c r="AT107" s="55" t="str">
        <f>[1]!OBCALL(AT$15&amp;"-"&amp;ROW(),obLibs&amp;"net.finmath.time.ScheduleGenerator","createScheduleFromConventions",$H$8,$AG107,$AK107:$AL107,[1]!OBMAKE("","String",$U107),[1]!OBMAKE("","String",$V107),$H$9,[1]!OBMAKE("","String",$L107),$H$10,[1]!OBMAKE("","int",$X107),[1]!OBMAKE("","int",$Y107))</f>
        <v>tenor pay-107 
[13494]</v>
      </c>
      <c r="AU107" s="55" t="str">
        <f>[1]!OBMAKE(AU$15&amp;"-"&amp;ROW(),"String",Z107)</f>
        <v>forward pay-107 
[12136]</v>
      </c>
      <c r="AV107" s="55" t="str">
        <f>[1]!OBMAKE(AV$15&amp;"-"&amp;ROW(),"double",AA107)</f>
        <v>spread pay-107 
[11241]</v>
      </c>
      <c r="AW107" s="55" t="str">
        <f>[1]!OBMAKE(AW$15&amp;"-"&amp;ROW(),"String",AB107)</f>
        <v>disocunt pay-107 
[11340]</v>
      </c>
      <c r="AX107" s="55" t="str">
        <f>[1]!OBMAKE(AX$15&amp;"-"&amp;ROW(),"String",AD107)</f>
        <v>calibration curve-107 
[11990]</v>
      </c>
      <c r="AY107" s="55" t="str">
        <f>[1]!OBMAKE(AY$15&amp;"-"&amp;ROW(),"double",AE107)</f>
        <v>calibration time-107 
[14461]</v>
      </c>
      <c r="JJ107" s="14"/>
      <c r="JK107" s="14"/>
      <c r="JL107" s="14"/>
      <c r="JM107" s="14"/>
      <c r="JN107" s="14"/>
      <c r="JO107" s="14"/>
    </row>
    <row r="108" spans="1:275" ht="13.2" customHeight="1" x14ac:dyDescent="0.25">
      <c r="A108" s="48" t="str">
        <f t="shared" si="10"/>
        <v>discount-EUR-FND-30Y</v>
      </c>
      <c r="B108" s="49" t="str">
        <f>[1]!OBMAKE("calibItem-"&amp;ROW(),obLibs&amp;"net.finmath.marketdata.calibration.CalibratedCurves$CalibrationSpec",AN108:AY108)</f>
        <v>calibItem-108 
[15018]</v>
      </c>
      <c r="C108" s="49">
        <f>[1]!OBGET([1]!OBCALL("",[1]!OBCALL("",$B$11,"getCalibrationProductForSpec",B108),"getValue",[1]!OBCALL("",$B$11,"getModel")))</f>
        <v>8.3266726846886741E-16</v>
      </c>
      <c r="D108" s="14" t="str">
        <f t="shared" si="11"/>
        <v>discount-EUR-FND-30Y</v>
      </c>
      <c r="E108" s="14" t="s">
        <v>152</v>
      </c>
      <c r="F108" s="40">
        <v>2</v>
      </c>
      <c r="H108" s="40" t="s">
        <v>105</v>
      </c>
      <c r="I108" s="40" t="s">
        <v>144</v>
      </c>
      <c r="J108" s="40" t="s">
        <v>149</v>
      </c>
      <c r="K108" s="40" t="s">
        <v>108</v>
      </c>
      <c r="L108" s="40" t="s">
        <v>109</v>
      </c>
      <c r="M108" s="40">
        <v>0</v>
      </c>
      <c r="N108" s="40">
        <v>0</v>
      </c>
      <c r="O108" s="33" t="str">
        <f t="shared" si="13"/>
        <v>forward-EUR-3M</v>
      </c>
      <c r="P108" s="76">
        <f t="shared" si="14"/>
        <v>5.0000000000000001E-3</v>
      </c>
      <c r="Q108" s="33" t="s">
        <v>154</v>
      </c>
      <c r="S108" s="40" t="s">
        <v>105</v>
      </c>
      <c r="T108" s="40" t="str">
        <f t="shared" si="12"/>
        <v>30Y</v>
      </c>
      <c r="U108" s="40" t="s">
        <v>149</v>
      </c>
      <c r="V108" s="40" t="s">
        <v>108</v>
      </c>
      <c r="W108" s="40" t="s">
        <v>109</v>
      </c>
      <c r="X108" s="40">
        <v>0</v>
      </c>
      <c r="Y108" s="40">
        <v>0</v>
      </c>
      <c r="Z108" s="33" t="s">
        <v>40</v>
      </c>
      <c r="AA108" s="51">
        <v>5.0000000000000001E-3</v>
      </c>
      <c r="AB108" s="33" t="s">
        <v>154</v>
      </c>
      <c r="AC108" s="53"/>
      <c r="AD108" s="33" t="str">
        <f t="shared" si="15"/>
        <v>discount-EUR-FND</v>
      </c>
      <c r="AE108" s="54">
        <f>[1]!OBGET([1]!OBCALL("",AP108,IF(OR(AD108=Q108,AD108=AB108),"getPayment","getFixing"),[1]!OBMAKE("","int",[1]!OBGET([1]!OBCALL("",AP108,"getNumberOfPeriods"))-1)))</f>
        <v>30.030136986301368</v>
      </c>
      <c r="AG108" s="55" t="str">
        <f>[1]!OBMAKE(AG$15&amp;"-"&amp;ROW(),"int",$F108)</f>
        <v>spot date-108 
[11896]</v>
      </c>
      <c r="AH108" s="55" t="str">
        <f>[1]!OBMAKE(AH$15&amp;"-"&amp;ROW(),"String",$H108)</f>
        <v>start offset rec-108 
[11444]</v>
      </c>
      <c r="AI108" s="55" t="str">
        <f>[1]!OBMAKE(AI$15&amp;"-"&amp;ROW(),"String",$I108)</f>
        <v>maturity rec-108 
[10789]</v>
      </c>
      <c r="AK108" s="55" t="str">
        <f>[1]!OBMAKE(AK$15&amp;"-"&amp;ROW(),"String",$S108)</f>
        <v>start offset pay-108 
[11249]</v>
      </c>
      <c r="AL108" s="55" t="str">
        <f>[1]!OBMAKE(AL$15&amp;"-"&amp;ROW(),"String",$T108)</f>
        <v>maturity pay-108 
[11950]</v>
      </c>
      <c r="AN108" s="55" t="str">
        <f>[1]!OBMAKE(AN$15&amp;"-"&amp;ROW(),"String",D108)</f>
        <v>symbol-108 
[10548]</v>
      </c>
      <c r="AO108" s="55" t="str">
        <f>[1]!OBMAKE(AO$15&amp;"-"&amp;ROW(),"String",E108)</f>
        <v>type-108 
[12168]</v>
      </c>
      <c r="AP108" s="55" t="str">
        <f>[1]!OBCALL(AP$15&amp;"-"&amp;ROW(),obLibs&amp;"net.finmath.time.ScheduleGenerator","createScheduleFromConventions",$H$8,$AG108,$AH108:$AI108,[1]!OBMAKE("","String",$J108),[1]!OBMAKE("","String",$K108),$H$9,[1]!OBMAKE("","String",$L108),$H$10,[1]!OBMAKE("","int",$M108),[1]!OBMAKE("","int",$N108))</f>
        <v>tenor rec-108 
[13038]</v>
      </c>
      <c r="AQ108" s="55" t="str">
        <f>[1]!OBMAKE(AQ$15&amp;"-"&amp;ROW(),"String",O108)</f>
        <v>forward rec-108 
[12080]</v>
      </c>
      <c r="AR108" s="55" t="str">
        <f>[1]!OBMAKE(AR$15&amp;"-"&amp;ROW(),"double",P108)</f>
        <v>spread rec-108 
[10949]</v>
      </c>
      <c r="AS108" s="55" t="str">
        <f>[1]!OBMAKE(AS$15&amp;"-"&amp;ROW(),"String",Q108)</f>
        <v>discount rec-108 
[10748]</v>
      </c>
      <c r="AT108" s="55" t="str">
        <f>[1]!OBCALL(AT$15&amp;"-"&amp;ROW(),obLibs&amp;"net.finmath.time.ScheduleGenerator","createScheduleFromConventions",$H$8,$AG108,$AK108:$AL108,[1]!OBMAKE("","String",$U108),[1]!OBMAKE("","String",$V108),$H$9,[1]!OBMAKE("","String",$L108),$H$10,[1]!OBMAKE("","int",$X108),[1]!OBMAKE("","int",$Y108))</f>
        <v>tenor pay-108 
[14734]</v>
      </c>
      <c r="AU108" s="55" t="str">
        <f>[1]!OBMAKE(AU$15&amp;"-"&amp;ROW(),"String",Z108)</f>
        <v>forward pay-108 
[11791]</v>
      </c>
      <c r="AV108" s="55" t="str">
        <f>[1]!OBMAKE(AV$15&amp;"-"&amp;ROW(),"double",AA108)</f>
        <v>spread pay-108 
[11026]</v>
      </c>
      <c r="AW108" s="55" t="str">
        <f>[1]!OBMAKE(AW$15&amp;"-"&amp;ROW(),"String",AB108)</f>
        <v>disocunt pay-108 
[10718]</v>
      </c>
      <c r="AX108" s="55" t="str">
        <f>[1]!OBMAKE(AX$15&amp;"-"&amp;ROW(),"String",AD108)</f>
        <v>calibration curve-108 
[11452]</v>
      </c>
      <c r="AY108" s="55" t="str">
        <f>[1]!OBMAKE(AY$15&amp;"-"&amp;ROW(),"double",AE108)</f>
        <v>calibration time-108 
[13228]</v>
      </c>
      <c r="JJ108" s="14"/>
      <c r="JK108" s="14"/>
      <c r="JL108" s="14"/>
      <c r="JM108" s="14"/>
      <c r="JN108" s="14"/>
      <c r="JO108" s="14"/>
    </row>
    <row r="109" spans="1:275" ht="13.2" customHeight="1" x14ac:dyDescent="0.25">
      <c r="A109" s="48" t="str">
        <f t="shared" si="10"/>
        <v>discount-EUR-FND-40Y</v>
      </c>
      <c r="B109" s="49" t="str">
        <f>[1]!OBMAKE("calibItem-"&amp;ROW(),obLibs&amp;"net.finmath.marketdata.calibration.CalibratedCurves$CalibrationSpec",AN109:AY109)</f>
        <v>calibItem-109 
[14913]</v>
      </c>
      <c r="C109" s="49">
        <f>[1]!OBGET([1]!OBCALL("",[1]!OBCALL("",$B$11,"getCalibrationProductForSpec",B109),"getValue",[1]!OBCALL("",$B$11,"getModel")))</f>
        <v>6.6613381477509392E-16</v>
      </c>
      <c r="D109" s="14" t="str">
        <f t="shared" si="11"/>
        <v>discount-EUR-FND-40Y</v>
      </c>
      <c r="E109" s="14" t="s">
        <v>152</v>
      </c>
      <c r="F109" s="40">
        <v>2</v>
      </c>
      <c r="H109" s="40" t="s">
        <v>105</v>
      </c>
      <c r="I109" s="40" t="s">
        <v>145</v>
      </c>
      <c r="J109" s="40" t="s">
        <v>149</v>
      </c>
      <c r="K109" s="40" t="s">
        <v>108</v>
      </c>
      <c r="L109" s="40" t="s">
        <v>109</v>
      </c>
      <c r="M109" s="40">
        <v>0</v>
      </c>
      <c r="N109" s="40">
        <v>0</v>
      </c>
      <c r="O109" s="33" t="str">
        <f t="shared" si="13"/>
        <v>forward-EUR-3M</v>
      </c>
      <c r="P109" s="76">
        <f t="shared" si="14"/>
        <v>5.0000000000000001E-3</v>
      </c>
      <c r="Q109" s="33" t="s">
        <v>154</v>
      </c>
      <c r="S109" s="40" t="s">
        <v>105</v>
      </c>
      <c r="T109" s="40" t="str">
        <f t="shared" si="12"/>
        <v>40Y</v>
      </c>
      <c r="U109" s="40" t="s">
        <v>149</v>
      </c>
      <c r="V109" s="40" t="s">
        <v>108</v>
      </c>
      <c r="W109" s="40" t="s">
        <v>109</v>
      </c>
      <c r="X109" s="40">
        <v>0</v>
      </c>
      <c r="Y109" s="40">
        <v>0</v>
      </c>
      <c r="Z109" s="33" t="s">
        <v>40</v>
      </c>
      <c r="AA109" s="51">
        <v>5.0000000000000001E-3</v>
      </c>
      <c r="AB109" s="33" t="s">
        <v>154</v>
      </c>
      <c r="AC109" s="53"/>
      <c r="AD109" s="33" t="str">
        <f t="shared" si="15"/>
        <v>discount-EUR-FND</v>
      </c>
      <c r="AE109" s="54">
        <f>[1]!OBGET([1]!OBCALL("",AP109,IF(OR(AD109=Q109,AD109=AB109),"getPayment","getFixing"),[1]!OBMAKE("","int",[1]!OBGET([1]!OBCALL("",AP109,"getNumberOfPeriods"))-1)))</f>
        <v>40.032876712328765</v>
      </c>
      <c r="AG109" s="55" t="str">
        <f>[1]!OBMAKE(AG$15&amp;"-"&amp;ROW(),"int",$F109)</f>
        <v>spot date-109 
[11739]</v>
      </c>
      <c r="AH109" s="55" t="str">
        <f>[1]!OBMAKE(AH$15&amp;"-"&amp;ROW(),"String",$H109)</f>
        <v>start offset rec-109 
[11634]</v>
      </c>
      <c r="AI109" s="55" t="str">
        <f>[1]!OBMAKE(AI$15&amp;"-"&amp;ROW(),"String",$I109)</f>
        <v>maturity rec-109 
[11019]</v>
      </c>
      <c r="AK109" s="55" t="str">
        <f>[1]!OBMAKE(AK$15&amp;"-"&amp;ROW(),"String",$S109)</f>
        <v>start offset pay-109 
[11034]</v>
      </c>
      <c r="AL109" s="55" t="str">
        <f>[1]!OBMAKE(AL$15&amp;"-"&amp;ROW(),"String",$T109)</f>
        <v>maturity pay-109 
[12152]</v>
      </c>
      <c r="AN109" s="55" t="str">
        <f>[1]!OBMAKE(AN$15&amp;"-"&amp;ROW(),"String",D109)</f>
        <v>symbol-109 
[11095]</v>
      </c>
      <c r="AO109" s="55" t="str">
        <f>[1]!OBMAKE(AO$15&amp;"-"&amp;ROW(),"String",E109)</f>
        <v>type-109 
[11384]</v>
      </c>
      <c r="AP109" s="55" t="str">
        <f>[1]!OBCALL(AP$15&amp;"-"&amp;ROW(),obLibs&amp;"net.finmath.time.ScheduleGenerator","createScheduleFromConventions",$H$8,$AG109,$AH109:$AI109,[1]!OBMAKE("","String",$J109),[1]!OBMAKE("","String",$K109),$H$9,[1]!OBMAKE("","String",$L109),$H$10,[1]!OBMAKE("","int",$M109),[1]!OBMAKE("","int",$N109))</f>
        <v>tenor rec-109 
[14489]</v>
      </c>
      <c r="AQ109" s="55" t="str">
        <f>[1]!OBMAKE(AQ$15&amp;"-"&amp;ROW(),"String",O109)</f>
        <v>forward rec-109 
[12096]</v>
      </c>
      <c r="AR109" s="55" t="str">
        <f>[1]!OBMAKE(AR$15&amp;"-"&amp;ROW(),"double",P109)</f>
        <v>spread rec-109 
[11358]</v>
      </c>
      <c r="AS109" s="55" t="str">
        <f>[1]!OBMAKE(AS$15&amp;"-"&amp;ROW(),"String",Q109)</f>
        <v>discount rec-109 
[11000]</v>
      </c>
      <c r="AT109" s="55" t="str">
        <f>[1]!OBCALL(AT$15&amp;"-"&amp;ROW(),obLibs&amp;"net.finmath.time.ScheduleGenerator","createScheduleFromConventions",$H$8,$AG109,$AK109:$AL109,[1]!OBMAKE("","String",$U109),[1]!OBMAKE("","String",$V109),$H$9,[1]!OBMAKE("","String",$L109),$H$10,[1]!OBMAKE("","int",$X109),[1]!OBMAKE("","int",$Y109))</f>
        <v>tenor pay-109 
[13725]</v>
      </c>
      <c r="AU109" s="55" t="str">
        <f>[1]!OBMAKE(AU$15&amp;"-"&amp;ROW(),"String",Z109)</f>
        <v>forward pay-109 
[11474]</v>
      </c>
      <c r="AV109" s="55" t="str">
        <f>[1]!OBMAKE(AV$15&amp;"-"&amp;ROW(),"double",AA109)</f>
        <v>spread pay-109 
[11150]</v>
      </c>
      <c r="AW109" s="55" t="str">
        <f>[1]!OBMAKE(AW$15&amp;"-"&amp;ROW(),"String",AB109)</f>
        <v>disocunt pay-109 
[10682]</v>
      </c>
      <c r="AX109" s="55" t="str">
        <f>[1]!OBMAKE(AX$15&amp;"-"&amp;ROW(),"String",AD109)</f>
        <v>calibration curve-109 
[10538]</v>
      </c>
      <c r="AY109" s="55" t="str">
        <f>[1]!OBMAKE(AY$15&amp;"-"&amp;ROW(),"double",AE109)</f>
        <v>calibration time-109 
[14493]</v>
      </c>
      <c r="JJ109" s="14"/>
      <c r="JK109" s="14"/>
      <c r="JL109" s="14"/>
      <c r="JM109" s="14"/>
      <c r="JN109" s="14"/>
      <c r="JO109" s="14"/>
    </row>
    <row r="110" spans="1:275" s="46" customFormat="1" ht="13.2" customHeight="1" x14ac:dyDescent="0.25">
      <c r="A110" s="48" t="str">
        <f t="shared" si="10"/>
        <v>discount-EUR-FND-50Y</v>
      </c>
      <c r="B110" s="58" t="str">
        <f>[1]!OBMAKE("calibItem-"&amp;ROW(),obLibs&amp;"net.finmath.marketdata.calibration.CalibratedCurves$CalibrationSpec",AN110:AY110)</f>
        <v>calibItem-110 
[14905]</v>
      </c>
      <c r="C110" s="58">
        <f>[1]!OBGET([1]!OBCALL("",[1]!OBCALL("",$B$11,"getCalibrationProductForSpec",B110),"getValue",[1]!OBCALL("",$B$11,"getModel")))</f>
        <v>6.3837823915946501E-16</v>
      </c>
      <c r="D110" s="46" t="str">
        <f t="shared" si="11"/>
        <v>discount-EUR-FND-50Y</v>
      </c>
      <c r="E110" s="46" t="s">
        <v>152</v>
      </c>
      <c r="F110" s="59">
        <v>2</v>
      </c>
      <c r="H110" s="59" t="s">
        <v>105</v>
      </c>
      <c r="I110" s="59" t="s">
        <v>146</v>
      </c>
      <c r="J110" s="59" t="s">
        <v>149</v>
      </c>
      <c r="K110" s="59" t="s">
        <v>108</v>
      </c>
      <c r="L110" s="59" t="s">
        <v>109</v>
      </c>
      <c r="M110" s="59">
        <v>0</v>
      </c>
      <c r="N110" s="59">
        <v>0</v>
      </c>
      <c r="O110" s="61" t="str">
        <f t="shared" si="13"/>
        <v>forward-EUR-3M</v>
      </c>
      <c r="P110" s="77">
        <f t="shared" si="14"/>
        <v>5.0000000000000001E-3</v>
      </c>
      <c r="Q110" s="61" t="s">
        <v>154</v>
      </c>
      <c r="S110" s="59" t="s">
        <v>105</v>
      </c>
      <c r="T110" s="59" t="str">
        <f t="shared" si="12"/>
        <v>50Y</v>
      </c>
      <c r="U110" s="59" t="s">
        <v>149</v>
      </c>
      <c r="V110" s="59" t="s">
        <v>108</v>
      </c>
      <c r="W110" s="59" t="s">
        <v>109</v>
      </c>
      <c r="X110" s="59">
        <v>0</v>
      </c>
      <c r="Y110" s="59">
        <v>0</v>
      </c>
      <c r="Z110" s="61" t="s">
        <v>40</v>
      </c>
      <c r="AA110" s="62">
        <v>5.0000000000000001E-3</v>
      </c>
      <c r="AB110" s="61" t="s">
        <v>154</v>
      </c>
      <c r="AC110" s="63"/>
      <c r="AD110" s="61" t="str">
        <f t="shared" si="15"/>
        <v>discount-EUR-FND</v>
      </c>
      <c r="AE110" s="64">
        <f>[1]!OBGET([1]!OBCALL("",AP110,IF(OR(AD110=Q110,AD110=AB110),"getPayment","getFixing"),[1]!OBMAKE("","int",[1]!OBGET([1]!OBCALL("",AP110,"getNumberOfPeriods"))-1)))</f>
        <v>50.041095890410958</v>
      </c>
      <c r="AG110" s="65" t="str">
        <f>[1]!OBMAKE(AG$15&amp;"-"&amp;ROW(),"int",$F110)</f>
        <v>spot date-110 
[11385]</v>
      </c>
      <c r="AH110" s="65" t="str">
        <f>[1]!OBMAKE(AH$15&amp;"-"&amp;ROW(),"String",$H110)</f>
        <v>start offset rec-110 
[10939]</v>
      </c>
      <c r="AI110" s="65" t="str">
        <f>[1]!OBMAKE(AI$15&amp;"-"&amp;ROW(),"String",$I110)</f>
        <v>maturity rec-110 
[10788]</v>
      </c>
      <c r="AK110" s="65" t="str">
        <f>[1]!OBMAKE(AK$15&amp;"-"&amp;ROW(),"String",$S110)</f>
        <v>start offset pay-110 
[10893]</v>
      </c>
      <c r="AL110" s="65" t="str">
        <f>[1]!OBMAKE(AL$15&amp;"-"&amp;ROW(),"String",$T110)</f>
        <v>maturity pay-110 
[11642]</v>
      </c>
      <c r="AN110" s="65" t="str">
        <f>[1]!OBMAKE(AN$15&amp;"-"&amp;ROW(),"String",D110)</f>
        <v>symbol-110 
[12035]</v>
      </c>
      <c r="AO110" s="65" t="str">
        <f>[1]!OBMAKE(AO$15&amp;"-"&amp;ROW(),"String",E110)</f>
        <v>type-110 
[10915]</v>
      </c>
      <c r="AP110" s="65" t="str">
        <f>[1]!OBCALL(AP$15&amp;"-"&amp;ROW(),obLibs&amp;"net.finmath.time.ScheduleGenerator","createScheduleFromConventions",$H$8,$AG110,$AH110:$AI110,[1]!OBMAKE("","String",$J110),[1]!OBMAKE("","String",$K110),$H$9,[1]!OBMAKE("","String",$L110),$H$10,[1]!OBMAKE("","int",$M110),[1]!OBMAKE("","int",$N110))</f>
        <v>tenor rec-110 
[13168]</v>
      </c>
      <c r="AQ110" s="65" t="str">
        <f>[1]!OBMAKE(AQ$15&amp;"-"&amp;ROW(),"String",O110)</f>
        <v>forward rec-110 
[10725]</v>
      </c>
      <c r="AR110" s="65" t="str">
        <f>[1]!OBMAKE(AR$15&amp;"-"&amp;ROW(),"double",P110)</f>
        <v>spread rec-110 
[10800]</v>
      </c>
      <c r="AS110" s="65" t="str">
        <f>[1]!OBMAKE(AS$15&amp;"-"&amp;ROW(),"String",Q110)</f>
        <v>discount rec-110 
[11679]</v>
      </c>
      <c r="AT110" s="65" t="str">
        <f>[1]!OBCALL(AT$15&amp;"-"&amp;ROW(),obLibs&amp;"net.finmath.time.ScheduleGenerator","createScheduleFromConventions",$H$8,$AG110,$AK110:$AL110,[1]!OBMAKE("","String",$U110),[1]!OBMAKE("","String",$V110),$H$9,[1]!OBMAKE("","String",$L110),$H$10,[1]!OBMAKE("","int",$X110),[1]!OBMAKE("","int",$Y110))</f>
        <v>tenor pay-110 
[13132]</v>
      </c>
      <c r="AU110" s="65" t="str">
        <f>[1]!OBMAKE(AU$15&amp;"-"&amp;ROW(),"String",Z110)</f>
        <v>forward pay-110 
[11166]</v>
      </c>
      <c r="AV110" s="65" t="str">
        <f>[1]!OBMAKE(AV$15&amp;"-"&amp;ROW(),"double",AA110)</f>
        <v>spread pay-110 
[12288]</v>
      </c>
      <c r="AW110" s="65" t="str">
        <f>[1]!OBMAKE(AW$15&amp;"-"&amp;ROW(),"String",AB110)</f>
        <v>disocunt pay-110 
[10867]</v>
      </c>
      <c r="AX110" s="65" t="str">
        <f>[1]!OBMAKE(AX$15&amp;"-"&amp;ROW(),"String",AD110)</f>
        <v>calibration curve-110 
[11212]</v>
      </c>
      <c r="AY110" s="65" t="str">
        <f>[1]!OBMAKE(AY$15&amp;"-"&amp;ROW(),"double",AE110)</f>
        <v>calibration time-110 
[13796]</v>
      </c>
    </row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2"/>
  <headerFooter>
    <oddHeader>&amp;C&amp;A</oddHeader>
    <oddFooter>&amp;CPage &amp;P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5" width="14.33203125" style="14" customWidth="1"/>
    <col min="6" max="6" width="14.33203125" style="78" customWidth="1"/>
    <col min="7" max="8" width="14.33203125" style="14" customWidth="1"/>
    <col min="9" max="9" width="14.33203125" style="79" customWidth="1"/>
    <col min="10" max="242" width="14.33203125" style="14" customWidth="1"/>
    <col min="243" max="998" width="14.33203125" customWidth="1"/>
    <col min="999" max="1025" width="11.5546875"/>
  </cols>
  <sheetData>
    <row r="1" spans="2:1024" ht="13.2" customHeight="1" x14ac:dyDescent="0.25">
      <c r="II1" s="14"/>
      <c r="IJ1" s="14"/>
    </row>
    <row r="2" spans="2:1024" ht="15" customHeight="1" x14ac:dyDescent="0.25">
      <c r="B2" s="15" t="s">
        <v>155</v>
      </c>
      <c r="II2" s="14"/>
      <c r="IJ2" s="14"/>
    </row>
    <row r="5" spans="2:1024" ht="12.75" customHeight="1" x14ac:dyDescent="0.25">
      <c r="B5" s="20" t="s">
        <v>28</v>
      </c>
      <c r="C5" s="20"/>
    </row>
    <row r="7" spans="2:1024" ht="12.75" customHeight="1" x14ac:dyDescent="0.25">
      <c r="B7" s="16" t="s">
        <v>31</v>
      </c>
      <c r="C7" s="16"/>
    </row>
    <row r="8" spans="2:1024" ht="12.75" customHeight="1" x14ac:dyDescent="0.25">
      <c r="B8" s="18" t="s">
        <v>156</v>
      </c>
      <c r="C8" s="21" t="str">
        <f>[1]!OBCALL("calibratedModel-curvesview""-"&amp;ROW(),Calibration!$B$11,"getModel")</f>
        <v>calibratedModel-curvesview"-8 
[15093]</v>
      </c>
    </row>
    <row r="9" spans="2:1024" ht="12.75" customHeight="1" x14ac:dyDescent="0.25">
      <c r="B9" s="18" t="s">
        <v>157</v>
      </c>
      <c r="C9" s="80" t="b">
        <v>0</v>
      </c>
      <c r="D9" s="14" t="e">
        <f>IF(C9,[1]!OBSAVE('Load Libs'!F12&amp;"/../"&amp;"obbaSavedCurveModel",C8),NA())</f>
        <v>#N/A</v>
      </c>
    </row>
    <row r="10" spans="2:1024" ht="12.75" customHeight="1" x14ac:dyDescent="0.25">
      <c r="B10" s="18"/>
      <c r="N10" s="43"/>
    </row>
    <row r="12" spans="2:1024" s="22" customFormat="1" ht="13.2" customHeight="1" x14ac:dyDescent="0.25">
      <c r="B12" s="22" t="s">
        <v>158</v>
      </c>
      <c r="F12" s="81"/>
      <c r="I12" s="8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2" customHeight="1" x14ac:dyDescent="0.25">
      <c r="B14" s="22" t="s">
        <v>159</v>
      </c>
      <c r="C14" s="22"/>
      <c r="H14" s="22" t="s">
        <v>159</v>
      </c>
      <c r="I14" s="82"/>
      <c r="K14" s="22" t="s">
        <v>159</v>
      </c>
      <c r="L14" s="22"/>
      <c r="N14" s="22" t="s">
        <v>159</v>
      </c>
      <c r="O14" s="22"/>
      <c r="Q14" s="22" t="s">
        <v>159</v>
      </c>
      <c r="R14" s="22"/>
    </row>
    <row r="15" spans="2:1024" ht="13.2" customHeight="1" x14ac:dyDescent="0.25"/>
    <row r="16" spans="2:1024" ht="13.2" customHeight="1" x14ac:dyDescent="0.25">
      <c r="B16" s="16" t="s">
        <v>36</v>
      </c>
      <c r="C16" s="16"/>
      <c r="H16" s="16" t="s">
        <v>36</v>
      </c>
      <c r="I16" s="83"/>
      <c r="K16" s="16" t="s">
        <v>36</v>
      </c>
      <c r="L16" s="16"/>
      <c r="N16" s="16" t="s">
        <v>36</v>
      </c>
      <c r="O16" s="16"/>
      <c r="Q16" s="16" t="s">
        <v>36</v>
      </c>
      <c r="R16" s="16"/>
    </row>
    <row r="17" spans="2:1024" ht="13.2" customHeight="1" x14ac:dyDescent="0.25">
      <c r="B17" s="18" t="s">
        <v>37</v>
      </c>
      <c r="C17" s="14" t="s">
        <v>38</v>
      </c>
      <c r="H17" s="18" t="s">
        <v>37</v>
      </c>
      <c r="I17" s="79" t="s">
        <v>40</v>
      </c>
      <c r="K17" s="18" t="s">
        <v>37</v>
      </c>
      <c r="L17" s="14" t="s">
        <v>41</v>
      </c>
      <c r="N17" s="18" t="s">
        <v>37</v>
      </c>
      <c r="O17" s="14" t="s">
        <v>154</v>
      </c>
      <c r="Q17" s="18" t="s">
        <v>37</v>
      </c>
      <c r="R17" s="14" t="s">
        <v>38</v>
      </c>
    </row>
    <row r="18" spans="2:1024" s="14" customFormat="1" ht="13.2" customHeight="1" x14ac:dyDescent="0.25">
      <c r="F18" s="78"/>
      <c r="I18" s="79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2:1024" ht="13.2" customHeight="1" x14ac:dyDescent="0.25">
      <c r="B19" s="16" t="s">
        <v>54</v>
      </c>
      <c r="C19" s="16"/>
      <c r="H19" s="16" t="s">
        <v>54</v>
      </c>
      <c r="I19" s="83"/>
      <c r="K19" s="16" t="s">
        <v>54</v>
      </c>
      <c r="L19" s="16"/>
      <c r="N19" s="16" t="s">
        <v>54</v>
      </c>
      <c r="O19" s="16"/>
      <c r="Q19" s="16" t="s">
        <v>54</v>
      </c>
      <c r="R19" s="16"/>
    </row>
    <row r="20" spans="2:1024" ht="13.2" customHeight="1" x14ac:dyDescent="0.25">
      <c r="B20" s="24" t="str">
        <f>[1]!OBCALL("curveObject-"&amp;C17,$C$8,"getCurve",[1]!OBMAKE("","String",C17))</f>
        <v>curveObject-discount-EUR-OIS 
[15324]</v>
      </c>
      <c r="H20" s="24" t="str">
        <f>[1]!OBCALL("aaacurveObject-"&amp;I17,$C$8,"getCurve",[1]!OBMAKE("","String",I17))</f>
        <v>aaacurveObject-forward-EUR-3M 
[15320]</v>
      </c>
      <c r="K20" s="24" t="str">
        <f>[1]!OBCALL("curveObject-"&amp;L17,$C$8,"getCurve",[1]!OBMAKE("","String",L17))</f>
        <v>curveObject-forward-EUR-6M 
[15336]</v>
      </c>
      <c r="N20" s="24" t="str">
        <f>[1]!OBCALL("curveObject-"&amp;O17,$C$8,"getCurve",[1]!OBMAKE("","String",O17))</f>
        <v>curveObject-discount-EUR-FND 
[15328]</v>
      </c>
      <c r="Q20" s="24" t="str">
        <f>[1]!OBCALL("curveObject-"&amp;R17,$C$8,"getCurve",[1]!OBMAKE("","String",R17))</f>
        <v>curveObject-discount-EUR-OIS 
[15332]</v>
      </c>
    </row>
    <row r="22" spans="2:1024" ht="13.2" customHeight="1" x14ac:dyDescent="0.25">
      <c r="B22" s="25" t="s">
        <v>56</v>
      </c>
      <c r="C22" s="25" t="s">
        <v>57</v>
      </c>
      <c r="H22" s="25" t="s">
        <v>56</v>
      </c>
      <c r="I22" s="84" t="s">
        <v>57</v>
      </c>
      <c r="K22" s="25" t="s">
        <v>56</v>
      </c>
      <c r="L22" s="25" t="s">
        <v>57</v>
      </c>
      <c r="N22" s="25" t="s">
        <v>56</v>
      </c>
      <c r="O22" s="25" t="s">
        <v>57</v>
      </c>
      <c r="Q22" s="25" t="s">
        <v>56</v>
      </c>
      <c r="R22" s="25" t="s">
        <v>57</v>
      </c>
    </row>
    <row r="23" spans="2:1024" ht="13.2" customHeight="1" x14ac:dyDescent="0.25">
      <c r="B23" s="27">
        <v>-1</v>
      </c>
      <c r="C23" s="28">
        <f t="array" ref="C23:C343">TRANSPOSE([1]!OBGET([1]!OBCALL("",B$20,"getZeroRates",[1]!OBMAKE("","double[]",B23:B343))))</f>
        <v>2.0191820910533493E-3</v>
      </c>
      <c r="H23" s="27">
        <v>-1</v>
      </c>
      <c r="I23" s="85">
        <f t="array" ref="I23:I343">TRANSPOSE([1]!OBGET([1]!OBCALL("",H$20,"getForwards",$C$8,[1]!OBMAKE("","double[]",H23:H343))))</f>
        <v>3.2000000000000002E-3</v>
      </c>
      <c r="K23" s="27">
        <v>-1</v>
      </c>
      <c r="L23" s="28">
        <f t="array" ref="L23:L343">TRANSPOSE([1]!OBGET([1]!OBCALL("",K$20,"getForwards",$C$8,[1]!OBMAKE("","double[]",K23:K343))))</f>
        <v>6.1999999999999998E-3</v>
      </c>
      <c r="N23" s="27">
        <v>-1</v>
      </c>
      <c r="O23" s="28">
        <f t="array" ref="O23:O343">TRANSPOSE([1]!OBGET([1]!OBCALL("",N$20,"getZeroRates",[1]!OBMAKE("","double[]",N23:N343))))</f>
        <v>4.2730109144975877E-3</v>
      </c>
      <c r="Q23" s="27">
        <v>-1</v>
      </c>
      <c r="R23" s="28">
        <f t="array" ref="R23:R343">TRANSPOSE([1]!OBGET([1]!OBCALL("",Q$20,"getZeroRates",[1]!OBMAKE("","double[]",Q23:Q343))))</f>
        <v>2.0191820910533493E-3</v>
      </c>
    </row>
    <row r="24" spans="2:1024" ht="13.2" customHeight="1" x14ac:dyDescent="0.25">
      <c r="B24" s="27">
        <v>0.125</v>
      </c>
      <c r="C24" s="28">
        <v>1.9141542283769098E-3</v>
      </c>
      <c r="H24" s="27">
        <f t="shared" ref="H24:H87" si="0">H23+0.05</f>
        <v>-0.95</v>
      </c>
      <c r="I24" s="85">
        <v>3.2000000000000002E-3</v>
      </c>
      <c r="K24" s="27">
        <f t="shared" ref="K24:K87" si="1">K23+0.05</f>
        <v>-0.95</v>
      </c>
      <c r="L24" s="28">
        <v>6.1999999999999998E-3</v>
      </c>
      <c r="N24" s="27">
        <v>0.125</v>
      </c>
      <c r="O24" s="28">
        <v>4.2730109144977161E-3</v>
      </c>
      <c r="Q24" s="27">
        <v>0.125</v>
      </c>
      <c r="R24" s="28">
        <v>1.9141542283769098E-3</v>
      </c>
    </row>
    <row r="25" spans="2:1024" ht="13.2" customHeight="1" x14ac:dyDescent="0.25">
      <c r="B25" s="27">
        <f t="shared" ref="B25:B88" si="2">B24+0.125</f>
        <v>0.25</v>
      </c>
      <c r="C25" s="28">
        <v>1.8333769948753824E-3</v>
      </c>
      <c r="H25" s="27">
        <f t="shared" si="0"/>
        <v>-0.89999999999999991</v>
      </c>
      <c r="I25" s="85">
        <v>3.2000000000000002E-3</v>
      </c>
      <c r="K25" s="27">
        <f t="shared" si="1"/>
        <v>-0.89999999999999991</v>
      </c>
      <c r="L25" s="28">
        <v>6.1999999999999998E-3</v>
      </c>
      <c r="N25" s="27">
        <f t="shared" ref="N25:N88" si="3">N24+0.125</f>
        <v>0.25</v>
      </c>
      <c r="O25" s="28">
        <v>4.2730109144974993E-3</v>
      </c>
      <c r="Q25" s="27">
        <f t="shared" ref="Q25:Q88" si="4">Q24+0.125</f>
        <v>0.25</v>
      </c>
      <c r="R25" s="28">
        <v>1.8333769948753824E-3</v>
      </c>
    </row>
    <row r="26" spans="2:1024" ht="13.2" customHeight="1" x14ac:dyDescent="0.25">
      <c r="B26" s="27">
        <f t="shared" si="2"/>
        <v>0.375</v>
      </c>
      <c r="C26" s="28">
        <v>1.6915146480009436E-3</v>
      </c>
      <c r="H26" s="27">
        <f t="shared" si="0"/>
        <v>-0.84999999999999987</v>
      </c>
      <c r="I26" s="85">
        <v>3.2000000000000002E-3</v>
      </c>
      <c r="K26" s="27">
        <f t="shared" si="1"/>
        <v>-0.84999999999999987</v>
      </c>
      <c r="L26" s="28">
        <v>6.1999999999999998E-3</v>
      </c>
      <c r="N26" s="27">
        <f t="shared" si="3"/>
        <v>0.375</v>
      </c>
      <c r="O26" s="28">
        <v>4.2730109144976562E-3</v>
      </c>
      <c r="Q26" s="27">
        <f t="shared" si="4"/>
        <v>0.375</v>
      </c>
      <c r="R26" s="28">
        <v>1.6915146480009436E-3</v>
      </c>
    </row>
    <row r="27" spans="2:1024" ht="13.2" customHeight="1" x14ac:dyDescent="0.25">
      <c r="B27" s="27">
        <f t="shared" si="2"/>
        <v>0.5</v>
      </c>
      <c r="C27" s="28">
        <v>1.5882999243660293E-3</v>
      </c>
      <c r="H27" s="27">
        <f t="shared" si="0"/>
        <v>-0.79999999999999982</v>
      </c>
      <c r="I27" s="85">
        <v>3.2000000000000002E-3</v>
      </c>
      <c r="K27" s="27">
        <f t="shared" si="1"/>
        <v>-0.79999999999999982</v>
      </c>
      <c r="L27" s="28">
        <v>6.1999999999999998E-3</v>
      </c>
      <c r="N27" s="27">
        <f t="shared" si="3"/>
        <v>0.5</v>
      </c>
      <c r="O27" s="28">
        <v>4.2730109144975929E-3</v>
      </c>
      <c r="Q27" s="27">
        <f t="shared" si="4"/>
        <v>0.5</v>
      </c>
      <c r="R27" s="28">
        <v>1.5882999243660293E-3</v>
      </c>
    </row>
    <row r="28" spans="2:1024" ht="13.2" customHeight="1" x14ac:dyDescent="0.25">
      <c r="B28" s="27">
        <f t="shared" si="2"/>
        <v>0.625</v>
      </c>
      <c r="C28" s="28">
        <v>1.5020977274986368E-3</v>
      </c>
      <c r="H28" s="27">
        <f t="shared" si="0"/>
        <v>-0.74999999999999978</v>
      </c>
      <c r="I28" s="85">
        <v>3.2000000000000002E-3</v>
      </c>
      <c r="K28" s="27">
        <f t="shared" si="1"/>
        <v>-0.74999999999999978</v>
      </c>
      <c r="L28" s="28">
        <v>6.1999999999999998E-3</v>
      </c>
      <c r="N28" s="27">
        <f t="shared" si="3"/>
        <v>0.625</v>
      </c>
      <c r="O28" s="28">
        <v>4.2730109144975322E-3</v>
      </c>
      <c r="Q28" s="27">
        <f t="shared" si="4"/>
        <v>0.625</v>
      </c>
      <c r="R28" s="28">
        <v>1.5020977274986368E-3</v>
      </c>
    </row>
    <row r="29" spans="2:1024" ht="13.2" customHeight="1" x14ac:dyDescent="0.25">
      <c r="B29" s="27">
        <f t="shared" si="2"/>
        <v>0.75</v>
      </c>
      <c r="C29" s="28">
        <v>1.4359474628271426E-3</v>
      </c>
      <c r="H29" s="27">
        <f t="shared" si="0"/>
        <v>-0.69999999999999973</v>
      </c>
      <c r="I29" s="85">
        <v>3.2000000000000002E-3</v>
      </c>
      <c r="K29" s="27">
        <f t="shared" si="1"/>
        <v>-0.69999999999999973</v>
      </c>
      <c r="L29" s="28">
        <v>6.1999999999999998E-3</v>
      </c>
      <c r="N29" s="27">
        <f t="shared" si="3"/>
        <v>0.75</v>
      </c>
      <c r="O29" s="28">
        <v>4.2730109144974819E-3</v>
      </c>
      <c r="Q29" s="27">
        <f t="shared" si="4"/>
        <v>0.75</v>
      </c>
      <c r="R29" s="28">
        <v>1.4359474628271426E-3</v>
      </c>
    </row>
    <row r="30" spans="2:1024" ht="13.2" customHeight="1" x14ac:dyDescent="0.25">
      <c r="B30" s="27">
        <f t="shared" si="2"/>
        <v>0.875</v>
      </c>
      <c r="C30" s="28">
        <v>1.3676727403287305E-3</v>
      </c>
      <c r="H30" s="27">
        <f t="shared" si="0"/>
        <v>-0.64999999999999969</v>
      </c>
      <c r="I30" s="85">
        <v>3.2000000000000002E-3</v>
      </c>
      <c r="K30" s="27">
        <f t="shared" si="1"/>
        <v>-0.64999999999999969</v>
      </c>
      <c r="L30" s="28">
        <v>6.1999999999999998E-3</v>
      </c>
      <c r="N30" s="27">
        <f t="shared" si="3"/>
        <v>0.875</v>
      </c>
      <c r="O30" s="28">
        <v>4.273010914497462E-3</v>
      </c>
      <c r="Q30" s="27">
        <f t="shared" si="4"/>
        <v>0.875</v>
      </c>
      <c r="R30" s="28">
        <v>1.3676727403287305E-3</v>
      </c>
    </row>
    <row r="31" spans="2:1024" ht="13.2" customHeight="1" x14ac:dyDescent="0.25">
      <c r="B31" s="27">
        <f t="shared" si="2"/>
        <v>1</v>
      </c>
      <c r="C31" s="28">
        <v>1.3169552847265243E-3</v>
      </c>
      <c r="H31" s="27">
        <f t="shared" si="0"/>
        <v>-0.59999999999999964</v>
      </c>
      <c r="I31" s="85">
        <v>3.2000000000000002E-3</v>
      </c>
      <c r="K31" s="27">
        <f t="shared" si="1"/>
        <v>-0.59999999999999964</v>
      </c>
      <c r="L31" s="28">
        <v>6.1999999999999998E-3</v>
      </c>
      <c r="N31" s="27">
        <f t="shared" si="3"/>
        <v>1</v>
      </c>
      <c r="O31" s="28">
        <v>4.2730109144975695E-3</v>
      </c>
      <c r="Q31" s="27">
        <f t="shared" si="4"/>
        <v>1</v>
      </c>
      <c r="R31" s="28">
        <v>1.3169552847265243E-3</v>
      </c>
    </row>
    <row r="32" spans="2:1024" ht="13.2" customHeight="1" x14ac:dyDescent="0.25">
      <c r="B32" s="27">
        <f t="shared" si="2"/>
        <v>1.125</v>
      </c>
      <c r="C32" s="28">
        <v>1.2517215822449987E-3</v>
      </c>
      <c r="H32" s="27">
        <f t="shared" si="0"/>
        <v>-0.5499999999999996</v>
      </c>
      <c r="I32" s="85">
        <v>3.2000000000000002E-3</v>
      </c>
      <c r="K32" s="27">
        <f t="shared" si="1"/>
        <v>-0.5499999999999996</v>
      </c>
      <c r="L32" s="28">
        <v>6.1999999999999998E-3</v>
      </c>
      <c r="N32" s="27">
        <f t="shared" si="3"/>
        <v>1.125</v>
      </c>
      <c r="O32" s="28">
        <v>4.3321717125785223E-3</v>
      </c>
      <c r="Q32" s="27">
        <f t="shared" si="4"/>
        <v>1.125</v>
      </c>
      <c r="R32" s="28">
        <v>1.2517215822449987E-3</v>
      </c>
    </row>
    <row r="33" spans="2:18" ht="13.2" customHeight="1" x14ac:dyDescent="0.25">
      <c r="B33" s="27">
        <f t="shared" si="2"/>
        <v>1.25</v>
      </c>
      <c r="C33" s="28">
        <v>1.1878218805858245E-3</v>
      </c>
      <c r="H33" s="27">
        <f t="shared" si="0"/>
        <v>-0.49999999999999961</v>
      </c>
      <c r="I33" s="85">
        <v>3.2000000000000002E-3</v>
      </c>
      <c r="K33" s="27">
        <f t="shared" si="1"/>
        <v>-0.49999999999999961</v>
      </c>
      <c r="L33" s="28">
        <v>6.1999999999999998E-3</v>
      </c>
      <c r="N33" s="27">
        <f t="shared" si="3"/>
        <v>1.25</v>
      </c>
      <c r="O33" s="28">
        <v>4.3986138396541665E-3</v>
      </c>
      <c r="Q33" s="27">
        <f t="shared" si="4"/>
        <v>1.25</v>
      </c>
      <c r="R33" s="28">
        <v>1.1878218805858245E-3</v>
      </c>
    </row>
    <row r="34" spans="2:18" ht="13.2" customHeight="1" x14ac:dyDescent="0.25">
      <c r="B34" s="27">
        <f t="shared" si="2"/>
        <v>1.375</v>
      </c>
      <c r="C34" s="28">
        <v>1.1328980166851173E-3</v>
      </c>
      <c r="H34" s="27">
        <f t="shared" si="0"/>
        <v>-0.44999999999999962</v>
      </c>
      <c r="I34" s="85">
        <v>3.2000000000000002E-3</v>
      </c>
      <c r="K34" s="27">
        <f t="shared" si="1"/>
        <v>-0.44999999999999962</v>
      </c>
      <c r="L34" s="28">
        <v>6.1999999999999998E-3</v>
      </c>
      <c r="N34" s="27">
        <f t="shared" si="3"/>
        <v>1.375</v>
      </c>
      <c r="O34" s="28">
        <v>4.4650559667298532E-3</v>
      </c>
      <c r="Q34" s="27">
        <f t="shared" si="4"/>
        <v>1.375</v>
      </c>
      <c r="R34" s="28">
        <v>1.1328980166851173E-3</v>
      </c>
    </row>
    <row r="35" spans="2:18" ht="13.2" customHeight="1" x14ac:dyDescent="0.25">
      <c r="B35" s="27">
        <f t="shared" si="2"/>
        <v>1.5</v>
      </c>
      <c r="C35" s="28">
        <v>1.0855742913705123E-3</v>
      </c>
      <c r="H35" s="27">
        <f t="shared" si="0"/>
        <v>-0.39999999999999963</v>
      </c>
      <c r="I35" s="85">
        <v>3.2000000000000002E-3</v>
      </c>
      <c r="K35" s="27">
        <f t="shared" si="1"/>
        <v>-0.39999999999999963</v>
      </c>
      <c r="L35" s="28">
        <v>6.1999999999999998E-3</v>
      </c>
      <c r="N35" s="27">
        <f t="shared" si="3"/>
        <v>1.5</v>
      </c>
      <c r="O35" s="28">
        <v>4.5314980938054852E-3</v>
      </c>
      <c r="Q35" s="27">
        <f t="shared" si="4"/>
        <v>1.5</v>
      </c>
      <c r="R35" s="28">
        <v>1.0855742913705123E-3</v>
      </c>
    </row>
    <row r="36" spans="2:18" ht="13.2" customHeight="1" x14ac:dyDescent="0.25">
      <c r="B36" s="27">
        <f t="shared" si="2"/>
        <v>1.625</v>
      </c>
      <c r="C36" s="28">
        <v>1.0443275088885178E-3</v>
      </c>
      <c r="H36" s="27">
        <f t="shared" si="0"/>
        <v>-0.34999999999999964</v>
      </c>
      <c r="I36" s="85">
        <v>3.2000000000000002E-3</v>
      </c>
      <c r="K36" s="27">
        <f t="shared" si="1"/>
        <v>-0.34999999999999964</v>
      </c>
      <c r="L36" s="28">
        <v>6.1999999999999998E-3</v>
      </c>
      <c r="N36" s="27">
        <f t="shared" si="3"/>
        <v>1.625</v>
      </c>
      <c r="O36" s="28">
        <v>4.5979402208811051E-3</v>
      </c>
      <c r="Q36" s="27">
        <f t="shared" si="4"/>
        <v>1.625</v>
      </c>
      <c r="R36" s="28">
        <v>1.0443275088885178E-3</v>
      </c>
    </row>
    <row r="37" spans="2:18" ht="13.2" customHeight="1" x14ac:dyDescent="0.25">
      <c r="B37" s="27">
        <f t="shared" si="2"/>
        <v>1.75</v>
      </c>
      <c r="C37" s="28">
        <v>1.0153845646838854E-3</v>
      </c>
      <c r="H37" s="27">
        <f t="shared" si="0"/>
        <v>-0.29999999999999966</v>
      </c>
      <c r="I37" s="85">
        <v>3.2000000000000002E-3</v>
      </c>
      <c r="K37" s="27">
        <f t="shared" si="1"/>
        <v>-0.29999999999999966</v>
      </c>
      <c r="L37" s="28">
        <v>6.1999999999999998E-3</v>
      </c>
      <c r="N37" s="27">
        <f t="shared" si="3"/>
        <v>1.75</v>
      </c>
      <c r="O37" s="28">
        <v>4.6643823479566937E-3</v>
      </c>
      <c r="Q37" s="27">
        <f t="shared" si="4"/>
        <v>1.75</v>
      </c>
      <c r="R37" s="28">
        <v>1.0153845646838854E-3</v>
      </c>
    </row>
    <row r="38" spans="2:18" ht="13.2" customHeight="1" x14ac:dyDescent="0.25">
      <c r="B38" s="27">
        <f t="shared" si="2"/>
        <v>1.875</v>
      </c>
      <c r="C38" s="28">
        <v>1.0059431674497357E-3</v>
      </c>
      <c r="H38" s="27">
        <f t="shared" si="0"/>
        <v>-0.24999999999999967</v>
      </c>
      <c r="I38" s="85">
        <v>3.2000000000000002E-3</v>
      </c>
      <c r="K38" s="27">
        <f t="shared" si="1"/>
        <v>-0.24999999999999967</v>
      </c>
      <c r="L38" s="28">
        <v>6.1999999999999998E-3</v>
      </c>
      <c r="N38" s="27">
        <f t="shared" si="3"/>
        <v>1.875</v>
      </c>
      <c r="O38" s="28">
        <v>4.730824475032337E-3</v>
      </c>
      <c r="Q38" s="27">
        <f t="shared" si="4"/>
        <v>1.875</v>
      </c>
      <c r="R38" s="28">
        <v>1.0059431674497357E-3</v>
      </c>
    </row>
    <row r="39" spans="2:18" ht="13.2" customHeight="1" x14ac:dyDescent="0.25">
      <c r="B39" s="27">
        <f t="shared" si="2"/>
        <v>2</v>
      </c>
      <c r="C39" s="28">
        <v>1.0232209913950928E-3</v>
      </c>
      <c r="H39" s="27">
        <f t="shared" si="0"/>
        <v>-0.19999999999999968</v>
      </c>
      <c r="I39" s="85">
        <v>3.2000000000000002E-3</v>
      </c>
      <c r="K39" s="27">
        <f t="shared" si="1"/>
        <v>-0.19999999999999968</v>
      </c>
      <c r="L39" s="28">
        <v>6.1999999999999998E-3</v>
      </c>
      <c r="N39" s="27">
        <f t="shared" si="3"/>
        <v>2</v>
      </c>
      <c r="O39" s="28">
        <v>4.7972666021079699E-3</v>
      </c>
      <c r="Q39" s="27">
        <f t="shared" si="4"/>
        <v>2</v>
      </c>
      <c r="R39" s="28">
        <v>1.0232209913950928E-3</v>
      </c>
    </row>
    <row r="40" spans="2:18" ht="13.2" customHeight="1" x14ac:dyDescent="0.25">
      <c r="B40" s="27">
        <f t="shared" si="2"/>
        <v>2.125</v>
      </c>
      <c r="C40" s="28">
        <v>1.0718508160242305E-3</v>
      </c>
      <c r="H40" s="27">
        <f t="shared" si="0"/>
        <v>-0.14999999999999969</v>
      </c>
      <c r="I40" s="85">
        <v>3.2000000000000002E-3</v>
      </c>
      <c r="K40" s="27">
        <f t="shared" si="1"/>
        <v>-0.14999999999999969</v>
      </c>
      <c r="L40" s="28">
        <v>6.1999999999999998E-3</v>
      </c>
      <c r="N40" s="27">
        <f t="shared" si="3"/>
        <v>2.125</v>
      </c>
      <c r="O40" s="28">
        <v>5.0391976148569731E-3</v>
      </c>
      <c r="Q40" s="27">
        <f t="shared" si="4"/>
        <v>2.125</v>
      </c>
      <c r="R40" s="28">
        <v>1.0718508160242305E-3</v>
      </c>
    </row>
    <row r="41" spans="2:18" ht="13.2" customHeight="1" x14ac:dyDescent="0.25">
      <c r="B41" s="27">
        <f t="shared" si="2"/>
        <v>2.25</v>
      </c>
      <c r="C41" s="28">
        <v>1.148114077994312E-3</v>
      </c>
      <c r="H41" s="27">
        <f t="shared" si="0"/>
        <v>-9.9999999999999686E-2</v>
      </c>
      <c r="I41" s="85">
        <v>3.2000000000000002E-3</v>
      </c>
      <c r="K41" s="27">
        <f t="shared" si="1"/>
        <v>-9.9999999999999686E-2</v>
      </c>
      <c r="L41" s="28">
        <v>6.1999999999999998E-3</v>
      </c>
      <c r="N41" s="27">
        <f t="shared" si="3"/>
        <v>2.25</v>
      </c>
      <c r="O41" s="28">
        <v>5.2979924244274104E-3</v>
      </c>
      <c r="Q41" s="27">
        <f t="shared" si="4"/>
        <v>2.25</v>
      </c>
      <c r="R41" s="28">
        <v>1.148114077994312E-3</v>
      </c>
    </row>
    <row r="42" spans="2:18" ht="13.2" customHeight="1" x14ac:dyDescent="0.25">
      <c r="B42" s="27">
        <f t="shared" si="2"/>
        <v>2.375</v>
      </c>
      <c r="C42" s="28">
        <v>1.2468233587380213E-3</v>
      </c>
      <c r="H42" s="27">
        <f t="shared" si="0"/>
        <v>-4.9999999999999684E-2</v>
      </c>
      <c r="I42" s="85">
        <v>3.2000000000000002E-3</v>
      </c>
      <c r="K42" s="27">
        <f t="shared" si="1"/>
        <v>-4.9999999999999684E-2</v>
      </c>
      <c r="L42" s="28">
        <v>6.1999999999999998E-3</v>
      </c>
      <c r="N42" s="27">
        <f t="shared" si="3"/>
        <v>2.375</v>
      </c>
      <c r="O42" s="28">
        <v>5.5567872339978164E-3</v>
      </c>
      <c r="Q42" s="27">
        <f t="shared" si="4"/>
        <v>2.375</v>
      </c>
      <c r="R42" s="28">
        <v>1.2468233587380213E-3</v>
      </c>
    </row>
    <row r="43" spans="2:18" ht="13.2" customHeight="1" x14ac:dyDescent="0.25">
      <c r="B43" s="27">
        <f t="shared" si="2"/>
        <v>2.5</v>
      </c>
      <c r="C43" s="28">
        <v>1.3638276008008452E-3</v>
      </c>
      <c r="H43" s="27">
        <f t="shared" si="0"/>
        <v>3.1918911957973251E-16</v>
      </c>
      <c r="I43" s="85">
        <v>3.2156526704435811E-3</v>
      </c>
      <c r="K43" s="27">
        <f t="shared" si="1"/>
        <v>3.1918911957973251E-16</v>
      </c>
      <c r="L43" s="28">
        <v>5.9000000000034372E-3</v>
      </c>
      <c r="N43" s="27">
        <f t="shared" si="3"/>
        <v>2.5</v>
      </c>
      <c r="O43" s="28">
        <v>5.8155820435682702E-3</v>
      </c>
      <c r="Q43" s="27">
        <f t="shared" si="4"/>
        <v>2.5</v>
      </c>
      <c r="R43" s="28">
        <v>1.3638276008008452E-3</v>
      </c>
    </row>
    <row r="44" spans="2:18" ht="13.2" customHeight="1" x14ac:dyDescent="0.25">
      <c r="B44" s="27">
        <f t="shared" si="2"/>
        <v>2.625</v>
      </c>
      <c r="C44" s="28">
        <v>1.4957664243386941E-3</v>
      </c>
      <c r="H44" s="27">
        <f t="shared" si="0"/>
        <v>5.0000000000000322E-2</v>
      </c>
      <c r="I44" s="85">
        <v>3.2553220557254826E-3</v>
      </c>
      <c r="K44" s="27">
        <f t="shared" si="1"/>
        <v>5.0000000000000322E-2</v>
      </c>
      <c r="L44" s="28">
        <v>5.9353220555610669E-3</v>
      </c>
      <c r="N44" s="27">
        <f t="shared" si="3"/>
        <v>2.625</v>
      </c>
      <c r="O44" s="28">
        <v>6.0743768531387283E-3</v>
      </c>
      <c r="Q44" s="27">
        <f t="shared" si="4"/>
        <v>2.625</v>
      </c>
      <c r="R44" s="28">
        <v>1.4957664243386941E-3</v>
      </c>
    </row>
    <row r="45" spans="2:18" ht="13.2" customHeight="1" x14ac:dyDescent="0.25">
      <c r="B45" s="27">
        <f t="shared" si="2"/>
        <v>2.75</v>
      </c>
      <c r="C45" s="28">
        <v>1.6398904276608425E-3</v>
      </c>
      <c r="H45" s="27">
        <f t="shared" si="0"/>
        <v>0.10000000000000032</v>
      </c>
      <c r="I45" s="85">
        <v>3.28866419817125E-3</v>
      </c>
      <c r="K45" s="27">
        <f t="shared" si="1"/>
        <v>0.10000000000000032</v>
      </c>
      <c r="L45" s="28">
        <v>5.9686641981712505E-3</v>
      </c>
      <c r="N45" s="27">
        <f t="shared" si="3"/>
        <v>2.75</v>
      </c>
      <c r="O45" s="28">
        <v>6.3331716627091639E-3</v>
      </c>
      <c r="Q45" s="27">
        <f t="shared" si="4"/>
        <v>2.75</v>
      </c>
      <c r="R45" s="28">
        <v>1.6398904276608425E-3</v>
      </c>
    </row>
    <row r="46" spans="2:18" ht="13.2" customHeight="1" x14ac:dyDescent="0.25">
      <c r="B46" s="27">
        <f t="shared" si="2"/>
        <v>2.875</v>
      </c>
      <c r="C46" s="28">
        <v>1.7939283658924225E-3</v>
      </c>
      <c r="E46" s="86"/>
      <c r="H46" s="27">
        <f t="shared" si="0"/>
        <v>0.15000000000000033</v>
      </c>
      <c r="I46" s="85">
        <v>3.282144710749375E-3</v>
      </c>
      <c r="K46" s="27">
        <f t="shared" si="1"/>
        <v>0.15000000000000033</v>
      </c>
      <c r="L46" s="28">
        <v>5.9621447107493751E-3</v>
      </c>
      <c r="N46" s="27">
        <f t="shared" si="3"/>
        <v>2.875</v>
      </c>
      <c r="O46" s="28">
        <v>6.591966472279602E-3</v>
      </c>
      <c r="Q46" s="27">
        <f t="shared" si="4"/>
        <v>2.875</v>
      </c>
      <c r="R46" s="28">
        <v>1.7939283658924225E-3</v>
      </c>
    </row>
    <row r="47" spans="2:18" ht="13.2" customHeight="1" x14ac:dyDescent="0.25">
      <c r="B47" s="27">
        <f t="shared" si="2"/>
        <v>3</v>
      </c>
      <c r="C47" s="28">
        <v>1.9559875349710117E-3</v>
      </c>
      <c r="E47" s="86"/>
      <c r="H47" s="27">
        <f t="shared" si="0"/>
        <v>0.20000000000000034</v>
      </c>
      <c r="I47" s="85">
        <v>3.2724562282356313E-3</v>
      </c>
      <c r="K47" s="27">
        <f t="shared" si="1"/>
        <v>0.20000000000000034</v>
      </c>
      <c r="L47" s="28">
        <v>5.9526482884316671E-3</v>
      </c>
      <c r="N47" s="27">
        <f t="shared" si="3"/>
        <v>3</v>
      </c>
      <c r="O47" s="28">
        <v>6.8507612818500393E-3</v>
      </c>
      <c r="Q47" s="27">
        <f t="shared" si="4"/>
        <v>3</v>
      </c>
      <c r="R47" s="28">
        <v>1.9559875349710117E-3</v>
      </c>
    </row>
    <row r="48" spans="2:18" ht="13.2" customHeight="1" x14ac:dyDescent="0.25">
      <c r="B48" s="27">
        <f t="shared" si="2"/>
        <v>3.125</v>
      </c>
      <c r="C48" s="28">
        <v>2.1246946056270376E-3</v>
      </c>
      <c r="E48" s="86"/>
      <c r="H48" s="27">
        <f t="shared" si="0"/>
        <v>0.25000000000000033</v>
      </c>
      <c r="I48" s="85">
        <v>3.2606790898658832E-3</v>
      </c>
      <c r="K48" s="27">
        <f t="shared" si="1"/>
        <v>0.25000000000000033</v>
      </c>
      <c r="L48" s="28">
        <v>5.9406958948248958E-3</v>
      </c>
      <c r="N48" s="27">
        <f t="shared" si="3"/>
        <v>3.125</v>
      </c>
      <c r="O48" s="28">
        <v>7.0345104428079482E-3</v>
      </c>
      <c r="Q48" s="27">
        <f t="shared" si="4"/>
        <v>3.125</v>
      </c>
      <c r="R48" s="28">
        <v>2.1246946056270376E-3</v>
      </c>
    </row>
    <row r="49" spans="2:18" ht="13.2" customHeight="1" x14ac:dyDescent="0.25">
      <c r="B49" s="27">
        <f t="shared" si="2"/>
        <v>3.25</v>
      </c>
      <c r="C49" s="28">
        <v>2.2999024972959457E-3</v>
      </c>
      <c r="E49" s="86"/>
      <c r="H49" s="27">
        <f t="shared" si="0"/>
        <v>0.30000000000000032</v>
      </c>
      <c r="I49" s="85">
        <v>3.2541088542174311E-3</v>
      </c>
      <c r="K49" s="27">
        <f t="shared" si="1"/>
        <v>0.30000000000000032</v>
      </c>
      <c r="L49" s="28">
        <v>5.9338396829898277E-3</v>
      </c>
      <c r="N49" s="27">
        <f t="shared" si="3"/>
        <v>3.25</v>
      </c>
      <c r="O49" s="28">
        <v>7.2129777985849262E-3</v>
      </c>
      <c r="Q49" s="27">
        <f t="shared" si="4"/>
        <v>3.25</v>
      </c>
      <c r="R49" s="28">
        <v>2.2999024972959457E-3</v>
      </c>
    </row>
    <row r="50" spans="2:18" ht="13.2" customHeight="1" x14ac:dyDescent="0.25">
      <c r="B50" s="27">
        <f t="shared" si="2"/>
        <v>3.375</v>
      </c>
      <c r="C50" s="28">
        <v>2.4817832884596459E-3</v>
      </c>
      <c r="E50" s="86"/>
      <c r="H50" s="27">
        <f t="shared" si="0"/>
        <v>0.35000000000000031</v>
      </c>
      <c r="I50" s="85">
        <v>3.2480908658272974E-3</v>
      </c>
      <c r="K50" s="27">
        <f t="shared" si="1"/>
        <v>0.35000000000000031</v>
      </c>
      <c r="L50" s="28">
        <v>5.9278876324368353E-3</v>
      </c>
      <c r="N50" s="27">
        <f t="shared" si="3"/>
        <v>3.375</v>
      </c>
      <c r="O50" s="28">
        <v>7.3914451543619138E-3</v>
      </c>
      <c r="Q50" s="27">
        <f t="shared" si="4"/>
        <v>3.375</v>
      </c>
      <c r="R50" s="28">
        <v>2.4817832884596459E-3</v>
      </c>
    </row>
    <row r="51" spans="2:18" ht="13.2" customHeight="1" x14ac:dyDescent="0.25">
      <c r="B51" s="27">
        <f t="shared" si="2"/>
        <v>3.5</v>
      </c>
      <c r="C51" s="28">
        <v>2.6704845423651613E-3</v>
      </c>
      <c r="E51" s="86"/>
      <c r="H51" s="27">
        <f t="shared" si="0"/>
        <v>0.4000000000000003</v>
      </c>
      <c r="I51" s="85">
        <v>3.2420728774371641E-3</v>
      </c>
      <c r="K51" s="27">
        <f t="shared" si="1"/>
        <v>0.4000000000000003</v>
      </c>
      <c r="L51" s="28">
        <v>5.9219355818838438E-3</v>
      </c>
      <c r="N51" s="27">
        <f t="shared" si="3"/>
        <v>3.5</v>
      </c>
      <c r="O51" s="28">
        <v>7.5699125101389058E-3</v>
      </c>
      <c r="Q51" s="27">
        <f t="shared" si="4"/>
        <v>3.5</v>
      </c>
      <c r="R51" s="28">
        <v>2.6704845423651613E-3</v>
      </c>
    </row>
    <row r="52" spans="2:18" ht="13.2" customHeight="1" x14ac:dyDescent="0.25">
      <c r="B52" s="27">
        <f t="shared" si="2"/>
        <v>3.625</v>
      </c>
      <c r="C52" s="28">
        <v>2.8661334687082977E-3</v>
      </c>
      <c r="E52" s="86"/>
      <c r="H52" s="27">
        <f t="shared" si="0"/>
        <v>0.45000000000000029</v>
      </c>
      <c r="I52" s="85">
        <v>3.2360548890470308E-3</v>
      </c>
      <c r="K52" s="27">
        <f t="shared" si="1"/>
        <v>0.45000000000000029</v>
      </c>
      <c r="L52" s="28">
        <v>5.9159835313308522E-3</v>
      </c>
      <c r="N52" s="27">
        <f t="shared" si="3"/>
        <v>3.625</v>
      </c>
      <c r="O52" s="28">
        <v>7.7483798659159064E-3</v>
      </c>
      <c r="Q52" s="27">
        <f t="shared" si="4"/>
        <v>3.625</v>
      </c>
      <c r="R52" s="28">
        <v>2.8661334687082977E-3</v>
      </c>
    </row>
    <row r="53" spans="2:18" ht="13.2" customHeight="1" x14ac:dyDescent="0.25">
      <c r="B53" s="27">
        <f t="shared" si="2"/>
        <v>3.75</v>
      </c>
      <c r="C53" s="28">
        <v>3.0688403158919452E-3</v>
      </c>
      <c r="E53" s="86"/>
      <c r="H53" s="27">
        <f t="shared" si="0"/>
        <v>0.50000000000000033</v>
      </c>
      <c r="I53" s="85">
        <v>3.2300369006568975E-3</v>
      </c>
      <c r="K53" s="27">
        <f t="shared" si="1"/>
        <v>0.50000000000000033</v>
      </c>
      <c r="L53" s="28">
        <v>5.9100314807778598E-3</v>
      </c>
      <c r="N53" s="27">
        <f t="shared" si="3"/>
        <v>3.75</v>
      </c>
      <c r="O53" s="28">
        <v>7.9268472216928922E-3</v>
      </c>
      <c r="Q53" s="27">
        <f t="shared" si="4"/>
        <v>3.75</v>
      </c>
      <c r="R53" s="28">
        <v>3.0688403158919452E-3</v>
      </c>
    </row>
    <row r="54" spans="2:18" ht="13.2" customHeight="1" x14ac:dyDescent="0.25">
      <c r="B54" s="27">
        <f t="shared" si="2"/>
        <v>3.875</v>
      </c>
      <c r="C54" s="28">
        <v>3.2787011067187694E-3</v>
      </c>
      <c r="E54" s="86"/>
      <c r="H54" s="27">
        <f t="shared" si="0"/>
        <v>0.55000000000000038</v>
      </c>
      <c r="I54" s="85">
        <v>3.2167945185192846E-3</v>
      </c>
      <c r="K54" s="27">
        <f t="shared" si="1"/>
        <v>0.55000000000000038</v>
      </c>
      <c r="L54" s="28">
        <v>5.8970734571471093E-3</v>
      </c>
      <c r="N54" s="27">
        <f t="shared" si="3"/>
        <v>3.875</v>
      </c>
      <c r="O54" s="28">
        <v>8.1053145774698833E-3</v>
      </c>
      <c r="Q54" s="27">
        <f t="shared" si="4"/>
        <v>3.875</v>
      </c>
      <c r="R54" s="28">
        <v>3.2787011067187694E-3</v>
      </c>
    </row>
    <row r="55" spans="2:18" ht="13.2" customHeight="1" x14ac:dyDescent="0.25">
      <c r="B55" s="27">
        <f t="shared" si="2"/>
        <v>4</v>
      </c>
      <c r="C55" s="28">
        <v>3.4957998611409896E-3</v>
      </c>
      <c r="E55" s="86"/>
      <c r="H55" s="27">
        <f t="shared" si="0"/>
        <v>0.60000000000000042</v>
      </c>
      <c r="I55" s="85">
        <v>3.2029051757475691E-3</v>
      </c>
      <c r="K55" s="27">
        <f t="shared" si="1"/>
        <v>0.60000000000000042</v>
      </c>
      <c r="L55" s="28">
        <v>5.883003374297667E-3</v>
      </c>
      <c r="N55" s="27">
        <f t="shared" si="3"/>
        <v>4</v>
      </c>
      <c r="O55" s="28">
        <v>8.2837819332468587E-3</v>
      </c>
      <c r="Q55" s="27">
        <f t="shared" si="4"/>
        <v>4</v>
      </c>
      <c r="R55" s="28">
        <v>3.4957998611409896E-3</v>
      </c>
    </row>
    <row r="56" spans="2:18" ht="13.2" customHeight="1" x14ac:dyDescent="0.25">
      <c r="B56" s="27">
        <f t="shared" si="2"/>
        <v>4.125</v>
      </c>
      <c r="C56" s="28">
        <v>3.7200269520455899E-3</v>
      </c>
      <c r="E56" s="86"/>
      <c r="H56" s="27">
        <f t="shared" si="0"/>
        <v>0.65000000000000047</v>
      </c>
      <c r="I56" s="85">
        <v>3.1890158329758536E-3</v>
      </c>
      <c r="K56" s="27">
        <f t="shared" si="1"/>
        <v>0.65000000000000047</v>
      </c>
      <c r="L56" s="28">
        <v>5.8689332914482256E-3</v>
      </c>
      <c r="N56" s="27">
        <f t="shared" si="3"/>
        <v>4.125</v>
      </c>
      <c r="O56" s="28">
        <v>8.5101753105157156E-3</v>
      </c>
      <c r="Q56" s="27">
        <f t="shared" si="4"/>
        <v>4.125</v>
      </c>
      <c r="R56" s="28">
        <v>3.7200269520455899E-3</v>
      </c>
    </row>
    <row r="57" spans="2:18" ht="13.2" customHeight="1" x14ac:dyDescent="0.25">
      <c r="B57" s="27">
        <f t="shared" si="2"/>
        <v>4.25</v>
      </c>
      <c r="C57" s="28">
        <v>3.9504176369680498E-3</v>
      </c>
      <c r="E57" s="86"/>
      <c r="H57" s="27">
        <f t="shared" si="0"/>
        <v>0.70000000000000051</v>
      </c>
      <c r="I57" s="85">
        <v>3.175126490204138E-3</v>
      </c>
      <c r="K57" s="27">
        <f t="shared" si="1"/>
        <v>0.70000000000000051</v>
      </c>
      <c r="L57" s="28">
        <v>5.8548632085987833E-3</v>
      </c>
      <c r="N57" s="27">
        <f t="shared" si="3"/>
        <v>4.25</v>
      </c>
      <c r="O57" s="28">
        <v>8.7399417802062687E-3</v>
      </c>
      <c r="Q57" s="27">
        <f t="shared" si="4"/>
        <v>4.25</v>
      </c>
      <c r="R57" s="28">
        <v>3.9504176369680498E-3</v>
      </c>
    </row>
    <row r="58" spans="2:18" ht="13.2" customHeight="1" x14ac:dyDescent="0.25">
      <c r="B58" s="27">
        <f t="shared" si="2"/>
        <v>4.375</v>
      </c>
      <c r="C58" s="28">
        <v>4.185860880040906E-3</v>
      </c>
      <c r="E58" s="86"/>
      <c r="H58" s="27">
        <f t="shared" si="0"/>
        <v>0.75000000000000056</v>
      </c>
      <c r="I58" s="85">
        <v>3.1612371474324225E-3</v>
      </c>
      <c r="K58" s="27">
        <f t="shared" si="1"/>
        <v>0.75000000000000056</v>
      </c>
      <c r="L58" s="28">
        <v>5.840793125749341E-3</v>
      </c>
      <c r="N58" s="27">
        <f t="shared" si="3"/>
        <v>4.375</v>
      </c>
      <c r="O58" s="28">
        <v>8.9697082498968201E-3</v>
      </c>
      <c r="Q58" s="27">
        <f t="shared" si="4"/>
        <v>4.375</v>
      </c>
      <c r="R58" s="28">
        <v>4.185860880040906E-3</v>
      </c>
    </row>
    <row r="59" spans="2:18" ht="13.2" customHeight="1" x14ac:dyDescent="0.25">
      <c r="B59" s="27">
        <f t="shared" si="2"/>
        <v>4.5</v>
      </c>
      <c r="C59" s="28">
        <v>4.4253690351949929E-3</v>
      </c>
      <c r="E59" s="86"/>
      <c r="H59" s="27">
        <f t="shared" si="0"/>
        <v>0.8000000000000006</v>
      </c>
      <c r="I59" s="85">
        <v>3.2345083342882369E-3</v>
      </c>
      <c r="K59" s="27">
        <f t="shared" si="1"/>
        <v>0.8000000000000006</v>
      </c>
      <c r="L59" s="28">
        <v>5.8346502173466574E-3</v>
      </c>
      <c r="N59" s="27">
        <f t="shared" si="3"/>
        <v>4.5</v>
      </c>
      <c r="O59" s="28">
        <v>9.1994747195873767E-3</v>
      </c>
      <c r="Q59" s="27">
        <f t="shared" si="4"/>
        <v>4.5</v>
      </c>
      <c r="R59" s="28">
        <v>4.4253690351949929E-3</v>
      </c>
    </row>
    <row r="60" spans="2:18" ht="13.2" customHeight="1" x14ac:dyDescent="0.25">
      <c r="B60" s="27">
        <f t="shared" si="2"/>
        <v>4.625</v>
      </c>
      <c r="C60" s="28">
        <v>4.6680612289092399E-3</v>
      </c>
      <c r="E60" s="86"/>
      <c r="H60" s="27">
        <f t="shared" si="0"/>
        <v>0.85000000000000064</v>
      </c>
      <c r="I60" s="85">
        <v>3.3200364706229219E-3</v>
      </c>
      <c r="K60" s="27">
        <f t="shared" si="1"/>
        <v>0.85000000000000064</v>
      </c>
      <c r="L60" s="28">
        <v>5.8290901894179998E-3</v>
      </c>
      <c r="N60" s="27">
        <f t="shared" si="3"/>
        <v>4.625</v>
      </c>
      <c r="O60" s="28">
        <v>9.4292411892779524E-3</v>
      </c>
      <c r="Q60" s="27">
        <f t="shared" si="4"/>
        <v>4.625</v>
      </c>
      <c r="R60" s="28">
        <v>4.6680612289092399E-3</v>
      </c>
    </row>
    <row r="61" spans="2:18" ht="13.2" customHeight="1" x14ac:dyDescent="0.25">
      <c r="B61" s="27">
        <f t="shared" si="2"/>
        <v>4.75</v>
      </c>
      <c r="C61" s="28">
        <v>4.9131493111910151E-3</v>
      </c>
      <c r="E61" s="86"/>
      <c r="H61" s="27">
        <f t="shared" si="0"/>
        <v>0.90000000000000069</v>
      </c>
      <c r="I61" s="85">
        <v>3.4055646069576068E-3</v>
      </c>
      <c r="K61" s="27">
        <f t="shared" si="1"/>
        <v>0.90000000000000069</v>
      </c>
      <c r="L61" s="28">
        <v>5.8235301614893422E-3</v>
      </c>
      <c r="N61" s="27">
        <f t="shared" si="3"/>
        <v>4.75</v>
      </c>
      <c r="O61" s="28">
        <v>9.6590076589685107E-3</v>
      </c>
      <c r="Q61" s="27">
        <f t="shared" si="4"/>
        <v>4.75</v>
      </c>
      <c r="R61" s="28">
        <v>4.9131493111910151E-3</v>
      </c>
    </row>
    <row r="62" spans="2:18" ht="13.2" customHeight="1" x14ac:dyDescent="0.25">
      <c r="B62" s="27">
        <f t="shared" si="2"/>
        <v>4.875</v>
      </c>
      <c r="C62" s="28">
        <v>5.1599259679444174E-3</v>
      </c>
      <c r="E62" s="86"/>
      <c r="H62" s="27">
        <f t="shared" si="0"/>
        <v>0.95000000000000073</v>
      </c>
      <c r="I62" s="85">
        <v>3.4910927432922918E-3</v>
      </c>
      <c r="K62" s="27">
        <f t="shared" si="1"/>
        <v>0.95000000000000073</v>
      </c>
      <c r="L62" s="28">
        <v>5.8179701335606855E-3</v>
      </c>
      <c r="N62" s="27">
        <f t="shared" si="3"/>
        <v>4.875</v>
      </c>
      <c r="O62" s="28">
        <v>9.8887741286590534E-3</v>
      </c>
      <c r="Q62" s="27">
        <f t="shared" si="4"/>
        <v>4.875</v>
      </c>
      <c r="R62" s="28">
        <v>5.1599259679444174E-3</v>
      </c>
    </row>
    <row r="63" spans="2:18" ht="13.2" customHeight="1" x14ac:dyDescent="0.25">
      <c r="B63" s="27">
        <f t="shared" si="2"/>
        <v>5</v>
      </c>
      <c r="C63" s="28">
        <v>5.4077546164831456E-3</v>
      </c>
      <c r="E63" s="86"/>
      <c r="H63" s="27">
        <f t="shared" si="0"/>
        <v>1.0000000000000007</v>
      </c>
      <c r="I63" s="85">
        <v>3.5766208796269763E-3</v>
      </c>
      <c r="K63" s="27">
        <f t="shared" si="1"/>
        <v>1.0000000000000007</v>
      </c>
      <c r="L63" s="28">
        <v>5.8124101056320279E-3</v>
      </c>
      <c r="N63" s="27">
        <f t="shared" si="3"/>
        <v>5</v>
      </c>
      <c r="O63" s="28">
        <v>1.0118540598349605E-2</v>
      </c>
      <c r="Q63" s="27">
        <f t="shared" si="4"/>
        <v>5</v>
      </c>
      <c r="R63" s="28">
        <v>5.4077546164831456E-3</v>
      </c>
    </row>
    <row r="64" spans="2:18" ht="13.2" customHeight="1" x14ac:dyDescent="0.25">
      <c r="B64" s="27">
        <f t="shared" si="2"/>
        <v>5.125</v>
      </c>
      <c r="C64" s="28">
        <v>5.656030023000495E-3</v>
      </c>
      <c r="E64" s="86"/>
      <c r="H64" s="27">
        <f t="shared" si="0"/>
        <v>1.0500000000000007</v>
      </c>
      <c r="I64" s="85">
        <v>3.6452156832544355E-3</v>
      </c>
      <c r="K64" s="27">
        <f t="shared" si="1"/>
        <v>1.0500000000000007</v>
      </c>
      <c r="L64" s="28">
        <v>5.9627306830985624E-3</v>
      </c>
      <c r="N64" s="27">
        <f t="shared" si="3"/>
        <v>5.125</v>
      </c>
      <c r="O64" s="28">
        <v>1.0344358949871802E-2</v>
      </c>
      <c r="Q64" s="27">
        <f t="shared" si="4"/>
        <v>5.125</v>
      </c>
      <c r="R64" s="28">
        <v>5.656030023000495E-3</v>
      </c>
    </row>
    <row r="65" spans="2:18" ht="13.2" customHeight="1" x14ac:dyDescent="0.25">
      <c r="B65" s="27">
        <f t="shared" si="2"/>
        <v>5.25</v>
      </c>
      <c r="C65" s="28">
        <v>5.9040481842417515E-3</v>
      </c>
      <c r="E65" s="86"/>
      <c r="H65" s="27">
        <f t="shared" si="0"/>
        <v>1.1000000000000008</v>
      </c>
      <c r="I65" s="85">
        <v>3.7074205500112435E-3</v>
      </c>
      <c r="K65" s="27">
        <f t="shared" si="1"/>
        <v>1.1000000000000008</v>
      </c>
      <c r="L65" s="28">
        <v>6.1322365658444842E-3</v>
      </c>
      <c r="N65" s="27">
        <f t="shared" si="3"/>
        <v>5.25</v>
      </c>
      <c r="O65" s="28">
        <v>1.0569797902651086E-2</v>
      </c>
      <c r="Q65" s="27">
        <f t="shared" si="4"/>
        <v>5.25</v>
      </c>
      <c r="R65" s="28">
        <v>5.9040481842417515E-3</v>
      </c>
    </row>
    <row r="66" spans="2:18" ht="13.2" customHeight="1" x14ac:dyDescent="0.25">
      <c r="B66" s="27">
        <f t="shared" si="2"/>
        <v>5.375</v>
      </c>
      <c r="C66" s="28">
        <v>6.1511209967888072E-3</v>
      </c>
      <c r="E66" s="86"/>
      <c r="H66" s="27">
        <f t="shared" si="0"/>
        <v>1.1500000000000008</v>
      </c>
      <c r="I66" s="85">
        <v>3.7696254167680519E-3</v>
      </c>
      <c r="K66" s="27">
        <f t="shared" si="1"/>
        <v>1.1500000000000008</v>
      </c>
      <c r="L66" s="28">
        <v>6.3017424485904061E-3</v>
      </c>
      <c r="N66" s="27">
        <f t="shared" si="3"/>
        <v>5.375</v>
      </c>
      <c r="O66" s="28">
        <v>1.0795236855430358E-2</v>
      </c>
      <c r="Q66" s="27">
        <f t="shared" si="4"/>
        <v>5.375</v>
      </c>
      <c r="R66" s="28">
        <v>6.1511209967888072E-3</v>
      </c>
    </row>
    <row r="67" spans="2:18" ht="13.2" customHeight="1" x14ac:dyDescent="0.25">
      <c r="B67" s="27">
        <f t="shared" si="2"/>
        <v>5.5</v>
      </c>
      <c r="C67" s="28">
        <v>6.3966228866472602E-3</v>
      </c>
      <c r="E67" s="86"/>
      <c r="H67" s="27">
        <f t="shared" si="0"/>
        <v>1.2000000000000008</v>
      </c>
      <c r="I67" s="85">
        <v>3.8318302835248603E-3</v>
      </c>
      <c r="K67" s="27">
        <f t="shared" si="1"/>
        <v>1.2000000000000008</v>
      </c>
      <c r="L67" s="28">
        <v>6.4712483313363288E-3</v>
      </c>
      <c r="N67" s="27">
        <f t="shared" si="3"/>
        <v>5.5</v>
      </c>
      <c r="O67" s="28">
        <v>1.1020675808209635E-2</v>
      </c>
      <c r="Q67" s="27">
        <f t="shared" si="4"/>
        <v>5.5</v>
      </c>
      <c r="R67" s="28">
        <v>6.3966228866472602E-3</v>
      </c>
    </row>
    <row r="68" spans="2:18" ht="13.2" customHeight="1" x14ac:dyDescent="0.25">
      <c r="B68" s="27">
        <f t="shared" si="2"/>
        <v>5.625</v>
      </c>
      <c r="C68" s="28">
        <v>6.6399838863999954E-3</v>
      </c>
      <c r="E68" s="86"/>
      <c r="H68" s="27">
        <f t="shared" si="0"/>
        <v>1.2500000000000009</v>
      </c>
      <c r="I68" s="85">
        <v>3.8940351502816683E-3</v>
      </c>
      <c r="K68" s="27">
        <f t="shared" si="1"/>
        <v>1.2500000000000009</v>
      </c>
      <c r="L68" s="28">
        <v>6.6407542140822506E-3</v>
      </c>
      <c r="N68" s="27">
        <f t="shared" si="3"/>
        <v>5.625</v>
      </c>
      <c r="O68" s="28">
        <v>1.1246114760988914E-2</v>
      </c>
      <c r="Q68" s="27">
        <f t="shared" si="4"/>
        <v>5.625</v>
      </c>
      <c r="R68" s="28">
        <v>6.6399838863999954E-3</v>
      </c>
    </row>
    <row r="69" spans="2:18" ht="13.2" customHeight="1" x14ac:dyDescent="0.25">
      <c r="B69" s="27">
        <f t="shared" si="2"/>
        <v>5.75</v>
      </c>
      <c r="C69" s="28">
        <v>6.8806835910139551E-3</v>
      </c>
      <c r="E69" s="86"/>
      <c r="H69" s="27">
        <f t="shared" si="0"/>
        <v>1.3000000000000009</v>
      </c>
      <c r="I69" s="85">
        <v>4.0053181865339037E-3</v>
      </c>
      <c r="K69" s="27">
        <f t="shared" si="1"/>
        <v>1.3000000000000009</v>
      </c>
      <c r="L69" s="28">
        <v>6.8102600968281725E-3</v>
      </c>
      <c r="N69" s="27">
        <f t="shared" si="3"/>
        <v>5.75</v>
      </c>
      <c r="O69" s="28">
        <v>1.1471553713768189E-2</v>
      </c>
      <c r="Q69" s="27">
        <f t="shared" si="4"/>
        <v>5.75</v>
      </c>
      <c r="R69" s="28">
        <v>6.8806835910139551E-3</v>
      </c>
    </row>
    <row r="70" spans="2:18" ht="13.2" customHeight="1" x14ac:dyDescent="0.25">
      <c r="B70" s="27">
        <f t="shared" si="2"/>
        <v>5.875</v>
      </c>
      <c r="C70" s="28">
        <v>7.118245885246165E-3</v>
      </c>
      <c r="E70" s="86"/>
      <c r="H70" s="27">
        <f t="shared" si="0"/>
        <v>1.350000000000001</v>
      </c>
      <c r="I70" s="85">
        <v>4.1218064831871678E-3</v>
      </c>
      <c r="K70" s="27">
        <f t="shared" si="1"/>
        <v>1.350000000000001</v>
      </c>
      <c r="L70" s="28">
        <v>6.9797659795740952E-3</v>
      </c>
      <c r="N70" s="27">
        <f t="shared" si="3"/>
        <v>5.875</v>
      </c>
      <c r="O70" s="28">
        <v>1.169699266654747E-2</v>
      </c>
      <c r="Q70" s="27">
        <f t="shared" si="4"/>
        <v>5.875</v>
      </c>
      <c r="R70" s="28">
        <v>7.118245885246165E-3</v>
      </c>
    </row>
    <row r="71" spans="2:18" ht="13.2" customHeight="1" x14ac:dyDescent="0.25">
      <c r="B71" s="27">
        <f t="shared" si="2"/>
        <v>6</v>
      </c>
      <c r="C71" s="28">
        <v>7.3522343301238961E-3</v>
      </c>
      <c r="E71" s="86"/>
      <c r="H71" s="27">
        <f t="shared" si="0"/>
        <v>1.400000000000001</v>
      </c>
      <c r="I71" s="85">
        <v>4.2382947798404319E-3</v>
      </c>
      <c r="K71" s="27">
        <f t="shared" si="1"/>
        <v>1.400000000000001</v>
      </c>
      <c r="L71" s="28">
        <v>7.1492718623200171E-3</v>
      </c>
      <c r="N71" s="27">
        <f t="shared" si="3"/>
        <v>6</v>
      </c>
      <c r="O71" s="28">
        <v>1.1922431619326756E-2</v>
      </c>
      <c r="Q71" s="27">
        <f t="shared" si="4"/>
        <v>6</v>
      </c>
      <c r="R71" s="28">
        <v>7.3522343301238961E-3</v>
      </c>
    </row>
    <row r="72" spans="2:18" ht="13.2" customHeight="1" x14ac:dyDescent="0.25">
      <c r="B72" s="27">
        <f t="shared" si="2"/>
        <v>6.125</v>
      </c>
      <c r="C72" s="28">
        <v>7.5823759294837579E-3</v>
      </c>
      <c r="E72" s="86"/>
      <c r="H72" s="27">
        <f t="shared" si="0"/>
        <v>1.4500000000000011</v>
      </c>
      <c r="I72" s="85">
        <v>4.354783076493696E-3</v>
      </c>
      <c r="K72" s="27">
        <f t="shared" si="1"/>
        <v>1.4500000000000011</v>
      </c>
      <c r="L72" s="28">
        <v>7.3187777450659398E-3</v>
      </c>
      <c r="N72" s="27">
        <f t="shared" si="3"/>
        <v>6.125</v>
      </c>
      <c r="O72" s="28">
        <v>1.2147870572106038E-2</v>
      </c>
      <c r="Q72" s="27">
        <f t="shared" si="4"/>
        <v>6.125</v>
      </c>
      <c r="R72" s="28">
        <v>7.5823759294837579E-3</v>
      </c>
    </row>
    <row r="73" spans="2:18" ht="13.2" customHeight="1" x14ac:dyDescent="0.25">
      <c r="B73" s="27">
        <f t="shared" si="2"/>
        <v>6.25</v>
      </c>
      <c r="C73" s="28">
        <v>7.8090720561577844E-3</v>
      </c>
      <c r="E73" s="86"/>
      <c r="H73" s="27">
        <f t="shared" si="0"/>
        <v>1.5000000000000011</v>
      </c>
      <c r="I73" s="85">
        <v>4.4712713731469601E-3</v>
      </c>
      <c r="K73" s="27">
        <f t="shared" si="1"/>
        <v>1.5000000000000011</v>
      </c>
      <c r="L73" s="28">
        <v>7.4882836278118616E-3</v>
      </c>
      <c r="N73" s="27">
        <f t="shared" si="3"/>
        <v>6.25</v>
      </c>
      <c r="O73" s="28">
        <v>1.2373309524885315E-2</v>
      </c>
      <c r="Q73" s="27">
        <f t="shared" si="4"/>
        <v>6.25</v>
      </c>
      <c r="R73" s="28">
        <v>7.8090720561577844E-3</v>
      </c>
    </row>
    <row r="74" spans="2:18" ht="13.2" customHeight="1" x14ac:dyDescent="0.25">
      <c r="B74" s="27">
        <f t="shared" si="2"/>
        <v>6.375</v>
      </c>
      <c r="C74" s="28">
        <v>8.032900254848303E-3</v>
      </c>
      <c r="E74" s="86"/>
      <c r="H74" s="27">
        <f t="shared" si="0"/>
        <v>1.5500000000000012</v>
      </c>
      <c r="I74" s="85">
        <v>4.5877596698002242E-3</v>
      </c>
      <c r="K74" s="27">
        <f t="shared" si="1"/>
        <v>1.5500000000000012</v>
      </c>
      <c r="L74" s="28">
        <v>7.6000235653658548E-3</v>
      </c>
      <c r="N74" s="27">
        <f t="shared" si="3"/>
        <v>6.375</v>
      </c>
      <c r="O74" s="28">
        <v>1.259874847766458E-2</v>
      </c>
      <c r="Q74" s="27">
        <f t="shared" si="4"/>
        <v>6.375</v>
      </c>
      <c r="R74" s="28">
        <v>8.032900254848303E-3</v>
      </c>
    </row>
    <row r="75" spans="2:18" ht="13.2" customHeight="1" x14ac:dyDescent="0.25">
      <c r="B75" s="27">
        <f t="shared" si="2"/>
        <v>6.5</v>
      </c>
      <c r="C75" s="28">
        <v>8.2543937506210866E-3</v>
      </c>
      <c r="E75" s="86"/>
      <c r="H75" s="27">
        <f t="shared" si="0"/>
        <v>1.6000000000000012</v>
      </c>
      <c r="I75" s="85">
        <v>4.7042479664534884E-3</v>
      </c>
      <c r="K75" s="27">
        <f t="shared" si="1"/>
        <v>1.6000000000000012</v>
      </c>
      <c r="L75" s="28">
        <v>7.7065904332011687E-3</v>
      </c>
      <c r="N75" s="27">
        <f t="shared" si="3"/>
        <v>6.5</v>
      </c>
      <c r="O75" s="28">
        <v>1.2824187430443858E-2</v>
      </c>
      <c r="Q75" s="27">
        <f t="shared" si="4"/>
        <v>6.5</v>
      </c>
      <c r="R75" s="28">
        <v>8.2543937506210866E-3</v>
      </c>
    </row>
    <row r="76" spans="2:18" ht="13.2" customHeight="1" x14ac:dyDescent="0.25">
      <c r="B76" s="27">
        <f t="shared" si="2"/>
        <v>6.625</v>
      </c>
      <c r="C76" s="28">
        <v>8.4740455251406943E-3</v>
      </c>
      <c r="E76" s="86"/>
      <c r="H76" s="27">
        <f t="shared" si="0"/>
        <v>1.6500000000000012</v>
      </c>
      <c r="I76" s="85">
        <v>4.8207362631067525E-3</v>
      </c>
      <c r="K76" s="27">
        <f t="shared" si="1"/>
        <v>1.6500000000000012</v>
      </c>
      <c r="L76" s="28">
        <v>7.8131573010364833E-3</v>
      </c>
      <c r="N76" s="27">
        <f t="shared" si="3"/>
        <v>6.625</v>
      </c>
      <c r="O76" s="28">
        <v>1.3049626383223139E-2</v>
      </c>
      <c r="Q76" s="27">
        <f t="shared" si="4"/>
        <v>6.625</v>
      </c>
      <c r="R76" s="28">
        <v>8.4740455251406943E-3</v>
      </c>
    </row>
    <row r="77" spans="2:18" ht="13.2" customHeight="1" x14ac:dyDescent="0.25">
      <c r="B77" s="27">
        <f t="shared" si="2"/>
        <v>6.75</v>
      </c>
      <c r="C77" s="28">
        <v>8.6923120429113886E-3</v>
      </c>
      <c r="E77" s="86"/>
      <c r="H77" s="27">
        <f t="shared" si="0"/>
        <v>1.7000000000000013</v>
      </c>
      <c r="I77" s="85">
        <v>4.9372245597600166E-3</v>
      </c>
      <c r="K77" s="27">
        <f t="shared" si="1"/>
        <v>1.7000000000000013</v>
      </c>
      <c r="L77" s="28">
        <v>7.9197241688717963E-3</v>
      </c>
      <c r="N77" s="27">
        <f t="shared" si="3"/>
        <v>6.75</v>
      </c>
      <c r="O77" s="28">
        <v>1.3275065336002425E-2</v>
      </c>
      <c r="Q77" s="27">
        <f t="shared" si="4"/>
        <v>6.75</v>
      </c>
      <c r="R77" s="28">
        <v>8.6923120429113886E-3</v>
      </c>
    </row>
    <row r="78" spans="2:18" ht="13.2" customHeight="1" x14ac:dyDescent="0.25">
      <c r="B78" s="27">
        <f t="shared" si="2"/>
        <v>6.875</v>
      </c>
      <c r="C78" s="28">
        <v>8.9096165710188767E-3</v>
      </c>
      <c r="E78" s="86"/>
      <c r="H78" s="27">
        <f t="shared" si="0"/>
        <v>1.7500000000000013</v>
      </c>
      <c r="I78" s="85">
        <v>5.0537128564132807E-3</v>
      </c>
      <c r="K78" s="27">
        <f t="shared" si="1"/>
        <v>1.7500000000000013</v>
      </c>
      <c r="L78" s="28">
        <v>8.0262910367071109E-3</v>
      </c>
      <c r="N78" s="27">
        <f t="shared" si="3"/>
        <v>6.875</v>
      </c>
      <c r="O78" s="28">
        <v>1.35005042887817E-2</v>
      </c>
      <c r="Q78" s="27">
        <f t="shared" si="4"/>
        <v>6.875</v>
      </c>
      <c r="R78" s="28">
        <v>8.9096165710188767E-3</v>
      </c>
    </row>
    <row r="79" spans="2:18" ht="13.2" customHeight="1" x14ac:dyDescent="0.25">
      <c r="B79" s="27">
        <f t="shared" si="2"/>
        <v>7</v>
      </c>
      <c r="C79" s="28">
        <v>9.1263521431856568E-3</v>
      </c>
      <c r="E79" s="86"/>
      <c r="H79" s="27">
        <f t="shared" si="0"/>
        <v>1.8000000000000014</v>
      </c>
      <c r="I79" s="85">
        <v>5.1903731561027044E-3</v>
      </c>
      <c r="K79" s="27">
        <f t="shared" si="1"/>
        <v>1.8000000000000014</v>
      </c>
      <c r="L79" s="28">
        <v>8.1328579045424256E-3</v>
      </c>
      <c r="N79" s="27">
        <f t="shared" si="3"/>
        <v>7</v>
      </c>
      <c r="O79" s="28">
        <v>1.372594324156098E-2</v>
      </c>
      <c r="Q79" s="27">
        <f t="shared" si="4"/>
        <v>7</v>
      </c>
      <c r="R79" s="28">
        <v>9.1263521431856568E-3</v>
      </c>
    </row>
    <row r="80" spans="2:18" ht="13.2" customHeight="1" x14ac:dyDescent="0.25">
      <c r="B80" s="27">
        <f t="shared" si="2"/>
        <v>7.125</v>
      </c>
      <c r="C80" s="28">
        <v>9.3427596608895817E-3</v>
      </c>
      <c r="E80" s="86"/>
      <c r="H80" s="27">
        <f t="shared" si="0"/>
        <v>1.8500000000000014</v>
      </c>
      <c r="I80" s="85">
        <v>5.3331570995709615E-3</v>
      </c>
      <c r="K80" s="27">
        <f t="shared" si="1"/>
        <v>1.8500000000000014</v>
      </c>
      <c r="L80" s="28">
        <v>8.2394247723777386E-3</v>
      </c>
      <c r="N80" s="27">
        <f t="shared" si="3"/>
        <v>7.125</v>
      </c>
      <c r="O80" s="28">
        <v>1.4021497272974165E-2</v>
      </c>
      <c r="Q80" s="27">
        <f t="shared" si="4"/>
        <v>7.125</v>
      </c>
      <c r="R80" s="28">
        <v>9.3427596608895817E-3</v>
      </c>
    </row>
    <row r="81" spans="2:18" ht="13.2" customHeight="1" x14ac:dyDescent="0.25">
      <c r="B81" s="27">
        <f t="shared" si="2"/>
        <v>7.25</v>
      </c>
      <c r="C81" s="28">
        <v>9.558334122630744E-3</v>
      </c>
      <c r="E81" s="86"/>
      <c r="H81" s="27">
        <f t="shared" si="0"/>
        <v>1.9000000000000015</v>
      </c>
      <c r="I81" s="85">
        <v>5.4759410430392187E-3</v>
      </c>
      <c r="K81" s="27">
        <f t="shared" si="1"/>
        <v>1.9000000000000015</v>
      </c>
      <c r="L81" s="28">
        <v>8.3459916402130532E-3</v>
      </c>
      <c r="N81" s="27">
        <f t="shared" si="3"/>
        <v>7.25</v>
      </c>
      <c r="O81" s="28">
        <v>1.4327668098628467E-2</v>
      </c>
      <c r="Q81" s="27">
        <f t="shared" si="4"/>
        <v>7.25</v>
      </c>
      <c r="R81" s="28">
        <v>9.558334122630744E-3</v>
      </c>
    </row>
    <row r="82" spans="2:18" ht="13.2" customHeight="1" x14ac:dyDescent="0.25">
      <c r="B82" s="27">
        <f t="shared" si="2"/>
        <v>7.375</v>
      </c>
      <c r="C82" s="28">
        <v>9.7723403369414669E-3</v>
      </c>
      <c r="E82" s="86"/>
      <c r="H82" s="27">
        <f t="shared" si="0"/>
        <v>1.9500000000000015</v>
      </c>
      <c r="I82" s="85">
        <v>5.618724986507475E-3</v>
      </c>
      <c r="K82" s="27">
        <f t="shared" si="1"/>
        <v>1.9500000000000015</v>
      </c>
      <c r="L82" s="28">
        <v>8.4525585080483679E-3</v>
      </c>
      <c r="N82" s="27">
        <f t="shared" si="3"/>
        <v>7.375</v>
      </c>
      <c r="O82" s="28">
        <v>1.4633838924282754E-2</v>
      </c>
      <c r="Q82" s="27">
        <f t="shared" si="4"/>
        <v>7.375</v>
      </c>
      <c r="R82" s="28">
        <v>9.7723403369414669E-3</v>
      </c>
    </row>
    <row r="83" spans="2:18" ht="13.2" customHeight="1" x14ac:dyDescent="0.25">
      <c r="B83" s="27">
        <f t="shared" si="2"/>
        <v>7.5</v>
      </c>
      <c r="C83" s="28">
        <v>9.9840917143316707E-3</v>
      </c>
      <c r="E83" s="86"/>
      <c r="H83" s="27">
        <f t="shared" si="0"/>
        <v>2.0000000000000013</v>
      </c>
      <c r="I83" s="85">
        <v>5.7615089299757312E-3</v>
      </c>
      <c r="K83" s="27">
        <f t="shared" si="1"/>
        <v>2.0000000000000013</v>
      </c>
      <c r="L83" s="28">
        <v>8.5591253758836808E-3</v>
      </c>
      <c r="N83" s="27">
        <f t="shared" si="3"/>
        <v>7.5</v>
      </c>
      <c r="O83" s="28">
        <v>1.4940009749937037E-2</v>
      </c>
      <c r="Q83" s="27">
        <f t="shared" si="4"/>
        <v>7.5</v>
      </c>
      <c r="R83" s="28">
        <v>9.9840917143316707E-3</v>
      </c>
    </row>
    <row r="84" spans="2:18" ht="13.2" customHeight="1" x14ac:dyDescent="0.25">
      <c r="B84" s="27">
        <f t="shared" si="2"/>
        <v>7.625</v>
      </c>
      <c r="C84" s="28">
        <v>1.0192946687572988E-2</v>
      </c>
      <c r="E84" s="86"/>
      <c r="H84" s="27">
        <f t="shared" si="0"/>
        <v>2.0500000000000012</v>
      </c>
      <c r="I84" s="85">
        <v>5.9042928734439875E-3</v>
      </c>
      <c r="K84" s="27">
        <f t="shared" si="1"/>
        <v>2.0500000000000012</v>
      </c>
      <c r="L84" s="28">
        <v>8.6656922437189955E-3</v>
      </c>
      <c r="N84" s="27">
        <f t="shared" si="3"/>
        <v>7.625</v>
      </c>
      <c r="O84" s="28">
        <v>1.5246180575591321E-2</v>
      </c>
      <c r="Q84" s="27">
        <f t="shared" si="4"/>
        <v>7.625</v>
      </c>
      <c r="R84" s="28">
        <v>1.0192946687572988E-2</v>
      </c>
    </row>
    <row r="85" spans="2:18" ht="13.2" customHeight="1" x14ac:dyDescent="0.25">
      <c r="B85" s="27">
        <f t="shared" si="2"/>
        <v>7.75</v>
      </c>
      <c r="C85" s="28">
        <v>1.0398305080871122E-2</v>
      </c>
      <c r="E85" s="86"/>
      <c r="H85" s="27">
        <f t="shared" si="0"/>
        <v>2.100000000000001</v>
      </c>
      <c r="I85" s="85">
        <v>6.0470768169122438E-3</v>
      </c>
      <c r="K85" s="27">
        <f t="shared" si="1"/>
        <v>2.100000000000001</v>
      </c>
      <c r="L85" s="28">
        <v>8.7722591115543085E-3</v>
      </c>
      <c r="N85" s="27">
        <f t="shared" si="3"/>
        <v>7.75</v>
      </c>
      <c r="O85" s="28">
        <v>1.5552351401245602E-2</v>
      </c>
      <c r="Q85" s="27">
        <f t="shared" si="4"/>
        <v>7.75</v>
      </c>
      <c r="R85" s="28">
        <v>1.0398305080871122E-2</v>
      </c>
    </row>
    <row r="86" spans="2:18" ht="13.2" customHeight="1" x14ac:dyDescent="0.25">
      <c r="B86" s="27">
        <f t="shared" si="2"/>
        <v>7.875</v>
      </c>
      <c r="C86" s="28">
        <v>1.0599604824831394E-2</v>
      </c>
      <c r="E86" s="86"/>
      <c r="H86" s="27">
        <f t="shared" si="0"/>
        <v>2.1500000000000008</v>
      </c>
      <c r="I86" s="85">
        <v>6.1898607603805E-3</v>
      </c>
      <c r="K86" s="27">
        <f t="shared" si="1"/>
        <v>2.1500000000000008</v>
      </c>
      <c r="L86" s="28">
        <v>8.8788259793896214E-3</v>
      </c>
      <c r="N86" s="27">
        <f t="shared" si="3"/>
        <v>7.875</v>
      </c>
      <c r="O86" s="28">
        <v>1.5858522226899891E-2</v>
      </c>
      <c r="Q86" s="27">
        <f t="shared" si="4"/>
        <v>7.875</v>
      </c>
      <c r="R86" s="28">
        <v>1.0599604824831394E-2</v>
      </c>
    </row>
    <row r="87" spans="2:18" ht="13.2" customHeight="1" x14ac:dyDescent="0.25">
      <c r="B87" s="27">
        <f t="shared" si="2"/>
        <v>8</v>
      </c>
      <c r="C87" s="28">
        <v>1.0796318979396318E-2</v>
      </c>
      <c r="E87" s="86"/>
      <c r="H87" s="27">
        <f t="shared" si="0"/>
        <v>2.2000000000000006</v>
      </c>
      <c r="I87" s="85">
        <v>6.3326447038487563E-3</v>
      </c>
      <c r="K87" s="27">
        <f t="shared" si="1"/>
        <v>2.2000000000000006</v>
      </c>
      <c r="L87" s="28">
        <v>8.9853928472249361E-3</v>
      </c>
      <c r="N87" s="27">
        <f t="shared" si="3"/>
        <v>8</v>
      </c>
      <c r="O87" s="28">
        <v>1.6164693052554181E-2</v>
      </c>
      <c r="Q87" s="27">
        <f t="shared" si="4"/>
        <v>8</v>
      </c>
      <c r="R87" s="28">
        <v>1.0796318979396318E-2</v>
      </c>
    </row>
    <row r="88" spans="2:18" ht="13.2" customHeight="1" x14ac:dyDescent="0.25">
      <c r="B88" s="27">
        <f t="shared" si="2"/>
        <v>8.125</v>
      </c>
      <c r="C88" s="28">
        <v>1.0988066685044116E-2</v>
      </c>
      <c r="E88" s="86"/>
      <c r="H88" s="27">
        <f t="shared" ref="H88:H151" si="5">H87+0.05</f>
        <v>2.2500000000000004</v>
      </c>
      <c r="I88" s="85">
        <v>6.4754286473170126E-3</v>
      </c>
      <c r="K88" s="27">
        <f t="shared" ref="K88:K151" si="6">K87+0.05</f>
        <v>2.2500000000000004</v>
      </c>
      <c r="L88" s="28">
        <v>9.091959715060249E-3</v>
      </c>
      <c r="N88" s="27">
        <f t="shared" si="3"/>
        <v>8.125</v>
      </c>
      <c r="O88" s="28">
        <v>1.6470863878208477E-2</v>
      </c>
      <c r="Q88" s="27">
        <f t="shared" si="4"/>
        <v>8.125</v>
      </c>
      <c r="R88" s="28">
        <v>1.0988066685044116E-2</v>
      </c>
    </row>
    <row r="89" spans="2:18" ht="13.2" customHeight="1" x14ac:dyDescent="0.25">
      <c r="B89" s="27">
        <f t="shared" ref="B89:B152" si="7">B88+0.125</f>
        <v>8.25</v>
      </c>
      <c r="C89" s="28">
        <v>1.1175113586354941E-2</v>
      </c>
      <c r="E89" s="86"/>
      <c r="H89" s="27">
        <f t="shared" si="5"/>
        <v>2.3000000000000003</v>
      </c>
      <c r="I89" s="85">
        <v>6.6182125907852688E-3</v>
      </c>
      <c r="K89" s="27">
        <f t="shared" si="6"/>
        <v>2.3000000000000003</v>
      </c>
      <c r="L89" s="28">
        <v>9.1985265828955637E-3</v>
      </c>
      <c r="N89" s="27">
        <f t="shared" ref="N89:N152" si="8">N88+0.125</f>
        <v>8.25</v>
      </c>
      <c r="O89" s="28">
        <v>1.6777034703862763E-2</v>
      </c>
      <c r="Q89" s="27">
        <f t="shared" ref="Q89:Q152" si="9">Q88+0.125</f>
        <v>8.25</v>
      </c>
      <c r="R89" s="28">
        <v>1.1175113586354941E-2</v>
      </c>
    </row>
    <row r="90" spans="2:18" ht="13.2" customHeight="1" x14ac:dyDescent="0.25">
      <c r="B90" s="27">
        <f t="shared" si="7"/>
        <v>8.375</v>
      </c>
      <c r="C90" s="28">
        <v>1.1357922017656305E-2</v>
      </c>
      <c r="E90" s="86"/>
      <c r="H90" s="27">
        <f t="shared" si="5"/>
        <v>2.35</v>
      </c>
      <c r="I90" s="85">
        <v>6.7609965342535251E-3</v>
      </c>
      <c r="K90" s="27">
        <f t="shared" si="6"/>
        <v>2.35</v>
      </c>
      <c r="L90" s="28">
        <v>9.3050934507308766E-3</v>
      </c>
      <c r="N90" s="27">
        <f t="shared" si="8"/>
        <v>8.375</v>
      </c>
      <c r="O90" s="28">
        <v>1.7083205529517045E-2</v>
      </c>
      <c r="Q90" s="27">
        <f t="shared" si="9"/>
        <v>8.375</v>
      </c>
      <c r="R90" s="28">
        <v>1.1357922017656305E-2</v>
      </c>
    </row>
    <row r="91" spans="2:18" ht="13.2" customHeight="1" x14ac:dyDescent="0.25">
      <c r="B91" s="27">
        <f t="shared" si="7"/>
        <v>8.5</v>
      </c>
      <c r="C91" s="28">
        <v>1.1536927319681697E-2</v>
      </c>
      <c r="E91" s="86"/>
      <c r="H91" s="27">
        <f t="shared" si="5"/>
        <v>2.4</v>
      </c>
      <c r="I91" s="85">
        <v>6.9037804777217814E-3</v>
      </c>
      <c r="K91" s="27">
        <f t="shared" si="6"/>
        <v>2.4</v>
      </c>
      <c r="L91" s="28">
        <v>9.4116603185661896E-3</v>
      </c>
      <c r="N91" s="27">
        <f t="shared" si="8"/>
        <v>8.5</v>
      </c>
      <c r="O91" s="28">
        <v>1.7389376355171342E-2</v>
      </c>
      <c r="Q91" s="27">
        <f t="shared" si="9"/>
        <v>8.5</v>
      </c>
      <c r="R91" s="28">
        <v>1.1536927319681697E-2</v>
      </c>
    </row>
    <row r="92" spans="2:18" ht="13.2" customHeight="1" x14ac:dyDescent="0.25">
      <c r="B92" s="27">
        <f t="shared" si="7"/>
        <v>8.625</v>
      </c>
      <c r="C92" s="28">
        <v>1.171253959602064E-2</v>
      </c>
      <c r="E92" s="86"/>
      <c r="H92" s="27">
        <f t="shared" si="5"/>
        <v>2.4499999999999997</v>
      </c>
      <c r="I92" s="85">
        <v>7.0465644211900377E-3</v>
      </c>
      <c r="K92" s="27">
        <f t="shared" si="6"/>
        <v>2.4499999999999997</v>
      </c>
      <c r="L92" s="28">
        <v>9.5182271864015042E-3</v>
      </c>
      <c r="N92" s="27">
        <f t="shared" si="8"/>
        <v>8.625</v>
      </c>
      <c r="O92" s="28">
        <v>1.7695547180825624E-2</v>
      </c>
      <c r="Q92" s="27">
        <f t="shared" si="9"/>
        <v>8.625</v>
      </c>
      <c r="R92" s="28">
        <v>1.171253959602064E-2</v>
      </c>
    </row>
    <row r="93" spans="2:18" ht="13.2" customHeight="1" x14ac:dyDescent="0.25">
      <c r="B93" s="27">
        <f t="shared" si="7"/>
        <v>8.75</v>
      </c>
      <c r="C93" s="28">
        <v>1.1885145515771843E-2</v>
      </c>
      <c r="E93" s="86"/>
      <c r="H93" s="27">
        <f t="shared" si="5"/>
        <v>2.4999999999999996</v>
      </c>
      <c r="I93" s="85">
        <v>7.1893483646582939E-3</v>
      </c>
      <c r="K93" s="27">
        <f t="shared" si="6"/>
        <v>2.4999999999999996</v>
      </c>
      <c r="L93" s="28">
        <v>9.6247940542368172E-3</v>
      </c>
      <c r="N93" s="27">
        <f t="shared" si="8"/>
        <v>8.75</v>
      </c>
      <c r="O93" s="28">
        <v>1.800171800647991E-2</v>
      </c>
      <c r="Q93" s="27">
        <f t="shared" si="9"/>
        <v>8.75</v>
      </c>
      <c r="R93" s="28">
        <v>1.1885145515771843E-2</v>
      </c>
    </row>
    <row r="94" spans="2:18" ht="13.2" customHeight="1" x14ac:dyDescent="0.25">
      <c r="B94" s="27">
        <f t="shared" si="7"/>
        <v>8.875</v>
      </c>
      <c r="C94" s="28">
        <v>1.2055109963859389E-2</v>
      </c>
      <c r="E94" s="86"/>
      <c r="H94" s="27">
        <f t="shared" si="5"/>
        <v>2.5499999999999994</v>
      </c>
      <c r="I94" s="85">
        <v>7.3321323081265502E-3</v>
      </c>
      <c r="K94" s="27">
        <f t="shared" si="6"/>
        <v>2.5499999999999994</v>
      </c>
      <c r="L94" s="28">
        <v>9.7818663581098527E-3</v>
      </c>
      <c r="N94" s="27">
        <f t="shared" si="8"/>
        <v>8.875</v>
      </c>
      <c r="O94" s="28">
        <v>1.8307888832134207E-2</v>
      </c>
      <c r="Q94" s="27">
        <f t="shared" si="9"/>
        <v>8.875</v>
      </c>
      <c r="R94" s="28">
        <v>1.2055109963859389E-2</v>
      </c>
    </row>
    <row r="95" spans="2:18" ht="13.2" customHeight="1" x14ac:dyDescent="0.25">
      <c r="B95" s="27">
        <f t="shared" si="7"/>
        <v>9</v>
      </c>
      <c r="C95" s="28">
        <v>1.2222777553822752E-2</v>
      </c>
      <c r="E95" s="86"/>
      <c r="H95" s="27">
        <f t="shared" si="5"/>
        <v>2.5999999999999992</v>
      </c>
      <c r="I95" s="85">
        <v>7.4749162515948056E-3</v>
      </c>
      <c r="K95" s="27">
        <f t="shared" si="6"/>
        <v>2.5999999999999992</v>
      </c>
      <c r="L95" s="28">
        <v>9.9509230027376022E-3</v>
      </c>
      <c r="N95" s="27">
        <f t="shared" si="8"/>
        <v>9</v>
      </c>
      <c r="O95" s="28">
        <v>1.8614059657788493E-2</v>
      </c>
      <c r="Q95" s="27">
        <f t="shared" si="9"/>
        <v>9</v>
      </c>
      <c r="R95" s="28">
        <v>1.2222777553822752E-2</v>
      </c>
    </row>
    <row r="96" spans="2:18" ht="13.2" customHeight="1" x14ac:dyDescent="0.25">
      <c r="B96" s="27">
        <f t="shared" si="7"/>
        <v>9.125</v>
      </c>
      <c r="C96" s="28">
        <v>1.2388465133742791E-2</v>
      </c>
      <c r="E96" s="86"/>
      <c r="H96" s="27">
        <f t="shared" si="5"/>
        <v>2.649999999999999</v>
      </c>
      <c r="I96" s="85">
        <v>7.6177001950630627E-3</v>
      </c>
      <c r="K96" s="27">
        <f t="shared" si="6"/>
        <v>2.649999999999999</v>
      </c>
      <c r="L96" s="28">
        <v>1.011997964736535E-2</v>
      </c>
      <c r="N96" s="27">
        <f t="shared" si="8"/>
        <v>9.125</v>
      </c>
      <c r="O96" s="28">
        <v>1.8920230483442782E-2</v>
      </c>
      <c r="Q96" s="27">
        <f t="shared" si="9"/>
        <v>9.125</v>
      </c>
      <c r="R96" s="28">
        <v>1.2388465133742791E-2</v>
      </c>
    </row>
    <row r="97" spans="2:18" ht="13.2" customHeight="1" x14ac:dyDescent="0.25">
      <c r="B97" s="27">
        <f t="shared" si="7"/>
        <v>9.25</v>
      </c>
      <c r="C97" s="28">
        <v>1.2552423620551043E-2</v>
      </c>
      <c r="E97" s="86"/>
      <c r="H97" s="27">
        <f t="shared" si="5"/>
        <v>2.6999999999999988</v>
      </c>
      <c r="I97" s="85">
        <v>7.7604841385313181E-3</v>
      </c>
      <c r="K97" s="27">
        <f t="shared" si="6"/>
        <v>2.6999999999999988</v>
      </c>
      <c r="L97" s="28">
        <v>1.02890362919931E-2</v>
      </c>
      <c r="N97" s="27">
        <f t="shared" si="8"/>
        <v>9.25</v>
      </c>
      <c r="O97" s="28">
        <v>1.9226401309097061E-2</v>
      </c>
      <c r="Q97" s="27">
        <f t="shared" si="9"/>
        <v>9.25</v>
      </c>
      <c r="R97" s="28">
        <v>1.2552423620551043E-2</v>
      </c>
    </row>
    <row r="98" spans="2:18" ht="13.2" customHeight="1" x14ac:dyDescent="0.25">
      <c r="B98" s="27">
        <f t="shared" si="7"/>
        <v>9.375</v>
      </c>
      <c r="C98" s="28">
        <v>1.2714873882759388E-2</v>
      </c>
      <c r="E98" s="86"/>
      <c r="H98" s="27">
        <f t="shared" si="5"/>
        <v>2.7499999999999987</v>
      </c>
      <c r="I98" s="85">
        <v>7.9032680819995753E-3</v>
      </c>
      <c r="K98" s="27">
        <f t="shared" si="6"/>
        <v>2.7499999999999987</v>
      </c>
      <c r="L98" s="28">
        <v>1.0458092936620849E-2</v>
      </c>
      <c r="N98" s="27">
        <f t="shared" si="8"/>
        <v>9.375</v>
      </c>
      <c r="O98" s="28">
        <v>1.9532572134751347E-2</v>
      </c>
      <c r="Q98" s="27">
        <f t="shared" si="9"/>
        <v>9.375</v>
      </c>
      <c r="R98" s="28">
        <v>1.2714873882759388E-2</v>
      </c>
    </row>
    <row r="99" spans="2:18" ht="13.2" customHeight="1" x14ac:dyDescent="0.25">
      <c r="B99" s="27">
        <f t="shared" si="7"/>
        <v>9.5</v>
      </c>
      <c r="C99" s="28">
        <v>1.2876025148314599E-2</v>
      </c>
      <c r="E99" s="86"/>
      <c r="H99" s="27">
        <f t="shared" si="5"/>
        <v>2.7999999999999985</v>
      </c>
      <c r="I99" s="85">
        <v>8.0939313034911788E-3</v>
      </c>
      <c r="K99" s="27">
        <f t="shared" si="6"/>
        <v>2.7999999999999985</v>
      </c>
      <c r="L99" s="28">
        <v>1.0627149581248599E-2</v>
      </c>
      <c r="N99" s="27">
        <f t="shared" si="8"/>
        <v>9.5</v>
      </c>
      <c r="O99" s="28">
        <v>1.9838742960405636E-2</v>
      </c>
      <c r="Q99" s="27">
        <f t="shared" si="9"/>
        <v>9.5</v>
      </c>
      <c r="R99" s="28">
        <v>1.2876025148314599E-2</v>
      </c>
    </row>
    <row r="100" spans="2:18" ht="13.2" customHeight="1" x14ac:dyDescent="0.25">
      <c r="B100" s="27">
        <f t="shared" si="7"/>
        <v>9.625</v>
      </c>
      <c r="C100" s="28">
        <v>1.3036075776179256E-2</v>
      </c>
      <c r="E100" s="86"/>
      <c r="H100" s="27">
        <f t="shared" si="5"/>
        <v>2.8499999999999983</v>
      </c>
      <c r="I100" s="85">
        <v>8.2949683685545113E-3</v>
      </c>
      <c r="K100" s="27">
        <f t="shared" si="6"/>
        <v>2.8499999999999983</v>
      </c>
      <c r="L100" s="28">
        <v>1.0796206225876348E-2</v>
      </c>
      <c r="N100" s="27">
        <f t="shared" si="8"/>
        <v>9.625</v>
      </c>
      <c r="O100" s="28">
        <v>2.0144913786059926E-2</v>
      </c>
      <c r="Q100" s="27">
        <f t="shared" si="9"/>
        <v>9.625</v>
      </c>
      <c r="R100" s="28">
        <v>1.3036075776179256E-2</v>
      </c>
    </row>
    <row r="101" spans="2:18" ht="13.2" customHeight="1" x14ac:dyDescent="0.25">
      <c r="B101" s="27">
        <f t="shared" si="7"/>
        <v>9.75</v>
      </c>
      <c r="C101" s="28">
        <v>1.3195213953061398E-2</v>
      </c>
      <c r="E101" s="86"/>
      <c r="H101" s="27">
        <f t="shared" si="5"/>
        <v>2.8999999999999981</v>
      </c>
      <c r="I101" s="85">
        <v>8.4960054336178439E-3</v>
      </c>
      <c r="K101" s="27">
        <f t="shared" si="6"/>
        <v>2.8999999999999981</v>
      </c>
      <c r="L101" s="28">
        <v>1.0965262870504096E-2</v>
      </c>
      <c r="N101" s="27">
        <f t="shared" si="8"/>
        <v>9.75</v>
      </c>
      <c r="O101" s="28">
        <v>2.0451084611714212E-2</v>
      </c>
      <c r="Q101" s="27">
        <f t="shared" si="9"/>
        <v>9.75</v>
      </c>
      <c r="R101" s="28">
        <v>1.3195213953061398E-2</v>
      </c>
    </row>
    <row r="102" spans="2:18" ht="13.2" customHeight="1" x14ac:dyDescent="0.25">
      <c r="B102" s="27">
        <f t="shared" si="7"/>
        <v>9.875</v>
      </c>
      <c r="C102" s="28">
        <v>1.3353618337228167E-2</v>
      </c>
      <c r="E102" s="86"/>
      <c r="H102" s="27">
        <f t="shared" si="5"/>
        <v>2.949999999999998</v>
      </c>
      <c r="I102" s="85">
        <v>8.6970424986811765E-3</v>
      </c>
      <c r="K102" s="27">
        <f t="shared" si="6"/>
        <v>2.949999999999998</v>
      </c>
      <c r="L102" s="28">
        <v>1.1134319515131845E-2</v>
      </c>
      <c r="N102" s="27">
        <f t="shared" si="8"/>
        <v>9.875</v>
      </c>
      <c r="O102" s="28">
        <v>2.0757255437368508E-2</v>
      </c>
      <c r="Q102" s="27">
        <f t="shared" si="9"/>
        <v>9.875</v>
      </c>
      <c r="R102" s="28">
        <v>1.3353618337228167E-2</v>
      </c>
    </row>
    <row r="103" spans="2:18" ht="13.2" customHeight="1" x14ac:dyDescent="0.25">
      <c r="B103" s="27">
        <f t="shared" si="7"/>
        <v>10</v>
      </c>
      <c r="C103" s="28">
        <v>1.3511458654033349E-2</v>
      </c>
      <c r="E103" s="86"/>
      <c r="H103" s="27">
        <f t="shared" si="5"/>
        <v>2.9999999999999978</v>
      </c>
      <c r="I103" s="85">
        <v>8.8980795637445074E-3</v>
      </c>
      <c r="K103" s="27">
        <f t="shared" si="6"/>
        <v>2.9999999999999978</v>
      </c>
      <c r="L103" s="28">
        <v>1.1303376159759595E-2</v>
      </c>
      <c r="N103" s="27">
        <f t="shared" si="8"/>
        <v>10</v>
      </c>
      <c r="O103" s="28">
        <v>2.1063426263022787E-2</v>
      </c>
      <c r="Q103" s="27">
        <f t="shared" si="9"/>
        <v>10</v>
      </c>
      <c r="R103" s="28">
        <v>1.3511458654033349E-2</v>
      </c>
    </row>
    <row r="104" spans="2:18" ht="13.2" customHeight="1" x14ac:dyDescent="0.25">
      <c r="B104" s="27">
        <f t="shared" si="7"/>
        <v>10.125</v>
      </c>
      <c r="C104" s="28">
        <v>1.3668829054505812E-2</v>
      </c>
      <c r="E104" s="86"/>
      <c r="H104" s="27">
        <f t="shared" si="5"/>
        <v>3.0499999999999976</v>
      </c>
      <c r="I104" s="85">
        <v>9.09911662880784E-3</v>
      </c>
      <c r="K104" s="27">
        <f t="shared" si="6"/>
        <v>3.0499999999999976</v>
      </c>
      <c r="L104" s="28">
        <v>1.1472432804387344E-2</v>
      </c>
      <c r="N104" s="27">
        <f t="shared" si="8"/>
        <v>10.125</v>
      </c>
      <c r="O104" s="28">
        <v>2.1187214969950709E-2</v>
      </c>
      <c r="Q104" s="27">
        <f t="shared" si="9"/>
        <v>10.125</v>
      </c>
      <c r="R104" s="28">
        <v>1.3668829054505812E-2</v>
      </c>
    </row>
    <row r="105" spans="2:18" ht="13.2" customHeight="1" x14ac:dyDescent="0.25">
      <c r="B105" s="27">
        <f t="shared" si="7"/>
        <v>10.25</v>
      </c>
      <c r="C105" s="28">
        <v>1.3825449418666688E-2</v>
      </c>
      <c r="E105" s="86"/>
      <c r="H105" s="27">
        <f t="shared" si="5"/>
        <v>3.0999999999999974</v>
      </c>
      <c r="I105" s="85">
        <v>9.3001536938711726E-3</v>
      </c>
      <c r="K105" s="27">
        <f t="shared" si="6"/>
        <v>3.0999999999999974</v>
      </c>
      <c r="L105" s="28">
        <v>1.1641489449015094E-2</v>
      </c>
      <c r="N105" s="27">
        <f t="shared" si="8"/>
        <v>10.25</v>
      </c>
      <c r="O105" s="28">
        <v>2.1288556646881521E-2</v>
      </c>
      <c r="Q105" s="27">
        <f t="shared" si="9"/>
        <v>10.25</v>
      </c>
      <c r="R105" s="28">
        <v>1.3825449418666688E-2</v>
      </c>
    </row>
    <row r="106" spans="2:18" ht="13.2" customHeight="1" x14ac:dyDescent="0.25">
      <c r="B106" s="27">
        <f t="shared" si="7"/>
        <v>10.375</v>
      </c>
      <c r="C106" s="28">
        <v>1.3980926720216794E-2</v>
      </c>
      <c r="E106" s="86"/>
      <c r="H106" s="27">
        <f t="shared" si="5"/>
        <v>3.1499999999999972</v>
      </c>
      <c r="I106" s="85">
        <v>9.5011907589345052E-3</v>
      </c>
      <c r="K106" s="27">
        <f t="shared" si="6"/>
        <v>3.1499999999999972</v>
      </c>
      <c r="L106" s="28">
        <v>1.1810546093642842E-2</v>
      </c>
      <c r="N106" s="27">
        <f t="shared" si="8"/>
        <v>10.375</v>
      </c>
      <c r="O106" s="28">
        <v>2.1389898323812342E-2</v>
      </c>
      <c r="Q106" s="27">
        <f t="shared" si="9"/>
        <v>10.375</v>
      </c>
      <c r="R106" s="28">
        <v>1.3980926720216794E-2</v>
      </c>
    </row>
    <row r="107" spans="2:18" ht="13.2" customHeight="1" x14ac:dyDescent="0.25">
      <c r="B107" s="27">
        <f t="shared" si="7"/>
        <v>10.5</v>
      </c>
      <c r="C107" s="28">
        <v>1.4134886527597271E-2</v>
      </c>
      <c r="E107" s="86"/>
      <c r="H107" s="27">
        <f t="shared" si="5"/>
        <v>3.1999999999999971</v>
      </c>
      <c r="I107" s="85">
        <v>9.702227823997836E-3</v>
      </c>
      <c r="K107" s="27">
        <f t="shared" si="6"/>
        <v>3.1999999999999971</v>
      </c>
      <c r="L107" s="28">
        <v>1.1979602738270591E-2</v>
      </c>
      <c r="N107" s="27">
        <f t="shared" si="8"/>
        <v>10.5</v>
      </c>
      <c r="O107" s="28">
        <v>2.1491240000743168E-2</v>
      </c>
      <c r="Q107" s="27">
        <f t="shared" si="9"/>
        <v>10.5</v>
      </c>
      <c r="R107" s="28">
        <v>1.4134886527597271E-2</v>
      </c>
    </row>
    <row r="108" spans="2:18" ht="13.2" customHeight="1" x14ac:dyDescent="0.25">
      <c r="B108" s="27">
        <f t="shared" si="7"/>
        <v>10.625</v>
      </c>
      <c r="C108" s="28">
        <v>1.4286972029557986E-2</v>
      </c>
      <c r="E108" s="86"/>
      <c r="H108" s="27">
        <f t="shared" si="5"/>
        <v>3.2499999999999969</v>
      </c>
      <c r="I108" s="85">
        <v>9.9032648890611686E-3</v>
      </c>
      <c r="K108" s="27">
        <f t="shared" si="6"/>
        <v>3.2499999999999969</v>
      </c>
      <c r="L108" s="28">
        <v>1.2148659382898341E-2</v>
      </c>
      <c r="N108" s="27">
        <f t="shared" si="8"/>
        <v>10.625</v>
      </c>
      <c r="O108" s="28">
        <v>2.1592581677673986E-2</v>
      </c>
      <c r="Q108" s="27">
        <f t="shared" si="9"/>
        <v>10.625</v>
      </c>
      <c r="R108" s="28">
        <v>1.4286972029557986E-2</v>
      </c>
    </row>
    <row r="109" spans="2:18" ht="13.2" customHeight="1" x14ac:dyDescent="0.25">
      <c r="B109" s="27">
        <f t="shared" si="7"/>
        <v>10.75</v>
      </c>
      <c r="C109" s="28">
        <v>1.4436843010720832E-2</v>
      </c>
      <c r="E109" s="86"/>
      <c r="H109" s="27">
        <f t="shared" si="5"/>
        <v>3.2999999999999967</v>
      </c>
      <c r="I109" s="85">
        <v>1.0104301954124501E-2</v>
      </c>
      <c r="K109" s="27">
        <f t="shared" si="6"/>
        <v>3.2999999999999967</v>
      </c>
      <c r="L109" s="28">
        <v>1.231771602752609E-2</v>
      </c>
      <c r="N109" s="27">
        <f t="shared" si="8"/>
        <v>10.75</v>
      </c>
      <c r="O109" s="28">
        <v>2.1693923354604811E-2</v>
      </c>
      <c r="Q109" s="27">
        <f t="shared" si="9"/>
        <v>10.75</v>
      </c>
      <c r="R109" s="28">
        <v>1.4436843010720832E-2</v>
      </c>
    </row>
    <row r="110" spans="2:18" ht="13.2" customHeight="1" x14ac:dyDescent="0.25">
      <c r="B110" s="27">
        <f t="shared" si="7"/>
        <v>10.875</v>
      </c>
      <c r="C110" s="28">
        <v>1.4584174897794124E-2</v>
      </c>
      <c r="E110" s="86"/>
      <c r="H110" s="27">
        <f t="shared" si="5"/>
        <v>3.3499999999999965</v>
      </c>
      <c r="I110" s="85">
        <v>1.0305339019187834E-2</v>
      </c>
      <c r="K110" s="27">
        <f t="shared" si="6"/>
        <v>3.3499999999999965</v>
      </c>
      <c r="L110" s="28">
        <v>1.248677267215384E-2</v>
      </c>
      <c r="N110" s="27">
        <f t="shared" si="8"/>
        <v>10.875</v>
      </c>
      <c r="O110" s="28">
        <v>2.179526503153564E-2</v>
      </c>
      <c r="Q110" s="27">
        <f t="shared" si="9"/>
        <v>10.875</v>
      </c>
      <c r="R110" s="28">
        <v>1.4584174897794124E-2</v>
      </c>
    </row>
    <row r="111" spans="2:18" ht="13.2" customHeight="1" x14ac:dyDescent="0.25">
      <c r="B111" s="27">
        <f t="shared" si="7"/>
        <v>11</v>
      </c>
      <c r="C111" s="28">
        <v>1.4728657870817565E-2</v>
      </c>
      <c r="E111" s="86"/>
      <c r="H111" s="27">
        <f t="shared" si="5"/>
        <v>3.3999999999999964</v>
      </c>
      <c r="I111" s="85">
        <v>1.0506376084251166E-2</v>
      </c>
      <c r="K111" s="27">
        <f t="shared" si="6"/>
        <v>3.3999999999999964</v>
      </c>
      <c r="L111" s="28">
        <v>1.2655829316781587E-2</v>
      </c>
      <c r="N111" s="27">
        <f t="shared" si="8"/>
        <v>11</v>
      </c>
      <c r="O111" s="28">
        <v>2.1896606708466455E-2</v>
      </c>
      <c r="Q111" s="27">
        <f t="shared" si="9"/>
        <v>11</v>
      </c>
      <c r="R111" s="28">
        <v>1.4728657870817565E-2</v>
      </c>
    </row>
    <row r="112" spans="2:18" ht="13.2" customHeight="1" x14ac:dyDescent="0.25">
      <c r="B112" s="27">
        <f t="shared" si="7"/>
        <v>11.125</v>
      </c>
      <c r="C112" s="28">
        <v>1.4870048777244836E-2</v>
      </c>
      <c r="E112" s="86"/>
      <c r="H112" s="27">
        <f t="shared" si="5"/>
        <v>3.4499999999999962</v>
      </c>
      <c r="I112" s="85">
        <v>1.0707413149314497E-2</v>
      </c>
      <c r="K112" s="27">
        <f t="shared" si="6"/>
        <v>3.4499999999999962</v>
      </c>
      <c r="L112" s="28">
        <v>1.2824885961409337E-2</v>
      </c>
      <c r="N112" s="27">
        <f t="shared" si="8"/>
        <v>11.125</v>
      </c>
      <c r="O112" s="28">
        <v>2.1997948385397269E-2</v>
      </c>
      <c r="Q112" s="27">
        <f t="shared" si="9"/>
        <v>11.125</v>
      </c>
      <c r="R112" s="28">
        <v>1.4870048777244836E-2</v>
      </c>
    </row>
    <row r="113" spans="2:18" ht="13.2" customHeight="1" x14ac:dyDescent="0.25">
      <c r="B113" s="27">
        <f t="shared" si="7"/>
        <v>11.25</v>
      </c>
      <c r="C113" s="28">
        <v>1.5008405768230313E-2</v>
      </c>
      <c r="E113" s="86"/>
      <c r="H113" s="27">
        <f t="shared" si="5"/>
        <v>3.499999999999996</v>
      </c>
      <c r="I113" s="85">
        <v>1.090845021437783E-2</v>
      </c>
      <c r="K113" s="27">
        <f t="shared" si="6"/>
        <v>3.499999999999996</v>
      </c>
      <c r="L113" s="28">
        <v>1.2993942606037086E-2</v>
      </c>
      <c r="N113" s="27">
        <f t="shared" si="8"/>
        <v>11.25</v>
      </c>
      <c r="O113" s="28">
        <v>2.2099290062328088E-2</v>
      </c>
      <c r="Q113" s="27">
        <f t="shared" si="9"/>
        <v>11.25</v>
      </c>
      <c r="R113" s="28">
        <v>1.5008405768230313E-2</v>
      </c>
    </row>
    <row r="114" spans="2:18" ht="13.2" customHeight="1" x14ac:dyDescent="0.25">
      <c r="B114" s="27">
        <f t="shared" si="7"/>
        <v>11.375</v>
      </c>
      <c r="C114" s="28">
        <v>1.5143883876499229E-2</v>
      </c>
      <c r="E114" s="86"/>
      <c r="H114" s="27">
        <f t="shared" si="5"/>
        <v>3.5499999999999958</v>
      </c>
      <c r="I114" s="85">
        <v>1.1109487279441162E-2</v>
      </c>
      <c r="K114" s="27">
        <f t="shared" si="6"/>
        <v>3.5499999999999958</v>
      </c>
      <c r="L114" s="28">
        <v>1.3230931194249344E-2</v>
      </c>
      <c r="N114" s="27">
        <f t="shared" si="8"/>
        <v>11.375</v>
      </c>
      <c r="O114" s="28">
        <v>2.2200631739258923E-2</v>
      </c>
      <c r="Q114" s="27">
        <f t="shared" si="9"/>
        <v>11.375</v>
      </c>
      <c r="R114" s="28">
        <v>1.5143883876499229E-2</v>
      </c>
    </row>
    <row r="115" spans="2:18" ht="13.2" customHeight="1" x14ac:dyDescent="0.25">
      <c r="B115" s="27">
        <f t="shared" si="7"/>
        <v>11.5</v>
      </c>
      <c r="C115" s="28">
        <v>1.5276631489348848E-2</v>
      </c>
      <c r="E115" s="86"/>
      <c r="H115" s="27">
        <f t="shared" si="5"/>
        <v>3.5999999999999956</v>
      </c>
      <c r="I115" s="85">
        <v>1.1310524344504493E-2</v>
      </c>
      <c r="K115" s="27">
        <f t="shared" si="6"/>
        <v>3.5999999999999956</v>
      </c>
      <c r="L115" s="28">
        <v>1.3478702630649625E-2</v>
      </c>
      <c r="N115" s="27">
        <f t="shared" si="8"/>
        <v>11.5</v>
      </c>
      <c r="O115" s="28">
        <v>2.2301973416189742E-2</v>
      </c>
      <c r="Q115" s="27">
        <f t="shared" si="9"/>
        <v>11.5</v>
      </c>
      <c r="R115" s="28">
        <v>1.5276631489348848E-2</v>
      </c>
    </row>
    <row r="116" spans="2:18" ht="13.2" customHeight="1" x14ac:dyDescent="0.25">
      <c r="B116" s="27">
        <f t="shared" si="7"/>
        <v>11.625</v>
      </c>
      <c r="C116" s="28">
        <v>1.5406790611827172E-2</v>
      </c>
      <c r="E116" s="86"/>
      <c r="H116" s="27">
        <f t="shared" si="5"/>
        <v>3.6499999999999955</v>
      </c>
      <c r="I116" s="85">
        <v>1.1511561409567826E-2</v>
      </c>
      <c r="K116" s="27">
        <f t="shared" si="6"/>
        <v>3.6499999999999955</v>
      </c>
      <c r="L116" s="28">
        <v>1.3726474067049906E-2</v>
      </c>
      <c r="N116" s="27">
        <f t="shared" si="8"/>
        <v>11.625</v>
      </c>
      <c r="O116" s="28">
        <v>2.2403315093120567E-2</v>
      </c>
      <c r="Q116" s="27">
        <f t="shared" si="9"/>
        <v>11.625</v>
      </c>
      <c r="R116" s="28">
        <v>1.5406790611827172E-2</v>
      </c>
    </row>
    <row r="117" spans="2:18" ht="13.2" customHeight="1" x14ac:dyDescent="0.25">
      <c r="B117" s="27">
        <f t="shared" si="7"/>
        <v>11.75</v>
      </c>
      <c r="C117" s="28">
        <v>1.5534497206214113E-2</v>
      </c>
      <c r="E117" s="86"/>
      <c r="H117" s="27">
        <f t="shared" si="5"/>
        <v>3.6999999999999953</v>
      </c>
      <c r="I117" s="85">
        <v>1.1712598474631158E-2</v>
      </c>
      <c r="K117" s="27">
        <f t="shared" si="6"/>
        <v>3.6999999999999953</v>
      </c>
      <c r="L117" s="28">
        <v>1.3974245503450188E-2</v>
      </c>
      <c r="N117" s="27">
        <f t="shared" si="8"/>
        <v>11.75</v>
      </c>
      <c r="O117" s="28">
        <v>2.2504656770051382E-2</v>
      </c>
      <c r="Q117" s="27">
        <f t="shared" si="9"/>
        <v>11.75</v>
      </c>
      <c r="R117" s="28">
        <v>1.5534497206214113E-2</v>
      </c>
    </row>
    <row r="118" spans="2:18" ht="13.2" customHeight="1" x14ac:dyDescent="0.25">
      <c r="B118" s="27">
        <f t="shared" si="7"/>
        <v>11.875</v>
      </c>
      <c r="C118" s="28">
        <v>1.5659881510062069E-2</v>
      </c>
      <c r="E118" s="86"/>
      <c r="H118" s="27">
        <f t="shared" si="5"/>
        <v>3.7499999999999951</v>
      </c>
      <c r="I118" s="85">
        <v>1.1913635539694491E-2</v>
      </c>
      <c r="K118" s="27">
        <f t="shared" si="6"/>
        <v>3.7499999999999951</v>
      </c>
      <c r="L118" s="28">
        <v>1.4222016939850469E-2</v>
      </c>
      <c r="N118" s="27">
        <f t="shared" si="8"/>
        <v>11.875</v>
      </c>
      <c r="O118" s="28">
        <v>2.2605998446982196E-2</v>
      </c>
      <c r="Q118" s="27">
        <f t="shared" si="9"/>
        <v>11.875</v>
      </c>
      <c r="R118" s="28">
        <v>1.5659881510062069E-2</v>
      </c>
    </row>
    <row r="119" spans="2:18" ht="13.2" customHeight="1" x14ac:dyDescent="0.25">
      <c r="B119" s="27">
        <f t="shared" si="7"/>
        <v>12</v>
      </c>
      <c r="C119" s="28">
        <v>1.5783068334358739E-2</v>
      </c>
      <c r="E119" s="86"/>
      <c r="H119" s="27">
        <f t="shared" si="5"/>
        <v>3.7999999999999949</v>
      </c>
      <c r="I119" s="85">
        <v>1.2173526436975462E-2</v>
      </c>
      <c r="K119" s="27">
        <f t="shared" si="6"/>
        <v>3.7999999999999949</v>
      </c>
      <c r="L119" s="28">
        <v>1.446978837625075E-2</v>
      </c>
      <c r="N119" s="27">
        <f t="shared" si="8"/>
        <v>12</v>
      </c>
      <c r="O119" s="28">
        <v>2.2707340123913025E-2</v>
      </c>
      <c r="Q119" s="27">
        <f t="shared" si="9"/>
        <v>12</v>
      </c>
      <c r="R119" s="28">
        <v>1.5783068334358739E-2</v>
      </c>
    </row>
    <row r="120" spans="2:18" ht="13.2" customHeight="1" x14ac:dyDescent="0.25">
      <c r="B120" s="27">
        <f t="shared" si="7"/>
        <v>12.125</v>
      </c>
      <c r="C120" s="28">
        <v>1.5904156668159752E-2</v>
      </c>
      <c r="E120" s="86"/>
      <c r="H120" s="27">
        <f t="shared" si="5"/>
        <v>3.8499999999999948</v>
      </c>
      <c r="I120" s="85">
        <v>1.2441693654412047E-2</v>
      </c>
      <c r="K120" s="27">
        <f t="shared" si="6"/>
        <v>3.8499999999999948</v>
      </c>
      <c r="L120" s="28">
        <v>1.4717559812651033E-2</v>
      </c>
      <c r="N120" s="27">
        <f t="shared" si="8"/>
        <v>12.125</v>
      </c>
      <c r="O120" s="28">
        <v>2.2808681800843847E-2</v>
      </c>
      <c r="Q120" s="27">
        <f t="shared" si="9"/>
        <v>12.125</v>
      </c>
      <c r="R120" s="28">
        <v>1.5904156668159752E-2</v>
      </c>
    </row>
    <row r="121" spans="2:18" ht="13.2" customHeight="1" x14ac:dyDescent="0.25">
      <c r="B121" s="27">
        <f t="shared" si="7"/>
        <v>12.25</v>
      </c>
      <c r="C121" s="28">
        <v>1.6023127481670514E-2</v>
      </c>
      <c r="E121" s="86"/>
      <c r="H121" s="27">
        <f t="shared" si="5"/>
        <v>3.8999999999999946</v>
      </c>
      <c r="I121" s="85">
        <v>1.2709860871848631E-2</v>
      </c>
      <c r="K121" s="27">
        <f t="shared" si="6"/>
        <v>3.8999999999999946</v>
      </c>
      <c r="L121" s="28">
        <v>1.4965331249051314E-2</v>
      </c>
      <c r="N121" s="27">
        <f t="shared" si="8"/>
        <v>12.25</v>
      </c>
      <c r="O121" s="28">
        <v>2.2910023477774672E-2</v>
      </c>
      <c r="Q121" s="27">
        <f t="shared" si="9"/>
        <v>12.25</v>
      </c>
      <c r="R121" s="28">
        <v>1.6023127481670514E-2</v>
      </c>
    </row>
    <row r="122" spans="2:18" ht="13.2" customHeight="1" x14ac:dyDescent="0.25">
      <c r="B122" s="27">
        <f t="shared" si="7"/>
        <v>12.375</v>
      </c>
      <c r="C122" s="28">
        <v>1.6139923463889233E-2</v>
      </c>
      <c r="E122" s="86"/>
      <c r="H122" s="27">
        <f t="shared" si="5"/>
        <v>3.9499999999999944</v>
      </c>
      <c r="I122" s="85">
        <v>1.2978028089285215E-2</v>
      </c>
      <c r="K122" s="27">
        <f t="shared" si="6"/>
        <v>3.9499999999999944</v>
      </c>
      <c r="L122" s="28">
        <v>1.5213102685451596E-2</v>
      </c>
      <c r="N122" s="27">
        <f t="shared" si="8"/>
        <v>12.375</v>
      </c>
      <c r="O122" s="28">
        <v>2.301136515470549E-2</v>
      </c>
      <c r="Q122" s="27">
        <f t="shared" si="9"/>
        <v>12.375</v>
      </c>
      <c r="R122" s="28">
        <v>1.6139923463889233E-2</v>
      </c>
    </row>
    <row r="123" spans="2:18" ht="13.2" customHeight="1" x14ac:dyDescent="0.25">
      <c r="B123" s="27">
        <f t="shared" si="7"/>
        <v>12.5</v>
      </c>
      <c r="C123" s="28">
        <v>1.6254489558864771E-2</v>
      </c>
      <c r="E123" s="86"/>
      <c r="H123" s="27">
        <f t="shared" si="5"/>
        <v>3.9999999999999942</v>
      </c>
      <c r="I123" s="85">
        <v>1.3246195306721801E-2</v>
      </c>
      <c r="K123" s="27">
        <f t="shared" si="6"/>
        <v>3.9999999999999942</v>
      </c>
      <c r="L123" s="28">
        <v>1.5460874121851877E-2</v>
      </c>
      <c r="N123" s="27">
        <f t="shared" si="8"/>
        <v>12.5</v>
      </c>
      <c r="O123" s="28">
        <v>2.3112706831636305E-2</v>
      </c>
      <c r="Q123" s="27">
        <f t="shared" si="9"/>
        <v>12.5</v>
      </c>
      <c r="R123" s="28">
        <v>1.6254489558864771E-2</v>
      </c>
    </row>
    <row r="124" spans="2:18" ht="13.2" customHeight="1" x14ac:dyDescent="0.25">
      <c r="B124" s="27">
        <f t="shared" si="7"/>
        <v>12.625</v>
      </c>
      <c r="C124" s="28">
        <v>1.6366772891079701E-2</v>
      </c>
      <c r="E124" s="86"/>
      <c r="H124" s="27">
        <f t="shared" si="5"/>
        <v>4.0499999999999945</v>
      </c>
      <c r="I124" s="85">
        <v>1.3514362524158389E-2</v>
      </c>
      <c r="K124" s="27">
        <f t="shared" si="6"/>
        <v>4.0499999999999945</v>
      </c>
      <c r="L124" s="28">
        <v>1.570864555825216E-2</v>
      </c>
      <c r="N124" s="27">
        <f t="shared" si="8"/>
        <v>12.625</v>
      </c>
      <c r="O124" s="28">
        <v>2.3214048508567134E-2</v>
      </c>
      <c r="Q124" s="27">
        <f t="shared" si="9"/>
        <v>12.625</v>
      </c>
      <c r="R124" s="28">
        <v>1.6366772891079701E-2</v>
      </c>
    </row>
    <row r="125" spans="2:18" ht="13.2" customHeight="1" x14ac:dyDescent="0.25">
      <c r="B125" s="27">
        <f t="shared" si="7"/>
        <v>12.75</v>
      </c>
      <c r="C125" s="28">
        <v>1.6476722658566301E-2</v>
      </c>
      <c r="E125" s="86"/>
      <c r="H125" s="27">
        <f t="shared" si="5"/>
        <v>4.0999999999999943</v>
      </c>
      <c r="I125" s="85">
        <v>1.3782529741594973E-2</v>
      </c>
      <c r="K125" s="27">
        <f t="shared" si="6"/>
        <v>4.0999999999999943</v>
      </c>
      <c r="L125" s="28">
        <v>1.5956416994652441E-2</v>
      </c>
      <c r="N125" s="27">
        <f t="shared" si="8"/>
        <v>12.75</v>
      </c>
      <c r="O125" s="28">
        <v>2.3315390185497952E-2</v>
      </c>
      <c r="Q125" s="27">
        <f t="shared" si="9"/>
        <v>12.75</v>
      </c>
      <c r="R125" s="28">
        <v>1.6476722658566301E-2</v>
      </c>
    </row>
    <row r="126" spans="2:18" ht="13.2" customHeight="1" x14ac:dyDescent="0.25">
      <c r="B126" s="27">
        <f t="shared" si="7"/>
        <v>12.875</v>
      </c>
      <c r="C126" s="28">
        <v>1.6584290032248764E-2</v>
      </c>
      <c r="E126" s="86"/>
      <c r="H126" s="27">
        <f t="shared" si="5"/>
        <v>4.1499999999999941</v>
      </c>
      <c r="I126" s="85">
        <v>1.4050696959031557E-2</v>
      </c>
      <c r="K126" s="27">
        <f t="shared" si="6"/>
        <v>4.1499999999999941</v>
      </c>
      <c r="L126" s="28">
        <v>1.6204188431052723E-2</v>
      </c>
      <c r="N126" s="27">
        <f t="shared" si="8"/>
        <v>12.875</v>
      </c>
      <c r="O126" s="28">
        <v>2.3416731862428774E-2</v>
      </c>
      <c r="Q126" s="27">
        <f t="shared" si="9"/>
        <v>12.875</v>
      </c>
      <c r="R126" s="28">
        <v>1.6584290032248764E-2</v>
      </c>
    </row>
    <row r="127" spans="2:18" ht="13.2" customHeight="1" x14ac:dyDescent="0.25">
      <c r="B127" s="27">
        <f t="shared" si="7"/>
        <v>13</v>
      </c>
      <c r="C127" s="28">
        <v>1.6689428061092713E-2</v>
      </c>
      <c r="E127" s="86"/>
      <c r="H127" s="27">
        <f t="shared" si="5"/>
        <v>4.199999999999994</v>
      </c>
      <c r="I127" s="85">
        <v>1.4318864176468143E-2</v>
      </c>
      <c r="K127" s="27">
        <f t="shared" si="6"/>
        <v>4.199999999999994</v>
      </c>
      <c r="L127" s="28">
        <v>1.6451959867453004E-2</v>
      </c>
      <c r="N127" s="27">
        <f t="shared" si="8"/>
        <v>13</v>
      </c>
      <c r="O127" s="28">
        <v>2.3518073539359599E-2</v>
      </c>
      <c r="Q127" s="27">
        <f t="shared" si="9"/>
        <v>13</v>
      </c>
      <c r="R127" s="28">
        <v>1.6689428061092713E-2</v>
      </c>
    </row>
    <row r="128" spans="2:18" ht="13.2" customHeight="1" x14ac:dyDescent="0.25">
      <c r="B128" s="27">
        <f t="shared" si="7"/>
        <v>13.125</v>
      </c>
      <c r="C128" s="28">
        <v>1.6792091582674563E-2</v>
      </c>
      <c r="E128" s="86"/>
      <c r="H128" s="27">
        <f t="shared" si="5"/>
        <v>4.2499999999999938</v>
      </c>
      <c r="I128" s="85">
        <v>1.4587031393904727E-2</v>
      </c>
      <c r="K128" s="27">
        <f t="shared" si="6"/>
        <v>4.2499999999999938</v>
      </c>
      <c r="L128" s="28">
        <v>1.6699731303853285E-2</v>
      </c>
      <c r="N128" s="27">
        <f t="shared" si="8"/>
        <v>13.125</v>
      </c>
      <c r="O128" s="28">
        <v>2.3619415216290414E-2</v>
      </c>
      <c r="Q128" s="27">
        <f t="shared" si="9"/>
        <v>13.125</v>
      </c>
      <c r="R128" s="28">
        <v>1.6792091582674563E-2</v>
      </c>
    </row>
    <row r="129" spans="2:18" ht="13.2" customHeight="1" x14ac:dyDescent="0.25">
      <c r="B129" s="27">
        <f t="shared" si="7"/>
        <v>13.25</v>
      </c>
      <c r="C129" s="28">
        <v>1.6892237138813146E-2</v>
      </c>
      <c r="E129" s="86"/>
      <c r="H129" s="27">
        <f t="shared" si="5"/>
        <v>4.2999999999999936</v>
      </c>
      <c r="I129" s="85">
        <v>1.4855198611341311E-2</v>
      </c>
      <c r="K129" s="27">
        <f t="shared" si="6"/>
        <v>4.2999999999999936</v>
      </c>
      <c r="L129" s="28">
        <v>1.6947502740253566E-2</v>
      </c>
      <c r="N129" s="27">
        <f t="shared" si="8"/>
        <v>13.25</v>
      </c>
      <c r="O129" s="28">
        <v>2.3720756893221236E-2</v>
      </c>
      <c r="Q129" s="27">
        <f t="shared" si="9"/>
        <v>13.25</v>
      </c>
      <c r="R129" s="28">
        <v>1.6892237138813146E-2</v>
      </c>
    </row>
    <row r="130" spans="2:18" ht="13.2" customHeight="1" x14ac:dyDescent="0.25">
      <c r="B130" s="27">
        <f t="shared" si="7"/>
        <v>13.375</v>
      </c>
      <c r="C130" s="28">
        <v>1.6989822895932202E-2</v>
      </c>
      <c r="E130" s="86"/>
      <c r="H130" s="27">
        <f t="shared" si="5"/>
        <v>4.3499999999999934</v>
      </c>
      <c r="I130" s="85">
        <v>1.5123365828777897E-2</v>
      </c>
      <c r="K130" s="27">
        <f t="shared" si="6"/>
        <v>4.3499999999999934</v>
      </c>
      <c r="L130" s="28">
        <v>1.7195274176653848E-2</v>
      </c>
      <c r="N130" s="27">
        <f t="shared" si="8"/>
        <v>13.375</v>
      </c>
      <c r="O130" s="28">
        <v>2.3822098570152054E-2</v>
      </c>
      <c r="Q130" s="27">
        <f t="shared" si="9"/>
        <v>13.375</v>
      </c>
      <c r="R130" s="28">
        <v>1.6989822895932202E-2</v>
      </c>
    </row>
    <row r="131" spans="2:18" ht="13.2" customHeight="1" x14ac:dyDescent="0.25">
      <c r="B131" s="27">
        <f t="shared" si="7"/>
        <v>13.5</v>
      </c>
      <c r="C131" s="28">
        <v>1.7084808569847169E-2</v>
      </c>
      <c r="E131" s="86"/>
      <c r="H131" s="27">
        <f t="shared" si="5"/>
        <v>4.3999999999999932</v>
      </c>
      <c r="I131" s="85">
        <v>1.5391533046214481E-2</v>
      </c>
      <c r="K131" s="27">
        <f t="shared" si="6"/>
        <v>4.3999999999999932</v>
      </c>
      <c r="L131" s="28">
        <v>1.7443045613054133E-2</v>
      </c>
      <c r="N131" s="27">
        <f t="shared" si="8"/>
        <v>13.5</v>
      </c>
      <c r="O131" s="28">
        <v>2.3923440247082876E-2</v>
      </c>
      <c r="Q131" s="27">
        <f t="shared" si="9"/>
        <v>13.5</v>
      </c>
      <c r="R131" s="28">
        <v>1.7084808569847169E-2</v>
      </c>
    </row>
    <row r="132" spans="2:18" ht="13.2" customHeight="1" x14ac:dyDescent="0.25">
      <c r="B132" s="27">
        <f t="shared" si="7"/>
        <v>13.625</v>
      </c>
      <c r="C132" s="28">
        <v>1.7177155354692192E-2</v>
      </c>
      <c r="E132" s="86"/>
      <c r="H132" s="27">
        <f t="shared" si="5"/>
        <v>4.4499999999999931</v>
      </c>
      <c r="I132" s="85">
        <v>1.5659700263651065E-2</v>
      </c>
      <c r="K132" s="27">
        <f t="shared" si="6"/>
        <v>4.4499999999999931</v>
      </c>
      <c r="L132" s="28">
        <v>1.769081704945441E-2</v>
      </c>
      <c r="N132" s="27">
        <f t="shared" si="8"/>
        <v>13.625</v>
      </c>
      <c r="O132" s="28">
        <v>2.4024781924013697E-2</v>
      </c>
      <c r="Q132" s="27">
        <f t="shared" si="9"/>
        <v>13.625</v>
      </c>
      <c r="R132" s="28">
        <v>1.7177155354692192E-2</v>
      </c>
    </row>
    <row r="133" spans="2:18" ht="13.2" customHeight="1" x14ac:dyDescent="0.25">
      <c r="B133" s="27">
        <f t="shared" si="7"/>
        <v>13.75</v>
      </c>
      <c r="C133" s="28">
        <v>1.7266825855723825E-2</v>
      </c>
      <c r="E133" s="86"/>
      <c r="H133" s="27">
        <f t="shared" si="5"/>
        <v>4.4999999999999929</v>
      </c>
      <c r="I133" s="85">
        <v>1.5927867481087651E-2</v>
      </c>
      <c r="K133" s="27">
        <f t="shared" si="6"/>
        <v>4.4999999999999929</v>
      </c>
      <c r="L133" s="28">
        <v>1.7938588485854695E-2</v>
      </c>
      <c r="N133" s="27">
        <f t="shared" si="8"/>
        <v>13.75</v>
      </c>
      <c r="O133" s="28">
        <v>2.4126123600944519E-2</v>
      </c>
      <c r="Q133" s="27">
        <f t="shared" si="9"/>
        <v>13.75</v>
      </c>
      <c r="R133" s="28">
        <v>1.7266825855723825E-2</v>
      </c>
    </row>
    <row r="134" spans="2:18" ht="13.2" customHeight="1" x14ac:dyDescent="0.25">
      <c r="B134" s="27">
        <f t="shared" si="7"/>
        <v>13.875</v>
      </c>
      <c r="C134" s="28">
        <v>1.7353784025756925E-2</v>
      </c>
      <c r="E134" s="86"/>
      <c r="H134" s="27">
        <f t="shared" si="5"/>
        <v>4.5499999999999927</v>
      </c>
      <c r="I134" s="85">
        <v>1.6196034698524236E-2</v>
      </c>
      <c r="K134" s="27">
        <f t="shared" si="6"/>
        <v>4.5499999999999927</v>
      </c>
      <c r="L134" s="28">
        <v>1.8127393131893016E-2</v>
      </c>
      <c r="N134" s="27">
        <f t="shared" si="8"/>
        <v>13.875</v>
      </c>
      <c r="O134" s="28">
        <v>2.4227465277875348E-2</v>
      </c>
      <c r="Q134" s="27">
        <f t="shared" si="9"/>
        <v>13.875</v>
      </c>
      <c r="R134" s="28">
        <v>1.7353784025756925E-2</v>
      </c>
    </row>
    <row r="135" spans="2:18" ht="13.2" customHeight="1" x14ac:dyDescent="0.25">
      <c r="B135" s="27">
        <f t="shared" si="7"/>
        <v>14</v>
      </c>
      <c r="C135" s="28">
        <v>1.7437995105005807E-2</v>
      </c>
      <c r="E135" s="86"/>
      <c r="H135" s="27">
        <f t="shared" si="5"/>
        <v>4.5999999999999925</v>
      </c>
      <c r="I135" s="85">
        <v>1.6464201915960819E-2</v>
      </c>
      <c r="K135" s="27">
        <f t="shared" si="6"/>
        <v>4.5999999999999925</v>
      </c>
      <c r="L135" s="28">
        <v>1.8306837969937366E-2</v>
      </c>
      <c r="N135" s="27">
        <f t="shared" si="8"/>
        <v>14</v>
      </c>
      <c r="O135" s="28">
        <v>2.4328806954806166E-2</v>
      </c>
      <c r="Q135" s="27">
        <f t="shared" si="9"/>
        <v>14</v>
      </c>
      <c r="R135" s="28">
        <v>1.7437995105005807E-2</v>
      </c>
    </row>
    <row r="136" spans="2:18" ht="13.2" customHeight="1" x14ac:dyDescent="0.25">
      <c r="B136" s="27">
        <f t="shared" si="7"/>
        <v>14.125</v>
      </c>
      <c r="C136" s="28">
        <v>1.7519425564119732E-2</v>
      </c>
      <c r="E136" s="86"/>
      <c r="H136" s="27">
        <f t="shared" si="5"/>
        <v>4.6499999999999924</v>
      </c>
      <c r="I136" s="85">
        <v>1.6732369133397405E-2</v>
      </c>
      <c r="K136" s="27">
        <f t="shared" si="6"/>
        <v>4.6499999999999924</v>
      </c>
      <c r="L136" s="28">
        <v>1.8486282807981716E-2</v>
      </c>
      <c r="N136" s="27">
        <f t="shared" si="8"/>
        <v>14.125</v>
      </c>
      <c r="O136" s="28">
        <v>2.4430148631736988E-2</v>
      </c>
      <c r="Q136" s="27">
        <f t="shared" si="9"/>
        <v>14.125</v>
      </c>
      <c r="R136" s="28">
        <v>1.7519425564119732E-2</v>
      </c>
    </row>
    <row r="137" spans="2:18" ht="13.2" customHeight="1" x14ac:dyDescent="0.25">
      <c r="B137" s="27">
        <f t="shared" si="7"/>
        <v>14.25</v>
      </c>
      <c r="C137" s="28">
        <v>1.7598043050216335E-2</v>
      </c>
      <c r="E137" s="86"/>
      <c r="H137" s="27">
        <f t="shared" si="5"/>
        <v>4.6999999999999922</v>
      </c>
      <c r="I137" s="85">
        <v>1.700053635083399E-2</v>
      </c>
      <c r="K137" s="27">
        <f t="shared" si="6"/>
        <v>4.6999999999999922</v>
      </c>
      <c r="L137" s="28">
        <v>1.8665727646026066E-2</v>
      </c>
      <c r="N137" s="27">
        <f t="shared" si="8"/>
        <v>14.25</v>
      </c>
      <c r="O137" s="28">
        <v>2.4531490308667806E-2</v>
      </c>
      <c r="Q137" s="27">
        <f t="shared" si="9"/>
        <v>14.25</v>
      </c>
      <c r="R137" s="28">
        <v>1.7598043050216335E-2</v>
      </c>
    </row>
    <row r="138" spans="2:18" ht="13.2" customHeight="1" x14ac:dyDescent="0.25">
      <c r="B138" s="27">
        <f t="shared" si="7"/>
        <v>14.375</v>
      </c>
      <c r="C138" s="28">
        <v>1.7673816335730952E-2</v>
      </c>
      <c r="E138" s="86"/>
      <c r="H138" s="27">
        <f t="shared" si="5"/>
        <v>4.749999999999992</v>
      </c>
      <c r="I138" s="85">
        <v>1.7268703568270573E-2</v>
      </c>
      <c r="K138" s="27">
        <f t="shared" si="6"/>
        <v>4.749999999999992</v>
      </c>
      <c r="L138" s="28">
        <v>1.8845172484070416E-2</v>
      </c>
      <c r="N138" s="27">
        <f t="shared" si="8"/>
        <v>14.375</v>
      </c>
      <c r="O138" s="28">
        <v>2.4632831985598628E-2</v>
      </c>
      <c r="Q138" s="27">
        <f t="shared" si="9"/>
        <v>14.375</v>
      </c>
      <c r="R138" s="28">
        <v>1.7673816335730952E-2</v>
      </c>
    </row>
    <row r="139" spans="2:18" ht="13.2" customHeight="1" x14ac:dyDescent="0.25">
      <c r="B139" s="27">
        <f t="shared" si="7"/>
        <v>14.5</v>
      </c>
      <c r="C139" s="28">
        <v>1.7746715269911475E-2</v>
      </c>
      <c r="E139" s="86"/>
      <c r="H139" s="27">
        <f t="shared" si="5"/>
        <v>4.7999999999999918</v>
      </c>
      <c r="I139" s="85">
        <v>1.7440628459070538E-2</v>
      </c>
      <c r="K139" s="27">
        <f t="shared" si="6"/>
        <v>4.7999999999999918</v>
      </c>
      <c r="L139" s="28">
        <v>1.9024617322114766E-2</v>
      </c>
      <c r="N139" s="27">
        <f t="shared" si="8"/>
        <v>14.5</v>
      </c>
      <c r="O139" s="28">
        <v>2.473417366252945E-2</v>
      </c>
      <c r="Q139" s="27">
        <f t="shared" si="9"/>
        <v>14.5</v>
      </c>
      <c r="R139" s="28">
        <v>1.7746715269911475E-2</v>
      </c>
    </row>
    <row r="140" spans="2:18" ht="13.2" customHeight="1" x14ac:dyDescent="0.25">
      <c r="B140" s="27">
        <f t="shared" si="7"/>
        <v>14.625</v>
      </c>
      <c r="C140" s="28">
        <v>1.781671073280074E-2</v>
      </c>
      <c r="E140" s="86"/>
      <c r="H140" s="27">
        <f t="shared" si="5"/>
        <v>4.8499999999999917</v>
      </c>
      <c r="I140" s="85">
        <v>1.7591700845765883E-2</v>
      </c>
      <c r="K140" s="27">
        <f t="shared" si="6"/>
        <v>4.8499999999999917</v>
      </c>
      <c r="L140" s="28">
        <v>1.920406216015912E-2</v>
      </c>
      <c r="N140" s="27">
        <f t="shared" si="8"/>
        <v>14.625</v>
      </c>
      <c r="O140" s="28">
        <v>2.4835515339460268E-2</v>
      </c>
      <c r="Q140" s="27">
        <f t="shared" si="9"/>
        <v>14.625</v>
      </c>
      <c r="R140" s="28">
        <v>1.781671073280074E-2</v>
      </c>
    </row>
    <row r="141" spans="2:18" ht="13.2" customHeight="1" x14ac:dyDescent="0.25">
      <c r="B141" s="27">
        <f t="shared" si="7"/>
        <v>14.75</v>
      </c>
      <c r="C141" s="28">
        <v>1.7883774591558779E-2</v>
      </c>
      <c r="E141" s="86"/>
      <c r="H141" s="27">
        <f t="shared" si="5"/>
        <v>4.8999999999999915</v>
      </c>
      <c r="I141" s="85">
        <v>1.7742773232461224E-2</v>
      </c>
      <c r="K141" s="27">
        <f t="shared" si="6"/>
        <v>4.8999999999999915</v>
      </c>
      <c r="L141" s="28">
        <v>1.938350699820347E-2</v>
      </c>
      <c r="N141" s="27">
        <f t="shared" si="8"/>
        <v>14.75</v>
      </c>
      <c r="O141" s="28">
        <v>2.4936857016391093E-2</v>
      </c>
      <c r="Q141" s="27">
        <f t="shared" si="9"/>
        <v>14.75</v>
      </c>
      <c r="R141" s="28">
        <v>1.7883774591558779E-2</v>
      </c>
    </row>
    <row r="142" spans="2:18" ht="13.2" customHeight="1" x14ac:dyDescent="0.25">
      <c r="B142" s="27">
        <f t="shared" si="7"/>
        <v>14.875</v>
      </c>
      <c r="C142" s="28">
        <v>1.7947879658987281E-2</v>
      </c>
      <c r="E142" s="86"/>
      <c r="H142" s="27">
        <f t="shared" si="5"/>
        <v>4.9499999999999913</v>
      </c>
      <c r="I142" s="85">
        <v>1.7893845619156568E-2</v>
      </c>
      <c r="K142" s="27">
        <f t="shared" si="6"/>
        <v>4.9499999999999913</v>
      </c>
      <c r="L142" s="28">
        <v>1.956295183624782E-2</v>
      </c>
      <c r="N142" s="27">
        <f t="shared" si="8"/>
        <v>14.875</v>
      </c>
      <c r="O142" s="28">
        <v>2.5038198693321908E-2</v>
      </c>
      <c r="Q142" s="27">
        <f t="shared" si="9"/>
        <v>14.875</v>
      </c>
      <c r="R142" s="28">
        <v>1.7947879658987281E-2</v>
      </c>
    </row>
    <row r="143" spans="2:18" ht="13.2" customHeight="1" x14ac:dyDescent="0.25">
      <c r="B143" s="27">
        <f t="shared" si="7"/>
        <v>15</v>
      </c>
      <c r="C143" s="28">
        <v>1.8008999654127937E-2</v>
      </c>
      <c r="E143" s="86"/>
      <c r="H143" s="27">
        <f t="shared" si="5"/>
        <v>4.9999999999999911</v>
      </c>
      <c r="I143" s="85">
        <v>1.8044918005851909E-2</v>
      </c>
      <c r="K143" s="27">
        <f t="shared" si="6"/>
        <v>4.9999999999999911</v>
      </c>
      <c r="L143" s="28">
        <v>1.974239667429217E-2</v>
      </c>
      <c r="N143" s="27">
        <f t="shared" si="8"/>
        <v>15</v>
      </c>
      <c r="O143" s="28">
        <v>2.5139540370252733E-2</v>
      </c>
      <c r="Q143" s="27">
        <f t="shared" si="9"/>
        <v>15</v>
      </c>
      <c r="R143" s="28">
        <v>1.8008999654127937E-2</v>
      </c>
    </row>
    <row r="144" spans="2:18" ht="13.2" customHeight="1" x14ac:dyDescent="0.25">
      <c r="B144" s="27">
        <f t="shared" si="7"/>
        <v>15.125</v>
      </c>
      <c r="C144" s="28">
        <v>1.8067126595443551E-2</v>
      </c>
      <c r="E144" s="86"/>
      <c r="H144" s="27">
        <f t="shared" si="5"/>
        <v>5.0499999999999909</v>
      </c>
      <c r="I144" s="85">
        <v>1.8195990392547254E-2</v>
      </c>
      <c r="K144" s="27">
        <f t="shared" si="6"/>
        <v>5.0499999999999909</v>
      </c>
      <c r="L144" s="28">
        <v>1.992184151233652E-2</v>
      </c>
      <c r="N144" s="27">
        <f t="shared" si="8"/>
        <v>15.125</v>
      </c>
      <c r="O144" s="28">
        <v>2.5170475540432474E-2</v>
      </c>
      <c r="Q144" s="27">
        <f t="shared" si="9"/>
        <v>15.125</v>
      </c>
      <c r="R144" s="28">
        <v>1.8067126595443551E-2</v>
      </c>
    </row>
    <row r="145" spans="2:18" ht="13.2" customHeight="1" x14ac:dyDescent="0.25">
      <c r="B145" s="27">
        <f t="shared" si="7"/>
        <v>15.25</v>
      </c>
      <c r="C145" s="28">
        <v>1.8122355764806582E-2</v>
      </c>
      <c r="E145" s="86"/>
      <c r="H145" s="27">
        <f t="shared" si="5"/>
        <v>5.0999999999999908</v>
      </c>
      <c r="I145" s="85">
        <v>1.8347062779242595E-2</v>
      </c>
      <c r="K145" s="27">
        <f t="shared" si="6"/>
        <v>5.0999999999999908</v>
      </c>
      <c r="L145" s="28">
        <v>2.010128635038087E-2</v>
      </c>
      <c r="N145" s="27">
        <f t="shared" si="8"/>
        <v>15.25</v>
      </c>
      <c r="O145" s="28">
        <v>2.5190749788454331E-2</v>
      </c>
      <c r="Q145" s="27">
        <f t="shared" si="9"/>
        <v>15.25</v>
      </c>
      <c r="R145" s="28">
        <v>1.8122355764806582E-2</v>
      </c>
    </row>
    <row r="146" spans="2:18" ht="13.2" customHeight="1" x14ac:dyDescent="0.25">
      <c r="B146" s="27">
        <f t="shared" si="7"/>
        <v>15.375</v>
      </c>
      <c r="C146" s="28">
        <v>1.8174817027139831E-2</v>
      </c>
      <c r="E146" s="86"/>
      <c r="H146" s="27">
        <f t="shared" si="5"/>
        <v>5.1499999999999906</v>
      </c>
      <c r="I146" s="85">
        <v>1.8498135165937939E-2</v>
      </c>
      <c r="K146" s="27">
        <f t="shared" si="6"/>
        <v>5.1499999999999906</v>
      </c>
      <c r="L146" s="28">
        <v>2.028073118842522E-2</v>
      </c>
      <c r="N146" s="27">
        <f t="shared" si="8"/>
        <v>15.375</v>
      </c>
      <c r="O146" s="28">
        <v>2.5211024036476175E-2</v>
      </c>
      <c r="Q146" s="27">
        <f t="shared" si="9"/>
        <v>15.375</v>
      </c>
      <c r="R146" s="28">
        <v>1.8174817027139831E-2</v>
      </c>
    </row>
    <row r="147" spans="2:18" ht="13.2" customHeight="1" x14ac:dyDescent="0.25">
      <c r="B147" s="27">
        <f t="shared" si="7"/>
        <v>15.5</v>
      </c>
      <c r="C147" s="28">
        <v>1.8224636117225405E-2</v>
      </c>
      <c r="E147" s="86"/>
      <c r="H147" s="27">
        <f t="shared" si="5"/>
        <v>5.1999999999999904</v>
      </c>
      <c r="I147" s="85">
        <v>1.864920755263328E-2</v>
      </c>
      <c r="K147" s="27">
        <f t="shared" si="6"/>
        <v>5.1999999999999904</v>
      </c>
      <c r="L147" s="28">
        <v>2.046017602646957E-2</v>
      </c>
      <c r="N147" s="27">
        <f t="shared" si="8"/>
        <v>15.5</v>
      </c>
      <c r="O147" s="28">
        <v>2.5231298284498032E-2</v>
      </c>
      <c r="Q147" s="27">
        <f t="shared" si="9"/>
        <v>15.5</v>
      </c>
      <c r="R147" s="28">
        <v>1.8224636117225405E-2</v>
      </c>
    </row>
    <row r="148" spans="2:18" ht="13.2" customHeight="1" x14ac:dyDescent="0.25">
      <c r="B148" s="27">
        <f t="shared" si="7"/>
        <v>15.625</v>
      </c>
      <c r="C148" s="28">
        <v>1.8271934746332413E-2</v>
      </c>
      <c r="E148" s="86"/>
      <c r="H148" s="27">
        <f t="shared" si="5"/>
        <v>5.2499999999999902</v>
      </c>
      <c r="I148" s="85">
        <v>1.8800279939328625E-2</v>
      </c>
      <c r="K148" s="27">
        <f t="shared" si="6"/>
        <v>5.2499999999999902</v>
      </c>
      <c r="L148" s="28">
        <v>2.063962086451392E-2</v>
      </c>
      <c r="N148" s="27">
        <f t="shared" si="8"/>
        <v>15.625</v>
      </c>
      <c r="O148" s="28">
        <v>2.5251572532519879E-2</v>
      </c>
      <c r="Q148" s="27">
        <f t="shared" si="9"/>
        <v>15.625</v>
      </c>
      <c r="R148" s="28">
        <v>1.8271934746332413E-2</v>
      </c>
    </row>
    <row r="149" spans="2:18" ht="13.2" customHeight="1" x14ac:dyDescent="0.25">
      <c r="B149" s="27">
        <f t="shared" si="7"/>
        <v>15.75</v>
      </c>
      <c r="C149" s="28">
        <v>1.8316830761880131E-2</v>
      </c>
      <c r="E149" s="86"/>
      <c r="H149" s="27">
        <f t="shared" si="5"/>
        <v>5.2999999999999901</v>
      </c>
      <c r="I149" s="85">
        <v>1.8951352326023966E-2</v>
      </c>
      <c r="K149" s="27">
        <f t="shared" si="6"/>
        <v>5.2999999999999901</v>
      </c>
      <c r="L149" s="28">
        <v>2.081906570255827E-2</v>
      </c>
      <c r="N149" s="27">
        <f t="shared" si="8"/>
        <v>15.75</v>
      </c>
      <c r="O149" s="28">
        <v>2.5271846780541729E-2</v>
      </c>
      <c r="Q149" s="27">
        <f t="shared" si="9"/>
        <v>15.75</v>
      </c>
      <c r="R149" s="28">
        <v>1.8316830761880131E-2</v>
      </c>
    </row>
    <row r="150" spans="2:18" ht="13.2" customHeight="1" x14ac:dyDescent="0.25">
      <c r="B150" s="27">
        <f t="shared" si="7"/>
        <v>15.875</v>
      </c>
      <c r="C150" s="28">
        <v>1.8359438299558099E-2</v>
      </c>
      <c r="E150" s="86"/>
      <c r="H150" s="27">
        <f t="shared" si="5"/>
        <v>5.3499999999999899</v>
      </c>
      <c r="I150" s="85">
        <v>1.910242471271931E-2</v>
      </c>
      <c r="K150" s="27">
        <f t="shared" si="6"/>
        <v>5.3499999999999899</v>
      </c>
      <c r="L150" s="28">
        <v>2.099851054060262E-2</v>
      </c>
      <c r="N150" s="27">
        <f t="shared" si="8"/>
        <v>15.875</v>
      </c>
      <c r="O150" s="28">
        <v>2.5292121028563579E-2</v>
      </c>
      <c r="Q150" s="27">
        <f t="shared" si="9"/>
        <v>15.875</v>
      </c>
      <c r="R150" s="28">
        <v>1.8359438299558099E-2</v>
      </c>
    </row>
    <row r="151" spans="2:18" ht="13.2" customHeight="1" x14ac:dyDescent="0.25">
      <c r="B151" s="27">
        <f t="shared" si="7"/>
        <v>16</v>
      </c>
      <c r="C151" s="28">
        <v>1.8399867928315564E-2</v>
      </c>
      <c r="E151" s="86"/>
      <c r="H151" s="27">
        <f t="shared" si="5"/>
        <v>5.3999999999999897</v>
      </c>
      <c r="I151" s="85">
        <v>1.9253497099414651E-2</v>
      </c>
      <c r="K151" s="27">
        <f t="shared" si="6"/>
        <v>5.3999999999999897</v>
      </c>
      <c r="L151" s="28">
        <v>2.117795537864697E-2</v>
      </c>
      <c r="N151" s="27">
        <f t="shared" si="8"/>
        <v>16</v>
      </c>
      <c r="O151" s="28">
        <v>2.531239527658543E-2</v>
      </c>
      <c r="Q151" s="27">
        <f t="shared" si="9"/>
        <v>16</v>
      </c>
      <c r="R151" s="28">
        <v>1.8399867928315564E-2</v>
      </c>
    </row>
    <row r="152" spans="2:18" ht="13.2" customHeight="1" x14ac:dyDescent="0.25">
      <c r="B152" s="27">
        <f t="shared" si="7"/>
        <v>16.125</v>
      </c>
      <c r="C152" s="28">
        <v>1.843822678860722E-2</v>
      </c>
      <c r="E152" s="86"/>
      <c r="H152" s="27">
        <f t="shared" ref="H152:H215" si="10">H151+0.05</f>
        <v>5.4499999999999895</v>
      </c>
      <c r="I152" s="85">
        <v>1.9404569486109996E-2</v>
      </c>
      <c r="K152" s="27">
        <f t="shared" ref="K152:K215" si="11">K151+0.05</f>
        <v>5.4499999999999895</v>
      </c>
      <c r="L152" s="28">
        <v>2.135740021669132E-2</v>
      </c>
      <c r="N152" s="27">
        <f t="shared" si="8"/>
        <v>16.125</v>
      </c>
      <c r="O152" s="28">
        <v>2.533266952460728E-2</v>
      </c>
      <c r="Q152" s="27">
        <f t="shared" si="9"/>
        <v>16.125</v>
      </c>
      <c r="R152" s="28">
        <v>1.843822678860722E-2</v>
      </c>
    </row>
    <row r="153" spans="2:18" ht="13.2" customHeight="1" x14ac:dyDescent="0.25">
      <c r="B153" s="27">
        <f t="shared" ref="B153:B216" si="12">B152+0.125</f>
        <v>16.25</v>
      </c>
      <c r="C153" s="28">
        <v>1.847461872425837E-2</v>
      </c>
      <c r="E153" s="86"/>
      <c r="H153" s="27">
        <f t="shared" si="10"/>
        <v>5.4999999999999893</v>
      </c>
      <c r="I153" s="85">
        <v>1.9555641872805337E-2</v>
      </c>
      <c r="K153" s="27">
        <f t="shared" si="11"/>
        <v>5.4999999999999893</v>
      </c>
      <c r="L153" s="28">
        <v>2.153684505473567E-2</v>
      </c>
      <c r="N153" s="27">
        <f t="shared" ref="N153:N216" si="13">N152+0.125</f>
        <v>16.25</v>
      </c>
      <c r="O153" s="28">
        <v>2.5352943772629134E-2</v>
      </c>
      <c r="Q153" s="27">
        <f t="shared" ref="Q153:Q216" si="14">Q152+0.125</f>
        <v>16.25</v>
      </c>
      <c r="R153" s="28">
        <v>1.847461872425837E-2</v>
      </c>
    </row>
    <row r="154" spans="2:18" ht="13.2" customHeight="1" x14ac:dyDescent="0.25">
      <c r="B154" s="27">
        <f t="shared" si="12"/>
        <v>16.375</v>
      </c>
      <c r="C154" s="28">
        <v>1.8509144408290532E-2</v>
      </c>
      <c r="E154" s="86"/>
      <c r="H154" s="27">
        <f t="shared" si="10"/>
        <v>5.5499999999999892</v>
      </c>
      <c r="I154" s="85">
        <v>1.9706714259500682E-2</v>
      </c>
      <c r="K154" s="27">
        <f t="shared" si="11"/>
        <v>5.5499999999999892</v>
      </c>
      <c r="L154" s="28">
        <v>2.165402179286063E-2</v>
      </c>
      <c r="N154" s="27">
        <f t="shared" si="13"/>
        <v>16.375</v>
      </c>
      <c r="O154" s="28">
        <v>2.5373218020650977E-2</v>
      </c>
      <c r="Q154" s="27">
        <f t="shared" si="14"/>
        <v>16.375</v>
      </c>
      <c r="R154" s="28">
        <v>1.8509144408290532E-2</v>
      </c>
    </row>
    <row r="155" spans="2:18" ht="13.2" customHeight="1" x14ac:dyDescent="0.25">
      <c r="B155" s="27">
        <f t="shared" si="12"/>
        <v>16.5</v>
      </c>
      <c r="C155" s="28">
        <v>1.8541901463027543E-2</v>
      </c>
      <c r="E155" s="86"/>
      <c r="H155" s="27">
        <f t="shared" si="10"/>
        <v>5.599999999999989</v>
      </c>
      <c r="I155" s="85">
        <v>1.9857786646196023E-2</v>
      </c>
      <c r="K155" s="27">
        <f t="shared" si="11"/>
        <v>5.599999999999989</v>
      </c>
      <c r="L155" s="28">
        <v>2.1761314705601543E-2</v>
      </c>
      <c r="N155" s="27">
        <f t="shared" si="13"/>
        <v>16.5</v>
      </c>
      <c r="O155" s="28">
        <v>2.5393492268672831E-2</v>
      </c>
      <c r="Q155" s="27">
        <f t="shared" si="14"/>
        <v>16.5</v>
      </c>
      <c r="R155" s="28">
        <v>1.8541901463027543E-2</v>
      </c>
    </row>
    <row r="156" spans="2:18" ht="13.2" customHeight="1" x14ac:dyDescent="0.25">
      <c r="B156" s="27">
        <f t="shared" si="12"/>
        <v>16.625</v>
      </c>
      <c r="C156" s="28">
        <v>1.8572984574783558E-2</v>
      </c>
      <c r="E156" s="86"/>
      <c r="H156" s="27">
        <f t="shared" si="10"/>
        <v>5.6499999999999888</v>
      </c>
      <c r="I156" s="85">
        <v>2.0008859032891367E-2</v>
      </c>
      <c r="K156" s="27">
        <f t="shared" si="11"/>
        <v>5.6499999999999888</v>
      </c>
      <c r="L156" s="28">
        <v>2.1868607618342455E-2</v>
      </c>
      <c r="N156" s="27">
        <f t="shared" si="13"/>
        <v>16.625</v>
      </c>
      <c r="O156" s="28">
        <v>2.5413766516694677E-2</v>
      </c>
      <c r="Q156" s="27">
        <f t="shared" si="14"/>
        <v>16.625</v>
      </c>
      <c r="R156" s="28">
        <v>1.8572984574783558E-2</v>
      </c>
    </row>
    <row r="157" spans="2:18" ht="13.2" customHeight="1" x14ac:dyDescent="0.25">
      <c r="B157" s="27">
        <f t="shared" si="12"/>
        <v>16.75</v>
      </c>
      <c r="C157" s="28">
        <v>1.8602485603415556E-2</v>
      </c>
      <c r="E157" s="86"/>
      <c r="H157" s="27">
        <f t="shared" si="10"/>
        <v>5.6999999999999886</v>
      </c>
      <c r="I157" s="85">
        <v>2.0159931419586708E-2</v>
      </c>
      <c r="K157" s="27">
        <f t="shared" si="11"/>
        <v>5.6999999999999886</v>
      </c>
      <c r="L157" s="28">
        <v>2.1975900531083368E-2</v>
      </c>
      <c r="N157" s="27">
        <f t="shared" si="13"/>
        <v>16.75</v>
      </c>
      <c r="O157" s="28">
        <v>2.5434040764716528E-2</v>
      </c>
      <c r="Q157" s="27">
        <f t="shared" si="14"/>
        <v>16.75</v>
      </c>
      <c r="R157" s="28">
        <v>1.8602485603415556E-2</v>
      </c>
    </row>
    <row r="158" spans="2:18" ht="13.2" customHeight="1" x14ac:dyDescent="0.25">
      <c r="B158" s="27">
        <f t="shared" si="12"/>
        <v>16.875</v>
      </c>
      <c r="C158" s="28">
        <v>1.8630493687006994E-2</v>
      </c>
      <c r="E158" s="86"/>
      <c r="H158" s="27">
        <f t="shared" si="10"/>
        <v>5.7499999999999885</v>
      </c>
      <c r="I158" s="85">
        <v>2.0311003806282053E-2</v>
      </c>
      <c r="K158" s="27">
        <f t="shared" si="11"/>
        <v>5.7499999999999885</v>
      </c>
      <c r="L158" s="28">
        <v>2.208319344382428E-2</v>
      </c>
      <c r="N158" s="27">
        <f t="shared" si="13"/>
        <v>16.875</v>
      </c>
      <c r="O158" s="28">
        <v>2.5454315012738385E-2</v>
      </c>
      <c r="Q158" s="27">
        <f t="shared" si="14"/>
        <v>16.875</v>
      </c>
      <c r="R158" s="28">
        <v>1.8630493687006994E-2</v>
      </c>
    </row>
    <row r="159" spans="2:18" ht="13.2" customHeight="1" x14ac:dyDescent="0.25">
      <c r="B159" s="27">
        <f t="shared" si="12"/>
        <v>17</v>
      </c>
      <c r="C159" s="28">
        <v>1.865709534193298E-2</v>
      </c>
      <c r="E159" s="86"/>
      <c r="H159" s="27">
        <f t="shared" si="10"/>
        <v>5.7999999999999883</v>
      </c>
      <c r="I159" s="85">
        <v>2.0437263661620513E-2</v>
      </c>
      <c r="K159" s="27">
        <f t="shared" si="11"/>
        <v>5.7999999999999883</v>
      </c>
      <c r="L159" s="28">
        <v>2.2190486356565193E-2</v>
      </c>
      <c r="N159" s="27">
        <f t="shared" si="13"/>
        <v>17</v>
      </c>
      <c r="O159" s="28">
        <v>2.5474589260760228E-2</v>
      </c>
      <c r="Q159" s="27">
        <f t="shared" si="14"/>
        <v>17</v>
      </c>
      <c r="R159" s="28">
        <v>1.865709534193298E-2</v>
      </c>
    </row>
    <row r="160" spans="2:18" ht="13.2" customHeight="1" x14ac:dyDescent="0.25">
      <c r="B160" s="27">
        <f t="shared" si="12"/>
        <v>17.125</v>
      </c>
      <c r="C160" s="28">
        <v>1.8682374558543078E-2</v>
      </c>
      <c r="E160" s="86"/>
      <c r="H160" s="27">
        <f t="shared" si="10"/>
        <v>5.8499999999999881</v>
      </c>
      <c r="I160" s="85">
        <v>2.0558147468498308E-2</v>
      </c>
      <c r="K160" s="27">
        <f t="shared" si="11"/>
        <v>5.8499999999999881</v>
      </c>
      <c r="L160" s="28">
        <v>2.2297779269306105E-2</v>
      </c>
      <c r="N160" s="27">
        <f t="shared" si="13"/>
        <v>17.125</v>
      </c>
      <c r="O160" s="28">
        <v>2.5494863508782082E-2</v>
      </c>
      <c r="Q160" s="27">
        <f t="shared" si="14"/>
        <v>17.125</v>
      </c>
      <c r="R160" s="28">
        <v>1.8682374558543078E-2</v>
      </c>
    </row>
    <row r="161" spans="2:18" ht="13.2" customHeight="1" x14ac:dyDescent="0.25">
      <c r="B161" s="27">
        <f t="shared" si="12"/>
        <v>17.25</v>
      </c>
      <c r="C161" s="28">
        <v>1.8706412892683971E-2</v>
      </c>
      <c r="E161" s="86"/>
      <c r="H161" s="27">
        <f t="shared" si="10"/>
        <v>5.8999999999999879</v>
      </c>
      <c r="I161" s="85">
        <v>2.0679031275376101E-2</v>
      </c>
      <c r="K161" s="27">
        <f t="shared" si="11"/>
        <v>5.8999999999999879</v>
      </c>
      <c r="L161" s="28">
        <v>2.2405072182047018E-2</v>
      </c>
      <c r="N161" s="27">
        <f t="shared" si="13"/>
        <v>17.25</v>
      </c>
      <c r="O161" s="28">
        <v>2.5515137756803925E-2</v>
      </c>
      <c r="Q161" s="27">
        <f t="shared" si="14"/>
        <v>17.25</v>
      </c>
      <c r="R161" s="28">
        <v>1.8706412892683971E-2</v>
      </c>
    </row>
    <row r="162" spans="2:18" ht="13.2" customHeight="1" x14ac:dyDescent="0.25">
      <c r="B162" s="27">
        <f t="shared" si="12"/>
        <v>17.375</v>
      </c>
      <c r="C162" s="28">
        <v>1.872928955327148E-2</v>
      </c>
      <c r="E162" s="86"/>
      <c r="H162" s="27">
        <f t="shared" si="10"/>
        <v>5.9499999999999877</v>
      </c>
      <c r="I162" s="85">
        <v>2.0799915082253897E-2</v>
      </c>
      <c r="K162" s="27">
        <f t="shared" si="11"/>
        <v>5.9499999999999877</v>
      </c>
      <c r="L162" s="28">
        <v>2.251236509478793E-2</v>
      </c>
      <c r="N162" s="27">
        <f t="shared" si="13"/>
        <v>17.375</v>
      </c>
      <c r="O162" s="28">
        <v>2.5535412004825783E-2</v>
      </c>
      <c r="Q162" s="27">
        <f t="shared" si="14"/>
        <v>17.375</v>
      </c>
      <c r="R162" s="28">
        <v>1.872928955327148E-2</v>
      </c>
    </row>
    <row r="163" spans="2:18" ht="13.2" customHeight="1" x14ac:dyDescent="0.25">
      <c r="B163" s="27">
        <f t="shared" si="12"/>
        <v>17.5</v>
      </c>
      <c r="C163" s="28">
        <v>1.8751081486109586E-2</v>
      </c>
      <c r="E163" s="86"/>
      <c r="H163" s="27">
        <f t="shared" si="10"/>
        <v>5.9999999999999876</v>
      </c>
      <c r="I163" s="85">
        <v>2.0920798889131689E-2</v>
      </c>
      <c r="K163" s="27">
        <f t="shared" si="11"/>
        <v>5.9999999999999876</v>
      </c>
      <c r="L163" s="28">
        <v>2.2619658007528843E-2</v>
      </c>
      <c r="N163" s="27">
        <f t="shared" si="13"/>
        <v>17.5</v>
      </c>
      <c r="O163" s="28">
        <v>2.5555686252847629E-2</v>
      </c>
      <c r="Q163" s="27">
        <f t="shared" si="14"/>
        <v>17.5</v>
      </c>
      <c r="R163" s="28">
        <v>1.8751081486109586E-2</v>
      </c>
    </row>
    <row r="164" spans="2:18" ht="13.2" customHeight="1" x14ac:dyDescent="0.25">
      <c r="B164" s="27">
        <f t="shared" si="12"/>
        <v>17.625</v>
      </c>
      <c r="C164" s="28">
        <v>1.8771863454142543E-2</v>
      </c>
      <c r="E164" s="86"/>
      <c r="H164" s="27">
        <f t="shared" si="10"/>
        <v>6.0499999999999874</v>
      </c>
      <c r="I164" s="85">
        <v>2.1041682696009485E-2</v>
      </c>
      <c r="K164" s="27">
        <f t="shared" si="11"/>
        <v>6.0499999999999874</v>
      </c>
      <c r="L164" s="28">
        <v>2.2726950920269755E-2</v>
      </c>
      <c r="N164" s="27">
        <f t="shared" si="13"/>
        <v>17.625</v>
      </c>
      <c r="O164" s="28">
        <v>2.557596050086948E-2</v>
      </c>
      <c r="Q164" s="27">
        <f t="shared" si="14"/>
        <v>17.625</v>
      </c>
      <c r="R164" s="28">
        <v>1.8771863454142543E-2</v>
      </c>
    </row>
    <row r="165" spans="2:18" ht="13.2" customHeight="1" x14ac:dyDescent="0.25">
      <c r="B165" s="27">
        <f t="shared" si="12"/>
        <v>17.75</v>
      </c>
      <c r="C165" s="28">
        <v>1.8791708114316203E-2</v>
      </c>
      <c r="E165" s="86"/>
      <c r="H165" s="27">
        <f t="shared" si="10"/>
        <v>6.0999999999999872</v>
      </c>
      <c r="I165" s="85">
        <v>2.1162566502887281E-2</v>
      </c>
      <c r="K165" s="27">
        <f t="shared" si="11"/>
        <v>6.0999999999999872</v>
      </c>
      <c r="L165" s="28">
        <v>2.2834243833010668E-2</v>
      </c>
      <c r="N165" s="27">
        <f t="shared" si="13"/>
        <v>17.75</v>
      </c>
      <c r="O165" s="28">
        <v>2.559623474889133E-2</v>
      </c>
      <c r="Q165" s="27">
        <f t="shared" si="14"/>
        <v>17.75</v>
      </c>
      <c r="R165" s="28">
        <v>1.8791708114316203E-2</v>
      </c>
    </row>
    <row r="166" spans="2:18" ht="13.2" customHeight="1" x14ac:dyDescent="0.25">
      <c r="B166" s="27">
        <f t="shared" si="12"/>
        <v>17.875</v>
      </c>
      <c r="C166" s="28">
        <v>1.8810686091214269E-2</v>
      </c>
      <c r="E166" s="86"/>
      <c r="H166" s="27">
        <f t="shared" si="10"/>
        <v>6.149999999999987</v>
      </c>
      <c r="I166" s="85">
        <v>2.1283450309765074E-2</v>
      </c>
      <c r="K166" s="27">
        <f t="shared" si="11"/>
        <v>6.149999999999987</v>
      </c>
      <c r="L166" s="28">
        <v>2.2941536745751581E-2</v>
      </c>
      <c r="N166" s="27">
        <f t="shared" si="13"/>
        <v>17.875</v>
      </c>
      <c r="O166" s="28">
        <v>2.5616508996913184E-2</v>
      </c>
      <c r="Q166" s="27">
        <f t="shared" si="14"/>
        <v>17.875</v>
      </c>
      <c r="R166" s="28">
        <v>1.8810686091214269E-2</v>
      </c>
    </row>
    <row r="167" spans="2:18" ht="13.2" customHeight="1" x14ac:dyDescent="0.25">
      <c r="B167" s="27">
        <f t="shared" si="12"/>
        <v>18</v>
      </c>
      <c r="C167" s="28">
        <v>1.8828866047626475E-2</v>
      </c>
      <c r="E167" s="86"/>
      <c r="H167" s="27">
        <f t="shared" si="10"/>
        <v>6.1999999999999869</v>
      </c>
      <c r="I167" s="85">
        <v>2.140433411664287E-2</v>
      </c>
      <c r="K167" s="27">
        <f t="shared" si="11"/>
        <v>6.1999999999999869</v>
      </c>
      <c r="L167" s="28">
        <v>2.304882965849249E-2</v>
      </c>
      <c r="N167" s="27">
        <f t="shared" si="13"/>
        <v>18</v>
      </c>
      <c r="O167" s="28">
        <v>2.5636783244935034E-2</v>
      </c>
      <c r="Q167" s="27">
        <f t="shared" si="14"/>
        <v>18</v>
      </c>
      <c r="R167" s="28">
        <v>1.8828866047626475E-2</v>
      </c>
    </row>
    <row r="168" spans="2:18" ht="13.2" customHeight="1" x14ac:dyDescent="0.25">
      <c r="B168" s="27">
        <f t="shared" si="12"/>
        <v>18.125</v>
      </c>
      <c r="C168" s="28">
        <v>1.8846314752196624E-2</v>
      </c>
      <c r="E168" s="86"/>
      <c r="H168" s="27">
        <f t="shared" si="10"/>
        <v>6.2499999999999867</v>
      </c>
      <c r="I168" s="85">
        <v>2.1525217923520662E-2</v>
      </c>
      <c r="K168" s="27">
        <f t="shared" si="11"/>
        <v>6.2499999999999867</v>
      </c>
      <c r="L168" s="28">
        <v>2.3156122571233402E-2</v>
      </c>
      <c r="N168" s="27">
        <f t="shared" si="13"/>
        <v>18.125</v>
      </c>
      <c r="O168" s="28">
        <v>2.5657057492956877E-2</v>
      </c>
      <c r="Q168" s="27">
        <f t="shared" si="14"/>
        <v>18.125</v>
      </c>
      <c r="R168" s="28">
        <v>1.8846314752196624E-2</v>
      </c>
    </row>
    <row r="169" spans="2:18" ht="13.2" customHeight="1" x14ac:dyDescent="0.25">
      <c r="B169" s="27">
        <f t="shared" si="12"/>
        <v>18.25</v>
      </c>
      <c r="C169" s="28">
        <v>1.8863097144290606E-2</v>
      </c>
      <c r="E169" s="86"/>
      <c r="H169" s="27">
        <f t="shared" si="10"/>
        <v>6.2999999999999865</v>
      </c>
      <c r="I169" s="85">
        <v>2.1646101730398458E-2</v>
      </c>
      <c r="K169" s="27">
        <f t="shared" si="11"/>
        <v>6.2999999999999865</v>
      </c>
      <c r="L169" s="28">
        <v>2.3263415483974315E-2</v>
      </c>
      <c r="N169" s="27">
        <f t="shared" si="13"/>
        <v>18.25</v>
      </c>
      <c r="O169" s="28">
        <v>2.5677331740978727E-2</v>
      </c>
      <c r="Q169" s="27">
        <f t="shared" si="14"/>
        <v>18.25</v>
      </c>
      <c r="R169" s="28">
        <v>1.8863097144290606E-2</v>
      </c>
    </row>
    <row r="170" spans="2:18" ht="13.2" customHeight="1" x14ac:dyDescent="0.25">
      <c r="B170" s="27">
        <f t="shared" si="12"/>
        <v>18.375</v>
      </c>
      <c r="C170" s="28">
        <v>1.887927639621673E-2</v>
      </c>
      <c r="E170" s="86"/>
      <c r="H170" s="27">
        <f t="shared" si="10"/>
        <v>6.3499999999999863</v>
      </c>
      <c r="I170" s="85">
        <v>2.176698553727625E-2</v>
      </c>
      <c r="K170" s="27">
        <f t="shared" si="11"/>
        <v>6.3499999999999863</v>
      </c>
      <c r="L170" s="28">
        <v>2.3370708396715227E-2</v>
      </c>
      <c r="N170" s="27">
        <f t="shared" si="13"/>
        <v>18.375</v>
      </c>
      <c r="O170" s="28">
        <v>2.5697605989000581E-2</v>
      </c>
      <c r="Q170" s="27">
        <f t="shared" si="14"/>
        <v>18.375</v>
      </c>
      <c r="R170" s="28">
        <v>1.887927639621673E-2</v>
      </c>
    </row>
    <row r="171" spans="2:18" ht="13.2" customHeight="1" x14ac:dyDescent="0.25">
      <c r="B171" s="27">
        <f t="shared" si="12"/>
        <v>18.5</v>
      </c>
      <c r="C171" s="28">
        <v>1.8894913972923633E-2</v>
      </c>
      <c r="E171" s="86"/>
      <c r="H171" s="27">
        <f t="shared" si="10"/>
        <v>6.3999999999999861</v>
      </c>
      <c r="I171" s="85">
        <v>2.1887869344154046E-2</v>
      </c>
      <c r="K171" s="27">
        <f t="shared" si="11"/>
        <v>6.3999999999999861</v>
      </c>
      <c r="L171" s="28">
        <v>2.347800130945614E-2</v>
      </c>
      <c r="N171" s="27">
        <f t="shared" si="13"/>
        <v>18.5</v>
      </c>
      <c r="O171" s="28">
        <v>2.5717880237022428E-2</v>
      </c>
      <c r="Q171" s="27">
        <f t="shared" si="14"/>
        <v>18.5</v>
      </c>
      <c r="R171" s="28">
        <v>1.8894913972923633E-2</v>
      </c>
    </row>
    <row r="172" spans="2:18" ht="13.2" customHeight="1" x14ac:dyDescent="0.25">
      <c r="B172" s="27">
        <f t="shared" si="12"/>
        <v>18.625</v>
      </c>
      <c r="C172" s="28">
        <v>1.891006968929421E-2</v>
      </c>
      <c r="E172" s="86"/>
      <c r="H172" s="27">
        <f t="shared" si="10"/>
        <v>6.449999999999986</v>
      </c>
      <c r="I172" s="85">
        <v>2.2008753151031842E-2</v>
      </c>
      <c r="K172" s="27">
        <f t="shared" si="11"/>
        <v>6.449999999999986</v>
      </c>
      <c r="L172" s="28">
        <v>2.3585294222197052E-2</v>
      </c>
      <c r="N172" s="27">
        <f t="shared" si="13"/>
        <v>18.625</v>
      </c>
      <c r="O172" s="28">
        <v>2.5738154485044285E-2</v>
      </c>
      <c r="Q172" s="27">
        <f t="shared" si="14"/>
        <v>18.625</v>
      </c>
      <c r="R172" s="28">
        <v>1.891006968929421E-2</v>
      </c>
    </row>
    <row r="173" spans="2:18" ht="13.2" customHeight="1" x14ac:dyDescent="0.25">
      <c r="B173" s="27">
        <f t="shared" si="12"/>
        <v>18.75</v>
      </c>
      <c r="C173" s="28">
        <v>1.8924801765147815E-2</v>
      </c>
      <c r="E173" s="86"/>
      <c r="H173" s="27">
        <f t="shared" si="10"/>
        <v>6.4999999999999858</v>
      </c>
      <c r="I173" s="85">
        <v>2.2129636957909635E-2</v>
      </c>
      <c r="K173" s="27">
        <f t="shared" si="11"/>
        <v>6.4999999999999858</v>
      </c>
      <c r="L173" s="28">
        <v>2.3692587134937965E-2</v>
      </c>
      <c r="N173" s="27">
        <f t="shared" si="13"/>
        <v>18.75</v>
      </c>
      <c r="O173" s="28">
        <v>2.5758428733066132E-2</v>
      </c>
      <c r="Q173" s="27">
        <f t="shared" si="14"/>
        <v>18.75</v>
      </c>
      <c r="R173" s="28">
        <v>1.8924801765147815E-2</v>
      </c>
    </row>
    <row r="174" spans="2:18" ht="13.2" customHeight="1" x14ac:dyDescent="0.25">
      <c r="B174" s="27">
        <f t="shared" si="12"/>
        <v>18.875</v>
      </c>
      <c r="C174" s="28">
        <v>1.8939166878056923E-2</v>
      </c>
      <c r="E174" s="86"/>
      <c r="H174" s="27">
        <f t="shared" si="10"/>
        <v>6.5499999999999856</v>
      </c>
      <c r="I174" s="85">
        <v>2.2250520764787431E-2</v>
      </c>
      <c r="K174" s="27">
        <f t="shared" si="11"/>
        <v>6.5499999999999856</v>
      </c>
      <c r="L174" s="28">
        <v>2.3761258990048044E-2</v>
      </c>
      <c r="N174" s="27">
        <f t="shared" si="13"/>
        <v>18.875</v>
      </c>
      <c r="O174" s="28">
        <v>2.5778702981087986E-2</v>
      </c>
      <c r="Q174" s="27">
        <f t="shared" si="14"/>
        <v>18.875</v>
      </c>
      <c r="R174" s="28">
        <v>1.8939166878056923E-2</v>
      </c>
    </row>
    <row r="175" spans="2:18" ht="13.2" customHeight="1" x14ac:dyDescent="0.25">
      <c r="B175" s="27">
        <f t="shared" si="12"/>
        <v>19</v>
      </c>
      <c r="C175" s="28">
        <v>1.8953220214078963E-2</v>
      </c>
      <c r="E175" s="86"/>
      <c r="H175" s="27">
        <f t="shared" si="10"/>
        <v>6.5999999999999854</v>
      </c>
      <c r="I175" s="85">
        <v>2.2371404571665223E-2</v>
      </c>
      <c r="K175" s="27">
        <f t="shared" si="11"/>
        <v>6.5999999999999854</v>
      </c>
      <c r="L175" s="28">
        <v>2.3823800518550042E-2</v>
      </c>
      <c r="N175" s="27">
        <f t="shared" si="13"/>
        <v>19</v>
      </c>
      <c r="O175" s="28">
        <v>2.5798977229109836E-2</v>
      </c>
      <c r="Q175" s="27">
        <f t="shared" si="14"/>
        <v>19</v>
      </c>
      <c r="R175" s="28">
        <v>1.8953220214078963E-2</v>
      </c>
    </row>
    <row r="176" spans="2:18" ht="13.2" customHeight="1" x14ac:dyDescent="0.25">
      <c r="B176" s="27">
        <f t="shared" si="12"/>
        <v>19.125</v>
      </c>
      <c r="C176" s="28">
        <v>1.8967015516498594E-2</v>
      </c>
      <c r="E176" s="86"/>
      <c r="H176" s="27">
        <f t="shared" si="10"/>
        <v>6.6499999999999853</v>
      </c>
      <c r="I176" s="85">
        <v>2.2492288378543019E-2</v>
      </c>
      <c r="K176" s="27">
        <f t="shared" si="11"/>
        <v>6.6499999999999853</v>
      </c>
      <c r="L176" s="28">
        <v>2.3886342047052041E-2</v>
      </c>
      <c r="N176" s="27">
        <f t="shared" si="13"/>
        <v>19.125</v>
      </c>
      <c r="O176" s="28">
        <v>2.5819251477131686E-2</v>
      </c>
      <c r="Q176" s="27">
        <f t="shared" si="14"/>
        <v>19.125</v>
      </c>
      <c r="R176" s="28">
        <v>1.8967015516498594E-2</v>
      </c>
    </row>
    <row r="177" spans="2:18" ht="13.2" customHeight="1" x14ac:dyDescent="0.25">
      <c r="B177" s="27">
        <f t="shared" si="12"/>
        <v>19.25</v>
      </c>
      <c r="C177" s="28">
        <v>1.8980605132671021E-2</v>
      </c>
      <c r="E177" s="86"/>
      <c r="H177" s="27">
        <f t="shared" si="10"/>
        <v>6.6999999999999851</v>
      </c>
      <c r="I177" s="85">
        <v>2.2613172185420811E-2</v>
      </c>
      <c r="K177" s="27">
        <f t="shared" si="11"/>
        <v>6.6999999999999851</v>
      </c>
      <c r="L177" s="28">
        <v>2.3948883575554039E-2</v>
      </c>
      <c r="N177" s="27">
        <f t="shared" si="13"/>
        <v>19.25</v>
      </c>
      <c r="O177" s="28">
        <v>2.5839525725153533E-2</v>
      </c>
      <c r="Q177" s="27">
        <f t="shared" si="14"/>
        <v>19.25</v>
      </c>
      <c r="R177" s="28">
        <v>1.8980605132671021E-2</v>
      </c>
    </row>
    <row r="178" spans="2:18" ht="13.2" customHeight="1" x14ac:dyDescent="0.25">
      <c r="B178" s="27">
        <f t="shared" si="12"/>
        <v>19.375</v>
      </c>
      <c r="C178" s="28">
        <v>1.8994040059051972E-2</v>
      </c>
      <c r="E178" s="86"/>
      <c r="H178" s="27">
        <f t="shared" si="10"/>
        <v>6.7499999999999849</v>
      </c>
      <c r="I178" s="85">
        <v>2.2734055992298607E-2</v>
      </c>
      <c r="K178" s="27">
        <f t="shared" si="11"/>
        <v>6.7499999999999849</v>
      </c>
      <c r="L178" s="28">
        <v>2.4011425104056034E-2</v>
      </c>
      <c r="N178" s="27">
        <f t="shared" si="13"/>
        <v>19.375</v>
      </c>
      <c r="O178" s="28">
        <v>2.5859799973175387E-2</v>
      </c>
      <c r="Q178" s="27">
        <f t="shared" si="14"/>
        <v>19.375</v>
      </c>
      <c r="R178" s="28">
        <v>1.8994040059051972E-2</v>
      </c>
    </row>
    <row r="179" spans="2:18" ht="13.2" customHeight="1" x14ac:dyDescent="0.25">
      <c r="B179" s="27">
        <f t="shared" si="12"/>
        <v>19.5</v>
      </c>
      <c r="C179" s="28">
        <v>1.9007369984495703E-2</v>
      </c>
      <c r="E179" s="86"/>
      <c r="H179" s="27">
        <f t="shared" si="10"/>
        <v>6.7999999999999847</v>
      </c>
      <c r="I179" s="85">
        <v>2.2817831504463256E-2</v>
      </c>
      <c r="K179" s="27">
        <f t="shared" si="11"/>
        <v>6.7999999999999847</v>
      </c>
      <c r="L179" s="28">
        <v>2.4073966632558032E-2</v>
      </c>
      <c r="N179" s="27">
        <f t="shared" si="13"/>
        <v>19.5</v>
      </c>
      <c r="O179" s="28">
        <v>2.5880074221197241E-2</v>
      </c>
      <c r="Q179" s="27">
        <f t="shared" si="14"/>
        <v>19.5</v>
      </c>
      <c r="R179" s="28">
        <v>1.9007369984495703E-2</v>
      </c>
    </row>
    <row r="180" spans="2:18" ht="13.2" customHeight="1" x14ac:dyDescent="0.25">
      <c r="B180" s="27">
        <f t="shared" si="12"/>
        <v>19.625</v>
      </c>
      <c r="C180" s="28">
        <v>1.9020643331898443E-2</v>
      </c>
      <c r="E180" s="86"/>
      <c r="H180" s="27">
        <f t="shared" si="10"/>
        <v>6.8499999999999845</v>
      </c>
      <c r="I180" s="85">
        <v>2.2893566886106706E-2</v>
      </c>
      <c r="K180" s="27">
        <f t="shared" si="11"/>
        <v>6.8499999999999845</v>
      </c>
      <c r="L180" s="28">
        <v>2.4136508161060031E-2</v>
      </c>
      <c r="N180" s="27">
        <f t="shared" si="13"/>
        <v>19.625</v>
      </c>
      <c r="O180" s="28">
        <v>2.5900348469219084E-2</v>
      </c>
      <c r="Q180" s="27">
        <f t="shared" si="14"/>
        <v>19.625</v>
      </c>
      <c r="R180" s="28">
        <v>1.9020643331898443E-2</v>
      </c>
    </row>
    <row r="181" spans="2:18" ht="13.2" customHeight="1" x14ac:dyDescent="0.25">
      <c r="B181" s="27">
        <f t="shared" si="12"/>
        <v>19.75</v>
      </c>
      <c r="C181" s="28">
        <v>1.9033907298260308E-2</v>
      </c>
      <c r="E181" s="86"/>
      <c r="H181" s="27">
        <f t="shared" si="10"/>
        <v>6.8999999999999844</v>
      </c>
      <c r="I181" s="85">
        <v>2.2969302267750152E-2</v>
      </c>
      <c r="K181" s="27">
        <f t="shared" si="11"/>
        <v>6.8999999999999844</v>
      </c>
      <c r="L181" s="28">
        <v>2.4199049689562026E-2</v>
      </c>
      <c r="N181" s="27">
        <f t="shared" si="13"/>
        <v>19.75</v>
      </c>
      <c r="O181" s="28">
        <v>2.5920622717240931E-2</v>
      </c>
      <c r="Q181" s="27">
        <f t="shared" si="14"/>
        <v>19.75</v>
      </c>
      <c r="R181" s="28">
        <v>1.9033907298260308E-2</v>
      </c>
    </row>
    <row r="182" spans="2:18" ht="13.2" customHeight="1" x14ac:dyDescent="0.25">
      <c r="B182" s="27">
        <f t="shared" si="12"/>
        <v>19.875</v>
      </c>
      <c r="C182" s="28">
        <v>1.9047207893235465E-2</v>
      </c>
      <c r="E182" s="86"/>
      <c r="H182" s="27">
        <f t="shared" si="10"/>
        <v>6.9499999999999842</v>
      </c>
      <c r="I182" s="85">
        <v>2.3045037649393602E-2</v>
      </c>
      <c r="K182" s="27">
        <f t="shared" si="11"/>
        <v>6.9499999999999842</v>
      </c>
      <c r="L182" s="28">
        <v>2.4261591218064024E-2</v>
      </c>
      <c r="N182" s="27">
        <f t="shared" si="13"/>
        <v>19.875</v>
      </c>
      <c r="O182" s="28">
        <v>2.5940896965262781E-2</v>
      </c>
      <c r="Q182" s="27">
        <f t="shared" si="14"/>
        <v>19.875</v>
      </c>
      <c r="R182" s="28">
        <v>1.9047207893235465E-2</v>
      </c>
    </row>
    <row r="183" spans="2:18" ht="13.2" customHeight="1" x14ac:dyDescent="0.25">
      <c r="B183" s="27">
        <f t="shared" si="12"/>
        <v>20</v>
      </c>
      <c r="C183" s="28">
        <v>1.9060589976236771E-2</v>
      </c>
      <c r="E183" s="86"/>
      <c r="H183" s="27">
        <f t="shared" si="10"/>
        <v>6.999999999999984</v>
      </c>
      <c r="I183" s="85">
        <v>2.3120773031037052E-2</v>
      </c>
      <c r="K183" s="27">
        <f t="shared" si="11"/>
        <v>6.999999999999984</v>
      </c>
      <c r="L183" s="28">
        <v>2.4324132746566023E-2</v>
      </c>
      <c r="N183" s="27">
        <f t="shared" si="13"/>
        <v>20</v>
      </c>
      <c r="O183" s="28">
        <v>2.5961171213284628E-2</v>
      </c>
      <c r="Q183" s="27">
        <f t="shared" si="14"/>
        <v>20</v>
      </c>
      <c r="R183" s="28">
        <v>1.9060589976236771E-2</v>
      </c>
    </row>
    <row r="184" spans="2:18" ht="13.2" customHeight="1" x14ac:dyDescent="0.25">
      <c r="B184" s="27">
        <f t="shared" si="12"/>
        <v>20.125</v>
      </c>
      <c r="C184" s="28">
        <v>1.9074091262200971E-2</v>
      </c>
      <c r="E184" s="86"/>
      <c r="H184" s="27">
        <f t="shared" si="10"/>
        <v>7.0499999999999838</v>
      </c>
      <c r="I184" s="85">
        <v>2.3196508412680502E-2</v>
      </c>
      <c r="K184" s="27">
        <f t="shared" si="11"/>
        <v>7.0499999999999838</v>
      </c>
      <c r="L184" s="28">
        <v>2.4386674275068018E-2</v>
      </c>
      <c r="N184" s="27">
        <f t="shared" si="13"/>
        <v>20.125</v>
      </c>
      <c r="O184" s="28">
        <v>2.5970211716575115E-2</v>
      </c>
      <c r="Q184" s="27">
        <f t="shared" si="14"/>
        <v>20.125</v>
      </c>
      <c r="R184" s="28">
        <v>1.9074091262200971E-2</v>
      </c>
    </row>
    <row r="185" spans="2:18" ht="13.2" customHeight="1" x14ac:dyDescent="0.25">
      <c r="B185" s="27">
        <f t="shared" si="12"/>
        <v>20.25</v>
      </c>
      <c r="C185" s="28">
        <v>1.9087710314519026E-2</v>
      </c>
      <c r="E185" s="86"/>
      <c r="H185" s="27">
        <f t="shared" si="10"/>
        <v>7.0999999999999837</v>
      </c>
      <c r="I185" s="85">
        <v>2.3272243794323948E-2</v>
      </c>
      <c r="K185" s="27">
        <f t="shared" si="11"/>
        <v>7.0999999999999837</v>
      </c>
      <c r="L185" s="28">
        <v>2.4449215803570016E-2</v>
      </c>
      <c r="N185" s="27">
        <f t="shared" si="13"/>
        <v>20.25</v>
      </c>
      <c r="O185" s="28">
        <v>2.5977216330852784E-2</v>
      </c>
      <c r="Q185" s="27">
        <f t="shared" si="14"/>
        <v>20.25</v>
      </c>
      <c r="R185" s="28">
        <v>1.9087710314519026E-2</v>
      </c>
    </row>
    <row r="186" spans="2:18" ht="13.2" customHeight="1" x14ac:dyDescent="0.25">
      <c r="B186" s="27">
        <f t="shared" si="12"/>
        <v>20.375</v>
      </c>
      <c r="C186" s="28">
        <v>1.910143081023408E-2</v>
      </c>
      <c r="E186" s="86"/>
      <c r="H186" s="27">
        <f t="shared" si="10"/>
        <v>7.1499999999999835</v>
      </c>
      <c r="I186" s="85">
        <v>2.3347979175967398E-2</v>
      </c>
      <c r="K186" s="27">
        <f t="shared" si="11"/>
        <v>7.1499999999999835</v>
      </c>
      <c r="L186" s="28">
        <v>2.4511757332072014E-2</v>
      </c>
      <c r="N186" s="27">
        <f t="shared" si="13"/>
        <v>20.375</v>
      </c>
      <c r="O186" s="28">
        <v>2.5984220945130466E-2</v>
      </c>
      <c r="Q186" s="27">
        <f t="shared" si="14"/>
        <v>20.375</v>
      </c>
      <c r="R186" s="28">
        <v>1.910143081023408E-2</v>
      </c>
    </row>
    <row r="187" spans="2:18" ht="13.2" customHeight="1" x14ac:dyDescent="0.25">
      <c r="B187" s="27">
        <f t="shared" si="12"/>
        <v>20.5</v>
      </c>
      <c r="C187" s="28">
        <v>1.9115236789274338E-2</v>
      </c>
      <c r="E187" s="86"/>
      <c r="H187" s="27">
        <f t="shared" si="10"/>
        <v>7.1999999999999833</v>
      </c>
      <c r="I187" s="85">
        <v>2.3423714557610848E-2</v>
      </c>
      <c r="K187" s="27">
        <f t="shared" si="11"/>
        <v>7.1999999999999833</v>
      </c>
      <c r="L187" s="28">
        <v>2.4574298860574009E-2</v>
      </c>
      <c r="N187" s="27">
        <f t="shared" si="13"/>
        <v>20.5</v>
      </c>
      <c r="O187" s="28">
        <v>2.5991225559408148E-2</v>
      </c>
      <c r="Q187" s="27">
        <f t="shared" si="14"/>
        <v>20.5</v>
      </c>
      <c r="R187" s="28">
        <v>1.9115236789274338E-2</v>
      </c>
    </row>
    <row r="188" spans="2:18" ht="13.2" customHeight="1" x14ac:dyDescent="0.25">
      <c r="B188" s="27">
        <f t="shared" si="12"/>
        <v>20.625</v>
      </c>
      <c r="C188" s="28">
        <v>1.9129112678478812E-2</v>
      </c>
      <c r="E188" s="86"/>
      <c r="H188" s="27">
        <f t="shared" si="10"/>
        <v>7.2499999999999831</v>
      </c>
      <c r="I188" s="85">
        <v>2.3499449939254298E-2</v>
      </c>
      <c r="K188" s="27">
        <f t="shared" si="11"/>
        <v>7.2499999999999831</v>
      </c>
      <c r="L188" s="28">
        <v>2.4636840389076008E-2</v>
      </c>
      <c r="N188" s="27">
        <f t="shared" si="13"/>
        <v>20.625</v>
      </c>
      <c r="O188" s="28">
        <v>2.5998230173685823E-2</v>
      </c>
      <c r="Q188" s="27">
        <f t="shared" si="14"/>
        <v>20.625</v>
      </c>
      <c r="R188" s="28">
        <v>1.9129112678478812E-2</v>
      </c>
    </row>
    <row r="189" spans="2:18" ht="13.2" customHeight="1" x14ac:dyDescent="0.25">
      <c r="B189" s="27">
        <f t="shared" si="12"/>
        <v>20.75</v>
      </c>
      <c r="C189" s="28">
        <v>1.9143043279943414E-2</v>
      </c>
      <c r="E189" s="86"/>
      <c r="H189" s="27">
        <f t="shared" si="10"/>
        <v>7.2999999999999829</v>
      </c>
      <c r="I189" s="85">
        <v>2.3575185320897748E-2</v>
      </c>
      <c r="K189" s="27">
        <f t="shared" si="11"/>
        <v>7.2999999999999829</v>
      </c>
      <c r="L189" s="28">
        <v>2.4699381917578006E-2</v>
      </c>
      <c r="N189" s="27">
        <f t="shared" si="13"/>
        <v>20.75</v>
      </c>
      <c r="O189" s="28">
        <v>2.6005234787963506E-2</v>
      </c>
      <c r="Q189" s="27">
        <f t="shared" si="14"/>
        <v>20.75</v>
      </c>
      <c r="R189" s="28">
        <v>1.9143043279943414E-2</v>
      </c>
    </row>
    <row r="190" spans="2:18" ht="13.2" customHeight="1" x14ac:dyDescent="0.25">
      <c r="B190" s="27">
        <f t="shared" si="12"/>
        <v>20.875</v>
      </c>
      <c r="C190" s="28">
        <v>1.9157013759785728E-2</v>
      </c>
      <c r="E190" s="86"/>
      <c r="H190" s="27">
        <f t="shared" si="10"/>
        <v>7.3499999999999828</v>
      </c>
      <c r="I190" s="85">
        <v>2.3650920702541194E-2</v>
      </c>
      <c r="K190" s="27">
        <f t="shared" si="11"/>
        <v>7.3499999999999828</v>
      </c>
      <c r="L190" s="28">
        <v>2.4761923446080001E-2</v>
      </c>
      <c r="N190" s="27">
        <f t="shared" si="13"/>
        <v>20.875</v>
      </c>
      <c r="O190" s="28">
        <v>2.6012239402241181E-2</v>
      </c>
      <c r="Q190" s="27">
        <f t="shared" si="14"/>
        <v>20.875</v>
      </c>
      <c r="R190" s="28">
        <v>1.9157013759785728E-2</v>
      </c>
    </row>
    <row r="191" spans="2:18" ht="13.2" customHeight="1" x14ac:dyDescent="0.25">
      <c r="B191" s="27">
        <f t="shared" si="12"/>
        <v>21</v>
      </c>
      <c r="C191" s="28">
        <v>1.9171009637310978E-2</v>
      </c>
      <c r="E191" s="86"/>
      <c r="H191" s="27">
        <f t="shared" si="10"/>
        <v>7.3999999999999826</v>
      </c>
      <c r="I191" s="85">
        <v>2.3726656084184644E-2</v>
      </c>
      <c r="K191" s="27">
        <f t="shared" si="11"/>
        <v>7.3999999999999826</v>
      </c>
      <c r="L191" s="28">
        <v>2.4824464974581999E-2</v>
      </c>
      <c r="N191" s="27">
        <f t="shared" si="13"/>
        <v>21</v>
      </c>
      <c r="O191" s="28">
        <v>2.6019244016518856E-2</v>
      </c>
      <c r="Q191" s="27">
        <f t="shared" si="14"/>
        <v>21</v>
      </c>
      <c r="R191" s="28">
        <v>1.9171009637310978E-2</v>
      </c>
    </row>
    <row r="192" spans="2:18" ht="13.2" customHeight="1" x14ac:dyDescent="0.25">
      <c r="B192" s="27">
        <f t="shared" si="12"/>
        <v>21.125</v>
      </c>
      <c r="C192" s="28">
        <v>1.9185016774562764E-2</v>
      </c>
      <c r="E192" s="86"/>
      <c r="H192" s="27">
        <f t="shared" si="10"/>
        <v>7.4499999999999824</v>
      </c>
      <c r="I192" s="85">
        <v>2.3802391465828094E-2</v>
      </c>
      <c r="K192" s="27">
        <f t="shared" si="11"/>
        <v>7.4499999999999824</v>
      </c>
      <c r="L192" s="28">
        <v>2.4887006503083998E-2</v>
      </c>
      <c r="N192" s="27">
        <f t="shared" si="13"/>
        <v>21.125</v>
      </c>
      <c r="O192" s="28">
        <v>2.6026248630796538E-2</v>
      </c>
      <c r="Q192" s="27">
        <f t="shared" si="14"/>
        <v>21.125</v>
      </c>
      <c r="R192" s="28">
        <v>1.9185016774562764E-2</v>
      </c>
    </row>
    <row r="193" spans="2:18" ht="13.2" customHeight="1" x14ac:dyDescent="0.25">
      <c r="B193" s="27">
        <f t="shared" si="12"/>
        <v>21.25</v>
      </c>
      <c r="C193" s="28">
        <v>1.9199021366242453E-2</v>
      </c>
      <c r="E193" s="86"/>
      <c r="H193" s="27">
        <f t="shared" si="10"/>
        <v>7.4999999999999822</v>
      </c>
      <c r="I193" s="85">
        <v>2.3878126847471544E-2</v>
      </c>
      <c r="K193" s="27">
        <f t="shared" si="11"/>
        <v>7.4999999999999822</v>
      </c>
      <c r="L193" s="28">
        <v>2.4949548031585993E-2</v>
      </c>
      <c r="N193" s="27">
        <f t="shared" si="13"/>
        <v>21.25</v>
      </c>
      <c r="O193" s="28">
        <v>2.603325324507421E-2</v>
      </c>
      <c r="Q193" s="27">
        <f t="shared" si="14"/>
        <v>21.25</v>
      </c>
      <c r="R193" s="28">
        <v>1.9199021366242453E-2</v>
      </c>
    </row>
    <row r="194" spans="2:18" ht="13.2" customHeight="1" x14ac:dyDescent="0.25">
      <c r="B194" s="27">
        <f t="shared" si="12"/>
        <v>21.375</v>
      </c>
      <c r="C194" s="28">
        <v>1.9213009929982393E-2</v>
      </c>
      <c r="E194" s="86"/>
      <c r="H194" s="27">
        <f t="shared" si="10"/>
        <v>7.5499999999999821</v>
      </c>
      <c r="I194" s="85">
        <v>2.395386222911499E-2</v>
      </c>
      <c r="K194" s="27">
        <f t="shared" si="11"/>
        <v>7.5499999999999821</v>
      </c>
      <c r="L194" s="28">
        <v>2.5012340561240711E-2</v>
      </c>
      <c r="N194" s="27">
        <f t="shared" si="13"/>
        <v>21.375</v>
      </c>
      <c r="O194" s="28">
        <v>2.6040257859351889E-2</v>
      </c>
      <c r="Q194" s="27">
        <f t="shared" si="14"/>
        <v>21.375</v>
      </c>
      <c r="R194" s="28">
        <v>1.9213009929982393E-2</v>
      </c>
    </row>
    <row r="195" spans="2:18" ht="13.2" customHeight="1" x14ac:dyDescent="0.25">
      <c r="B195" s="27">
        <f t="shared" si="12"/>
        <v>21.5</v>
      </c>
      <c r="C195" s="28">
        <v>1.9226969296958357E-2</v>
      </c>
      <c r="E195" s="86"/>
      <c r="H195" s="27">
        <f t="shared" si="10"/>
        <v>7.5999999999999819</v>
      </c>
      <c r="I195" s="85">
        <v>2.402959761075844E-2</v>
      </c>
      <c r="K195" s="27">
        <f t="shared" si="11"/>
        <v>7.5999999999999819</v>
      </c>
      <c r="L195" s="28">
        <v>2.507517293234824E-2</v>
      </c>
      <c r="N195" s="27">
        <f t="shared" si="13"/>
        <v>21.5</v>
      </c>
      <c r="O195" s="28">
        <v>2.6047262473629564E-2</v>
      </c>
      <c r="Q195" s="27">
        <f t="shared" si="14"/>
        <v>21.5</v>
      </c>
      <c r="R195" s="28">
        <v>1.9226969296958357E-2</v>
      </c>
    </row>
    <row r="196" spans="2:18" ht="13.2" customHeight="1" x14ac:dyDescent="0.25">
      <c r="B196" s="27">
        <f t="shared" si="12"/>
        <v>21.625</v>
      </c>
      <c r="C196" s="28">
        <v>1.9240886602827616E-2</v>
      </c>
      <c r="E196" s="86"/>
      <c r="H196" s="27">
        <f t="shared" si="10"/>
        <v>7.6499999999999817</v>
      </c>
      <c r="I196" s="85">
        <v>2.410533299240189E-2</v>
      </c>
      <c r="K196" s="27">
        <f t="shared" si="11"/>
        <v>7.6499999999999817</v>
      </c>
      <c r="L196" s="28">
        <v>2.5138005303455769E-2</v>
      </c>
      <c r="N196" s="27">
        <f t="shared" si="13"/>
        <v>21.625</v>
      </c>
      <c r="O196" s="28">
        <v>2.605426708790724E-2</v>
      </c>
      <c r="Q196" s="27">
        <f t="shared" si="14"/>
        <v>21.625</v>
      </c>
      <c r="R196" s="28">
        <v>1.9240886602827616E-2</v>
      </c>
    </row>
    <row r="197" spans="2:18" ht="13.2" customHeight="1" x14ac:dyDescent="0.25">
      <c r="B197" s="27">
        <f t="shared" si="12"/>
        <v>21.75</v>
      </c>
      <c r="C197" s="28">
        <v>1.9254749278979438E-2</v>
      </c>
      <c r="E197" s="86"/>
      <c r="H197" s="27">
        <f t="shared" si="10"/>
        <v>7.6999999999999815</v>
      </c>
      <c r="I197" s="85">
        <v>2.418106837404534E-2</v>
      </c>
      <c r="K197" s="27">
        <f t="shared" si="11"/>
        <v>7.6999999999999815</v>
      </c>
      <c r="L197" s="28">
        <v>2.5200837674563301E-2</v>
      </c>
      <c r="N197" s="27">
        <f t="shared" si="13"/>
        <v>21.75</v>
      </c>
      <c r="O197" s="28">
        <v>2.6061271702184925E-2</v>
      </c>
      <c r="Q197" s="27">
        <f t="shared" si="14"/>
        <v>21.75</v>
      </c>
      <c r="R197" s="28">
        <v>1.9254749278979438E-2</v>
      </c>
    </row>
    <row r="198" spans="2:18" ht="13.2" customHeight="1" x14ac:dyDescent="0.25">
      <c r="B198" s="27">
        <f t="shared" si="12"/>
        <v>21.875</v>
      </c>
      <c r="C198" s="28">
        <v>1.9268545044085636E-2</v>
      </c>
      <c r="E198" s="86"/>
      <c r="H198" s="27">
        <f t="shared" si="10"/>
        <v>7.7499999999999813</v>
      </c>
      <c r="I198" s="85">
        <v>2.425680375568879E-2</v>
      </c>
      <c r="K198" s="27">
        <f t="shared" si="11"/>
        <v>7.7499999999999813</v>
      </c>
      <c r="L198" s="28">
        <v>2.526367004567083E-2</v>
      </c>
      <c r="N198" s="27">
        <f t="shared" si="13"/>
        <v>21.875</v>
      </c>
      <c r="O198" s="28">
        <v>2.6068276316462594E-2</v>
      </c>
      <c r="Q198" s="27">
        <f t="shared" si="14"/>
        <v>21.875</v>
      </c>
      <c r="R198" s="28">
        <v>1.9268545044085636E-2</v>
      </c>
    </row>
    <row r="199" spans="2:18" ht="13.2" customHeight="1" x14ac:dyDescent="0.25">
      <c r="B199" s="27">
        <f t="shared" si="12"/>
        <v>22</v>
      </c>
      <c r="C199" s="28">
        <v>1.928226189593912E-2</v>
      </c>
      <c r="E199" s="86"/>
      <c r="H199" s="27">
        <f t="shared" si="10"/>
        <v>7.7999999999999812</v>
      </c>
      <c r="I199" s="85">
        <v>2.4304689273339296E-2</v>
      </c>
      <c r="K199" s="27">
        <f t="shared" si="11"/>
        <v>7.7999999999999812</v>
      </c>
      <c r="L199" s="28">
        <v>2.5326502416778359E-2</v>
      </c>
      <c r="N199" s="27">
        <f t="shared" si="13"/>
        <v>22</v>
      </c>
      <c r="O199" s="28">
        <v>2.6075280930740283E-2</v>
      </c>
      <c r="Q199" s="27">
        <f t="shared" si="14"/>
        <v>22</v>
      </c>
      <c r="R199" s="28">
        <v>1.928226189593912E-2</v>
      </c>
    </row>
    <row r="200" spans="2:18" ht="13.2" customHeight="1" x14ac:dyDescent="0.25">
      <c r="B200" s="27">
        <f t="shared" si="12"/>
        <v>22.125</v>
      </c>
      <c r="C200" s="28">
        <v>1.9295888103569095E-2</v>
      </c>
      <c r="E200" s="86"/>
      <c r="H200" s="27">
        <f t="shared" si="10"/>
        <v>7.849999999999981</v>
      </c>
      <c r="I200" s="85">
        <v>2.4341327730531093E-2</v>
      </c>
      <c r="K200" s="27">
        <f t="shared" si="11"/>
        <v>7.849999999999981</v>
      </c>
      <c r="L200" s="28">
        <v>2.5389334787885888E-2</v>
      </c>
      <c r="N200" s="27">
        <f t="shared" si="13"/>
        <v>22.125</v>
      </c>
      <c r="O200" s="28">
        <v>2.6082285545017944E-2</v>
      </c>
      <c r="Q200" s="27">
        <f t="shared" si="14"/>
        <v>22.125</v>
      </c>
      <c r="R200" s="28">
        <v>1.9295888103569095E-2</v>
      </c>
    </row>
    <row r="201" spans="2:18" ht="13.2" customHeight="1" x14ac:dyDescent="0.25">
      <c r="B201" s="27">
        <f t="shared" si="12"/>
        <v>22.25</v>
      </c>
      <c r="C201" s="28">
        <v>1.9309412199622126E-2</v>
      </c>
      <c r="E201" s="86"/>
      <c r="H201" s="27">
        <f t="shared" si="10"/>
        <v>7.8999999999999808</v>
      </c>
      <c r="I201" s="85">
        <v>2.4377966187722894E-2</v>
      </c>
      <c r="K201" s="27">
        <f t="shared" si="11"/>
        <v>7.8999999999999808</v>
      </c>
      <c r="L201" s="28">
        <v>2.5452167158993417E-2</v>
      </c>
      <c r="N201" s="27">
        <f t="shared" si="13"/>
        <v>22.25</v>
      </c>
      <c r="O201" s="28">
        <v>2.6089290159295623E-2</v>
      </c>
      <c r="Q201" s="27">
        <f t="shared" si="14"/>
        <v>22.25</v>
      </c>
      <c r="R201" s="28">
        <v>1.9309412199622126E-2</v>
      </c>
    </row>
    <row r="202" spans="2:18" ht="13.2" customHeight="1" x14ac:dyDescent="0.25">
      <c r="B202" s="27">
        <f t="shared" si="12"/>
        <v>22.375</v>
      </c>
      <c r="C202" s="28">
        <v>1.9322822972998449E-2</v>
      </c>
      <c r="E202" s="86"/>
      <c r="H202" s="27">
        <f t="shared" si="10"/>
        <v>7.9499999999999806</v>
      </c>
      <c r="I202" s="85">
        <v>2.4414604644914694E-2</v>
      </c>
      <c r="K202" s="27">
        <f t="shared" si="11"/>
        <v>7.9499999999999806</v>
      </c>
      <c r="L202" s="28">
        <v>2.5514999530100949E-2</v>
      </c>
      <c r="N202" s="27">
        <f t="shared" si="13"/>
        <v>22.375</v>
      </c>
      <c r="O202" s="28">
        <v>2.6096294773573309E-2</v>
      </c>
      <c r="Q202" s="27">
        <f t="shared" si="14"/>
        <v>22.375</v>
      </c>
      <c r="R202" s="28">
        <v>1.9322822972998449E-2</v>
      </c>
    </row>
    <row r="203" spans="2:18" ht="13.2" customHeight="1" x14ac:dyDescent="0.25">
      <c r="B203" s="27">
        <f t="shared" si="12"/>
        <v>22.5</v>
      </c>
      <c r="C203" s="28">
        <v>1.9336109461733877E-2</v>
      </c>
      <c r="E203" s="86"/>
      <c r="H203" s="27">
        <f t="shared" si="10"/>
        <v>7.9999999999999805</v>
      </c>
      <c r="I203" s="85">
        <v>2.4451243102106491E-2</v>
      </c>
      <c r="K203" s="27">
        <f t="shared" si="11"/>
        <v>7.9999999999999805</v>
      </c>
      <c r="L203" s="28">
        <v>2.5577831901208478E-2</v>
      </c>
      <c r="N203" s="27">
        <f t="shared" si="13"/>
        <v>22.5</v>
      </c>
      <c r="O203" s="28">
        <v>2.610329938785098E-2</v>
      </c>
      <c r="Q203" s="27">
        <f t="shared" si="14"/>
        <v>22.5</v>
      </c>
      <c r="R203" s="28">
        <v>1.9336109461733877E-2</v>
      </c>
    </row>
    <row r="204" spans="2:18" ht="13.2" customHeight="1" x14ac:dyDescent="0.25">
      <c r="B204" s="27">
        <f t="shared" si="12"/>
        <v>22.625</v>
      </c>
      <c r="C204" s="28">
        <v>1.9349260946117559E-2</v>
      </c>
      <c r="E204" s="86"/>
      <c r="H204" s="27">
        <f t="shared" si="10"/>
        <v>8.0499999999999812</v>
      </c>
      <c r="I204" s="85">
        <v>2.4487881559298291E-2</v>
      </c>
      <c r="K204" s="27">
        <f t="shared" si="11"/>
        <v>8.0499999999999812</v>
      </c>
      <c r="L204" s="28">
        <v>2.5640664272316007E-2</v>
      </c>
      <c r="N204" s="27">
        <f t="shared" si="13"/>
        <v>22.625</v>
      </c>
      <c r="O204" s="28">
        <v>2.6110304002128659E-2</v>
      </c>
      <c r="Q204" s="27">
        <f t="shared" si="14"/>
        <v>22.625</v>
      </c>
      <c r="R204" s="28">
        <v>1.9349260946117559E-2</v>
      </c>
    </row>
    <row r="205" spans="2:18" ht="13.2" customHeight="1" x14ac:dyDescent="0.25">
      <c r="B205" s="27">
        <f t="shared" si="12"/>
        <v>22.75</v>
      </c>
      <c r="C205" s="28">
        <v>1.9362266942036688E-2</v>
      </c>
      <c r="E205" s="86"/>
      <c r="H205" s="27">
        <f t="shared" si="10"/>
        <v>8.0999999999999819</v>
      </c>
      <c r="I205" s="85">
        <v>2.4524520016490092E-2</v>
      </c>
      <c r="K205" s="27">
        <f t="shared" si="11"/>
        <v>8.0999999999999819</v>
      </c>
      <c r="L205" s="28">
        <v>2.5703496643423539E-2</v>
      </c>
      <c r="N205" s="27">
        <f t="shared" si="13"/>
        <v>22.75</v>
      </c>
      <c r="O205" s="28">
        <v>2.6117308616406331E-2</v>
      </c>
      <c r="Q205" s="27">
        <f t="shared" si="14"/>
        <v>22.75</v>
      </c>
      <c r="R205" s="28">
        <v>1.9362266942036688E-2</v>
      </c>
    </row>
    <row r="206" spans="2:18" ht="13.2" customHeight="1" x14ac:dyDescent="0.25">
      <c r="B206" s="27">
        <f t="shared" si="12"/>
        <v>22.875</v>
      </c>
      <c r="C206" s="28">
        <v>1.9375117194539396E-2</v>
      </c>
      <c r="E206" s="86"/>
      <c r="H206" s="27">
        <f t="shared" si="10"/>
        <v>8.1499999999999826</v>
      </c>
      <c r="I206" s="85">
        <v>2.4561158473681892E-2</v>
      </c>
      <c r="K206" s="27">
        <f t="shared" si="11"/>
        <v>8.1499999999999826</v>
      </c>
      <c r="L206" s="28">
        <v>2.5766329014531068E-2</v>
      </c>
      <c r="N206" s="27">
        <f t="shared" si="13"/>
        <v>22.875</v>
      </c>
      <c r="O206" s="28">
        <v>2.612431323068402E-2</v>
      </c>
      <c r="Q206" s="27">
        <f t="shared" si="14"/>
        <v>22.875</v>
      </c>
      <c r="R206" s="28">
        <v>1.9375117194539396E-2</v>
      </c>
    </row>
    <row r="207" spans="2:18" ht="13.2" customHeight="1" x14ac:dyDescent="0.25">
      <c r="B207" s="27">
        <f t="shared" si="12"/>
        <v>23</v>
      </c>
      <c r="C207" s="28">
        <v>1.9387801671607554E-2</v>
      </c>
      <c r="E207" s="86"/>
      <c r="H207" s="27">
        <f t="shared" si="10"/>
        <v>8.1999999999999833</v>
      </c>
      <c r="I207" s="85">
        <v>2.4597796930873692E-2</v>
      </c>
      <c r="K207" s="27">
        <f t="shared" si="11"/>
        <v>8.1999999999999833</v>
      </c>
      <c r="L207" s="28">
        <v>2.5829161385638601E-2</v>
      </c>
      <c r="N207" s="27">
        <f t="shared" si="13"/>
        <v>23</v>
      </c>
      <c r="O207" s="28">
        <v>2.6131317844961695E-2</v>
      </c>
      <c r="Q207" s="27">
        <f t="shared" si="14"/>
        <v>23</v>
      </c>
      <c r="R207" s="28">
        <v>1.9387801671607554E-2</v>
      </c>
    </row>
    <row r="208" spans="2:18" ht="13.2" customHeight="1" x14ac:dyDescent="0.25">
      <c r="B208" s="27">
        <f t="shared" si="12"/>
        <v>23.125</v>
      </c>
      <c r="C208" s="28">
        <v>1.9400310558131528E-2</v>
      </c>
      <c r="E208" s="86"/>
      <c r="H208" s="27">
        <f t="shared" si="10"/>
        <v>8.249999999999984</v>
      </c>
      <c r="I208" s="85">
        <v>2.4634435388065489E-2</v>
      </c>
      <c r="K208" s="27">
        <f t="shared" si="11"/>
        <v>8.249999999999984</v>
      </c>
      <c r="L208" s="28">
        <v>2.589199375674613E-2</v>
      </c>
      <c r="N208" s="27">
        <f t="shared" si="13"/>
        <v>23.125</v>
      </c>
      <c r="O208" s="28">
        <v>2.6138322459239371E-2</v>
      </c>
      <c r="Q208" s="27">
        <f t="shared" si="14"/>
        <v>23.125</v>
      </c>
      <c r="R208" s="28">
        <v>1.9400310558131528E-2</v>
      </c>
    </row>
    <row r="209" spans="2:18" ht="13.2" customHeight="1" x14ac:dyDescent="0.25">
      <c r="B209" s="27">
        <f t="shared" si="12"/>
        <v>23.25</v>
      </c>
      <c r="C209" s="28">
        <v>1.9412634250079303E-2</v>
      </c>
      <c r="E209" s="86"/>
      <c r="H209" s="27">
        <f t="shared" si="10"/>
        <v>8.2999999999999847</v>
      </c>
      <c r="I209" s="85">
        <v>2.4671073845257289E-2</v>
      </c>
      <c r="K209" s="27">
        <f t="shared" si="11"/>
        <v>8.2999999999999847</v>
      </c>
      <c r="L209" s="28">
        <v>2.5954826127853662E-2</v>
      </c>
      <c r="N209" s="27">
        <f t="shared" si="13"/>
        <v>23.25</v>
      </c>
      <c r="O209" s="28">
        <v>2.614532707351705E-2</v>
      </c>
      <c r="Q209" s="27">
        <f t="shared" si="14"/>
        <v>23.25</v>
      </c>
      <c r="R209" s="28">
        <v>1.9412634250079303E-2</v>
      </c>
    </row>
    <row r="210" spans="2:18" ht="13.2" customHeight="1" x14ac:dyDescent="0.25">
      <c r="B210" s="27">
        <f t="shared" si="12"/>
        <v>23.375</v>
      </c>
      <c r="C210" s="28">
        <v>1.9424763348852726E-2</v>
      </c>
      <c r="E210" s="86"/>
      <c r="H210" s="27">
        <f t="shared" si="10"/>
        <v>8.3499999999999854</v>
      </c>
      <c r="I210" s="85">
        <v>2.470771230244909E-2</v>
      </c>
      <c r="K210" s="27">
        <f t="shared" si="11"/>
        <v>8.3499999999999854</v>
      </c>
      <c r="L210" s="28">
        <v>2.6017658498961191E-2</v>
      </c>
      <c r="N210" s="27">
        <f t="shared" si="13"/>
        <v>23.375</v>
      </c>
      <c r="O210" s="28">
        <v>2.6152331687794728E-2</v>
      </c>
      <c r="Q210" s="27">
        <f t="shared" si="14"/>
        <v>23.375</v>
      </c>
      <c r="R210" s="28">
        <v>1.9424763348852726E-2</v>
      </c>
    </row>
    <row r="211" spans="2:18" ht="13.2" customHeight="1" x14ac:dyDescent="0.25">
      <c r="B211" s="27">
        <f t="shared" si="12"/>
        <v>23.5</v>
      </c>
      <c r="C211" s="28">
        <v>1.9436688655823795E-2</v>
      </c>
      <c r="E211" s="86"/>
      <c r="H211" s="27">
        <f t="shared" si="10"/>
        <v>8.3999999999999861</v>
      </c>
      <c r="I211" s="85">
        <v>2.474435075964089E-2</v>
      </c>
      <c r="K211" s="27">
        <f t="shared" si="11"/>
        <v>8.3999999999999861</v>
      </c>
      <c r="L211" s="28">
        <v>2.6080490870068723E-2</v>
      </c>
      <c r="N211" s="27">
        <f t="shared" si="13"/>
        <v>23.5</v>
      </c>
      <c r="O211" s="28">
        <v>2.6159336302072404E-2</v>
      </c>
      <c r="Q211" s="27">
        <f t="shared" si="14"/>
        <v>23.5</v>
      </c>
      <c r="R211" s="28">
        <v>1.9436688655823795E-2</v>
      </c>
    </row>
    <row r="212" spans="2:18" ht="13.2" customHeight="1" x14ac:dyDescent="0.25">
      <c r="B212" s="27">
        <f t="shared" si="12"/>
        <v>23.625</v>
      </c>
      <c r="C212" s="28">
        <v>1.944840116704448E-2</v>
      </c>
      <c r="E212" s="86"/>
      <c r="H212" s="27">
        <f t="shared" si="10"/>
        <v>8.4499999999999869</v>
      </c>
      <c r="I212" s="85">
        <v>2.478098921683269E-2</v>
      </c>
      <c r="K212" s="27">
        <f t="shared" si="11"/>
        <v>8.4499999999999869</v>
      </c>
      <c r="L212" s="28">
        <v>2.6143323241176256E-2</v>
      </c>
      <c r="N212" s="27">
        <f t="shared" si="13"/>
        <v>23.625</v>
      </c>
      <c r="O212" s="28">
        <v>2.6166340916350079E-2</v>
      </c>
      <c r="Q212" s="27">
        <f t="shared" si="14"/>
        <v>23.625</v>
      </c>
      <c r="R212" s="28">
        <v>1.944840116704448E-2</v>
      </c>
    </row>
    <row r="213" spans="2:18" ht="13.2" customHeight="1" x14ac:dyDescent="0.25">
      <c r="B213" s="27">
        <f t="shared" si="12"/>
        <v>23.75</v>
      </c>
      <c r="C213" s="28">
        <v>1.9459892068123548E-2</v>
      </c>
      <c r="E213" s="86"/>
      <c r="H213" s="27">
        <f t="shared" si="10"/>
        <v>8.4999999999999876</v>
      </c>
      <c r="I213" s="85">
        <v>2.4817627674024491E-2</v>
      </c>
      <c r="K213" s="27">
        <f t="shared" si="11"/>
        <v>8.4999999999999876</v>
      </c>
      <c r="L213" s="28">
        <v>2.6206155612283785E-2</v>
      </c>
      <c r="N213" s="27">
        <f t="shared" si="13"/>
        <v>23.75</v>
      </c>
      <c r="O213" s="28">
        <v>2.6173345530627758E-2</v>
      </c>
      <c r="Q213" s="27">
        <f t="shared" si="14"/>
        <v>23.75</v>
      </c>
      <c r="R213" s="28">
        <v>1.9459892068123548E-2</v>
      </c>
    </row>
    <row r="214" spans="2:18" ht="13.2" customHeight="1" x14ac:dyDescent="0.25">
      <c r="B214" s="27">
        <f t="shared" si="12"/>
        <v>23.875</v>
      </c>
      <c r="C214" s="28">
        <v>1.9471152729264335E-2</v>
      </c>
      <c r="E214" s="86"/>
      <c r="H214" s="27">
        <f t="shared" si="10"/>
        <v>8.5499999999999883</v>
      </c>
      <c r="I214" s="85">
        <v>2.4854266131216288E-2</v>
      </c>
      <c r="K214" s="27">
        <f t="shared" si="11"/>
        <v>8.5499999999999883</v>
      </c>
      <c r="L214" s="28">
        <v>2.6284929063505127E-2</v>
      </c>
      <c r="N214" s="27">
        <f t="shared" si="13"/>
        <v>23.875</v>
      </c>
      <c r="O214" s="28">
        <v>2.6180350144905436E-2</v>
      </c>
      <c r="Q214" s="27">
        <f t="shared" si="14"/>
        <v>23.875</v>
      </c>
      <c r="R214" s="28">
        <v>1.9471152729264335E-2</v>
      </c>
    </row>
    <row r="215" spans="2:18" ht="13.2" customHeight="1" x14ac:dyDescent="0.25">
      <c r="B215" s="27">
        <f t="shared" si="12"/>
        <v>24</v>
      </c>
      <c r="C215" s="28">
        <v>1.9482174700457624E-2</v>
      </c>
      <c r="E215" s="86"/>
      <c r="H215" s="27">
        <f t="shared" si="10"/>
        <v>8.599999999999989</v>
      </c>
      <c r="I215" s="85">
        <v>2.4890904588408088E-2</v>
      </c>
      <c r="K215" s="27">
        <f t="shared" si="11"/>
        <v>8.599999999999989</v>
      </c>
      <c r="L215" s="28">
        <v>2.6368919595490998E-2</v>
      </c>
      <c r="N215" s="27">
        <f t="shared" si="13"/>
        <v>24</v>
      </c>
      <c r="O215" s="28">
        <v>2.6187354759183105E-2</v>
      </c>
      <c r="Q215" s="27">
        <f t="shared" si="14"/>
        <v>24</v>
      </c>
      <c r="R215" s="28">
        <v>1.9482174700457624E-2</v>
      </c>
    </row>
    <row r="216" spans="2:18" ht="13.2" customHeight="1" x14ac:dyDescent="0.25">
      <c r="B216" s="27">
        <f t="shared" si="12"/>
        <v>24.125</v>
      </c>
      <c r="C216" s="28">
        <v>1.9492949706823921E-2</v>
      </c>
      <c r="E216" s="86"/>
      <c r="H216" s="27">
        <f t="shared" ref="H216:H279" si="15">H215+0.05</f>
        <v>8.6499999999999897</v>
      </c>
      <c r="I216" s="85">
        <v>2.4927543045599888E-2</v>
      </c>
      <c r="K216" s="27">
        <f t="shared" ref="K216:K279" si="16">K215+0.05</f>
        <v>8.6499999999999897</v>
      </c>
      <c r="L216" s="28">
        <v>2.6452910127476869E-2</v>
      </c>
      <c r="N216" s="27">
        <f t="shared" si="13"/>
        <v>24.125</v>
      </c>
      <c r="O216" s="28">
        <v>2.619435937346079E-2</v>
      </c>
      <c r="Q216" s="27">
        <f t="shared" si="14"/>
        <v>24.125</v>
      </c>
      <c r="R216" s="28">
        <v>1.9492949706823921E-2</v>
      </c>
    </row>
    <row r="217" spans="2:18" ht="13.2" customHeight="1" x14ac:dyDescent="0.25">
      <c r="B217" s="27">
        <f t="shared" ref="B217:B280" si="17">B216+0.125</f>
        <v>24.25</v>
      </c>
      <c r="C217" s="28">
        <v>1.9503469644099786E-2</v>
      </c>
      <c r="E217" s="86"/>
      <c r="H217" s="27">
        <f t="shared" si="15"/>
        <v>8.6999999999999904</v>
      </c>
      <c r="I217" s="85">
        <v>2.4964181502791689E-2</v>
      </c>
      <c r="K217" s="27">
        <f t="shared" si="16"/>
        <v>8.6999999999999904</v>
      </c>
      <c r="L217" s="28">
        <v>2.653690065946274E-2</v>
      </c>
      <c r="N217" s="27">
        <f t="shared" ref="N217:N280" si="18">N216+0.125</f>
        <v>24.25</v>
      </c>
      <c r="O217" s="28">
        <v>2.6201363987738462E-2</v>
      </c>
      <c r="Q217" s="27">
        <f t="shared" ref="Q217:Q280" si="19">Q216+0.125</f>
        <v>24.25</v>
      </c>
      <c r="R217" s="28">
        <v>1.9503469644099786E-2</v>
      </c>
    </row>
    <row r="218" spans="2:18" ht="13.2" customHeight="1" x14ac:dyDescent="0.25">
      <c r="B218" s="27">
        <f t="shared" si="17"/>
        <v>24.375</v>
      </c>
      <c r="C218" s="28">
        <v>1.9513726574263111E-2</v>
      </c>
      <c r="E218" s="86"/>
      <c r="H218" s="27">
        <f t="shared" si="15"/>
        <v>8.7499999999999911</v>
      </c>
      <c r="I218" s="85">
        <v>2.5000819959983489E-2</v>
      </c>
      <c r="K218" s="27">
        <f t="shared" si="16"/>
        <v>8.7499999999999911</v>
      </c>
      <c r="L218" s="28">
        <v>2.6620891191448611E-2</v>
      </c>
      <c r="N218" s="27">
        <f t="shared" si="18"/>
        <v>24.375</v>
      </c>
      <c r="O218" s="28">
        <v>2.6208368602016148E-2</v>
      </c>
      <c r="Q218" s="27">
        <f t="shared" si="19"/>
        <v>24.375</v>
      </c>
      <c r="R218" s="28">
        <v>1.9513726574263111E-2</v>
      </c>
    </row>
    <row r="219" spans="2:18" ht="13.2" customHeight="1" x14ac:dyDescent="0.25">
      <c r="B219" s="27">
        <f t="shared" si="17"/>
        <v>24.5</v>
      </c>
      <c r="C219" s="28">
        <v>1.9523712721292205E-2</v>
      </c>
      <c r="E219" s="86"/>
      <c r="H219" s="27">
        <f t="shared" si="15"/>
        <v>8.7999999999999918</v>
      </c>
      <c r="I219" s="85">
        <v>2.5091393740095752E-2</v>
      </c>
      <c r="K219" s="27">
        <f t="shared" si="16"/>
        <v>8.7999999999999918</v>
      </c>
      <c r="L219" s="28">
        <v>2.6704881723434482E-2</v>
      </c>
      <c r="N219" s="27">
        <f t="shared" si="18"/>
        <v>24.5</v>
      </c>
      <c r="O219" s="28">
        <v>2.621537321629382E-2</v>
      </c>
      <c r="Q219" s="27">
        <f t="shared" si="19"/>
        <v>24.5</v>
      </c>
      <c r="R219" s="28">
        <v>1.9523712721292205E-2</v>
      </c>
    </row>
    <row r="220" spans="2:18" ht="13.2" customHeight="1" x14ac:dyDescent="0.25">
      <c r="B220" s="27">
        <f t="shared" si="17"/>
        <v>24.625</v>
      </c>
      <c r="C220" s="28">
        <v>1.9533420467054176E-2</v>
      </c>
      <c r="E220" s="86"/>
      <c r="H220" s="27">
        <f t="shared" si="15"/>
        <v>8.8499999999999925</v>
      </c>
      <c r="I220" s="85">
        <v>2.5198340743237461E-2</v>
      </c>
      <c r="K220" s="27">
        <f t="shared" si="16"/>
        <v>8.8499999999999925</v>
      </c>
      <c r="L220" s="28">
        <v>2.6788872255420353E-2</v>
      </c>
      <c r="N220" s="27">
        <f t="shared" si="18"/>
        <v>24.625</v>
      </c>
      <c r="O220" s="28">
        <v>2.6222377830571499E-2</v>
      </c>
      <c r="Q220" s="27">
        <f t="shared" si="19"/>
        <v>24.625</v>
      </c>
      <c r="R220" s="28">
        <v>1.9533420467054176E-2</v>
      </c>
    </row>
    <row r="221" spans="2:18" ht="13.2" customHeight="1" x14ac:dyDescent="0.25">
      <c r="B221" s="27">
        <f t="shared" si="17"/>
        <v>24.75</v>
      </c>
      <c r="C221" s="28">
        <v>1.954284234731777E-2</v>
      </c>
      <c r="E221" s="86"/>
      <c r="H221" s="27">
        <f t="shared" si="15"/>
        <v>8.8999999999999932</v>
      </c>
      <c r="I221" s="85">
        <v>2.530528774637917E-2</v>
      </c>
      <c r="K221" s="27">
        <f t="shared" si="16"/>
        <v>8.8999999999999932</v>
      </c>
      <c r="L221" s="28">
        <v>2.6872862787406224E-2</v>
      </c>
      <c r="N221" s="27">
        <f t="shared" si="18"/>
        <v>24.75</v>
      </c>
      <c r="O221" s="28">
        <v>2.6229382444849177E-2</v>
      </c>
      <c r="Q221" s="27">
        <f t="shared" si="19"/>
        <v>24.75</v>
      </c>
      <c r="R221" s="28">
        <v>1.954284234731777E-2</v>
      </c>
    </row>
    <row r="222" spans="2:18" ht="13.2" customHeight="1" x14ac:dyDescent="0.25">
      <c r="B222" s="27">
        <f t="shared" si="17"/>
        <v>24.875</v>
      </c>
      <c r="C222" s="28">
        <v>1.9551971047886571E-2</v>
      </c>
      <c r="E222" s="86"/>
      <c r="H222" s="27">
        <f t="shared" si="15"/>
        <v>8.949999999999994</v>
      </c>
      <c r="I222" s="85">
        <v>2.5412234749520878E-2</v>
      </c>
      <c r="K222" s="27">
        <f t="shared" si="16"/>
        <v>8.949999999999994</v>
      </c>
      <c r="L222" s="28">
        <v>2.6956853319392095E-2</v>
      </c>
      <c r="N222" s="27">
        <f t="shared" si="18"/>
        <v>24.875</v>
      </c>
      <c r="O222" s="28">
        <v>2.6236387059126853E-2</v>
      </c>
      <c r="Q222" s="27">
        <f t="shared" si="19"/>
        <v>24.875</v>
      </c>
      <c r="R222" s="28">
        <v>1.9551971047886571E-2</v>
      </c>
    </row>
    <row r="223" spans="2:18" ht="13.2" customHeight="1" x14ac:dyDescent="0.25">
      <c r="B223" s="27">
        <f t="shared" si="17"/>
        <v>25</v>
      </c>
      <c r="C223" s="28">
        <v>1.956079940084806E-2</v>
      </c>
      <c r="E223" s="86"/>
      <c r="H223" s="27">
        <f t="shared" si="15"/>
        <v>8.9999999999999947</v>
      </c>
      <c r="I223" s="85">
        <v>2.5519181752662583E-2</v>
      </c>
      <c r="K223" s="27">
        <f t="shared" si="16"/>
        <v>8.9999999999999947</v>
      </c>
      <c r="L223" s="28">
        <v>2.7040843851377967E-2</v>
      </c>
      <c r="N223" s="27">
        <f t="shared" si="18"/>
        <v>25</v>
      </c>
      <c r="O223" s="28">
        <v>2.6243391673404531E-2</v>
      </c>
      <c r="Q223" s="27">
        <f t="shared" si="19"/>
        <v>25</v>
      </c>
      <c r="R223" s="28">
        <v>1.956079940084806E-2</v>
      </c>
    </row>
    <row r="224" spans="2:18" ht="13.2" customHeight="1" x14ac:dyDescent="0.25">
      <c r="B224" s="27">
        <f t="shared" si="17"/>
        <v>25.125</v>
      </c>
      <c r="C224" s="28">
        <v>1.9569323162209922E-2</v>
      </c>
      <c r="E224" s="86"/>
      <c r="H224" s="27">
        <f t="shared" si="15"/>
        <v>9.0499999999999954</v>
      </c>
      <c r="I224" s="85">
        <v>2.5626128755804292E-2</v>
      </c>
      <c r="K224" s="27">
        <f t="shared" si="16"/>
        <v>9.0499999999999954</v>
      </c>
      <c r="L224" s="28">
        <v>2.7124834383363838E-2</v>
      </c>
      <c r="N224" s="27">
        <f t="shared" si="18"/>
        <v>25.125</v>
      </c>
      <c r="O224" s="28">
        <v>2.6250396287682214E-2</v>
      </c>
      <c r="Q224" s="27">
        <f t="shared" si="19"/>
        <v>25.125</v>
      </c>
      <c r="R224" s="28">
        <v>1.9569323162209922E-2</v>
      </c>
    </row>
    <row r="225" spans="2:18" ht="13.2" customHeight="1" x14ac:dyDescent="0.25">
      <c r="B225" s="27">
        <f t="shared" si="17"/>
        <v>25.25</v>
      </c>
      <c r="C225" s="28">
        <v>1.957755844664627E-2</v>
      </c>
      <c r="E225" s="86"/>
      <c r="H225" s="27">
        <f t="shared" si="15"/>
        <v>9.0999999999999961</v>
      </c>
      <c r="I225" s="85">
        <v>2.5733075758946001E-2</v>
      </c>
      <c r="K225" s="27">
        <f t="shared" si="16"/>
        <v>9.0999999999999961</v>
      </c>
      <c r="L225" s="28">
        <v>2.7208824915349709E-2</v>
      </c>
      <c r="N225" s="27">
        <f t="shared" si="18"/>
        <v>25.25</v>
      </c>
      <c r="O225" s="28">
        <v>2.6257400901959878E-2</v>
      </c>
      <c r="Q225" s="27">
        <f t="shared" si="19"/>
        <v>25.25</v>
      </c>
      <c r="R225" s="28">
        <v>1.957755844664627E-2</v>
      </c>
    </row>
    <row r="226" spans="2:18" ht="13.2" customHeight="1" x14ac:dyDescent="0.25">
      <c r="B226" s="27">
        <f t="shared" si="17"/>
        <v>25.375</v>
      </c>
      <c r="C226" s="28">
        <v>1.9585530024462713E-2</v>
      </c>
      <c r="E226" s="86"/>
      <c r="H226" s="27">
        <f t="shared" si="15"/>
        <v>9.1499999999999968</v>
      </c>
      <c r="I226" s="85">
        <v>2.584002276208771E-2</v>
      </c>
      <c r="K226" s="27">
        <f t="shared" si="16"/>
        <v>9.1499999999999968</v>
      </c>
      <c r="L226" s="28">
        <v>2.729281544733558E-2</v>
      </c>
      <c r="N226" s="27">
        <f t="shared" si="18"/>
        <v>25.375</v>
      </c>
      <c r="O226" s="28">
        <v>2.6264405516237564E-2</v>
      </c>
      <c r="Q226" s="27">
        <f t="shared" si="19"/>
        <v>25.375</v>
      </c>
      <c r="R226" s="28">
        <v>1.9585530024462713E-2</v>
      </c>
    </row>
    <row r="227" spans="2:18" ht="13.2" customHeight="1" x14ac:dyDescent="0.25">
      <c r="B227" s="27">
        <f t="shared" si="17"/>
        <v>25.5</v>
      </c>
      <c r="C227" s="28">
        <v>1.9593262220936037E-2</v>
      </c>
      <c r="E227" s="86"/>
      <c r="H227" s="27">
        <f t="shared" si="15"/>
        <v>9.1999999999999975</v>
      </c>
      <c r="I227" s="85">
        <v>2.5946969765229415E-2</v>
      </c>
      <c r="K227" s="27">
        <f t="shared" si="16"/>
        <v>9.1999999999999975</v>
      </c>
      <c r="L227" s="28">
        <v>2.7376805979321451E-2</v>
      </c>
      <c r="N227" s="27">
        <f t="shared" si="18"/>
        <v>25.5</v>
      </c>
      <c r="O227" s="28">
        <v>2.6271410130515239E-2</v>
      </c>
      <c r="Q227" s="27">
        <f t="shared" si="19"/>
        <v>25.5</v>
      </c>
      <c r="R227" s="28">
        <v>1.9593262220936037E-2</v>
      </c>
    </row>
    <row r="228" spans="2:18" ht="13.2" customHeight="1" x14ac:dyDescent="0.25">
      <c r="B228" s="27">
        <f t="shared" si="17"/>
        <v>25.625</v>
      </c>
      <c r="C228" s="28">
        <v>1.9600778886703488E-2</v>
      </c>
      <c r="E228" s="86"/>
      <c r="H228" s="27">
        <f t="shared" si="15"/>
        <v>9.2499999999999982</v>
      </c>
      <c r="I228" s="85">
        <v>2.6053916768371124E-2</v>
      </c>
      <c r="K228" s="27">
        <f t="shared" si="16"/>
        <v>9.2499999999999982</v>
      </c>
      <c r="L228" s="28">
        <v>2.7460796511307322E-2</v>
      </c>
      <c r="N228" s="27">
        <f t="shared" si="18"/>
        <v>25.625</v>
      </c>
      <c r="O228" s="28">
        <v>2.6278414744792918E-2</v>
      </c>
      <c r="Q228" s="27">
        <f t="shared" si="19"/>
        <v>25.625</v>
      </c>
      <c r="R228" s="28">
        <v>1.9600778886703488E-2</v>
      </c>
    </row>
    <row r="229" spans="2:18" ht="13.2" customHeight="1" x14ac:dyDescent="0.25">
      <c r="B229" s="27">
        <f t="shared" si="17"/>
        <v>25.75</v>
      </c>
      <c r="C229" s="28">
        <v>1.9608103409283133E-2</v>
      </c>
      <c r="E229" s="86"/>
      <c r="H229" s="27">
        <f t="shared" si="15"/>
        <v>9.2999999999999989</v>
      </c>
      <c r="I229" s="85">
        <v>2.6160863771512832E-2</v>
      </c>
      <c r="K229" s="27">
        <f t="shared" si="16"/>
        <v>9.2999999999999989</v>
      </c>
      <c r="L229" s="28">
        <v>2.7544787043293193E-2</v>
      </c>
      <c r="N229" s="27">
        <f t="shared" si="18"/>
        <v>25.75</v>
      </c>
      <c r="O229" s="28">
        <v>2.6285419359070594E-2</v>
      </c>
      <c r="Q229" s="27">
        <f t="shared" si="19"/>
        <v>25.75</v>
      </c>
      <c r="R229" s="28">
        <v>1.9608103409283133E-2</v>
      </c>
    </row>
    <row r="230" spans="2:18" ht="13.2" customHeight="1" x14ac:dyDescent="0.25">
      <c r="B230" s="27">
        <f t="shared" si="17"/>
        <v>25.875</v>
      </c>
      <c r="C230" s="28">
        <v>1.961525872426035E-2</v>
      </c>
      <c r="E230" s="86"/>
      <c r="H230" s="27">
        <f t="shared" si="15"/>
        <v>9.35</v>
      </c>
      <c r="I230" s="85">
        <v>2.6267810774654541E-2</v>
      </c>
      <c r="K230" s="27">
        <f t="shared" si="16"/>
        <v>9.35</v>
      </c>
      <c r="L230" s="28">
        <v>2.7628777575279064E-2</v>
      </c>
      <c r="N230" s="27">
        <f t="shared" si="18"/>
        <v>25.875</v>
      </c>
      <c r="O230" s="28">
        <v>2.6292423973348276E-2</v>
      </c>
      <c r="Q230" s="27">
        <f t="shared" si="19"/>
        <v>25.875</v>
      </c>
      <c r="R230" s="28">
        <v>1.961525872426035E-2</v>
      </c>
    </row>
    <row r="231" spans="2:18" ht="13.2" customHeight="1" x14ac:dyDescent="0.25">
      <c r="B231" s="27">
        <f t="shared" si="17"/>
        <v>26</v>
      </c>
      <c r="C231" s="28">
        <v>1.9622267326151539E-2</v>
      </c>
      <c r="E231" s="86"/>
      <c r="H231" s="27">
        <f t="shared" si="15"/>
        <v>9.4</v>
      </c>
      <c r="I231" s="85">
        <v>2.6374757777796246E-2</v>
      </c>
      <c r="K231" s="27">
        <f t="shared" si="16"/>
        <v>9.4</v>
      </c>
      <c r="L231" s="28">
        <v>2.7712768107264935E-2</v>
      </c>
      <c r="N231" s="27">
        <f t="shared" si="18"/>
        <v>26</v>
      </c>
      <c r="O231" s="28">
        <v>2.6299428587625958E-2</v>
      </c>
      <c r="Q231" s="27">
        <f t="shared" si="19"/>
        <v>26</v>
      </c>
      <c r="R231" s="28">
        <v>1.9622267326151539E-2</v>
      </c>
    </row>
    <row r="232" spans="2:18" ht="13.2" customHeight="1" x14ac:dyDescent="0.25">
      <c r="B232" s="27">
        <f t="shared" si="17"/>
        <v>26.125</v>
      </c>
      <c r="C232" s="28">
        <v>1.9629151278956074E-2</v>
      </c>
      <c r="E232" s="86"/>
      <c r="H232" s="27">
        <f t="shared" si="15"/>
        <v>9.4500000000000011</v>
      </c>
      <c r="I232" s="85">
        <v>2.6481704780937955E-2</v>
      </c>
      <c r="K232" s="27">
        <f t="shared" si="16"/>
        <v>9.4500000000000011</v>
      </c>
      <c r="L232" s="28">
        <v>2.7796758639250806E-2</v>
      </c>
      <c r="N232" s="27">
        <f t="shared" si="18"/>
        <v>26.125</v>
      </c>
      <c r="O232" s="28">
        <v>2.6306433201903626E-2</v>
      </c>
      <c r="Q232" s="27">
        <f t="shared" si="19"/>
        <v>26.125</v>
      </c>
      <c r="R232" s="28">
        <v>1.9629151278956074E-2</v>
      </c>
    </row>
    <row r="233" spans="2:18" ht="13.2" customHeight="1" x14ac:dyDescent="0.25">
      <c r="B233" s="27">
        <f t="shared" si="17"/>
        <v>26.25</v>
      </c>
      <c r="C233" s="28">
        <v>1.9635932226406628E-2</v>
      </c>
      <c r="E233" s="86"/>
      <c r="H233" s="27">
        <f t="shared" si="15"/>
        <v>9.5000000000000018</v>
      </c>
      <c r="I233" s="85">
        <v>2.6588651784079664E-2</v>
      </c>
      <c r="K233" s="27">
        <f t="shared" si="16"/>
        <v>9.5000000000000018</v>
      </c>
      <c r="L233" s="28">
        <v>2.7880749171236677E-2</v>
      </c>
      <c r="N233" s="27">
        <f t="shared" si="18"/>
        <v>26.25</v>
      </c>
      <c r="O233" s="28">
        <v>2.6313437816181305E-2</v>
      </c>
      <c r="Q233" s="27">
        <f t="shared" si="19"/>
        <v>26.25</v>
      </c>
      <c r="R233" s="28">
        <v>1.9635932226406628E-2</v>
      </c>
    </row>
    <row r="234" spans="2:18" ht="13.2" customHeight="1" x14ac:dyDescent="0.25">
      <c r="B234" s="27">
        <f t="shared" si="17"/>
        <v>26.375</v>
      </c>
      <c r="C234" s="28">
        <v>1.9642631401928175E-2</v>
      </c>
      <c r="E234" s="86"/>
      <c r="H234" s="27">
        <f t="shared" si="15"/>
        <v>9.5500000000000025</v>
      </c>
      <c r="I234" s="85">
        <v>2.6695598787221372E-2</v>
      </c>
      <c r="K234" s="27">
        <f t="shared" si="16"/>
        <v>9.5500000000000025</v>
      </c>
      <c r="L234" s="28">
        <v>2.7936762008303289E-2</v>
      </c>
      <c r="N234" s="27">
        <f t="shared" si="18"/>
        <v>26.375</v>
      </c>
      <c r="O234" s="28">
        <v>2.6320442430458984E-2</v>
      </c>
      <c r="Q234" s="27">
        <f t="shared" si="19"/>
        <v>26.375</v>
      </c>
      <c r="R234" s="28">
        <v>1.9642631401928175E-2</v>
      </c>
    </row>
    <row r="235" spans="2:18" ht="13.2" customHeight="1" x14ac:dyDescent="0.25">
      <c r="B235" s="27">
        <f t="shared" si="17"/>
        <v>26.5</v>
      </c>
      <c r="C235" s="28">
        <v>1.964926963831504E-2</v>
      </c>
      <c r="E235" s="86"/>
      <c r="H235" s="27">
        <f t="shared" si="15"/>
        <v>9.6000000000000032</v>
      </c>
      <c r="I235" s="85">
        <v>2.6802545790363078E-2</v>
      </c>
      <c r="K235" s="27">
        <f t="shared" si="16"/>
        <v>9.6000000000000032</v>
      </c>
      <c r="L235" s="28">
        <v>2.7986136070304313E-2</v>
      </c>
      <c r="N235" s="27">
        <f t="shared" si="18"/>
        <v>26.5</v>
      </c>
      <c r="O235" s="28">
        <v>2.6327447044736659E-2</v>
      </c>
      <c r="Q235" s="27">
        <f t="shared" si="19"/>
        <v>26.5</v>
      </c>
      <c r="R235" s="28">
        <v>1.964926963831504E-2</v>
      </c>
    </row>
    <row r="236" spans="2:18" ht="13.2" customHeight="1" x14ac:dyDescent="0.25">
      <c r="B236" s="27">
        <f t="shared" si="17"/>
        <v>26.625</v>
      </c>
      <c r="C236" s="28">
        <v>1.9655867377135327E-2</v>
      </c>
      <c r="E236" s="86"/>
      <c r="H236" s="27">
        <f t="shared" si="15"/>
        <v>9.6500000000000039</v>
      </c>
      <c r="I236" s="85">
        <v>2.6909492793504786E-2</v>
      </c>
      <c r="K236" s="27">
        <f t="shared" si="16"/>
        <v>9.6500000000000039</v>
      </c>
      <c r="L236" s="28">
        <v>2.8035510132305336E-2</v>
      </c>
      <c r="N236" s="27">
        <f t="shared" si="18"/>
        <v>26.625</v>
      </c>
      <c r="O236" s="28">
        <v>2.6334451659014338E-2</v>
      </c>
      <c r="Q236" s="27">
        <f t="shared" si="19"/>
        <v>26.625</v>
      </c>
      <c r="R236" s="28">
        <v>1.9655867377135327E-2</v>
      </c>
    </row>
    <row r="237" spans="2:18" ht="13.2" customHeight="1" x14ac:dyDescent="0.25">
      <c r="B237" s="27">
        <f t="shared" si="17"/>
        <v>26.75</v>
      </c>
      <c r="C237" s="28">
        <v>1.9662444677871788E-2</v>
      </c>
      <c r="E237" s="86"/>
      <c r="H237" s="27">
        <f t="shared" si="15"/>
        <v>9.7000000000000046</v>
      </c>
      <c r="I237" s="85">
        <v>2.7016439796646495E-2</v>
      </c>
      <c r="K237" s="27">
        <f t="shared" si="16"/>
        <v>9.7000000000000046</v>
      </c>
      <c r="L237" s="28">
        <v>2.808488419430636E-2</v>
      </c>
      <c r="N237" s="27">
        <f t="shared" si="18"/>
        <v>26.75</v>
      </c>
      <c r="O237" s="28">
        <v>2.6341456273292013E-2</v>
      </c>
      <c r="Q237" s="27">
        <f t="shared" si="19"/>
        <v>26.75</v>
      </c>
      <c r="R237" s="28">
        <v>1.9662444677871788E-2</v>
      </c>
    </row>
    <row r="238" spans="2:18" ht="13.2" customHeight="1" x14ac:dyDescent="0.25">
      <c r="B238" s="27">
        <f t="shared" si="17"/>
        <v>26.875</v>
      </c>
      <c r="C238" s="28">
        <v>1.9669021226807484E-2</v>
      </c>
      <c r="E238" s="86"/>
      <c r="H238" s="27">
        <f t="shared" si="15"/>
        <v>9.7500000000000053</v>
      </c>
      <c r="I238" s="85">
        <v>2.71233867997882E-2</v>
      </c>
      <c r="K238" s="27">
        <f t="shared" si="16"/>
        <v>9.7500000000000053</v>
      </c>
      <c r="L238" s="28">
        <v>2.8134258256307384E-2</v>
      </c>
      <c r="N238" s="27">
        <f t="shared" si="18"/>
        <v>26.875</v>
      </c>
      <c r="O238" s="28">
        <v>2.6348460887569692E-2</v>
      </c>
      <c r="Q238" s="27">
        <f t="shared" si="19"/>
        <v>26.875</v>
      </c>
      <c r="R238" s="28">
        <v>1.9669021226807484E-2</v>
      </c>
    </row>
    <row r="239" spans="2:18" ht="13.2" customHeight="1" x14ac:dyDescent="0.25">
      <c r="B239" s="27">
        <f t="shared" si="17"/>
        <v>27</v>
      </c>
      <c r="C239" s="28">
        <v>1.9675616345664663E-2</v>
      </c>
      <c r="E239" s="86"/>
      <c r="H239" s="27">
        <f t="shared" si="15"/>
        <v>9.800000000000006</v>
      </c>
      <c r="I239" s="85">
        <v>2.7174775378326046E-2</v>
      </c>
      <c r="K239" s="27">
        <f t="shared" si="16"/>
        <v>9.800000000000006</v>
      </c>
      <c r="L239" s="28">
        <v>2.8183632318308408E-2</v>
      </c>
      <c r="N239" s="27">
        <f t="shared" si="18"/>
        <v>27</v>
      </c>
      <c r="O239" s="28">
        <v>2.6355465501847371E-2</v>
      </c>
      <c r="Q239" s="27">
        <f t="shared" si="19"/>
        <v>27</v>
      </c>
      <c r="R239" s="28">
        <v>1.9675616345664663E-2</v>
      </c>
    </row>
    <row r="240" spans="2:18" ht="13.2" customHeight="1" x14ac:dyDescent="0.25">
      <c r="B240" s="27">
        <f t="shared" si="17"/>
        <v>27.125</v>
      </c>
      <c r="C240" s="28">
        <v>1.9682249000004828E-2</v>
      </c>
      <c r="E240" s="86"/>
      <c r="H240" s="27">
        <f t="shared" si="15"/>
        <v>9.8500000000000068</v>
      </c>
      <c r="I240" s="85">
        <v>2.7209298006537729E-2</v>
      </c>
      <c r="K240" s="27">
        <f t="shared" si="16"/>
        <v>9.8500000000000068</v>
      </c>
      <c r="L240" s="28">
        <v>2.8233006380309431E-2</v>
      </c>
      <c r="N240" s="27">
        <f t="shared" si="18"/>
        <v>27.125</v>
      </c>
      <c r="O240" s="28">
        <v>2.6362470116125046E-2</v>
      </c>
      <c r="Q240" s="27">
        <f t="shared" si="19"/>
        <v>27.125</v>
      </c>
      <c r="R240" s="28">
        <v>1.9682249000004828E-2</v>
      </c>
    </row>
    <row r="241" spans="2:18" ht="13.2" customHeight="1" x14ac:dyDescent="0.25">
      <c r="B241" s="27">
        <f t="shared" si="17"/>
        <v>27.25</v>
      </c>
      <c r="C241" s="28">
        <v>1.96889378073975E-2</v>
      </c>
      <c r="E241" s="86"/>
      <c r="H241" s="27">
        <f t="shared" si="15"/>
        <v>9.9000000000000075</v>
      </c>
      <c r="I241" s="85">
        <v>2.7243820634749411E-2</v>
      </c>
      <c r="K241" s="27">
        <f t="shared" si="16"/>
        <v>9.9000000000000075</v>
      </c>
      <c r="L241" s="28">
        <v>2.8282380442310455E-2</v>
      </c>
      <c r="N241" s="27">
        <f t="shared" si="18"/>
        <v>27.25</v>
      </c>
      <c r="O241" s="28">
        <v>2.6369474730402721E-2</v>
      </c>
      <c r="Q241" s="27">
        <f t="shared" si="19"/>
        <v>27.25</v>
      </c>
      <c r="R241" s="28">
        <v>1.96889378073975E-2</v>
      </c>
    </row>
    <row r="242" spans="2:18" ht="13.2" customHeight="1" x14ac:dyDescent="0.25">
      <c r="B242" s="27">
        <f t="shared" si="17"/>
        <v>27.375</v>
      </c>
      <c r="C242" s="28">
        <v>1.9695701045365267E-2</v>
      </c>
      <c r="E242" s="86"/>
      <c r="H242" s="27">
        <f t="shared" si="15"/>
        <v>9.9500000000000082</v>
      </c>
      <c r="I242" s="85">
        <v>2.7278343262961094E-2</v>
      </c>
      <c r="K242" s="27">
        <f t="shared" si="16"/>
        <v>9.9500000000000082</v>
      </c>
      <c r="L242" s="28">
        <v>2.8331754504311479E-2</v>
      </c>
      <c r="N242" s="27">
        <f t="shared" si="18"/>
        <v>27.375</v>
      </c>
      <c r="O242" s="28">
        <v>2.63764793446804E-2</v>
      </c>
      <c r="Q242" s="27">
        <f t="shared" si="19"/>
        <v>27.375</v>
      </c>
      <c r="R242" s="28">
        <v>1.9695701045365267E-2</v>
      </c>
    </row>
    <row r="243" spans="2:18" ht="13.2" customHeight="1" x14ac:dyDescent="0.25">
      <c r="B243" s="27">
        <f t="shared" si="17"/>
        <v>27.5</v>
      </c>
      <c r="C243" s="28">
        <v>1.9702556659112153E-2</v>
      </c>
      <c r="E243" s="86"/>
      <c r="H243" s="27">
        <f t="shared" si="15"/>
        <v>10.000000000000009</v>
      </c>
      <c r="I243" s="85">
        <v>2.7312865891172777E-2</v>
      </c>
      <c r="K243" s="27">
        <f t="shared" si="16"/>
        <v>10.000000000000009</v>
      </c>
      <c r="L243" s="28">
        <v>2.8381128566312502E-2</v>
      </c>
      <c r="N243" s="27">
        <f t="shared" si="18"/>
        <v>27.5</v>
      </c>
      <c r="O243" s="28">
        <v>2.6383483958958075E-2</v>
      </c>
      <c r="Q243" s="27">
        <f t="shared" si="19"/>
        <v>27.5</v>
      </c>
      <c r="R243" s="28">
        <v>1.9702556659112153E-2</v>
      </c>
    </row>
    <row r="244" spans="2:18" ht="13.2" customHeight="1" x14ac:dyDescent="0.25">
      <c r="B244" s="27">
        <f t="shared" si="17"/>
        <v>27.625</v>
      </c>
      <c r="C244" s="28">
        <v>1.9709522269042084E-2</v>
      </c>
      <c r="E244" s="86"/>
      <c r="H244" s="27">
        <f t="shared" si="15"/>
        <v>10.05000000000001</v>
      </c>
      <c r="I244" s="85">
        <v>2.7347388519384459E-2</v>
      </c>
      <c r="K244" s="27">
        <f t="shared" si="16"/>
        <v>10.05000000000001</v>
      </c>
      <c r="L244" s="28">
        <v>2.8430502628313526E-2</v>
      </c>
      <c r="N244" s="27">
        <f t="shared" si="18"/>
        <v>27.625</v>
      </c>
      <c r="O244" s="28">
        <v>2.6390488573235754E-2</v>
      </c>
      <c r="Q244" s="27">
        <f t="shared" si="19"/>
        <v>27.625</v>
      </c>
      <c r="R244" s="28">
        <v>1.9709522269042084E-2</v>
      </c>
    </row>
    <row r="245" spans="2:18" ht="13.2" customHeight="1" x14ac:dyDescent="0.25">
      <c r="B245" s="27">
        <f t="shared" si="17"/>
        <v>27.75</v>
      </c>
      <c r="C245" s="28">
        <v>1.9716615178074229E-2</v>
      </c>
      <c r="E245" s="86"/>
      <c r="H245" s="27">
        <f t="shared" si="15"/>
        <v>10.10000000000001</v>
      </c>
      <c r="I245" s="85">
        <v>2.7381911147596142E-2</v>
      </c>
      <c r="K245" s="27">
        <f t="shared" si="16"/>
        <v>10.10000000000001</v>
      </c>
      <c r="L245" s="28">
        <v>2.847987669031455E-2</v>
      </c>
      <c r="N245" s="27">
        <f t="shared" si="18"/>
        <v>27.75</v>
      </c>
      <c r="O245" s="28">
        <v>2.6397493187513433E-2</v>
      </c>
      <c r="Q245" s="27">
        <f t="shared" si="19"/>
        <v>27.75</v>
      </c>
      <c r="R245" s="28">
        <v>1.9716615178074229E-2</v>
      </c>
    </row>
    <row r="246" spans="2:18" ht="13.2" customHeight="1" x14ac:dyDescent="0.25">
      <c r="B246" s="27">
        <f t="shared" si="17"/>
        <v>27.875</v>
      </c>
      <c r="C246" s="28">
        <v>1.9723852378761512E-2</v>
      </c>
      <c r="E246" s="86"/>
      <c r="H246" s="27">
        <f t="shared" si="15"/>
        <v>10.150000000000011</v>
      </c>
      <c r="I246" s="85">
        <v>2.7416433775807825E-2</v>
      </c>
      <c r="K246" s="27">
        <f t="shared" si="16"/>
        <v>10.150000000000011</v>
      </c>
      <c r="L246" s="28">
        <v>2.8529250752315573E-2</v>
      </c>
      <c r="N246" s="27">
        <f t="shared" si="18"/>
        <v>27.875</v>
      </c>
      <c r="O246" s="28">
        <v>2.6404497801791112E-2</v>
      </c>
      <c r="Q246" s="27">
        <f t="shared" si="19"/>
        <v>27.875</v>
      </c>
      <c r="R246" s="28">
        <v>1.9723852378761512E-2</v>
      </c>
    </row>
    <row r="247" spans="2:18" ht="13.2" customHeight="1" x14ac:dyDescent="0.25">
      <c r="B247" s="27">
        <f t="shared" si="17"/>
        <v>28</v>
      </c>
      <c r="C247" s="28">
        <v>1.9731250560218402E-2</v>
      </c>
      <c r="E247" s="86"/>
      <c r="H247" s="27">
        <f t="shared" si="15"/>
        <v>10.200000000000012</v>
      </c>
      <c r="I247" s="85">
        <v>2.7450956404019507E-2</v>
      </c>
      <c r="K247" s="27">
        <f t="shared" si="16"/>
        <v>10.200000000000012</v>
      </c>
      <c r="L247" s="28">
        <v>2.8578624814316597E-2</v>
      </c>
      <c r="N247" s="27">
        <f t="shared" si="18"/>
        <v>28</v>
      </c>
      <c r="O247" s="28">
        <v>2.6411502416068787E-2</v>
      </c>
      <c r="Q247" s="27">
        <f t="shared" si="19"/>
        <v>28</v>
      </c>
      <c r="R247" s="28">
        <v>1.9731250560218402E-2</v>
      </c>
    </row>
    <row r="248" spans="2:18" ht="13.2" customHeight="1" x14ac:dyDescent="0.25">
      <c r="B248" s="27">
        <f t="shared" si="17"/>
        <v>28.125</v>
      </c>
      <c r="C248" s="28">
        <v>1.9738826114863991E-2</v>
      </c>
      <c r="E248" s="86"/>
      <c r="H248" s="27">
        <f t="shared" si="15"/>
        <v>10.250000000000012</v>
      </c>
      <c r="I248" s="85">
        <v>2.748547903223119E-2</v>
      </c>
      <c r="K248" s="27">
        <f t="shared" si="16"/>
        <v>10.250000000000012</v>
      </c>
      <c r="L248" s="28">
        <v>2.8627998876317621E-2</v>
      </c>
      <c r="N248" s="27">
        <f t="shared" si="18"/>
        <v>28.125</v>
      </c>
      <c r="O248" s="28">
        <v>2.6418507030346466E-2</v>
      </c>
      <c r="Q248" s="27">
        <f t="shared" si="19"/>
        <v>28.125</v>
      </c>
      <c r="R248" s="28">
        <v>1.9738826114863991E-2</v>
      </c>
    </row>
    <row r="249" spans="2:18" ht="13.2" customHeight="1" x14ac:dyDescent="0.25">
      <c r="B249" s="27">
        <f t="shared" si="17"/>
        <v>28.25</v>
      </c>
      <c r="C249" s="28">
        <v>1.974659514498607E-2</v>
      </c>
      <c r="E249" s="86"/>
      <c r="H249" s="27">
        <f t="shared" si="15"/>
        <v>10.300000000000013</v>
      </c>
      <c r="I249" s="85">
        <v>2.7520001660442873E-2</v>
      </c>
      <c r="K249" s="27">
        <f t="shared" si="16"/>
        <v>10.300000000000013</v>
      </c>
      <c r="L249" s="28">
        <v>2.8677372938318645E-2</v>
      </c>
      <c r="N249" s="27">
        <f t="shared" si="18"/>
        <v>28.25</v>
      </c>
      <c r="O249" s="28">
        <v>2.6425511644624144E-2</v>
      </c>
      <c r="Q249" s="27">
        <f t="shared" si="19"/>
        <v>28.25</v>
      </c>
      <c r="R249" s="28">
        <v>1.974659514498607E-2</v>
      </c>
    </row>
    <row r="250" spans="2:18" ht="13.2" customHeight="1" x14ac:dyDescent="0.25">
      <c r="B250" s="27">
        <f t="shared" si="17"/>
        <v>28.375</v>
      </c>
      <c r="C250" s="28">
        <v>1.9754573469131686E-2</v>
      </c>
      <c r="E250" s="86"/>
      <c r="H250" s="27">
        <f t="shared" si="15"/>
        <v>10.350000000000014</v>
      </c>
      <c r="I250" s="85">
        <v>2.7554524288654559E-2</v>
      </c>
      <c r="K250" s="27">
        <f t="shared" si="16"/>
        <v>10.350000000000014</v>
      </c>
      <c r="L250" s="28">
        <v>2.8726747000319668E-2</v>
      </c>
      <c r="N250" s="27">
        <f t="shared" si="18"/>
        <v>28.375</v>
      </c>
      <c r="O250" s="28">
        <v>2.643251625890182E-2</v>
      </c>
      <c r="Q250" s="27">
        <f t="shared" si="19"/>
        <v>28.375</v>
      </c>
      <c r="R250" s="28">
        <v>1.9754573469131686E-2</v>
      </c>
    </row>
    <row r="251" spans="2:18" ht="13.2" customHeight="1" x14ac:dyDescent="0.25">
      <c r="B251" s="27">
        <f t="shared" si="17"/>
        <v>28.5</v>
      </c>
      <c r="C251" s="28">
        <v>1.9762776628329492E-2</v>
      </c>
      <c r="E251" s="86"/>
      <c r="H251" s="27">
        <f t="shared" si="15"/>
        <v>10.400000000000015</v>
      </c>
      <c r="I251" s="85">
        <v>2.7589046916866242E-2</v>
      </c>
      <c r="K251" s="27">
        <f t="shared" si="16"/>
        <v>10.400000000000015</v>
      </c>
      <c r="L251" s="28">
        <v>2.8776121062320692E-2</v>
      </c>
      <c r="N251" s="27">
        <f t="shared" si="18"/>
        <v>28.5</v>
      </c>
      <c r="O251" s="28">
        <v>2.6439520873179495E-2</v>
      </c>
      <c r="Q251" s="27">
        <f t="shared" si="19"/>
        <v>28.5</v>
      </c>
      <c r="R251" s="28">
        <v>1.9762776628329492E-2</v>
      </c>
    </row>
    <row r="252" spans="2:18" ht="13.2" customHeight="1" x14ac:dyDescent="0.25">
      <c r="B252" s="27">
        <f t="shared" si="17"/>
        <v>28.625</v>
      </c>
      <c r="C252" s="28">
        <v>1.9771219892149142E-2</v>
      </c>
      <c r="E252" s="86"/>
      <c r="H252" s="27">
        <f t="shared" si="15"/>
        <v>10.450000000000015</v>
      </c>
      <c r="I252" s="85">
        <v>2.7623569545077924E-2</v>
      </c>
      <c r="K252" s="27">
        <f t="shared" si="16"/>
        <v>10.450000000000015</v>
      </c>
      <c r="L252" s="28">
        <v>2.8825495124321716E-2</v>
      </c>
      <c r="N252" s="27">
        <f t="shared" si="18"/>
        <v>28.625</v>
      </c>
      <c r="O252" s="28">
        <v>2.6446525487457177E-2</v>
      </c>
      <c r="Q252" s="27">
        <f t="shared" si="19"/>
        <v>28.625</v>
      </c>
      <c r="R252" s="28">
        <v>1.9771219892149142E-2</v>
      </c>
    </row>
    <row r="253" spans="2:18" ht="13.2" customHeight="1" x14ac:dyDescent="0.25">
      <c r="B253" s="27">
        <f t="shared" si="17"/>
        <v>28.75</v>
      </c>
      <c r="C253" s="28">
        <v>1.9779918264602556E-2</v>
      </c>
      <c r="E253" s="86"/>
      <c r="H253" s="27">
        <f t="shared" si="15"/>
        <v>10.500000000000016</v>
      </c>
      <c r="I253" s="85">
        <v>2.7658092173289607E-2</v>
      </c>
      <c r="K253" s="27">
        <f t="shared" si="16"/>
        <v>10.500000000000016</v>
      </c>
      <c r="L253" s="28">
        <v>2.8874869186322739E-2</v>
      </c>
      <c r="N253" s="27">
        <f t="shared" si="18"/>
        <v>28.75</v>
      </c>
      <c r="O253" s="28">
        <v>2.6453530101734853E-2</v>
      </c>
      <c r="Q253" s="27">
        <f t="shared" si="19"/>
        <v>28.75</v>
      </c>
      <c r="R253" s="28">
        <v>1.9779918264602556E-2</v>
      </c>
    </row>
    <row r="254" spans="2:18" ht="13.2" customHeight="1" x14ac:dyDescent="0.25">
      <c r="B254" s="27">
        <f t="shared" si="17"/>
        <v>28.875</v>
      </c>
      <c r="C254" s="28">
        <v>1.9788886489891917E-2</v>
      </c>
      <c r="E254" s="86"/>
      <c r="H254" s="27">
        <f t="shared" si="15"/>
        <v>10.550000000000017</v>
      </c>
      <c r="I254" s="85">
        <v>2.769261480150129E-2</v>
      </c>
      <c r="K254" s="27">
        <f t="shared" si="16"/>
        <v>10.550000000000017</v>
      </c>
      <c r="L254" s="28">
        <v>2.8924243248323763E-2</v>
      </c>
      <c r="N254" s="27">
        <f t="shared" si="18"/>
        <v>28.875</v>
      </c>
      <c r="O254" s="28">
        <v>2.6460534716012531E-2</v>
      </c>
      <c r="Q254" s="27">
        <f t="shared" si="19"/>
        <v>28.875</v>
      </c>
      <c r="R254" s="28">
        <v>1.9788886489891917E-2</v>
      </c>
    </row>
    <row r="255" spans="2:18" ht="13.2" customHeight="1" x14ac:dyDescent="0.25">
      <c r="B255" s="27">
        <f t="shared" si="17"/>
        <v>29</v>
      </c>
      <c r="C255" s="28">
        <v>1.9798139058009041E-2</v>
      </c>
      <c r="E255" s="86"/>
      <c r="H255" s="27">
        <f t="shared" si="15"/>
        <v>10.600000000000017</v>
      </c>
      <c r="I255" s="85">
        <v>2.7727137429712972E-2</v>
      </c>
      <c r="K255" s="27">
        <f t="shared" si="16"/>
        <v>10.600000000000017</v>
      </c>
      <c r="L255" s="28">
        <v>2.8973617310324787E-2</v>
      </c>
      <c r="N255" s="27">
        <f t="shared" si="18"/>
        <v>29</v>
      </c>
      <c r="O255" s="28">
        <v>2.6467539330290203E-2</v>
      </c>
      <c r="Q255" s="27">
        <f t="shared" si="19"/>
        <v>29</v>
      </c>
      <c r="R255" s="28">
        <v>1.9798139058009041E-2</v>
      </c>
    </row>
    <row r="256" spans="2:18" ht="13.2" customHeight="1" x14ac:dyDescent="0.25">
      <c r="B256" s="27">
        <f t="shared" si="17"/>
        <v>29.125</v>
      </c>
      <c r="C256" s="28">
        <v>1.9807690210190496E-2</v>
      </c>
      <c r="E256" s="86"/>
      <c r="H256" s="27">
        <f t="shared" si="15"/>
        <v>10.650000000000018</v>
      </c>
      <c r="I256" s="85">
        <v>2.7761660057924655E-2</v>
      </c>
      <c r="K256" s="27">
        <f t="shared" si="16"/>
        <v>10.650000000000018</v>
      </c>
      <c r="L256" s="28">
        <v>2.9022991372325811E-2</v>
      </c>
      <c r="N256" s="27">
        <f t="shared" si="18"/>
        <v>29.125</v>
      </c>
      <c r="O256" s="28">
        <v>2.6474543944567885E-2</v>
      </c>
      <c r="Q256" s="27">
        <f t="shared" si="19"/>
        <v>29.125</v>
      </c>
      <c r="R256" s="28">
        <v>1.9807690210190496E-2</v>
      </c>
    </row>
    <row r="257" spans="2:18" ht="13.2" customHeight="1" x14ac:dyDescent="0.25">
      <c r="B257" s="27">
        <f t="shared" si="17"/>
        <v>29.25</v>
      </c>
      <c r="C257" s="28">
        <v>1.9817553944232909E-2</v>
      </c>
      <c r="E257" s="86"/>
      <c r="H257" s="27">
        <f t="shared" si="15"/>
        <v>10.700000000000019</v>
      </c>
      <c r="I257" s="85">
        <v>2.7796182686136338E-2</v>
      </c>
      <c r="K257" s="27">
        <f t="shared" si="16"/>
        <v>10.700000000000019</v>
      </c>
      <c r="L257" s="28">
        <v>2.9072365434326834E-2</v>
      </c>
      <c r="N257" s="27">
        <f t="shared" si="18"/>
        <v>29.25</v>
      </c>
      <c r="O257" s="28">
        <v>2.6481548558845561E-2</v>
      </c>
      <c r="Q257" s="27">
        <f t="shared" si="19"/>
        <v>29.25</v>
      </c>
      <c r="R257" s="28">
        <v>1.9817553944232909E-2</v>
      </c>
    </row>
    <row r="258" spans="2:18" ht="13.2" customHeight="1" x14ac:dyDescent="0.25">
      <c r="B258" s="27">
        <f t="shared" si="17"/>
        <v>29.375</v>
      </c>
      <c r="C258" s="28">
        <v>1.9827744019672584E-2</v>
      </c>
      <c r="E258" s="86"/>
      <c r="H258" s="27">
        <f t="shared" si="15"/>
        <v>10.75000000000002</v>
      </c>
      <c r="I258" s="85">
        <v>2.7830705314348021E-2</v>
      </c>
      <c r="K258" s="27">
        <f t="shared" si="16"/>
        <v>10.75000000000002</v>
      </c>
      <c r="L258" s="28">
        <v>2.9121739496327858E-2</v>
      </c>
      <c r="N258" s="27">
        <f t="shared" si="18"/>
        <v>29.375</v>
      </c>
      <c r="O258" s="28">
        <v>2.6488553173123239E-2</v>
      </c>
      <c r="Q258" s="27">
        <f t="shared" si="19"/>
        <v>29.375</v>
      </c>
      <c r="R258" s="28">
        <v>1.9827744019672584E-2</v>
      </c>
    </row>
    <row r="259" spans="2:18" ht="13.2" customHeight="1" x14ac:dyDescent="0.25">
      <c r="B259" s="27">
        <f t="shared" si="17"/>
        <v>29.5</v>
      </c>
      <c r="C259" s="28">
        <v>1.9838273962833292E-2</v>
      </c>
      <c r="E259" s="86"/>
      <c r="H259" s="27">
        <f t="shared" si="15"/>
        <v>10.80000000000002</v>
      </c>
      <c r="I259" s="85">
        <v>2.7865227942559703E-2</v>
      </c>
      <c r="K259" s="27">
        <f t="shared" si="16"/>
        <v>10.80000000000002</v>
      </c>
      <c r="L259" s="28">
        <v>2.9171113558328882E-2</v>
      </c>
      <c r="N259" s="27">
        <f t="shared" si="18"/>
        <v>29.5</v>
      </c>
      <c r="O259" s="28">
        <v>2.6495557787400918E-2</v>
      </c>
      <c r="Q259" s="27">
        <f t="shared" si="19"/>
        <v>29.5</v>
      </c>
      <c r="R259" s="28">
        <v>1.9838273962833292E-2</v>
      </c>
    </row>
    <row r="260" spans="2:18" ht="13.2" customHeight="1" x14ac:dyDescent="0.25">
      <c r="B260" s="27">
        <f t="shared" si="17"/>
        <v>29.625</v>
      </c>
      <c r="C260" s="28">
        <v>1.9849157071746431E-2</v>
      </c>
      <c r="E260" s="86"/>
      <c r="H260" s="27">
        <f t="shared" si="15"/>
        <v>10.850000000000021</v>
      </c>
      <c r="I260" s="85">
        <v>2.7899750570771386E-2</v>
      </c>
      <c r="K260" s="27">
        <f t="shared" si="16"/>
        <v>10.850000000000021</v>
      </c>
      <c r="L260" s="28">
        <v>2.9220487620329905E-2</v>
      </c>
      <c r="N260" s="27">
        <f t="shared" si="18"/>
        <v>29.625</v>
      </c>
      <c r="O260" s="28">
        <v>2.6502562401678594E-2</v>
      </c>
      <c r="Q260" s="27">
        <f t="shared" si="19"/>
        <v>29.625</v>
      </c>
      <c r="R260" s="28">
        <v>1.9849157071746431E-2</v>
      </c>
    </row>
    <row r="261" spans="2:18" ht="13.2" customHeight="1" x14ac:dyDescent="0.25">
      <c r="B261" s="27">
        <f t="shared" si="17"/>
        <v>29.75</v>
      </c>
      <c r="C261" s="28">
        <v>1.9860406420947101E-2</v>
      </c>
      <c r="E261" s="86"/>
      <c r="H261" s="27">
        <f t="shared" si="15"/>
        <v>10.900000000000022</v>
      </c>
      <c r="I261" s="85">
        <v>2.7934273198983069E-2</v>
      </c>
      <c r="K261" s="27">
        <f t="shared" si="16"/>
        <v>10.900000000000022</v>
      </c>
      <c r="L261" s="28">
        <v>2.9269861682330929E-2</v>
      </c>
      <c r="N261" s="27">
        <f t="shared" si="18"/>
        <v>29.75</v>
      </c>
      <c r="O261" s="28">
        <v>2.6509567015956272E-2</v>
      </c>
      <c r="Q261" s="27">
        <f t="shared" si="19"/>
        <v>29.75</v>
      </c>
      <c r="R261" s="28">
        <v>1.9860406420947101E-2</v>
      </c>
    </row>
    <row r="262" spans="2:18" ht="13.2" customHeight="1" x14ac:dyDescent="0.25">
      <c r="B262" s="27">
        <f t="shared" si="17"/>
        <v>29.875</v>
      </c>
      <c r="C262" s="28">
        <v>1.9872034866149694E-2</v>
      </c>
      <c r="E262" s="86"/>
      <c r="H262" s="27">
        <f t="shared" si="15"/>
        <v>10.950000000000022</v>
      </c>
      <c r="I262" s="85">
        <v>2.7968795827194751E-2</v>
      </c>
      <c r="K262" s="27">
        <f t="shared" si="16"/>
        <v>10.950000000000022</v>
      </c>
      <c r="L262" s="28">
        <v>2.9319235744331953E-2</v>
      </c>
      <c r="N262" s="27">
        <f t="shared" si="18"/>
        <v>29.875</v>
      </c>
      <c r="O262" s="28">
        <v>2.6516571630233948E-2</v>
      </c>
      <c r="Q262" s="27">
        <f t="shared" si="19"/>
        <v>29.875</v>
      </c>
      <c r="R262" s="28">
        <v>1.9872034866149694E-2</v>
      </c>
    </row>
    <row r="263" spans="2:18" ht="13.2" customHeight="1" x14ac:dyDescent="0.25">
      <c r="B263" s="27">
        <f t="shared" si="17"/>
        <v>30</v>
      </c>
      <c r="C263" s="28">
        <v>1.9884055048806724E-2</v>
      </c>
      <c r="E263" s="86"/>
      <c r="H263" s="27">
        <f t="shared" si="15"/>
        <v>11.000000000000023</v>
      </c>
      <c r="I263" s="85">
        <v>2.8003318455406434E-2</v>
      </c>
      <c r="K263" s="27">
        <f t="shared" si="16"/>
        <v>11.000000000000023</v>
      </c>
      <c r="L263" s="28">
        <v>2.9368609806332976E-2</v>
      </c>
      <c r="N263" s="27">
        <f t="shared" si="18"/>
        <v>30</v>
      </c>
      <c r="O263" s="28">
        <v>2.6523576244511626E-2</v>
      </c>
      <c r="Q263" s="27">
        <f t="shared" si="19"/>
        <v>30</v>
      </c>
      <c r="R263" s="28">
        <v>1.9884055048806724E-2</v>
      </c>
    </row>
    <row r="264" spans="2:18" ht="13.2" customHeight="1" x14ac:dyDescent="0.25">
      <c r="B264" s="27">
        <f t="shared" si="17"/>
        <v>30.125</v>
      </c>
      <c r="C264" s="28">
        <v>1.9896477623636607E-2</v>
      </c>
      <c r="E264" s="86"/>
      <c r="H264" s="27">
        <f t="shared" si="15"/>
        <v>11.050000000000024</v>
      </c>
      <c r="I264" s="85">
        <v>2.8037841083618117E-2</v>
      </c>
      <c r="K264" s="27">
        <f t="shared" si="16"/>
        <v>11.050000000000024</v>
      </c>
      <c r="L264" s="28">
        <v>2.9417983868334E-2</v>
      </c>
      <c r="N264" s="27">
        <f t="shared" si="18"/>
        <v>30.125</v>
      </c>
      <c r="O264" s="28">
        <v>2.6538635688311111E-2</v>
      </c>
      <c r="Q264" s="27">
        <f t="shared" si="19"/>
        <v>30.125</v>
      </c>
      <c r="R264" s="28">
        <v>1.9896477623636607E-2</v>
      </c>
    </row>
    <row r="265" spans="2:18" ht="13.2" customHeight="1" x14ac:dyDescent="0.25">
      <c r="B265" s="27">
        <f t="shared" si="17"/>
        <v>30.25</v>
      </c>
      <c r="C265" s="28">
        <v>1.9909298116520799E-2</v>
      </c>
      <c r="E265" s="86"/>
      <c r="H265" s="27">
        <f t="shared" si="15"/>
        <v>11.100000000000025</v>
      </c>
      <c r="I265" s="85">
        <v>2.8072363711829799E-2</v>
      </c>
      <c r="K265" s="27">
        <f t="shared" si="16"/>
        <v>11.100000000000025</v>
      </c>
      <c r="L265" s="28">
        <v>2.9467357930335024E-2</v>
      </c>
      <c r="N265" s="27">
        <f t="shared" si="18"/>
        <v>30.25</v>
      </c>
      <c r="O265" s="28">
        <v>2.6556254067121133E-2</v>
      </c>
      <c r="Q265" s="27">
        <f t="shared" si="19"/>
        <v>30.25</v>
      </c>
      <c r="R265" s="28">
        <v>1.9909298116520799E-2</v>
      </c>
    </row>
    <row r="266" spans="2:18" ht="13.2" customHeight="1" x14ac:dyDescent="0.25">
      <c r="B266" s="27">
        <f t="shared" si="17"/>
        <v>30.375</v>
      </c>
      <c r="C266" s="28">
        <v>1.9922504645157588E-2</v>
      </c>
      <c r="E266" s="86"/>
      <c r="H266" s="27">
        <f t="shared" si="15"/>
        <v>11.150000000000025</v>
      </c>
      <c r="I266" s="85">
        <v>2.8106886340041482E-2</v>
      </c>
      <c r="K266" s="27">
        <f t="shared" si="16"/>
        <v>11.150000000000025</v>
      </c>
      <c r="L266" s="28">
        <v>2.9516731992336048E-2</v>
      </c>
      <c r="N266" s="27">
        <f t="shared" si="18"/>
        <v>30.375</v>
      </c>
      <c r="O266" s="28">
        <v>2.6573872445931155E-2</v>
      </c>
      <c r="Q266" s="27">
        <f t="shared" si="19"/>
        <v>30.375</v>
      </c>
      <c r="R266" s="28">
        <v>1.9922504645157588E-2</v>
      </c>
    </row>
    <row r="267" spans="2:18" ht="13.2" customHeight="1" x14ac:dyDescent="0.25">
      <c r="B267" s="27">
        <f t="shared" si="17"/>
        <v>30.5</v>
      </c>
      <c r="C267" s="28">
        <v>1.993608546576366E-2</v>
      </c>
      <c r="E267" s="86"/>
      <c r="H267" s="27">
        <f t="shared" si="15"/>
        <v>11.200000000000026</v>
      </c>
      <c r="I267" s="85">
        <v>2.8141408968253165E-2</v>
      </c>
      <c r="K267" s="27">
        <f t="shared" si="16"/>
        <v>11.200000000000026</v>
      </c>
      <c r="L267" s="28">
        <v>2.9566106054337071E-2</v>
      </c>
      <c r="N267" s="27">
        <f t="shared" si="18"/>
        <v>30.5</v>
      </c>
      <c r="O267" s="28">
        <v>2.6591490824741177E-2</v>
      </c>
      <c r="Q267" s="27">
        <f t="shared" si="19"/>
        <v>30.5</v>
      </c>
      <c r="R267" s="28">
        <v>1.993608546576366E-2</v>
      </c>
    </row>
    <row r="268" spans="2:18" ht="13.2" customHeight="1" x14ac:dyDescent="0.25">
      <c r="B268" s="27">
        <f t="shared" si="17"/>
        <v>30.625</v>
      </c>
      <c r="C268" s="28">
        <v>1.9950029026290939E-2</v>
      </c>
      <c r="E268" s="86"/>
      <c r="H268" s="27">
        <f t="shared" si="15"/>
        <v>11.250000000000027</v>
      </c>
      <c r="I268" s="85">
        <v>2.8175931596464848E-2</v>
      </c>
      <c r="K268" s="27">
        <f t="shared" si="16"/>
        <v>11.250000000000027</v>
      </c>
      <c r="L268" s="28">
        <v>2.9615480116338095E-2</v>
      </c>
      <c r="N268" s="27">
        <f t="shared" si="18"/>
        <v>30.625</v>
      </c>
      <c r="O268" s="28">
        <v>2.6609109203551199E-2</v>
      </c>
      <c r="Q268" s="27">
        <f t="shared" si="19"/>
        <v>30.625</v>
      </c>
      <c r="R268" s="28">
        <v>1.9950029026290939E-2</v>
      </c>
    </row>
    <row r="269" spans="2:18" ht="13.2" customHeight="1" x14ac:dyDescent="0.25">
      <c r="B269" s="27">
        <f t="shared" si="17"/>
        <v>30.75</v>
      </c>
      <c r="C269" s="28">
        <v>1.9964323962529545E-2</v>
      </c>
      <c r="E269" s="86"/>
      <c r="H269" s="27">
        <f t="shared" si="15"/>
        <v>11.300000000000027</v>
      </c>
      <c r="I269" s="85">
        <v>2.821045422467653E-2</v>
      </c>
      <c r="K269" s="27">
        <f t="shared" si="16"/>
        <v>11.300000000000027</v>
      </c>
      <c r="L269" s="28">
        <v>2.9664854178339119E-2</v>
      </c>
      <c r="N269" s="27">
        <f t="shared" si="18"/>
        <v>30.75</v>
      </c>
      <c r="O269" s="28">
        <v>2.6626727582361214E-2</v>
      </c>
      <c r="Q269" s="27">
        <f t="shared" si="19"/>
        <v>30.75</v>
      </c>
      <c r="R269" s="28">
        <v>1.9964323962529545E-2</v>
      </c>
    </row>
    <row r="270" spans="2:18" ht="13.2" customHeight="1" x14ac:dyDescent="0.25">
      <c r="B270" s="27">
        <f t="shared" si="17"/>
        <v>30.875</v>
      </c>
      <c r="C270" s="28">
        <v>1.997895909430537E-2</v>
      </c>
      <c r="E270" s="86"/>
      <c r="H270" s="27">
        <f t="shared" si="15"/>
        <v>11.350000000000028</v>
      </c>
      <c r="I270" s="85">
        <v>2.8244976852888213E-2</v>
      </c>
      <c r="K270" s="27">
        <f t="shared" si="16"/>
        <v>11.350000000000028</v>
      </c>
      <c r="L270" s="28">
        <v>2.9714228240340142E-2</v>
      </c>
      <c r="N270" s="27">
        <f t="shared" si="18"/>
        <v>30.875</v>
      </c>
      <c r="O270" s="28">
        <v>2.664434596117124E-2</v>
      </c>
      <c r="Q270" s="27">
        <f t="shared" si="19"/>
        <v>30.875</v>
      </c>
      <c r="R270" s="28">
        <v>1.997895909430537E-2</v>
      </c>
    </row>
    <row r="271" spans="2:18" ht="13.2" customHeight="1" x14ac:dyDescent="0.25">
      <c r="B271" s="27">
        <f t="shared" si="17"/>
        <v>31</v>
      </c>
      <c r="C271" s="28">
        <v>1.9993923421769706E-2</v>
      </c>
      <c r="E271" s="86"/>
      <c r="H271" s="27">
        <f t="shared" si="15"/>
        <v>11.400000000000029</v>
      </c>
      <c r="I271" s="85">
        <v>2.8279499481099896E-2</v>
      </c>
      <c r="K271" s="27">
        <f t="shared" si="16"/>
        <v>11.400000000000029</v>
      </c>
      <c r="L271" s="28">
        <v>2.9763602302341166E-2</v>
      </c>
      <c r="N271" s="27">
        <f t="shared" si="18"/>
        <v>31</v>
      </c>
      <c r="O271" s="28">
        <v>2.6661964339981262E-2</v>
      </c>
      <c r="Q271" s="27">
        <f t="shared" si="19"/>
        <v>31</v>
      </c>
      <c r="R271" s="28">
        <v>1.9993923421769706E-2</v>
      </c>
    </row>
    <row r="272" spans="2:18" ht="13.2" customHeight="1" x14ac:dyDescent="0.25">
      <c r="B272" s="27">
        <f t="shared" si="17"/>
        <v>31.125</v>
      </c>
      <c r="C272" s="28">
        <v>2.0009206121778245E-2</v>
      </c>
      <c r="E272" s="86"/>
      <c r="H272" s="27">
        <f t="shared" si="15"/>
        <v>11.450000000000029</v>
      </c>
      <c r="I272" s="85">
        <v>2.8314022109311578E-2</v>
      </c>
      <c r="K272" s="27">
        <f t="shared" si="16"/>
        <v>11.450000000000029</v>
      </c>
      <c r="L272" s="28">
        <v>2.981297636434219E-2</v>
      </c>
      <c r="N272" s="27">
        <f t="shared" si="18"/>
        <v>31.125</v>
      </c>
      <c r="O272" s="28">
        <v>2.6679582718791284E-2</v>
      </c>
      <c r="Q272" s="27">
        <f t="shared" si="19"/>
        <v>31.125</v>
      </c>
      <c r="R272" s="28">
        <v>2.0009206121778245E-2</v>
      </c>
    </row>
    <row r="273" spans="2:18" ht="13.2" customHeight="1" x14ac:dyDescent="0.25">
      <c r="B273" s="27">
        <f t="shared" si="17"/>
        <v>31.25</v>
      </c>
      <c r="C273" s="28">
        <v>2.0024796544356963E-2</v>
      </c>
      <c r="E273" s="86"/>
      <c r="H273" s="27">
        <f t="shared" si="15"/>
        <v>11.50000000000003</v>
      </c>
      <c r="I273" s="85">
        <v>2.8348544737523261E-2</v>
      </c>
      <c r="K273" s="27">
        <f t="shared" si="16"/>
        <v>11.50000000000003</v>
      </c>
      <c r="L273" s="28">
        <v>2.9862350426343214E-2</v>
      </c>
      <c r="N273" s="27">
        <f t="shared" si="18"/>
        <v>31.25</v>
      </c>
      <c r="O273" s="28">
        <v>2.6697201097601306E-2</v>
      </c>
      <c r="Q273" s="27">
        <f t="shared" si="19"/>
        <v>31.25</v>
      </c>
      <c r="R273" s="28">
        <v>2.0024796544356963E-2</v>
      </c>
    </row>
    <row r="274" spans="2:18" ht="13.2" customHeight="1" x14ac:dyDescent="0.25">
      <c r="B274" s="27">
        <f t="shared" si="17"/>
        <v>31.375</v>
      </c>
      <c r="C274" s="28">
        <v>2.004068420925258E-2</v>
      </c>
      <c r="E274" s="86"/>
      <c r="H274" s="27">
        <f t="shared" si="15"/>
        <v>11.550000000000031</v>
      </c>
      <c r="I274" s="85">
        <v>2.8383067365734947E-2</v>
      </c>
      <c r="K274" s="27">
        <f t="shared" si="16"/>
        <v>11.550000000000031</v>
      </c>
      <c r="L274" s="28">
        <v>2.9833590713699277E-2</v>
      </c>
      <c r="N274" s="27">
        <f t="shared" si="18"/>
        <v>31.375</v>
      </c>
      <c r="O274" s="28">
        <v>2.6714819476411328E-2</v>
      </c>
      <c r="Q274" s="27">
        <f t="shared" si="19"/>
        <v>31.375</v>
      </c>
      <c r="R274" s="28">
        <v>2.004068420925258E-2</v>
      </c>
    </row>
    <row r="275" spans="2:18" ht="13.2" customHeight="1" x14ac:dyDescent="0.25">
      <c r="B275" s="27">
        <f t="shared" si="17"/>
        <v>31.5</v>
      </c>
      <c r="C275" s="28">
        <v>2.0056858802564994E-2</v>
      </c>
      <c r="E275" s="86"/>
      <c r="H275" s="27">
        <f t="shared" si="15"/>
        <v>11.600000000000032</v>
      </c>
      <c r="I275" s="85">
        <v>2.841758999394663E-2</v>
      </c>
      <c r="K275" s="27">
        <f t="shared" si="16"/>
        <v>11.600000000000032</v>
      </c>
      <c r="L275" s="28">
        <v>2.9786290783343047E-2</v>
      </c>
      <c r="N275" s="27">
        <f t="shared" si="18"/>
        <v>31.5</v>
      </c>
      <c r="O275" s="28">
        <v>2.673243785522135E-2</v>
      </c>
      <c r="Q275" s="27">
        <f t="shared" si="19"/>
        <v>31.5</v>
      </c>
      <c r="R275" s="28">
        <v>2.0056858802564994E-2</v>
      </c>
    </row>
    <row r="276" spans="2:18" ht="13.2" customHeight="1" x14ac:dyDescent="0.25">
      <c r="B276" s="27">
        <f t="shared" si="17"/>
        <v>31.625</v>
      </c>
      <c r="C276" s="28">
        <v>2.0073310173459744E-2</v>
      </c>
      <c r="E276" s="86"/>
      <c r="H276" s="27">
        <f t="shared" si="15"/>
        <v>11.650000000000032</v>
      </c>
      <c r="I276" s="85">
        <v>2.8452112622158313E-2</v>
      </c>
      <c r="K276" s="27">
        <f t="shared" si="16"/>
        <v>11.650000000000032</v>
      </c>
      <c r="L276" s="28">
        <v>2.973899085298682E-2</v>
      </c>
      <c r="N276" s="27">
        <f t="shared" si="18"/>
        <v>31.625</v>
      </c>
      <c r="O276" s="28">
        <v>2.6750056234031368E-2</v>
      </c>
      <c r="Q276" s="27">
        <f t="shared" si="19"/>
        <v>31.625</v>
      </c>
      <c r="R276" s="28">
        <v>2.0073310173459744E-2</v>
      </c>
    </row>
    <row r="277" spans="2:18" ht="13.2" customHeight="1" x14ac:dyDescent="0.25">
      <c r="B277" s="27">
        <f t="shared" si="17"/>
        <v>31.75</v>
      </c>
      <c r="C277" s="28">
        <v>2.0090028330958049E-2</v>
      </c>
      <c r="E277" s="86"/>
      <c r="H277" s="27">
        <f t="shared" si="15"/>
        <v>11.700000000000033</v>
      </c>
      <c r="I277" s="85">
        <v>2.8486635250369995E-2</v>
      </c>
      <c r="K277" s="27">
        <f t="shared" si="16"/>
        <v>11.700000000000033</v>
      </c>
      <c r="L277" s="28">
        <v>2.969169092263059E-2</v>
      </c>
      <c r="N277" s="27">
        <f t="shared" si="18"/>
        <v>31.75</v>
      </c>
      <c r="O277" s="28">
        <v>2.676767461284139E-2</v>
      </c>
      <c r="Q277" s="27">
        <f t="shared" si="19"/>
        <v>31.75</v>
      </c>
      <c r="R277" s="28">
        <v>2.0090028330958049E-2</v>
      </c>
    </row>
    <row r="278" spans="2:18" ht="13.2" customHeight="1" x14ac:dyDescent="0.25">
      <c r="B278" s="27">
        <f t="shared" si="17"/>
        <v>31.875</v>
      </c>
      <c r="C278" s="28">
        <v>2.0107003440802323E-2</v>
      </c>
      <c r="E278" s="86"/>
      <c r="H278" s="27">
        <f t="shared" si="15"/>
        <v>11.750000000000034</v>
      </c>
      <c r="I278" s="85">
        <v>2.8521157878581678E-2</v>
      </c>
      <c r="K278" s="27">
        <f t="shared" si="16"/>
        <v>11.750000000000034</v>
      </c>
      <c r="L278" s="28">
        <v>2.9644390992274363E-2</v>
      </c>
      <c r="N278" s="27">
        <f t="shared" si="18"/>
        <v>31.875</v>
      </c>
      <c r="O278" s="28">
        <v>2.6785292991651413E-2</v>
      </c>
      <c r="Q278" s="27">
        <f t="shared" si="19"/>
        <v>31.875</v>
      </c>
      <c r="R278" s="28">
        <v>2.0107003440802323E-2</v>
      </c>
    </row>
    <row r="279" spans="2:18" ht="13.2" customHeight="1" x14ac:dyDescent="0.25">
      <c r="B279" s="27">
        <f t="shared" si="17"/>
        <v>32</v>
      </c>
      <c r="C279" s="28">
        <v>2.0124225822395272E-2</v>
      </c>
      <c r="E279" s="86"/>
      <c r="H279" s="27">
        <f t="shared" si="15"/>
        <v>11.800000000000034</v>
      </c>
      <c r="I279" s="85">
        <v>2.8511373679903865E-2</v>
      </c>
      <c r="K279" s="27">
        <f t="shared" si="16"/>
        <v>11.800000000000034</v>
      </c>
      <c r="L279" s="28">
        <v>2.9597091061918133E-2</v>
      </c>
      <c r="N279" s="27">
        <f t="shared" si="18"/>
        <v>32</v>
      </c>
      <c r="O279" s="28">
        <v>2.6802911370461435E-2</v>
      </c>
      <c r="Q279" s="27">
        <f t="shared" si="19"/>
        <v>32</v>
      </c>
      <c r="R279" s="28">
        <v>2.0124225822395272E-2</v>
      </c>
    </row>
    <row r="280" spans="2:18" ht="13.2" customHeight="1" x14ac:dyDescent="0.25">
      <c r="B280" s="27">
        <f t="shared" si="17"/>
        <v>32.125</v>
      </c>
      <c r="C280" s="28">
        <v>2.0141685945810391E-2</v>
      </c>
      <c r="E280" s="86"/>
      <c r="H280" s="27">
        <f t="shared" ref="H280:H343" si="20">H279+0.05</f>
        <v>11.850000000000035</v>
      </c>
      <c r="I280" s="85">
        <v>2.848813919449179E-2</v>
      </c>
      <c r="K280" s="27">
        <f t="shared" ref="K280:K343" si="21">K279+0.05</f>
        <v>11.850000000000035</v>
      </c>
      <c r="L280" s="28">
        <v>2.9549791131561903E-2</v>
      </c>
      <c r="N280" s="27">
        <f t="shared" si="18"/>
        <v>32.125</v>
      </c>
      <c r="O280" s="28">
        <v>2.6820529749271457E-2</v>
      </c>
      <c r="Q280" s="27">
        <f t="shared" si="19"/>
        <v>32.125</v>
      </c>
      <c r="R280" s="28">
        <v>2.0141685945810391E-2</v>
      </c>
    </row>
    <row r="281" spans="2:18" ht="13.2" customHeight="1" x14ac:dyDescent="0.25">
      <c r="B281" s="27">
        <f t="shared" ref="B281:B343" si="22">B280+0.125</f>
        <v>32.25</v>
      </c>
      <c r="C281" s="28">
        <v>2.0159374428871946E-2</v>
      </c>
      <c r="E281" s="86"/>
      <c r="H281" s="27">
        <f t="shared" si="20"/>
        <v>11.900000000000036</v>
      </c>
      <c r="I281" s="85">
        <v>2.8464904709079718E-2</v>
      </c>
      <c r="K281" s="27">
        <f t="shared" si="21"/>
        <v>11.900000000000036</v>
      </c>
      <c r="L281" s="28">
        <v>2.9502491201205676E-2</v>
      </c>
      <c r="N281" s="27">
        <f t="shared" ref="N281:N343" si="23">N280+0.125</f>
        <v>32.25</v>
      </c>
      <c r="O281" s="28">
        <v>2.6838148128081479E-2</v>
      </c>
      <c r="Q281" s="27">
        <f t="shared" ref="Q281:Q343" si="24">Q280+0.125</f>
        <v>32.25</v>
      </c>
      <c r="R281" s="28">
        <v>2.0159374428871946E-2</v>
      </c>
    </row>
    <row r="282" spans="2:18" ht="13.2" customHeight="1" x14ac:dyDescent="0.25">
      <c r="B282" s="27">
        <f t="shared" si="22"/>
        <v>32.375</v>
      </c>
      <c r="C282" s="28">
        <v>2.0177282034302704E-2</v>
      </c>
      <c r="E282" s="86"/>
      <c r="H282" s="27">
        <f t="shared" si="20"/>
        <v>11.950000000000037</v>
      </c>
      <c r="I282" s="85">
        <v>2.8441670223667646E-2</v>
      </c>
      <c r="K282" s="27">
        <f t="shared" si="21"/>
        <v>11.950000000000037</v>
      </c>
      <c r="L282" s="28">
        <v>2.9455191270849446E-2</v>
      </c>
      <c r="N282" s="27">
        <f t="shared" si="23"/>
        <v>32.375</v>
      </c>
      <c r="O282" s="28">
        <v>2.6855766506891501E-2</v>
      </c>
      <c r="Q282" s="27">
        <f t="shared" si="24"/>
        <v>32.375</v>
      </c>
      <c r="R282" s="28">
        <v>2.0177282034302704E-2</v>
      </c>
    </row>
    <row r="283" spans="2:18" ht="13.2" customHeight="1" x14ac:dyDescent="0.25">
      <c r="B283" s="27">
        <f t="shared" si="22"/>
        <v>32.5</v>
      </c>
      <c r="C283" s="28">
        <v>2.0195399666937352E-2</v>
      </c>
      <c r="E283" s="86"/>
      <c r="H283" s="27">
        <f t="shared" si="20"/>
        <v>12.000000000000037</v>
      </c>
      <c r="I283" s="85">
        <v>2.8418435738255574E-2</v>
      </c>
      <c r="K283" s="27">
        <f t="shared" si="21"/>
        <v>12.000000000000037</v>
      </c>
      <c r="L283" s="28">
        <v>2.9407891340493219E-2</v>
      </c>
      <c r="N283" s="27">
        <f t="shared" si="23"/>
        <v>32.5</v>
      </c>
      <c r="O283" s="28">
        <v>2.6873384885701523E-2</v>
      </c>
      <c r="Q283" s="27">
        <f t="shared" si="24"/>
        <v>32.5</v>
      </c>
      <c r="R283" s="28">
        <v>2.0195399666937352E-2</v>
      </c>
    </row>
    <row r="284" spans="2:18" ht="13.2" customHeight="1" x14ac:dyDescent="0.25">
      <c r="B284" s="27">
        <f t="shared" si="22"/>
        <v>32.625</v>
      </c>
      <c r="C284" s="28">
        <v>2.0213718371000111E-2</v>
      </c>
      <c r="E284" s="86"/>
      <c r="H284" s="27">
        <f t="shared" si="20"/>
        <v>12.050000000000038</v>
      </c>
      <c r="I284" s="85">
        <v>2.8395201252843501E-2</v>
      </c>
      <c r="K284" s="27">
        <f t="shared" si="21"/>
        <v>12.050000000000038</v>
      </c>
      <c r="L284" s="28">
        <v>2.9360591410136989E-2</v>
      </c>
      <c r="N284" s="27">
        <f t="shared" si="23"/>
        <v>32.625</v>
      </c>
      <c r="O284" s="28">
        <v>2.6891003264511545E-2</v>
      </c>
      <c r="Q284" s="27">
        <f t="shared" si="24"/>
        <v>32.625</v>
      </c>
      <c r="R284" s="28">
        <v>2.0213718371000111E-2</v>
      </c>
    </row>
    <row r="285" spans="2:18" ht="13.2" customHeight="1" x14ac:dyDescent="0.25">
      <c r="B285" s="27">
        <f t="shared" si="22"/>
        <v>32.75</v>
      </c>
      <c r="C285" s="28">
        <v>2.0232229327444593E-2</v>
      </c>
      <c r="E285" s="86"/>
      <c r="H285" s="27">
        <f t="shared" si="20"/>
        <v>12.100000000000039</v>
      </c>
      <c r="I285" s="85">
        <v>2.8371966767431429E-2</v>
      </c>
      <c r="K285" s="27">
        <f t="shared" si="21"/>
        <v>12.100000000000039</v>
      </c>
      <c r="L285" s="28">
        <v>2.9313291479780759E-2</v>
      </c>
      <c r="N285" s="27">
        <f t="shared" si="23"/>
        <v>32.75</v>
      </c>
      <c r="O285" s="28">
        <v>2.6908621643321563E-2</v>
      </c>
      <c r="Q285" s="27">
        <f t="shared" si="24"/>
        <v>32.75</v>
      </c>
      <c r="R285" s="28">
        <v>2.0232229327444593E-2</v>
      </c>
    </row>
    <row r="286" spans="2:18" ht="13.2" customHeight="1" x14ac:dyDescent="0.25">
      <c r="B286" s="27">
        <f t="shared" si="22"/>
        <v>32.875</v>
      </c>
      <c r="C286" s="28">
        <v>2.0250923851354394E-2</v>
      </c>
      <c r="E286" s="86"/>
      <c r="H286" s="27">
        <f t="shared" si="20"/>
        <v>12.150000000000039</v>
      </c>
      <c r="I286" s="85">
        <v>2.8348732282019357E-2</v>
      </c>
      <c r="K286" s="27">
        <f t="shared" si="21"/>
        <v>12.150000000000039</v>
      </c>
      <c r="L286" s="28">
        <v>2.9265991549424532E-2</v>
      </c>
      <c r="N286" s="27">
        <f t="shared" si="23"/>
        <v>32.875</v>
      </c>
      <c r="O286" s="28">
        <v>2.6926240022131585E-2</v>
      </c>
      <c r="Q286" s="27">
        <f t="shared" si="24"/>
        <v>32.875</v>
      </c>
      <c r="R286" s="28">
        <v>2.0250923851354394E-2</v>
      </c>
    </row>
    <row r="287" spans="2:18" ht="13.2" customHeight="1" x14ac:dyDescent="0.25">
      <c r="B287" s="27">
        <f t="shared" si="22"/>
        <v>33</v>
      </c>
      <c r="C287" s="28">
        <v>2.0269793389402758E-2</v>
      </c>
      <c r="E287" s="86"/>
      <c r="H287" s="27">
        <f t="shared" si="20"/>
        <v>12.20000000000004</v>
      </c>
      <c r="I287" s="85">
        <v>2.8325497796607285E-2</v>
      </c>
      <c r="K287" s="27">
        <f t="shared" si="21"/>
        <v>12.20000000000004</v>
      </c>
      <c r="L287" s="28">
        <v>2.9218691619068302E-2</v>
      </c>
      <c r="N287" s="27">
        <f t="shared" si="23"/>
        <v>33</v>
      </c>
      <c r="O287" s="28">
        <v>2.6943858400941607E-2</v>
      </c>
      <c r="Q287" s="27">
        <f t="shared" si="24"/>
        <v>33</v>
      </c>
      <c r="R287" s="28">
        <v>2.0269793389402758E-2</v>
      </c>
    </row>
    <row r="288" spans="2:18" ht="13.2" customHeight="1" x14ac:dyDescent="0.25">
      <c r="B288" s="27">
        <f t="shared" si="22"/>
        <v>33.125</v>
      </c>
      <c r="C288" s="28">
        <v>2.0288829517369732E-2</v>
      </c>
      <c r="E288" s="86"/>
      <c r="H288" s="27">
        <f t="shared" si="20"/>
        <v>12.250000000000041</v>
      </c>
      <c r="I288" s="85">
        <v>2.8302263311195213E-2</v>
      </c>
      <c r="K288" s="27">
        <f t="shared" si="21"/>
        <v>12.250000000000041</v>
      </c>
      <c r="L288" s="28">
        <v>2.9171391688712071E-2</v>
      </c>
      <c r="N288" s="27">
        <f t="shared" si="23"/>
        <v>33.125</v>
      </c>
      <c r="O288" s="28">
        <v>2.6961476779751629E-2</v>
      </c>
      <c r="Q288" s="27">
        <f t="shared" si="24"/>
        <v>33.125</v>
      </c>
      <c r="R288" s="28">
        <v>2.0288829517369732E-2</v>
      </c>
    </row>
    <row r="289" spans="2:18" ht="13.2" customHeight="1" x14ac:dyDescent="0.25">
      <c r="B289" s="27">
        <f t="shared" si="22"/>
        <v>33.25</v>
      </c>
      <c r="C289" s="28">
        <v>2.0308023937715389E-2</v>
      </c>
      <c r="E289" s="86"/>
      <c r="H289" s="27">
        <f t="shared" si="20"/>
        <v>12.300000000000042</v>
      </c>
      <c r="I289" s="85">
        <v>2.8279028825783141E-2</v>
      </c>
      <c r="K289" s="27">
        <f t="shared" si="21"/>
        <v>12.300000000000042</v>
      </c>
      <c r="L289" s="28">
        <v>2.9124091758355845E-2</v>
      </c>
      <c r="N289" s="27">
        <f t="shared" si="23"/>
        <v>33.25</v>
      </c>
      <c r="O289" s="28">
        <v>2.6979095158561651E-2</v>
      </c>
      <c r="Q289" s="27">
        <f t="shared" si="24"/>
        <v>33.25</v>
      </c>
      <c r="R289" s="28">
        <v>2.0308023937715389E-2</v>
      </c>
    </row>
    <row r="290" spans="2:18" ht="13.2" customHeight="1" x14ac:dyDescent="0.25">
      <c r="B290" s="27">
        <f t="shared" si="22"/>
        <v>33.375</v>
      </c>
      <c r="C290" s="28">
        <v>2.032736847720748E-2</v>
      </c>
      <c r="E290" s="86"/>
      <c r="H290" s="27">
        <f t="shared" si="20"/>
        <v>12.350000000000042</v>
      </c>
      <c r="I290" s="85">
        <v>2.8255794340371069E-2</v>
      </c>
      <c r="K290" s="27">
        <f t="shared" si="21"/>
        <v>12.350000000000042</v>
      </c>
      <c r="L290" s="28">
        <v>2.9076791827999614E-2</v>
      </c>
      <c r="N290" s="27">
        <f t="shared" si="23"/>
        <v>33.375</v>
      </c>
      <c r="O290" s="28">
        <v>2.6996713537371674E-2</v>
      </c>
      <c r="Q290" s="27">
        <f t="shared" si="24"/>
        <v>33.375</v>
      </c>
      <c r="R290" s="28">
        <v>2.032736847720748E-2</v>
      </c>
    </row>
    <row r="291" spans="2:18" ht="13.2" customHeight="1" x14ac:dyDescent="0.25">
      <c r="B291" s="27">
        <f t="shared" si="22"/>
        <v>33.5</v>
      </c>
      <c r="C291" s="28">
        <v>2.034685508460234E-2</v>
      </c>
      <c r="E291" s="86"/>
      <c r="H291" s="27">
        <f t="shared" si="20"/>
        <v>12.400000000000043</v>
      </c>
      <c r="I291" s="85">
        <v>2.8232559854958997E-2</v>
      </c>
      <c r="K291" s="27">
        <f t="shared" si="21"/>
        <v>12.400000000000043</v>
      </c>
      <c r="L291" s="28">
        <v>2.9029491897643388E-2</v>
      </c>
      <c r="N291" s="27">
        <f t="shared" si="23"/>
        <v>33.5</v>
      </c>
      <c r="O291" s="28">
        <v>2.7014331916181699E-2</v>
      </c>
      <c r="Q291" s="27">
        <f t="shared" si="24"/>
        <v>33.5</v>
      </c>
      <c r="R291" s="28">
        <v>2.034685508460234E-2</v>
      </c>
    </row>
    <row r="292" spans="2:18" ht="13.2" customHeight="1" x14ac:dyDescent="0.25">
      <c r="B292" s="27">
        <f t="shared" si="22"/>
        <v>33.625</v>
      </c>
      <c r="C292" s="28">
        <v>2.0366475828377358E-2</v>
      </c>
      <c r="E292" s="86"/>
      <c r="H292" s="27">
        <f t="shared" si="20"/>
        <v>12.450000000000044</v>
      </c>
      <c r="I292" s="85">
        <v>2.8209325369546925E-2</v>
      </c>
      <c r="K292" s="27">
        <f t="shared" si="21"/>
        <v>12.450000000000044</v>
      </c>
      <c r="L292" s="28">
        <v>2.8982191967287158E-2</v>
      </c>
      <c r="N292" s="27">
        <f t="shared" si="23"/>
        <v>33.625</v>
      </c>
      <c r="O292" s="28">
        <v>2.7031950294991718E-2</v>
      </c>
      <c r="Q292" s="27">
        <f t="shared" si="24"/>
        <v>33.625</v>
      </c>
      <c r="R292" s="28">
        <v>2.0366475828377358E-2</v>
      </c>
    </row>
    <row r="293" spans="2:18" ht="13.2" customHeight="1" x14ac:dyDescent="0.25">
      <c r="B293" s="27">
        <f t="shared" si="22"/>
        <v>33.75</v>
      </c>
      <c r="C293" s="28">
        <v>2.0386222894513993E-2</v>
      </c>
      <c r="E293" s="86"/>
      <c r="H293" s="27">
        <f t="shared" si="20"/>
        <v>12.500000000000044</v>
      </c>
      <c r="I293" s="85">
        <v>2.8186090884134853E-2</v>
      </c>
      <c r="K293" s="27">
        <f t="shared" si="21"/>
        <v>12.500000000000044</v>
      </c>
      <c r="L293" s="28">
        <v>2.8934892036930927E-2</v>
      </c>
      <c r="N293" s="27">
        <f t="shared" si="23"/>
        <v>33.75</v>
      </c>
      <c r="O293" s="28">
        <v>2.704956867380174E-2</v>
      </c>
      <c r="Q293" s="27">
        <f t="shared" si="24"/>
        <v>33.75</v>
      </c>
      <c r="R293" s="28">
        <v>2.0386222894513993E-2</v>
      </c>
    </row>
    <row r="294" spans="2:18" ht="13.2" customHeight="1" x14ac:dyDescent="0.25">
      <c r="B294" s="27">
        <f t="shared" si="22"/>
        <v>33.875</v>
      </c>
      <c r="C294" s="28">
        <v>2.0406088584329751E-2</v>
      </c>
      <c r="E294" s="86"/>
      <c r="H294" s="27">
        <f t="shared" si="20"/>
        <v>12.550000000000045</v>
      </c>
      <c r="I294" s="85">
        <v>2.816285639872278E-2</v>
      </c>
      <c r="K294" s="27">
        <f t="shared" si="21"/>
        <v>12.550000000000045</v>
      </c>
      <c r="L294" s="28">
        <v>2.8887592106574701E-2</v>
      </c>
      <c r="N294" s="27">
        <f t="shared" si="23"/>
        <v>33.875</v>
      </c>
      <c r="O294" s="28">
        <v>2.7067187052611758E-2</v>
      </c>
      <c r="Q294" s="27">
        <f t="shared" si="24"/>
        <v>33.875</v>
      </c>
      <c r="R294" s="28">
        <v>2.0406088584329751E-2</v>
      </c>
    </row>
    <row r="295" spans="2:18" ht="13.2" customHeight="1" x14ac:dyDescent="0.25">
      <c r="B295" s="27">
        <f t="shared" si="22"/>
        <v>34</v>
      </c>
      <c r="C295" s="28">
        <v>2.0426065312358074E-2</v>
      </c>
      <c r="E295" s="86"/>
      <c r="H295" s="27">
        <f t="shared" si="20"/>
        <v>12.600000000000046</v>
      </c>
      <c r="I295" s="85">
        <v>2.8139621913310708E-2</v>
      </c>
      <c r="K295" s="27">
        <f t="shared" si="21"/>
        <v>12.600000000000046</v>
      </c>
      <c r="L295" s="28">
        <v>2.884029217621847E-2</v>
      </c>
      <c r="N295" s="27">
        <f t="shared" si="23"/>
        <v>34</v>
      </c>
      <c r="O295" s="28">
        <v>2.708480543142178E-2</v>
      </c>
      <c r="Q295" s="27">
        <f t="shared" si="24"/>
        <v>34</v>
      </c>
      <c r="R295" s="28">
        <v>2.0426065312358074E-2</v>
      </c>
    </row>
    <row r="296" spans="2:18" ht="13.2" customHeight="1" x14ac:dyDescent="0.25">
      <c r="B296" s="27">
        <f t="shared" si="22"/>
        <v>34.125</v>
      </c>
      <c r="C296" s="28">
        <v>2.0446145604274754E-2</v>
      </c>
      <c r="E296" s="86"/>
      <c r="H296" s="27">
        <f t="shared" si="20"/>
        <v>12.650000000000047</v>
      </c>
      <c r="I296" s="85">
        <v>2.8116387427898636E-2</v>
      </c>
      <c r="K296" s="27">
        <f t="shared" si="21"/>
        <v>12.650000000000047</v>
      </c>
      <c r="L296" s="28">
        <v>2.8792992245862244E-2</v>
      </c>
      <c r="N296" s="27">
        <f t="shared" si="23"/>
        <v>34.125</v>
      </c>
      <c r="O296" s="28">
        <v>2.7102423810231806E-2</v>
      </c>
      <c r="Q296" s="27">
        <f t="shared" si="24"/>
        <v>34.125</v>
      </c>
      <c r="R296" s="28">
        <v>2.0446145604274754E-2</v>
      </c>
    </row>
    <row r="297" spans="2:18" ht="13.2" customHeight="1" x14ac:dyDescent="0.25">
      <c r="B297" s="27">
        <f t="shared" si="22"/>
        <v>34.25</v>
      </c>
      <c r="C297" s="28">
        <v>2.0466322094869812E-2</v>
      </c>
      <c r="E297" s="86"/>
      <c r="H297" s="27">
        <f t="shared" si="20"/>
        <v>12.700000000000047</v>
      </c>
      <c r="I297" s="85">
        <v>2.8093152942486564E-2</v>
      </c>
      <c r="K297" s="27">
        <f t="shared" si="21"/>
        <v>12.700000000000047</v>
      </c>
      <c r="L297" s="28">
        <v>2.8745692315506013E-2</v>
      </c>
      <c r="N297" s="27">
        <f t="shared" si="23"/>
        <v>34.25</v>
      </c>
      <c r="O297" s="28">
        <v>2.7120042189041824E-2</v>
      </c>
      <c r="Q297" s="27">
        <f t="shared" si="24"/>
        <v>34.25</v>
      </c>
      <c r="R297" s="28">
        <v>2.0466322094869812E-2</v>
      </c>
    </row>
    <row r="298" spans="2:18" ht="13.2" customHeight="1" x14ac:dyDescent="0.25">
      <c r="B298" s="27">
        <f t="shared" si="22"/>
        <v>34.375</v>
      </c>
      <c r="C298" s="28">
        <v>2.0486587526063599E-2</v>
      </c>
      <c r="E298" s="86"/>
      <c r="H298" s="27">
        <f t="shared" si="20"/>
        <v>12.750000000000048</v>
      </c>
      <c r="I298" s="85">
        <v>2.8069918457074492E-2</v>
      </c>
      <c r="K298" s="27">
        <f t="shared" si="21"/>
        <v>12.750000000000048</v>
      </c>
      <c r="L298" s="28">
        <v>2.8698392385149783E-2</v>
      </c>
      <c r="N298" s="27">
        <f t="shared" si="23"/>
        <v>34.375</v>
      </c>
      <c r="O298" s="28">
        <v>2.713766056785185E-2</v>
      </c>
      <c r="Q298" s="27">
        <f t="shared" si="24"/>
        <v>34.375</v>
      </c>
      <c r="R298" s="28">
        <v>2.0486587526063599E-2</v>
      </c>
    </row>
    <row r="299" spans="2:18" ht="13.2" customHeight="1" x14ac:dyDescent="0.25">
      <c r="B299" s="27">
        <f t="shared" si="22"/>
        <v>34.5</v>
      </c>
      <c r="C299" s="28">
        <v>2.0506934744966024E-2</v>
      </c>
      <c r="E299" s="86"/>
      <c r="H299" s="27">
        <f t="shared" si="20"/>
        <v>12.800000000000049</v>
      </c>
      <c r="I299" s="85">
        <v>2.8046683971662417E-2</v>
      </c>
      <c r="K299" s="27">
        <f t="shared" si="21"/>
        <v>12.800000000000049</v>
      </c>
      <c r="L299" s="28">
        <v>2.8651092454793557E-2</v>
      </c>
      <c r="N299" s="27">
        <f t="shared" si="23"/>
        <v>34.5</v>
      </c>
      <c r="O299" s="28">
        <v>2.7155278946661868E-2</v>
      </c>
      <c r="Q299" s="27">
        <f t="shared" si="24"/>
        <v>34.5</v>
      </c>
      <c r="R299" s="28">
        <v>2.0506934744966024E-2</v>
      </c>
    </row>
    <row r="300" spans="2:18" ht="13.2" customHeight="1" x14ac:dyDescent="0.25">
      <c r="B300" s="27">
        <f t="shared" si="22"/>
        <v>34.625</v>
      </c>
      <c r="C300" s="28">
        <v>2.0527356701977827E-2</v>
      </c>
      <c r="E300" s="86"/>
      <c r="H300" s="27">
        <f t="shared" si="20"/>
        <v>12.850000000000049</v>
      </c>
      <c r="I300" s="85">
        <v>2.8023449486250344E-2</v>
      </c>
      <c r="K300" s="27">
        <f t="shared" si="21"/>
        <v>12.850000000000049</v>
      </c>
      <c r="L300" s="28">
        <v>2.8603792524437326E-2</v>
      </c>
      <c r="N300" s="27">
        <f t="shared" si="23"/>
        <v>34.625</v>
      </c>
      <c r="O300" s="28">
        <v>2.717289732547189E-2</v>
      </c>
      <c r="Q300" s="27">
        <f t="shared" si="24"/>
        <v>34.625</v>
      </c>
      <c r="R300" s="28">
        <v>2.0527356701977827E-2</v>
      </c>
    </row>
    <row r="301" spans="2:18" ht="13.2" customHeight="1" x14ac:dyDescent="0.25">
      <c r="B301" s="27">
        <f t="shared" si="22"/>
        <v>34.75</v>
      </c>
      <c r="C301" s="28">
        <v>2.0547846448932833E-2</v>
      </c>
      <c r="E301" s="86"/>
      <c r="H301" s="27">
        <f t="shared" si="20"/>
        <v>12.90000000000005</v>
      </c>
      <c r="I301" s="85">
        <v>2.8000215000838272E-2</v>
      </c>
      <c r="K301" s="27">
        <f t="shared" si="21"/>
        <v>12.90000000000005</v>
      </c>
      <c r="L301" s="28">
        <v>2.85564925940811E-2</v>
      </c>
      <c r="N301" s="27">
        <f t="shared" si="23"/>
        <v>34.75</v>
      </c>
      <c r="O301" s="28">
        <v>2.7190515704281912E-2</v>
      </c>
      <c r="Q301" s="27">
        <f t="shared" si="24"/>
        <v>34.75</v>
      </c>
      <c r="R301" s="28">
        <v>2.0547846448932833E-2</v>
      </c>
    </row>
    <row r="302" spans="2:18" ht="13.2" customHeight="1" x14ac:dyDescent="0.25">
      <c r="B302" s="27">
        <f t="shared" si="22"/>
        <v>34.875</v>
      </c>
      <c r="C302" s="28">
        <v>2.0568397137280151E-2</v>
      </c>
      <c r="E302" s="86"/>
      <c r="H302" s="27">
        <f t="shared" si="20"/>
        <v>12.950000000000051</v>
      </c>
      <c r="I302" s="85">
        <v>2.79769805154262E-2</v>
      </c>
      <c r="K302" s="27">
        <f t="shared" si="21"/>
        <v>12.950000000000051</v>
      </c>
      <c r="L302" s="28">
        <v>2.8509192663724869E-2</v>
      </c>
      <c r="N302" s="27">
        <f t="shared" si="23"/>
        <v>34.875</v>
      </c>
      <c r="O302" s="28">
        <v>2.7208134083091935E-2</v>
      </c>
      <c r="Q302" s="27">
        <f t="shared" si="24"/>
        <v>34.875</v>
      </c>
      <c r="R302" s="28">
        <v>2.0568397137280151E-2</v>
      </c>
    </row>
    <row r="303" spans="2:18" ht="13.2" customHeight="1" x14ac:dyDescent="0.25">
      <c r="B303" s="27">
        <f t="shared" si="22"/>
        <v>35</v>
      </c>
      <c r="C303" s="28">
        <v>2.0589002016305331E-2</v>
      </c>
      <c r="E303" s="86"/>
      <c r="H303" s="27">
        <f t="shared" si="20"/>
        <v>13.000000000000052</v>
      </c>
      <c r="I303" s="85">
        <v>2.7953746030014128E-2</v>
      </c>
      <c r="K303" s="27">
        <f t="shared" si="21"/>
        <v>13.000000000000052</v>
      </c>
      <c r="L303" s="28">
        <v>2.8461892733368639E-2</v>
      </c>
      <c r="N303" s="27">
        <f t="shared" si="23"/>
        <v>35</v>
      </c>
      <c r="O303" s="28">
        <v>2.7225752461901953E-2</v>
      </c>
      <c r="Q303" s="27">
        <f t="shared" si="24"/>
        <v>35</v>
      </c>
      <c r="R303" s="28">
        <v>2.0589002016305331E-2</v>
      </c>
    </row>
    <row r="304" spans="2:18" ht="13.2" customHeight="1" x14ac:dyDescent="0.25">
      <c r="B304" s="27">
        <f t="shared" si="22"/>
        <v>35.125</v>
      </c>
      <c r="C304" s="28">
        <v>2.0609654431389499E-2</v>
      </c>
      <c r="E304" s="86"/>
      <c r="H304" s="27">
        <f t="shared" si="20"/>
        <v>13.050000000000052</v>
      </c>
      <c r="I304" s="85">
        <v>2.7930511544602056E-2</v>
      </c>
      <c r="K304" s="27">
        <f t="shared" si="21"/>
        <v>13.050000000000052</v>
      </c>
      <c r="L304" s="28">
        <v>2.8414592803012412E-2</v>
      </c>
      <c r="N304" s="27">
        <f t="shared" si="23"/>
        <v>35.125</v>
      </c>
      <c r="O304" s="28">
        <v>2.7243370840711975E-2</v>
      </c>
      <c r="Q304" s="27">
        <f t="shared" si="24"/>
        <v>35.125</v>
      </c>
      <c r="R304" s="28">
        <v>2.0609654431389499E-2</v>
      </c>
    </row>
    <row r="305" spans="2:18" ht="13.2" customHeight="1" x14ac:dyDescent="0.25">
      <c r="B305" s="27">
        <f t="shared" si="22"/>
        <v>35.25</v>
      </c>
      <c r="C305" s="28">
        <v>2.063034782230555E-2</v>
      </c>
      <c r="E305" s="86"/>
      <c r="H305" s="27">
        <f t="shared" si="20"/>
        <v>13.100000000000053</v>
      </c>
      <c r="I305" s="85">
        <v>2.7907277059189984E-2</v>
      </c>
      <c r="K305" s="27">
        <f t="shared" si="21"/>
        <v>13.100000000000053</v>
      </c>
      <c r="L305" s="28">
        <v>2.8367292872656182E-2</v>
      </c>
      <c r="N305" s="27">
        <f t="shared" si="23"/>
        <v>35.25</v>
      </c>
      <c r="O305" s="28">
        <v>2.7260989219522001E-2</v>
      </c>
      <c r="Q305" s="27">
        <f t="shared" si="24"/>
        <v>35.25</v>
      </c>
      <c r="R305" s="28">
        <v>2.063034782230555E-2</v>
      </c>
    </row>
    <row r="306" spans="2:18" ht="13.2" customHeight="1" x14ac:dyDescent="0.25">
      <c r="B306" s="27">
        <f t="shared" si="22"/>
        <v>35.375</v>
      </c>
      <c r="C306" s="28">
        <v>2.0651075721550421E-2</v>
      </c>
      <c r="E306" s="86"/>
      <c r="H306" s="27">
        <f t="shared" si="20"/>
        <v>13.150000000000054</v>
      </c>
      <c r="I306" s="85">
        <v>2.7884042573777912E-2</v>
      </c>
      <c r="K306" s="27">
        <f t="shared" si="21"/>
        <v>13.150000000000054</v>
      </c>
      <c r="L306" s="28">
        <v>2.8319992942299952E-2</v>
      </c>
      <c r="N306" s="27">
        <f t="shared" si="23"/>
        <v>35.375</v>
      </c>
      <c r="O306" s="28">
        <v>2.7278607598332019E-2</v>
      </c>
      <c r="Q306" s="27">
        <f t="shared" si="24"/>
        <v>35.375</v>
      </c>
      <c r="R306" s="28">
        <v>2.0651075721550421E-2</v>
      </c>
    </row>
    <row r="307" spans="2:18" ht="13.2" customHeight="1" x14ac:dyDescent="0.25">
      <c r="B307" s="27">
        <f t="shared" si="22"/>
        <v>35.5</v>
      </c>
      <c r="C307" s="28">
        <v>2.0671831752712658E-2</v>
      </c>
      <c r="E307" s="86"/>
      <c r="H307" s="27">
        <f t="shared" si="20"/>
        <v>13.200000000000054</v>
      </c>
      <c r="I307" s="85">
        <v>2.786080808836584E-2</v>
      </c>
      <c r="K307" s="27">
        <f t="shared" si="21"/>
        <v>13.200000000000054</v>
      </c>
      <c r="L307" s="28">
        <v>2.8272693011943725E-2</v>
      </c>
      <c r="N307" s="27">
        <f t="shared" si="23"/>
        <v>35.5</v>
      </c>
      <c r="O307" s="28">
        <v>2.7296225977142041E-2</v>
      </c>
      <c r="Q307" s="27">
        <f t="shared" si="24"/>
        <v>35.5</v>
      </c>
      <c r="R307" s="28">
        <v>2.0671831752712658E-2</v>
      </c>
    </row>
    <row r="308" spans="2:18" ht="13.2" customHeight="1" x14ac:dyDescent="0.25">
      <c r="B308" s="27">
        <f t="shared" si="22"/>
        <v>35.625</v>
      </c>
      <c r="C308" s="28">
        <v>2.069260962887428E-2</v>
      </c>
      <c r="E308" s="86"/>
      <c r="H308" s="27">
        <f t="shared" si="20"/>
        <v>13.250000000000055</v>
      </c>
      <c r="I308" s="85">
        <v>2.7837573602953768E-2</v>
      </c>
      <c r="K308" s="27">
        <f t="shared" si="21"/>
        <v>13.250000000000055</v>
      </c>
      <c r="L308" s="28">
        <v>2.8225393081587495E-2</v>
      </c>
      <c r="N308" s="27">
        <f t="shared" si="23"/>
        <v>35.625</v>
      </c>
      <c r="O308" s="28">
        <v>2.7313844355952067E-2</v>
      </c>
      <c r="Q308" s="27">
        <f t="shared" si="24"/>
        <v>35.625</v>
      </c>
      <c r="R308" s="28">
        <v>2.069260962887428E-2</v>
      </c>
    </row>
    <row r="309" spans="2:18" ht="13.2" customHeight="1" x14ac:dyDescent="0.25">
      <c r="B309" s="27">
        <f t="shared" si="22"/>
        <v>35.75</v>
      </c>
      <c r="C309" s="28">
        <v>2.0713403151046247E-2</v>
      </c>
      <c r="E309" s="86"/>
      <c r="H309" s="27">
        <f t="shared" si="20"/>
        <v>13.300000000000056</v>
      </c>
      <c r="I309" s="85">
        <v>2.7814339117541696E-2</v>
      </c>
      <c r="K309" s="27">
        <f t="shared" si="21"/>
        <v>13.300000000000056</v>
      </c>
      <c r="L309" s="28">
        <v>2.8178093151231268E-2</v>
      </c>
      <c r="N309" s="27">
        <f t="shared" si="23"/>
        <v>35.75</v>
      </c>
      <c r="O309" s="28">
        <v>2.7331462734762085E-2</v>
      </c>
      <c r="Q309" s="27">
        <f t="shared" si="24"/>
        <v>35.75</v>
      </c>
      <c r="R309" s="28">
        <v>2.0713403151046247E-2</v>
      </c>
    </row>
    <row r="310" spans="2:18" ht="13.2" customHeight="1" x14ac:dyDescent="0.25">
      <c r="B310" s="27">
        <f t="shared" si="22"/>
        <v>35.875</v>
      </c>
      <c r="C310" s="28">
        <v>2.0734206206636581E-2</v>
      </c>
      <c r="E310" s="86"/>
      <c r="H310" s="27">
        <f t="shared" si="20"/>
        <v>13.350000000000056</v>
      </c>
      <c r="I310" s="85">
        <v>2.7791104632129623E-2</v>
      </c>
      <c r="K310" s="27">
        <f t="shared" si="21"/>
        <v>13.350000000000056</v>
      </c>
      <c r="L310" s="28">
        <v>2.8130793220875038E-2</v>
      </c>
      <c r="N310" s="27">
        <f t="shared" si="23"/>
        <v>35.875</v>
      </c>
      <c r="O310" s="28">
        <v>2.7349081113572107E-2</v>
      </c>
      <c r="Q310" s="27">
        <f t="shared" si="24"/>
        <v>35.875</v>
      </c>
      <c r="R310" s="28">
        <v>2.0734206206636581E-2</v>
      </c>
    </row>
    <row r="311" spans="2:18" ht="13.2" customHeight="1" x14ac:dyDescent="0.25">
      <c r="B311" s="27">
        <f t="shared" si="22"/>
        <v>36</v>
      </c>
      <c r="C311" s="28">
        <v>2.0755012767950397E-2</v>
      </c>
      <c r="E311" s="86"/>
      <c r="H311" s="27">
        <f t="shared" si="20"/>
        <v>13.400000000000057</v>
      </c>
      <c r="I311" s="85">
        <v>2.7767870146717551E-2</v>
      </c>
      <c r="K311" s="27">
        <f t="shared" si="21"/>
        <v>13.400000000000057</v>
      </c>
      <c r="L311" s="28">
        <v>2.8083493290518808E-2</v>
      </c>
      <c r="N311" s="27">
        <f t="shared" si="23"/>
        <v>36</v>
      </c>
      <c r="O311" s="28">
        <v>2.7366699492382133E-2</v>
      </c>
      <c r="Q311" s="27">
        <f t="shared" si="24"/>
        <v>36</v>
      </c>
      <c r="R311" s="28">
        <v>2.0755012767950397E-2</v>
      </c>
    </row>
    <row r="312" spans="2:18" ht="13.2" customHeight="1" x14ac:dyDescent="0.25">
      <c r="B312" s="27">
        <f t="shared" si="22"/>
        <v>36.125</v>
      </c>
      <c r="C312" s="28">
        <v>2.0775816890721124E-2</v>
      </c>
      <c r="E312" s="86"/>
      <c r="H312" s="27">
        <f t="shared" si="20"/>
        <v>13.450000000000058</v>
      </c>
      <c r="I312" s="85">
        <v>2.7744635661305479E-2</v>
      </c>
      <c r="K312" s="27">
        <f t="shared" si="21"/>
        <v>13.450000000000058</v>
      </c>
      <c r="L312" s="28">
        <v>2.8036193360162581E-2</v>
      </c>
      <c r="N312" s="27">
        <f t="shared" si="23"/>
        <v>36.125</v>
      </c>
      <c r="O312" s="28">
        <v>2.7384317871192148E-2</v>
      </c>
      <c r="Q312" s="27">
        <f t="shared" si="24"/>
        <v>36.125</v>
      </c>
      <c r="R312" s="28">
        <v>2.0775816890721124E-2</v>
      </c>
    </row>
    <row r="313" spans="2:18" ht="13.2" customHeight="1" x14ac:dyDescent="0.25">
      <c r="B313" s="27">
        <f t="shared" si="22"/>
        <v>36.25</v>
      </c>
      <c r="C313" s="28">
        <v>2.0796612712672077E-2</v>
      </c>
      <c r="E313" s="86"/>
      <c r="H313" s="27">
        <f t="shared" si="20"/>
        <v>13.500000000000059</v>
      </c>
      <c r="I313" s="85">
        <v>2.7721401175893407E-2</v>
      </c>
      <c r="K313" s="27">
        <f t="shared" si="21"/>
        <v>13.500000000000059</v>
      </c>
      <c r="L313" s="28">
        <v>2.7988893429806351E-2</v>
      </c>
      <c r="N313" s="27">
        <f t="shared" si="23"/>
        <v>36.25</v>
      </c>
      <c r="O313" s="28">
        <v>2.740193625000217E-2</v>
      </c>
      <c r="Q313" s="27">
        <f t="shared" si="24"/>
        <v>36.25</v>
      </c>
      <c r="R313" s="28">
        <v>2.0796612712672077E-2</v>
      </c>
    </row>
    <row r="314" spans="2:18" ht="13.2" customHeight="1" x14ac:dyDescent="0.25">
      <c r="B314" s="27">
        <f t="shared" si="22"/>
        <v>36.375</v>
      </c>
      <c r="C314" s="28">
        <v>2.0817394452107681E-2</v>
      </c>
      <c r="E314" s="86"/>
      <c r="H314" s="27">
        <f t="shared" si="20"/>
        <v>13.550000000000059</v>
      </c>
      <c r="I314" s="85">
        <v>2.7698166690481335E-2</v>
      </c>
      <c r="K314" s="27">
        <f t="shared" si="21"/>
        <v>13.550000000000059</v>
      </c>
      <c r="L314" s="28">
        <v>2.7941593499450121E-2</v>
      </c>
      <c r="N314" s="27">
        <f t="shared" si="23"/>
        <v>36.375</v>
      </c>
      <c r="O314" s="28">
        <v>2.7419554628812192E-2</v>
      </c>
      <c r="Q314" s="27">
        <f t="shared" si="24"/>
        <v>36.375</v>
      </c>
      <c r="R314" s="28">
        <v>2.0817394452107681E-2</v>
      </c>
    </row>
    <row r="315" spans="2:18" ht="13.2" customHeight="1" x14ac:dyDescent="0.25">
      <c r="B315" s="27">
        <f t="shared" si="22"/>
        <v>36.5</v>
      </c>
      <c r="C315" s="28">
        <v>2.0838156406533699E-2</v>
      </c>
      <c r="E315" s="86"/>
      <c r="H315" s="27">
        <f t="shared" si="20"/>
        <v>13.60000000000006</v>
      </c>
      <c r="I315" s="85">
        <v>2.7674932205069263E-2</v>
      </c>
      <c r="K315" s="27">
        <f t="shared" si="21"/>
        <v>13.60000000000006</v>
      </c>
      <c r="L315" s="28">
        <v>2.7894293569093894E-2</v>
      </c>
      <c r="N315" s="27">
        <f t="shared" si="23"/>
        <v>36.5</v>
      </c>
      <c r="O315" s="28">
        <v>2.7437173007622214E-2</v>
      </c>
      <c r="Q315" s="27">
        <f t="shared" si="24"/>
        <v>36.5</v>
      </c>
      <c r="R315" s="28">
        <v>2.0838156406533699E-2</v>
      </c>
    </row>
    <row r="316" spans="2:18" ht="13.2" customHeight="1" x14ac:dyDescent="0.25">
      <c r="B316" s="27">
        <f t="shared" si="22"/>
        <v>36.625</v>
      </c>
      <c r="C316" s="28">
        <v>2.0858892951305601E-2</v>
      </c>
      <c r="E316" s="86"/>
      <c r="H316" s="27">
        <f t="shared" si="20"/>
        <v>13.650000000000061</v>
      </c>
      <c r="I316" s="85">
        <v>2.7651697719657191E-2</v>
      </c>
      <c r="K316" s="27">
        <f t="shared" si="21"/>
        <v>13.650000000000061</v>
      </c>
      <c r="L316" s="28">
        <v>2.7846993638737664E-2</v>
      </c>
      <c r="N316" s="27">
        <f t="shared" si="23"/>
        <v>36.625</v>
      </c>
      <c r="O316" s="28">
        <v>2.745479138643224E-2</v>
      </c>
      <c r="Q316" s="27">
        <f t="shared" si="24"/>
        <v>36.625</v>
      </c>
      <c r="R316" s="28">
        <v>2.0858892951305601E-2</v>
      </c>
    </row>
    <row r="317" spans="2:18" ht="13.2" customHeight="1" x14ac:dyDescent="0.25">
      <c r="B317" s="27">
        <f t="shared" si="22"/>
        <v>36.75</v>
      </c>
      <c r="C317" s="28">
        <v>2.0879598538304671E-2</v>
      </c>
      <c r="E317" s="86"/>
      <c r="H317" s="27">
        <f t="shared" si="20"/>
        <v>13.700000000000061</v>
      </c>
      <c r="I317" s="85">
        <v>2.7628463234245115E-2</v>
      </c>
      <c r="K317" s="27">
        <f t="shared" si="21"/>
        <v>13.700000000000061</v>
      </c>
      <c r="L317" s="28">
        <v>2.7799693708381437E-2</v>
      </c>
      <c r="N317" s="27">
        <f t="shared" si="23"/>
        <v>36.75</v>
      </c>
      <c r="O317" s="28">
        <v>2.7472409765242258E-2</v>
      </c>
      <c r="Q317" s="27">
        <f t="shared" si="24"/>
        <v>36.75</v>
      </c>
      <c r="R317" s="28">
        <v>2.0879598538304671E-2</v>
      </c>
    </row>
    <row r="318" spans="2:18" ht="13.2" customHeight="1" x14ac:dyDescent="0.25">
      <c r="B318" s="27">
        <f t="shared" si="22"/>
        <v>36.875</v>
      </c>
      <c r="C318" s="28">
        <v>2.0900267694640911E-2</v>
      </c>
      <c r="E318" s="86"/>
      <c r="H318" s="27">
        <f t="shared" si="20"/>
        <v>13.750000000000062</v>
      </c>
      <c r="I318" s="85">
        <v>2.7605228748833043E-2</v>
      </c>
      <c r="K318" s="27">
        <f t="shared" si="21"/>
        <v>13.750000000000062</v>
      </c>
      <c r="L318" s="28">
        <v>2.7752393778025207E-2</v>
      </c>
      <c r="N318" s="27">
        <f t="shared" si="23"/>
        <v>36.875</v>
      </c>
      <c r="O318" s="28">
        <v>2.749002814405228E-2</v>
      </c>
      <c r="Q318" s="27">
        <f t="shared" si="24"/>
        <v>36.875</v>
      </c>
      <c r="R318" s="28">
        <v>2.0900267694640911E-2</v>
      </c>
    </row>
    <row r="319" spans="2:18" ht="13.2" customHeight="1" x14ac:dyDescent="0.25">
      <c r="B319" s="27">
        <f t="shared" si="22"/>
        <v>37</v>
      </c>
      <c r="C319" s="28">
        <v>2.0920895021382283E-2</v>
      </c>
      <c r="E319" s="86"/>
      <c r="H319" s="27">
        <f t="shared" si="20"/>
        <v>13.800000000000063</v>
      </c>
      <c r="I319" s="85">
        <v>2.7581994263420971E-2</v>
      </c>
      <c r="K319" s="27">
        <f t="shared" si="21"/>
        <v>13.800000000000063</v>
      </c>
      <c r="L319" s="28">
        <v>2.7705093847668977E-2</v>
      </c>
      <c r="N319" s="27">
        <f t="shared" si="23"/>
        <v>37</v>
      </c>
      <c r="O319" s="28">
        <v>2.7507646522862299E-2</v>
      </c>
      <c r="Q319" s="27">
        <f t="shared" si="24"/>
        <v>37</v>
      </c>
      <c r="R319" s="28">
        <v>2.0920895021382283E-2</v>
      </c>
    </row>
    <row r="320" spans="2:18" ht="13.2" customHeight="1" x14ac:dyDescent="0.25">
      <c r="B320" s="27">
        <f t="shared" si="22"/>
        <v>37.125</v>
      </c>
      <c r="C320" s="28">
        <v>2.0941475192309648E-2</v>
      </c>
      <c r="E320" s="86"/>
      <c r="H320" s="27">
        <f t="shared" si="20"/>
        <v>13.850000000000064</v>
      </c>
      <c r="I320" s="85">
        <v>2.7558759778008899E-2</v>
      </c>
      <c r="K320" s="27">
        <f t="shared" si="21"/>
        <v>13.850000000000064</v>
      </c>
      <c r="L320" s="28">
        <v>2.765779391731275E-2</v>
      </c>
      <c r="N320" s="27">
        <f t="shared" si="23"/>
        <v>37.125</v>
      </c>
      <c r="O320" s="28">
        <v>2.7525264901672328E-2</v>
      </c>
      <c r="Q320" s="27">
        <f t="shared" si="24"/>
        <v>37.125</v>
      </c>
      <c r="R320" s="28">
        <v>2.0941475192309648E-2</v>
      </c>
    </row>
    <row r="321" spans="2:18" ht="13.2" customHeight="1" x14ac:dyDescent="0.25">
      <c r="B321" s="27">
        <f t="shared" si="22"/>
        <v>37.25</v>
      </c>
      <c r="C321" s="28">
        <v>2.0962002952696752E-2</v>
      </c>
      <c r="E321" s="86"/>
      <c r="H321" s="27">
        <f t="shared" si="20"/>
        <v>13.900000000000064</v>
      </c>
      <c r="I321" s="85">
        <v>2.7535525292596827E-2</v>
      </c>
      <c r="K321" s="27">
        <f t="shared" si="21"/>
        <v>13.900000000000064</v>
      </c>
      <c r="L321" s="28">
        <v>2.761049398695652E-2</v>
      </c>
      <c r="N321" s="27">
        <f t="shared" si="23"/>
        <v>37.25</v>
      </c>
      <c r="O321" s="28">
        <v>2.7542883280482343E-2</v>
      </c>
      <c r="Q321" s="27">
        <f t="shared" si="24"/>
        <v>37.25</v>
      </c>
      <c r="R321" s="28">
        <v>2.0962002952696752E-2</v>
      </c>
    </row>
    <row r="322" spans="2:18" ht="13.2" customHeight="1" x14ac:dyDescent="0.25">
      <c r="B322" s="27">
        <f t="shared" si="22"/>
        <v>37.375</v>
      </c>
      <c r="C322" s="28">
        <v>2.0982473118114658E-2</v>
      </c>
      <c r="E322" s="86"/>
      <c r="H322" s="27">
        <f t="shared" si="20"/>
        <v>13.950000000000065</v>
      </c>
      <c r="I322" s="85">
        <v>2.7512290807184755E-2</v>
      </c>
      <c r="K322" s="27">
        <f t="shared" si="21"/>
        <v>13.950000000000065</v>
      </c>
      <c r="L322" s="28">
        <v>2.7563194056600293E-2</v>
      </c>
      <c r="N322" s="27">
        <f t="shared" si="23"/>
        <v>37.375</v>
      </c>
      <c r="O322" s="28">
        <v>2.7560501659292365E-2</v>
      </c>
      <c r="Q322" s="27">
        <f t="shared" si="24"/>
        <v>37.375</v>
      </c>
      <c r="R322" s="28">
        <v>2.0982473118114658E-2</v>
      </c>
    </row>
    <row r="323" spans="2:18" ht="13.2" customHeight="1" x14ac:dyDescent="0.25">
      <c r="B323" s="27">
        <f t="shared" si="22"/>
        <v>37.5</v>
      </c>
      <c r="C323" s="28">
        <v>2.100288057326017E-2</v>
      </c>
      <c r="E323" s="86"/>
      <c r="H323" s="27">
        <f t="shared" si="20"/>
        <v>14.000000000000066</v>
      </c>
      <c r="I323" s="85">
        <v>2.7489056321772683E-2</v>
      </c>
      <c r="K323" s="27">
        <f t="shared" si="21"/>
        <v>14.000000000000066</v>
      </c>
      <c r="L323" s="28">
        <v>2.7515894126244063E-2</v>
      </c>
      <c r="N323" s="27">
        <f t="shared" si="23"/>
        <v>37.5</v>
      </c>
      <c r="O323" s="28">
        <v>2.7578120038102387E-2</v>
      </c>
      <c r="Q323" s="27">
        <f t="shared" si="24"/>
        <v>37.5</v>
      </c>
      <c r="R323" s="28">
        <v>2.100288057326017E-2</v>
      </c>
    </row>
    <row r="324" spans="2:18" ht="13.2" customHeight="1" x14ac:dyDescent="0.25">
      <c r="B324" s="27">
        <f t="shared" si="22"/>
        <v>37.625</v>
      </c>
      <c r="C324" s="28">
        <v>2.1023220270807535E-2</v>
      </c>
      <c r="E324" s="86"/>
      <c r="H324" s="27">
        <f t="shared" si="20"/>
        <v>14.050000000000066</v>
      </c>
      <c r="I324" s="85">
        <v>2.7465821836360611E-2</v>
      </c>
      <c r="K324" s="27">
        <f t="shared" si="21"/>
        <v>14.050000000000066</v>
      </c>
      <c r="L324" s="28">
        <v>2.7468594195887833E-2</v>
      </c>
      <c r="N324" s="27">
        <f t="shared" si="23"/>
        <v>37.625</v>
      </c>
      <c r="O324" s="28">
        <v>2.7595738416912409E-2</v>
      </c>
      <c r="Q324" s="27">
        <f t="shared" si="24"/>
        <v>37.625</v>
      </c>
      <c r="R324" s="28">
        <v>2.1023220270807535E-2</v>
      </c>
    </row>
    <row r="325" spans="2:18" ht="13.2" customHeight="1" x14ac:dyDescent="0.25">
      <c r="B325" s="27">
        <f t="shared" si="22"/>
        <v>37.75</v>
      </c>
      <c r="C325" s="28">
        <v>2.104348723028299E-2</v>
      </c>
      <c r="E325" s="86"/>
      <c r="H325" s="27">
        <f t="shared" si="20"/>
        <v>14.100000000000067</v>
      </c>
      <c r="I325" s="85">
        <v>2.7442587350948539E-2</v>
      </c>
      <c r="K325" s="27">
        <f t="shared" si="21"/>
        <v>14.100000000000067</v>
      </c>
      <c r="L325" s="28">
        <v>2.7421294265531606E-2</v>
      </c>
      <c r="N325" s="27">
        <f t="shared" si="23"/>
        <v>37.75</v>
      </c>
      <c r="O325" s="28">
        <v>2.7613356795722434E-2</v>
      </c>
      <c r="Q325" s="27">
        <f t="shared" si="24"/>
        <v>37.75</v>
      </c>
      <c r="R325" s="28">
        <v>2.104348723028299E-2</v>
      </c>
    </row>
    <row r="326" spans="2:18" ht="13.2" customHeight="1" x14ac:dyDescent="0.25">
      <c r="B326" s="27">
        <f t="shared" si="22"/>
        <v>37.875</v>
      </c>
      <c r="C326" s="28">
        <v>2.1063676536961607E-2</v>
      </c>
      <c r="E326" s="86"/>
      <c r="H326" s="27">
        <f t="shared" si="20"/>
        <v>14.150000000000068</v>
      </c>
      <c r="I326" s="85">
        <v>2.7419352865536466E-2</v>
      </c>
      <c r="K326" s="27">
        <f t="shared" si="21"/>
        <v>14.150000000000068</v>
      </c>
      <c r="L326" s="28">
        <v>2.7373994335175376E-2</v>
      </c>
      <c r="N326" s="27">
        <f t="shared" si="23"/>
        <v>37.875</v>
      </c>
      <c r="O326" s="28">
        <v>2.7630975174532453E-2</v>
      </c>
      <c r="Q326" s="27">
        <f t="shared" si="24"/>
        <v>37.875</v>
      </c>
      <c r="R326" s="28">
        <v>2.1063676536961607E-2</v>
      </c>
    </row>
    <row r="327" spans="2:18" ht="13.2" customHeight="1" x14ac:dyDescent="0.25">
      <c r="B327" s="27">
        <f t="shared" si="22"/>
        <v>38</v>
      </c>
      <c r="C327" s="28">
        <v>2.1083783340785898E-2</v>
      </c>
      <c r="E327" s="86"/>
      <c r="H327" s="27">
        <f t="shared" si="20"/>
        <v>14.200000000000069</v>
      </c>
      <c r="I327" s="85">
        <v>2.7396118380124394E-2</v>
      </c>
      <c r="K327" s="27">
        <f t="shared" si="21"/>
        <v>14.200000000000069</v>
      </c>
      <c r="L327" s="28">
        <v>2.7326694404819149E-2</v>
      </c>
      <c r="N327" s="27">
        <f t="shared" si="23"/>
        <v>38</v>
      </c>
      <c r="O327" s="28">
        <v>2.7648593553342475E-2</v>
      </c>
      <c r="Q327" s="27">
        <f t="shared" si="24"/>
        <v>38</v>
      </c>
      <c r="R327" s="28">
        <v>2.1083783340785898E-2</v>
      </c>
    </row>
    <row r="328" spans="2:18" ht="13.2" customHeight="1" x14ac:dyDescent="0.25">
      <c r="B328" s="27">
        <f t="shared" si="22"/>
        <v>38.125</v>
      </c>
      <c r="C328" s="28">
        <v>2.1103802855305678E-2</v>
      </c>
      <c r="E328" s="86"/>
      <c r="H328" s="27">
        <f t="shared" si="20"/>
        <v>14.250000000000069</v>
      </c>
      <c r="I328" s="85">
        <v>2.7372883894712322E-2</v>
      </c>
      <c r="K328" s="27">
        <f t="shared" si="21"/>
        <v>14.250000000000069</v>
      </c>
      <c r="L328" s="28">
        <v>2.7279394474462919E-2</v>
      </c>
      <c r="N328" s="27">
        <f t="shared" si="23"/>
        <v>38.125</v>
      </c>
      <c r="O328" s="28">
        <v>2.7666211932152494E-2</v>
      </c>
      <c r="Q328" s="27">
        <f t="shared" si="24"/>
        <v>38.125</v>
      </c>
      <c r="R328" s="28">
        <v>2.1103802855305678E-2</v>
      </c>
    </row>
    <row r="329" spans="2:18" ht="13.2" customHeight="1" x14ac:dyDescent="0.25">
      <c r="B329" s="27">
        <f t="shared" si="22"/>
        <v>38.25</v>
      </c>
      <c r="C329" s="28">
        <v>2.1123730356638736E-2</v>
      </c>
      <c r="E329" s="86"/>
      <c r="H329" s="27">
        <f t="shared" si="20"/>
        <v>14.30000000000007</v>
      </c>
      <c r="I329" s="85">
        <v>2.734964940930025E-2</v>
      </c>
      <c r="K329" s="27">
        <f t="shared" si="21"/>
        <v>14.30000000000007</v>
      </c>
      <c r="L329" s="28">
        <v>2.7232094544106689E-2</v>
      </c>
      <c r="N329" s="27">
        <f t="shared" si="23"/>
        <v>38.25</v>
      </c>
      <c r="O329" s="28">
        <v>2.7683830310962519E-2</v>
      </c>
      <c r="Q329" s="27">
        <f t="shared" si="24"/>
        <v>38.25</v>
      </c>
      <c r="R329" s="28">
        <v>2.1123730356638736E-2</v>
      </c>
    </row>
    <row r="330" spans="2:18" ht="13.2" customHeight="1" x14ac:dyDescent="0.25">
      <c r="B330" s="27">
        <f t="shared" si="22"/>
        <v>38.375</v>
      </c>
      <c r="C330" s="28">
        <v>2.1143561182451819E-2</v>
      </c>
      <c r="E330" s="86"/>
      <c r="H330" s="27">
        <f t="shared" si="20"/>
        <v>14.350000000000071</v>
      </c>
      <c r="I330" s="85">
        <v>2.7326414923888178E-2</v>
      </c>
      <c r="K330" s="27">
        <f t="shared" si="21"/>
        <v>14.350000000000071</v>
      </c>
      <c r="L330" s="28">
        <v>2.7184794613750462E-2</v>
      </c>
      <c r="N330" s="27">
        <f t="shared" si="23"/>
        <v>38.375</v>
      </c>
      <c r="O330" s="28">
        <v>2.7701448689772541E-2</v>
      </c>
      <c r="Q330" s="27">
        <f t="shared" si="24"/>
        <v>38.375</v>
      </c>
      <c r="R330" s="28">
        <v>2.1143561182451819E-2</v>
      </c>
    </row>
    <row r="331" spans="2:18" ht="13.2" customHeight="1" x14ac:dyDescent="0.25">
      <c r="B331" s="27">
        <f t="shared" si="22"/>
        <v>38.5</v>
      </c>
      <c r="C331" s="28">
        <v>2.1163290730961459E-2</v>
      </c>
      <c r="E331" s="86"/>
      <c r="H331" s="27">
        <f t="shared" si="20"/>
        <v>14.400000000000071</v>
      </c>
      <c r="I331" s="85">
        <v>2.7303180438476106E-2</v>
      </c>
      <c r="K331" s="27">
        <f t="shared" si="21"/>
        <v>14.400000000000071</v>
      </c>
      <c r="L331" s="28">
        <v>2.7137494683394232E-2</v>
      </c>
      <c r="N331" s="27">
        <f t="shared" si="23"/>
        <v>38.5</v>
      </c>
      <c r="O331" s="28">
        <v>2.771906706858256E-2</v>
      </c>
      <c r="Q331" s="27">
        <f t="shared" si="24"/>
        <v>38.5</v>
      </c>
      <c r="R331" s="28">
        <v>2.1163290730961459E-2</v>
      </c>
    </row>
    <row r="332" spans="2:18" ht="13.2" customHeight="1" x14ac:dyDescent="0.25">
      <c r="B332" s="27">
        <f t="shared" si="22"/>
        <v>38.625</v>
      </c>
      <c r="C332" s="28">
        <v>2.1182914459954197E-2</v>
      </c>
      <c r="E332" s="86"/>
      <c r="H332" s="27">
        <f t="shared" si="20"/>
        <v>14.450000000000072</v>
      </c>
      <c r="I332" s="85">
        <v>2.7279945953064034E-2</v>
      </c>
      <c r="K332" s="27">
        <f t="shared" si="21"/>
        <v>14.450000000000072</v>
      </c>
      <c r="L332" s="28">
        <v>2.7090194753038001E-2</v>
      </c>
      <c r="N332" s="27">
        <f t="shared" si="23"/>
        <v>38.625</v>
      </c>
      <c r="O332" s="28">
        <v>2.7736685447392582E-2</v>
      </c>
      <c r="Q332" s="27">
        <f t="shared" si="24"/>
        <v>38.625</v>
      </c>
      <c r="R332" s="28">
        <v>2.1182914459954197E-2</v>
      </c>
    </row>
    <row r="333" spans="2:18" ht="13.2" customHeight="1" x14ac:dyDescent="0.25">
      <c r="B333" s="27">
        <f t="shared" si="22"/>
        <v>38.75</v>
      </c>
      <c r="C333" s="28">
        <v>2.1202427885825773E-2</v>
      </c>
      <c r="E333" s="86"/>
      <c r="H333" s="27">
        <f t="shared" si="20"/>
        <v>14.500000000000073</v>
      </c>
      <c r="I333" s="85">
        <v>2.7256711467651962E-2</v>
      </c>
      <c r="K333" s="27">
        <f t="shared" si="21"/>
        <v>14.500000000000073</v>
      </c>
      <c r="L333" s="28">
        <v>2.7042894822681775E-2</v>
      </c>
      <c r="N333" s="27">
        <f t="shared" si="23"/>
        <v>38.75</v>
      </c>
      <c r="O333" s="28">
        <v>2.7754303826202604E-2</v>
      </c>
      <c r="Q333" s="27">
        <f t="shared" si="24"/>
        <v>38.75</v>
      </c>
      <c r="R333" s="28">
        <v>2.1202427885825773E-2</v>
      </c>
    </row>
    <row r="334" spans="2:18" ht="13.2" customHeight="1" x14ac:dyDescent="0.25">
      <c r="B334" s="27">
        <f t="shared" si="22"/>
        <v>38.875</v>
      </c>
      <c r="C334" s="28">
        <v>2.1221826582638888E-2</v>
      </c>
      <c r="E334" s="86"/>
      <c r="H334" s="27">
        <f t="shared" si="20"/>
        <v>14.550000000000074</v>
      </c>
      <c r="I334" s="85">
        <v>2.723347698223989E-2</v>
      </c>
      <c r="K334" s="27">
        <f t="shared" si="21"/>
        <v>14.550000000000074</v>
      </c>
      <c r="L334" s="28">
        <v>2.6989659453186782E-2</v>
      </c>
      <c r="N334" s="27">
        <f t="shared" si="23"/>
        <v>38.875</v>
      </c>
      <c r="O334" s="28">
        <v>2.7771922205012626E-2</v>
      </c>
      <c r="Q334" s="27">
        <f t="shared" si="24"/>
        <v>38.875</v>
      </c>
      <c r="R334" s="28">
        <v>2.1221826582638888E-2</v>
      </c>
    </row>
    <row r="335" spans="2:18" ht="13.2" customHeight="1" x14ac:dyDescent="0.25">
      <c r="B335" s="27">
        <f t="shared" si="22"/>
        <v>39</v>
      </c>
      <c r="C335" s="28">
        <v>2.1241106181198992E-2</v>
      </c>
      <c r="E335" s="86"/>
      <c r="H335" s="27">
        <f t="shared" si="20"/>
        <v>14.600000000000074</v>
      </c>
      <c r="I335" s="85">
        <v>2.7210242496827818E-2</v>
      </c>
      <c r="K335" s="27">
        <f t="shared" si="21"/>
        <v>14.600000000000074</v>
      </c>
      <c r="L335" s="28">
        <v>2.6933863698180974E-2</v>
      </c>
      <c r="N335" s="27">
        <f t="shared" si="23"/>
        <v>39</v>
      </c>
      <c r="O335" s="28">
        <v>2.7789540583822648E-2</v>
      </c>
      <c r="Q335" s="27">
        <f t="shared" si="24"/>
        <v>39</v>
      </c>
      <c r="R335" s="28">
        <v>2.1241106181198992E-2</v>
      </c>
    </row>
    <row r="336" spans="2:18" ht="13.2" customHeight="1" x14ac:dyDescent="0.25">
      <c r="B336" s="27">
        <f t="shared" si="22"/>
        <v>39.125</v>
      </c>
      <c r="C336" s="28">
        <v>2.1260262368147917E-2</v>
      </c>
      <c r="E336" s="86"/>
      <c r="H336" s="27">
        <f t="shared" si="20"/>
        <v>14.650000000000075</v>
      </c>
      <c r="I336" s="85">
        <v>2.7187008011415742E-2</v>
      </c>
      <c r="K336" s="27">
        <f t="shared" si="21"/>
        <v>14.650000000000075</v>
      </c>
      <c r="L336" s="28">
        <v>2.6878067943175162E-2</v>
      </c>
      <c r="N336" s="27">
        <f t="shared" si="23"/>
        <v>39.125</v>
      </c>
      <c r="O336" s="28">
        <v>2.780715896263267E-2</v>
      </c>
      <c r="Q336" s="27">
        <f t="shared" si="24"/>
        <v>39.125</v>
      </c>
      <c r="R336" s="28">
        <v>2.1260262368147917E-2</v>
      </c>
    </row>
    <row r="337" spans="2:18" ht="13.2" customHeight="1" x14ac:dyDescent="0.25">
      <c r="B337" s="27">
        <f t="shared" si="22"/>
        <v>39.25</v>
      </c>
      <c r="C337" s="28">
        <v>2.1279290885074721E-2</v>
      </c>
      <c r="E337" s="86"/>
      <c r="H337" s="27">
        <f t="shared" si="20"/>
        <v>14.700000000000076</v>
      </c>
      <c r="I337" s="85">
        <v>2.716377352600367E-2</v>
      </c>
      <c r="K337" s="27">
        <f t="shared" si="21"/>
        <v>14.700000000000076</v>
      </c>
      <c r="L337" s="28">
        <v>2.6822272188169353E-2</v>
      </c>
      <c r="N337" s="27">
        <f t="shared" si="23"/>
        <v>39.25</v>
      </c>
      <c r="O337" s="28">
        <v>2.7824777341442692E-2</v>
      </c>
      <c r="Q337" s="27">
        <f t="shared" si="24"/>
        <v>39.25</v>
      </c>
      <c r="R337" s="28">
        <v>2.1279290885074721E-2</v>
      </c>
    </row>
    <row r="338" spans="2:18" ht="13.2" customHeight="1" x14ac:dyDescent="0.25">
      <c r="B338" s="27">
        <f t="shared" si="22"/>
        <v>39.375</v>
      </c>
      <c r="C338" s="28">
        <v>2.1298187527643519E-2</v>
      </c>
      <c r="E338" s="86"/>
      <c r="H338" s="27">
        <f t="shared" si="20"/>
        <v>14.750000000000076</v>
      </c>
      <c r="I338" s="85">
        <v>2.7140539040591598E-2</v>
      </c>
      <c r="K338" s="27">
        <f t="shared" si="21"/>
        <v>14.750000000000076</v>
      </c>
      <c r="L338" s="28">
        <v>2.6766476433163541E-2</v>
      </c>
      <c r="N338" s="27">
        <f t="shared" si="23"/>
        <v>39.375</v>
      </c>
      <c r="O338" s="28">
        <v>2.7842395720252718E-2</v>
      </c>
      <c r="Q338" s="27">
        <f t="shared" si="24"/>
        <v>39.375</v>
      </c>
      <c r="R338" s="28">
        <v>2.1298187527643519E-2</v>
      </c>
    </row>
    <row r="339" spans="2:18" ht="13.2" customHeight="1" x14ac:dyDescent="0.25">
      <c r="B339" s="27">
        <f t="shared" si="22"/>
        <v>39.5</v>
      </c>
      <c r="C339" s="28">
        <v>2.1316948144737877E-2</v>
      </c>
      <c r="E339" s="86"/>
      <c r="H339" s="27">
        <f t="shared" si="20"/>
        <v>14.800000000000077</v>
      </c>
      <c r="I339" s="85">
        <v>2.7077819837092357E-2</v>
      </c>
      <c r="K339" s="27">
        <f t="shared" si="21"/>
        <v>14.800000000000077</v>
      </c>
      <c r="L339" s="28">
        <v>2.6710680678157732E-2</v>
      </c>
      <c r="N339" s="27">
        <f t="shared" si="23"/>
        <v>39.5</v>
      </c>
      <c r="O339" s="28">
        <v>2.7860014099062736E-2</v>
      </c>
      <c r="Q339" s="27">
        <f t="shared" si="24"/>
        <v>39.5</v>
      </c>
      <c r="R339" s="28">
        <v>2.1316948144737877E-2</v>
      </c>
    </row>
    <row r="340" spans="2:18" ht="13.2" customHeight="1" x14ac:dyDescent="0.25">
      <c r="B340" s="27">
        <f t="shared" si="22"/>
        <v>39.625</v>
      </c>
      <c r="C340" s="28">
        <v>2.1335568637621368E-2</v>
      </c>
      <c r="E340" s="86"/>
      <c r="H340" s="27">
        <f t="shared" si="20"/>
        <v>14.850000000000078</v>
      </c>
      <c r="I340" s="85">
        <v>2.6999154882058028E-2</v>
      </c>
      <c r="K340" s="27">
        <f t="shared" si="21"/>
        <v>14.850000000000078</v>
      </c>
      <c r="L340" s="28">
        <v>2.665488492315192E-2</v>
      </c>
      <c r="N340" s="27">
        <f t="shared" si="23"/>
        <v>39.625</v>
      </c>
      <c r="O340" s="28">
        <v>2.7877632477872755E-2</v>
      </c>
      <c r="Q340" s="27">
        <f t="shared" si="24"/>
        <v>39.625</v>
      </c>
      <c r="R340" s="28">
        <v>2.1335568637621368E-2</v>
      </c>
    </row>
    <row r="341" spans="2:18" ht="13.2" customHeight="1" x14ac:dyDescent="0.25">
      <c r="B341" s="27">
        <f t="shared" si="22"/>
        <v>39.75</v>
      </c>
      <c r="C341" s="28">
        <v>2.1354044959114003E-2</v>
      </c>
      <c r="E341" s="86"/>
      <c r="H341" s="27">
        <f t="shared" si="20"/>
        <v>14.900000000000079</v>
      </c>
      <c r="I341" s="85">
        <v>2.69204899270237E-2</v>
      </c>
      <c r="K341" s="27">
        <f t="shared" si="21"/>
        <v>14.900000000000079</v>
      </c>
      <c r="L341" s="28">
        <v>2.6599089168146108E-2</v>
      </c>
      <c r="N341" s="27">
        <f t="shared" si="23"/>
        <v>39.75</v>
      </c>
      <c r="O341" s="28">
        <v>2.7895250856682777E-2</v>
      </c>
      <c r="Q341" s="27">
        <f t="shared" si="24"/>
        <v>39.75</v>
      </c>
      <c r="R341" s="28">
        <v>2.1354044959114003E-2</v>
      </c>
    </row>
    <row r="342" spans="2:18" ht="13.2" customHeight="1" x14ac:dyDescent="0.25">
      <c r="B342" s="27">
        <f t="shared" si="22"/>
        <v>39.875</v>
      </c>
      <c r="C342" s="28">
        <v>2.1372373112784136E-2</v>
      </c>
      <c r="E342" s="86"/>
      <c r="H342" s="27">
        <f t="shared" si="20"/>
        <v>14.950000000000079</v>
      </c>
      <c r="I342" s="85">
        <v>2.6841824971989371E-2</v>
      </c>
      <c r="K342" s="27">
        <f t="shared" si="21"/>
        <v>14.950000000000079</v>
      </c>
      <c r="L342" s="28">
        <v>2.6543293413140299E-2</v>
      </c>
      <c r="N342" s="27">
        <f t="shared" si="23"/>
        <v>39.875</v>
      </c>
      <c r="O342" s="28">
        <v>2.7912869235492799E-2</v>
      </c>
      <c r="Q342" s="27">
        <f t="shared" si="24"/>
        <v>39.875</v>
      </c>
      <c r="R342" s="28">
        <v>2.1372373112784136E-2</v>
      </c>
    </row>
    <row r="343" spans="2:18" ht="13.2" customHeight="1" x14ac:dyDescent="0.25">
      <c r="B343" s="27">
        <f t="shared" si="22"/>
        <v>40</v>
      </c>
      <c r="C343" s="28">
        <v>2.1390549152155523E-2</v>
      </c>
      <c r="E343" s="86"/>
      <c r="H343" s="27">
        <f t="shared" si="20"/>
        <v>15.00000000000008</v>
      </c>
      <c r="I343" s="85">
        <v>2.6763160016955043E-2</v>
      </c>
      <c r="K343" s="27">
        <f t="shared" si="21"/>
        <v>15.00000000000008</v>
      </c>
      <c r="L343" s="28">
        <v>2.6487497658134487E-2</v>
      </c>
      <c r="N343" s="27">
        <f t="shared" si="23"/>
        <v>40</v>
      </c>
      <c r="O343" s="28">
        <v>2.7930487614302824E-2</v>
      </c>
      <c r="Q343" s="27">
        <f t="shared" si="24"/>
        <v>40</v>
      </c>
      <c r="R343" s="28">
        <v>2.1390549152155523E-2</v>
      </c>
    </row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14.5546875" style="18" customWidth="1"/>
    <col min="3" max="9" width="10.21875" style="18" customWidth="1"/>
    <col min="10" max="12" width="15.33203125" style="18" customWidth="1"/>
    <col min="13" max="13" width="14.5546875" style="87" customWidth="1"/>
    <col min="14" max="14" width="5.109375" style="18" customWidth="1"/>
    <col min="15" max="15" width="15.33203125" style="18" customWidth="1"/>
    <col min="16" max="256" width="14.5546875" style="18" customWidth="1"/>
    <col min="257" max="1025" width="11.5546875"/>
  </cols>
  <sheetData>
    <row r="2" spans="2:1024" ht="15" customHeight="1" x14ac:dyDescent="0.25">
      <c r="B2" s="15" t="s">
        <v>160</v>
      </c>
    </row>
    <row r="3" spans="2:1024" ht="13.2" customHeight="1" x14ac:dyDescent="0.25">
      <c r="K3" s="88" t="s">
        <v>64</v>
      </c>
      <c r="L3" s="17" t="s">
        <v>161</v>
      </c>
    </row>
    <row r="5" spans="2:1024" ht="13.2" customHeight="1" x14ac:dyDescent="0.25">
      <c r="B5" s="20" t="s">
        <v>28</v>
      </c>
      <c r="C5" s="20"/>
    </row>
    <row r="6" spans="2:1024" ht="13.2" customHeight="1" x14ac:dyDescent="0.25">
      <c r="B6" s="14"/>
      <c r="C6" s="14"/>
    </row>
    <row r="7" spans="2:1024" ht="13.2" customHeight="1" x14ac:dyDescent="0.25">
      <c r="B7" s="16" t="s">
        <v>31</v>
      </c>
      <c r="C7" s="16"/>
      <c r="E7" s="16" t="s">
        <v>25</v>
      </c>
      <c r="F7" s="16"/>
      <c r="G7" s="16"/>
      <c r="H7" s="16"/>
    </row>
    <row r="8" spans="2:1024" ht="13.2" customHeight="1" x14ac:dyDescent="0.25">
      <c r="B8" s="18" t="s">
        <v>156</v>
      </c>
      <c r="C8" s="21" t="str">
        <f>[1]!OBCALL("calibratedModel-valuation"&amp;"-"&amp;ROW(),Calibration!$B$11,"getModel")</f>
        <v>calibratedModel-valuation-8 
[15121]</v>
      </c>
      <c r="E8" s="14" t="str">
        <f>[1]!OBMAKE("baseDate-valuation","LocalDate",F8)</f>
        <v>baseDate-valuation 
[10787]</v>
      </c>
      <c r="F8" s="19">
        <v>40918</v>
      </c>
      <c r="G8" s="14"/>
      <c r="H8" s="14"/>
      <c r="I8" s="14"/>
      <c r="P8" s="18">
        <f>1/365</f>
        <v>2.7397260273972603E-3</v>
      </c>
    </row>
    <row r="9" spans="2:1024" ht="13.2" customHeight="1" x14ac:dyDescent="0.25">
      <c r="E9" s="14" t="str">
        <f>[1]!OBMAKE("shortPeriod-valuation","String",F9)</f>
        <v>shortPeriod-valuation 
[10537]</v>
      </c>
      <c r="F9" s="40" t="s">
        <v>67</v>
      </c>
      <c r="G9" s="14"/>
      <c r="H9" s="14"/>
      <c r="I9" s="14"/>
    </row>
    <row r="10" spans="2:1024" ht="13.2" customHeight="1" x14ac:dyDescent="0.25">
      <c r="E10" s="14" t="str">
        <f>[1]!OBMAKE("businessDayCal-valuation",obLibs&amp;"net.finmath.time.businessdaycalendar."&amp;F10)</f>
        <v>businessDayCal-valuation 
[13819]</v>
      </c>
      <c r="F10" s="41" t="s">
        <v>46</v>
      </c>
      <c r="G10" s="14"/>
      <c r="H10" s="14"/>
      <c r="I10" s="14"/>
    </row>
    <row r="11" spans="2:1024" s="22" customFormat="1" ht="13.2" customHeight="1" x14ac:dyDescent="0.25">
      <c r="B11" s="22" t="s">
        <v>162</v>
      </c>
      <c r="M11" s="89"/>
      <c r="AMI11"/>
      <c r="AMJ11"/>
    </row>
    <row r="13" spans="2:1024" ht="13.2" customHeight="1" x14ac:dyDescent="0.25">
      <c r="B13" s="16" t="s">
        <v>163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90"/>
      <c r="O13" s="16"/>
      <c r="P13" s="16"/>
    </row>
    <row r="15" spans="2:1024" ht="13.2" customHeight="1" x14ac:dyDescent="0.25">
      <c r="C15" s="25" t="s">
        <v>164</v>
      </c>
      <c r="D15" s="25" t="s">
        <v>165</v>
      </c>
      <c r="E15" s="25" t="s">
        <v>166</v>
      </c>
      <c r="F15" s="25"/>
      <c r="G15" s="25"/>
      <c r="H15" s="25"/>
      <c r="I15" s="25"/>
      <c r="J15" s="91" t="s">
        <v>86</v>
      </c>
      <c r="K15" s="25" t="s">
        <v>87</v>
      </c>
      <c r="L15" s="91" t="s">
        <v>88</v>
      </c>
      <c r="M15" s="92" t="s">
        <v>167</v>
      </c>
      <c r="O15" s="93" t="s">
        <v>57</v>
      </c>
      <c r="P15" s="44" t="s">
        <v>168</v>
      </c>
      <c r="IW15" s="18"/>
      <c r="IX15" s="18"/>
      <c r="IY15" s="18"/>
    </row>
    <row r="16" spans="2:1024" ht="13.2" customHeight="1" x14ac:dyDescent="0.25">
      <c r="B16" s="21" t="str">
        <f>[1]!OBMAKE("swapLeg-1-"&amp;ROW(),obLibs&amp;"net.finmath.marketdata.products.SwapLeg",[1]!OBMAKE("",obLibs&amp;"net.finmath.time.RegularSchedule",[1]!OBMAKE("",obLibs&amp;"net.finmath.time.TimeDiscretizationFromArray",[1]!OBMAKE("","double",C16),[1]!OBMAKE("","double",D16),[1]!OBMAKE("","double",E16),[1]!OBCALL("","net.finmath.time.TimeDiscretizationFromArray$ShortPeriodLocation","valueOf",[1]!OBMAKE("","String","SHORT_PERIOD_AT_START")))),[1]!OBMAKE("","String",J16),[1]!OBMAKE("","double",K16),[1]!OBMAKE("","String",L16),[1]!OBMAKE("","boolean",M16))</f>
        <v>swapLeg-1-16 
[12784]</v>
      </c>
      <c r="C16" s="40">
        <v>0</v>
      </c>
      <c r="D16" s="40">
        <v>10</v>
      </c>
      <c r="E16" s="40">
        <v>0.25</v>
      </c>
      <c r="J16" s="41" t="s">
        <v>40</v>
      </c>
      <c r="K16" s="40">
        <v>0</v>
      </c>
      <c r="L16" s="41" t="s">
        <v>38</v>
      </c>
      <c r="M16" s="94" t="b">
        <f>TRUE()</f>
        <v>1</v>
      </c>
      <c r="O16" s="85">
        <f>[1]!OBGET([1]!OBCALL("",B16,"getValue",$C$8))</f>
        <v>1.0196633240959954</v>
      </c>
      <c r="P16" s="95" t="s">
        <v>169</v>
      </c>
      <c r="IW16" s="18"/>
      <c r="IX16" s="18"/>
      <c r="IY16" s="18"/>
    </row>
    <row r="17" spans="2:259" ht="13.2" customHeight="1" x14ac:dyDescent="0.25">
      <c r="B17" s="21" t="str">
        <f>[1]!OBMAKE("swapLeg-1-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swapLeg-1-17 
[12736]</v>
      </c>
      <c r="C17" s="40">
        <v>0</v>
      </c>
      <c r="D17" s="40">
        <v>10</v>
      </c>
      <c r="E17" s="40">
        <v>0.25</v>
      </c>
      <c r="J17" s="41" t="s">
        <v>39</v>
      </c>
      <c r="K17" s="40">
        <v>0</v>
      </c>
      <c r="L17" s="41" t="s">
        <v>38</v>
      </c>
      <c r="M17" s="94" t="b">
        <f>TRUE()</f>
        <v>1</v>
      </c>
      <c r="O17" s="85">
        <f>[1]!OBGET([1]!OBCALL("",B17,"getValue",$C$8))</f>
        <v>0.99999999999999989</v>
      </c>
      <c r="P17" s="95" t="s">
        <v>170</v>
      </c>
      <c r="IW17" s="18"/>
      <c r="IX17" s="18"/>
      <c r="IY17" s="18"/>
    </row>
    <row r="18" spans="2:259" ht="13.2" customHeight="1" x14ac:dyDescent="0.25">
      <c r="B18" s="21" t="str">
        <f>[1]!OBMAKE("swapLeg-1-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swapLeg-1-18 
[12810]</v>
      </c>
      <c r="C18" s="40">
        <v>0</v>
      </c>
      <c r="D18" s="40">
        <v>10</v>
      </c>
      <c r="E18" s="40">
        <v>1</v>
      </c>
      <c r="J18" s="41" t="str">
        <f>""</f>
        <v/>
      </c>
      <c r="K18" s="76">
        <v>1.6E-2</v>
      </c>
      <c r="L18" s="41" t="s">
        <v>38</v>
      </c>
      <c r="M18" s="94" t="b">
        <f>TRUE()</f>
        <v>1</v>
      </c>
      <c r="O18" s="85">
        <f>[1]!OBGET([1]!OBCALL("",B18,"getValue",$C$8))</f>
        <v>1.0261260319342527</v>
      </c>
      <c r="P18" s="95" t="s">
        <v>171</v>
      </c>
      <c r="IW18" s="18"/>
      <c r="IX18" s="18"/>
      <c r="IY18" s="18"/>
    </row>
    <row r="19" spans="2:259" ht="13.2" customHeight="1" x14ac:dyDescent="0.25">
      <c r="B19" s="21"/>
      <c r="C19" s="40"/>
      <c r="D19" s="40"/>
      <c r="E19" s="40"/>
      <c r="J19" s="41"/>
      <c r="K19" s="76"/>
      <c r="L19" s="41"/>
      <c r="M19" s="94"/>
      <c r="O19" s="85"/>
      <c r="P19" s="95"/>
      <c r="IW19" s="18"/>
      <c r="IX19" s="18"/>
      <c r="IY19" s="18"/>
    </row>
    <row r="23" spans="2:259" ht="13.2" customHeight="1" x14ac:dyDescent="0.25">
      <c r="B23" s="16" t="s">
        <v>172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90"/>
      <c r="O23" s="16"/>
      <c r="P23" s="16"/>
    </row>
    <row r="25" spans="2:259" ht="13.2" customHeight="1" x14ac:dyDescent="0.25">
      <c r="C25" s="25" t="s">
        <v>164</v>
      </c>
      <c r="D25" s="25" t="s">
        <v>80</v>
      </c>
      <c r="E25" s="25" t="s">
        <v>81</v>
      </c>
      <c r="F25" s="25" t="s">
        <v>82</v>
      </c>
      <c r="G25" s="25" t="s">
        <v>83</v>
      </c>
      <c r="H25" s="25" t="s">
        <v>84</v>
      </c>
      <c r="I25" s="25" t="s">
        <v>85</v>
      </c>
      <c r="J25" s="46" t="s">
        <v>86</v>
      </c>
      <c r="K25" s="25" t="s">
        <v>87</v>
      </c>
      <c r="L25" s="46" t="s">
        <v>88</v>
      </c>
      <c r="M25" s="92" t="s">
        <v>167</v>
      </c>
      <c r="O25" s="93" t="s">
        <v>57</v>
      </c>
      <c r="P25" s="44" t="s">
        <v>168</v>
      </c>
    </row>
    <row r="26" spans="2:259" ht="13.2" customHeight="1" x14ac:dyDescent="0.25">
      <c r="B26" s="21" t="str">
        <f>[1]!OBMAKE("swapLeg-1-"&amp;ROW(),obLibs&amp;"net.finmath.marketdata.products.SwapLeg",[1]!OBCALL("",obLibs&amp;"net.finmath.time.ScheduleGenerator","createScheduleFromConventions",$E$8,[1]!OBMAKE("","LocalDate",C26),[1]!OBMAKE("","LocalDate",D26),[1]!OBMAKE("","String",E26),[1]!OBMAKE("","String",F26),$E$9,[1]!OBMAKE("","String",G26),$E$10,[1]!OBMAKE("","int",H26),[1]!OBMAKE("","int",I26)),[1]!OBMAKE("","String",J26),[1]!OBMAKE("","double",K26),[1]!OBMAKE("","String",L26),[1]!OBMAKE("","boolean",M26))</f>
        <v>swapLeg-1-26 
[14867]</v>
      </c>
      <c r="C26" s="96">
        <v>40920</v>
      </c>
      <c r="D26" s="96">
        <v>41286</v>
      </c>
      <c r="E26" s="40" t="s">
        <v>110</v>
      </c>
      <c r="F26" s="40" t="s">
        <v>130</v>
      </c>
      <c r="G26" s="40" t="s">
        <v>109</v>
      </c>
      <c r="H26" s="40">
        <v>0</v>
      </c>
      <c r="I26" s="40">
        <v>0</v>
      </c>
      <c r="J26" s="33" t="s">
        <v>39</v>
      </c>
      <c r="K26" s="40">
        <v>0</v>
      </c>
      <c r="L26" s="33" t="s">
        <v>38</v>
      </c>
      <c r="M26" s="94" t="b">
        <v>1</v>
      </c>
      <c r="O26" s="85">
        <f>[1]!OBGET([1]!OBCALL("",B26,"getValue",$C$8))</f>
        <v>0</v>
      </c>
      <c r="P26" s="95" t="s">
        <v>173</v>
      </c>
    </row>
    <row r="27" spans="2:259" ht="13.2" customHeight="1" x14ac:dyDescent="0.25">
      <c r="B27" s="21" t="str">
        <f>[1]!OBMAKE("swapLeg-1-"&amp;ROW(),obLibs&amp;"net.finmath.marketdata.products.SwapLeg",[1]!OBCALL("",obLibs&amp;"net.finmath.time.ScheduleGenerator","createScheduleFromConventions",$E$8,[1]!OBMAKE("","LocalDate",C27),[1]!OBMAKE("","LocalDate",D27),[1]!OBMAKE("","String",E27),[1]!OBMAKE("","String",F27),$E$9,[1]!OBMAKE("","String",G27),$E$10,[1]!OBMAKE("","int",H27),[1]!OBMAKE("","int",I27)),[1]!OBMAKE("","String",J27),[1]!OBMAKE("","double",K27),[1]!OBMAKE("","String",L27),[1]!OBMAKE("","boolean",M27))</f>
        <v>swapLeg-1-27 
[14828]</v>
      </c>
      <c r="C27" s="96">
        <v>40920</v>
      </c>
      <c r="D27" s="96">
        <v>44573</v>
      </c>
      <c r="E27" s="40" t="s">
        <v>149</v>
      </c>
      <c r="F27" s="40" t="str">
        <f>"act/360"</f>
        <v>act/360</v>
      </c>
      <c r="G27" s="40" t="s">
        <v>109</v>
      </c>
      <c r="H27" s="40">
        <v>0</v>
      </c>
      <c r="I27" s="40">
        <v>0</v>
      </c>
      <c r="J27" s="41" t="s">
        <v>40</v>
      </c>
      <c r="K27" s="40">
        <v>0</v>
      </c>
      <c r="L27" s="41" t="s">
        <v>38</v>
      </c>
      <c r="M27" s="94" t="b">
        <f>TRUE()</f>
        <v>1</v>
      </c>
      <c r="O27" s="85">
        <f>[1]!OBGET([1]!OBCALL("",B27,"getValue",$C$8))</f>
        <v>2.1701607617835132E-2</v>
      </c>
      <c r="P27" s="95" t="s">
        <v>169</v>
      </c>
      <c r="IW27" s="18"/>
      <c r="IX27" s="18"/>
      <c r="IY27" s="18"/>
    </row>
    <row r="28" spans="2:259" ht="13.2" customHeight="1" x14ac:dyDescent="0.25">
      <c r="B28" s="21" t="str">
        <f>[1]!OBMAKE("swapLeg-1-"&amp;ROW(),obLibs&amp;"net.finmath.marketdata.products.SwapLeg",[1]!OBCALL("",obLibs&amp;"net.finmath.time.ScheduleGenerator","createScheduleFromConventions",$E$8,[1]!OBMAKE("","LocalDate",C28),[1]!OBMAKE("","LocalDate",D28),[1]!OBMAKE("","String",E28),[1]!OBMAKE("","String",F28),$E$9,[1]!OBMAKE("","String",G28),$E$10,[1]!OBMAKE("","int",H28),[1]!OBMAKE("","int",I28)),[1]!OBMAKE("","String",J28),[1]!OBMAKE("","double",K28),[1]!OBMAKE("","String",L28),[1]!OBMAKE("","boolean",M28))</f>
        <v>swapLeg-1-28 
[14305]</v>
      </c>
      <c r="C28" s="96">
        <v>40920</v>
      </c>
      <c r="D28" s="96">
        <v>44573</v>
      </c>
      <c r="E28" s="40" t="s">
        <v>110</v>
      </c>
      <c r="F28" s="40" t="s">
        <v>174</v>
      </c>
      <c r="G28" s="40" t="s">
        <v>109</v>
      </c>
      <c r="H28" s="40">
        <v>0</v>
      </c>
      <c r="I28" s="40">
        <v>0</v>
      </c>
      <c r="J28" s="41" t="str">
        <f>""</f>
        <v/>
      </c>
      <c r="K28" s="76">
        <v>1.5570000000000001E-2</v>
      </c>
      <c r="L28" s="41" t="s">
        <v>38</v>
      </c>
      <c r="M28" s="94" t="b">
        <f>TRUE()</f>
        <v>1</v>
      </c>
      <c r="O28" s="85">
        <f>[1]!OBGET([1]!OBCALL("",B28,"getValue",$C$8))</f>
        <v>2.1701607620948308E-2</v>
      </c>
      <c r="P28" s="95" t="s">
        <v>171</v>
      </c>
      <c r="IW28" s="18"/>
      <c r="IX28" s="18"/>
      <c r="IY28" s="18"/>
    </row>
    <row r="30" spans="2:259" ht="13.2" customHeight="1" x14ac:dyDescent="0.25">
      <c r="B30" s="21" t="str">
        <f>[1]!OBMAKE("swapLeg-1-"&amp;ROW(),obLibs&amp;"net.finmath.marketdata.products.SwapLeg",[1]!OBCALL("",obLibs&amp;"net.finmath.time.ScheduleGenerator","createScheduleFromConventions",$E$8,[1]!OBMAKE("","LocalDate",C30),[1]!OBMAKE("","LocalDate",D30),[1]!OBMAKE("","String",E30),[1]!OBMAKE("","String",F30),$E$9,[1]!OBMAKE("","String",G30),$E$10,[1]!OBMAKE("","int",H30),[1]!OBMAKE("","int",I30)),[1]!OBMAKE("","String",J30),[1]!OBMAKE("","double",K30),[1]!OBMAKE("","String",L30),[1]!OBMAKE("","boolean",M30))</f>
        <v>swapLeg-1-30 
[14206]</v>
      </c>
      <c r="C30" s="96">
        <v>40910</v>
      </c>
      <c r="D30" s="96">
        <v>41276</v>
      </c>
      <c r="E30" s="40" t="s">
        <v>149</v>
      </c>
      <c r="F30" s="40" t="s">
        <v>174</v>
      </c>
      <c r="G30" s="40" t="s">
        <v>109</v>
      </c>
      <c r="H30" s="40">
        <v>0</v>
      </c>
      <c r="I30" s="40">
        <v>0</v>
      </c>
      <c r="J30" s="41" t="s">
        <v>40</v>
      </c>
      <c r="K30" s="76">
        <v>0</v>
      </c>
      <c r="L30" s="41" t="s">
        <v>38</v>
      </c>
      <c r="M30" s="94" t="b">
        <v>0</v>
      </c>
      <c r="O30" s="85">
        <f>[1]!OBGET([1]!OBCALL("",B30,"getValue",$C$8))</f>
        <v>3.2136518781819322E-3</v>
      </c>
      <c r="P30" s="95" t="s">
        <v>175</v>
      </c>
    </row>
    <row r="33" spans="2:15" ht="13.2" customHeight="1" x14ac:dyDescent="0.25">
      <c r="B33" s="21" t="str">
        <f>[1]!OBMAKE("swapLeg-1-"&amp;ROW(),obLibs&amp;"net.finmath.marketdata.products.SwapLeg",[1]!OBCALL("",obLibs&amp;"net.finmath.time.ScheduleGenerator","createScheduleFromConventions",$E$8,[1]!OBMAKE("","LocalDate",C33),[1]!OBMAKE("","LocalDate",D33),[1]!OBMAKE("","String",E33),[1]!OBMAKE("","String",F33),$E$9,[1]!OBMAKE("","String",G33),$E$10,[1]!OBMAKE("","int",H33),[1]!OBMAKE("","int",I33)),[1]!OBMAKE("","String",J33),[1]!OBMAKE("","double",K33),[1]!OBMAKE("","String",L33),[1]!OBMAKE("","boolean",M33))</f>
        <v>swapLeg-1-33 
[14880]</v>
      </c>
      <c r="C33" s="96">
        <v>40920</v>
      </c>
      <c r="D33" s="96">
        <v>42197</v>
      </c>
      <c r="E33" s="40" t="s">
        <v>149</v>
      </c>
      <c r="F33" s="40" t="str">
        <f>"act/360"</f>
        <v>act/360</v>
      </c>
      <c r="G33" s="40" t="s">
        <v>109</v>
      </c>
      <c r="H33" s="40">
        <v>0</v>
      </c>
      <c r="I33" s="40">
        <v>0</v>
      </c>
      <c r="J33" s="41" t="s">
        <v>40</v>
      </c>
      <c r="K33" s="40">
        <v>0</v>
      </c>
      <c r="L33" s="41" t="s">
        <v>38</v>
      </c>
      <c r="M33" s="94" t="b">
        <v>0</v>
      </c>
      <c r="O33" s="85">
        <f>[1]!OBGET([1]!OBCALL("",B33,"getValue",$C$8))</f>
        <v>1.9233171865246645E-2</v>
      </c>
    </row>
    <row r="34" spans="2:15" ht="13.2" customHeight="1" x14ac:dyDescent="0.25">
      <c r="B34" s="21" t="str">
        <f>[1]!OBMAKE("swapLeg-1-"&amp;ROW(),obLibs&amp;"net.finmath.marketdata.products.SwapLeg",[1]!OBCALL("",obLibs&amp;"net.finmath.time.ScheduleGenerator","createScheduleFromConventions",$E$8,[1]!OBMAKE("","LocalDate",C34),[1]!OBMAKE("","LocalDate",D34),[1]!OBMAKE("","String",E34),[1]!OBMAKE("","String",F34),$E$9,[1]!OBMAKE("","String",G34),$E$10,[1]!OBMAKE("","int",H34),[1]!OBMAKE("","int",I34)),[1]!OBMAKE("","String",J34),[1]!OBMAKE("","double",K34),[1]!OBMAKE("","String",L34),[1]!OBMAKE("","boolean",M34))</f>
        <v>swapLeg-1-34 
[14893]</v>
      </c>
      <c r="C34" s="96">
        <v>40920</v>
      </c>
      <c r="D34" s="96">
        <v>42197</v>
      </c>
      <c r="E34" s="40" t="s">
        <v>110</v>
      </c>
      <c r="F34" s="40" t="s">
        <v>174</v>
      </c>
      <c r="G34" s="40" t="s">
        <v>109</v>
      </c>
      <c r="H34" s="40">
        <v>0</v>
      </c>
      <c r="I34" s="40">
        <v>0</v>
      </c>
      <c r="J34" s="41" t="str">
        <f>""</f>
        <v/>
      </c>
      <c r="K34" s="76">
        <v>5.5649999999999996E-3</v>
      </c>
      <c r="L34" s="41" t="s">
        <v>38</v>
      </c>
      <c r="M34" s="94" t="b">
        <v>0</v>
      </c>
      <c r="O34" s="85">
        <f>[1]!OBGET([1]!OBCALL("",B34,"getValue",$C$8))</f>
        <v>1.941048283054133E-2</v>
      </c>
    </row>
    <row r="37" spans="2:15" ht="13.2" customHeight="1" x14ac:dyDescent="0.25">
      <c r="B37" s="21" t="str">
        <f>[1]!OBMAKE("swapLeg-1-"&amp;ROW(),obLibs&amp;"net.finmath.marketdata.products.SwapLeg",[1]!OBCALL("",obLibs&amp;"net.finmath.time.ScheduleGenerator","createScheduleFromConventions",$E$8,[1]!OBMAKE("","LocalDate",C37),[1]!OBMAKE("","LocalDate",D37),[1]!OBMAKE("","String",E37),[1]!OBMAKE("","String",F37),$E$9,[1]!OBMAKE("","String",G37),$E$10,[1]!OBMAKE("","int",H37),[1]!OBMAKE("","int",I37)),[1]!OBMAKE("","String",J37),[1]!OBMAKE("","double",K37),[1]!OBMAKE("","String",L37),[1]!OBMAKE("","boolean",M37))</f>
        <v>swapLeg-1-37 
[14854]</v>
      </c>
      <c r="C37" s="96">
        <v>40920</v>
      </c>
      <c r="D37" s="96">
        <v>41286</v>
      </c>
      <c r="E37" s="40" t="s">
        <v>149</v>
      </c>
      <c r="F37" s="40" t="s">
        <v>130</v>
      </c>
      <c r="G37" s="40" t="s">
        <v>109</v>
      </c>
      <c r="H37" s="40">
        <v>0</v>
      </c>
      <c r="I37" s="40">
        <v>0</v>
      </c>
      <c r="J37" s="33" t="s">
        <v>39</v>
      </c>
      <c r="K37" s="40">
        <v>0</v>
      </c>
      <c r="L37" s="33" t="s">
        <v>38</v>
      </c>
      <c r="M37" s="94" t="b">
        <v>0</v>
      </c>
      <c r="O37" s="85">
        <f>[1]!OBGET([1]!OBCALL("",B37,"getValue",$C$8))</f>
        <v>1.31580590136474E-3</v>
      </c>
    </row>
    <row r="39" spans="2:15" ht="13.2" customHeight="1" x14ac:dyDescent="0.25">
      <c r="B39" s="44" t="s">
        <v>176</v>
      </c>
    </row>
    <row r="41" spans="2:15" ht="13.2" customHeight="1" x14ac:dyDescent="0.25">
      <c r="B41" s="21" t="str">
        <f>[1]!OBMAKE("swapLeg-1-"&amp;ROW(),obLibs&amp;"net.finmath.marketdata.products.SwapLeg",[1]!OBCALL("",obLibs&amp;"net.finmath.time.ScheduleGenerator","createScheduleFromConventions",$E$8,[1]!OBMAKE("","LocalDate",C41),[1]!OBMAKE("","LocalDate",D41),[1]!OBMAKE("","String",E41),[1]!OBMAKE("","String",F41),$E$9,[1]!OBMAKE("","String",G41),$E$10,[1]!OBMAKE("","int",H41),[1]!OBMAKE("","int",I41)),[1]!OBMAKE("","String",J41),[1]!OBMAKE("","double",K41),[1]!OBMAKE("","String",L41),[1]!OBMAKE("","boolean",M41))</f>
        <v>swapLeg-1-41 
[14841]</v>
      </c>
      <c r="C41" s="96">
        <v>40918</v>
      </c>
      <c r="D41" s="96">
        <v>44573</v>
      </c>
      <c r="E41" s="40" t="s">
        <v>149</v>
      </c>
      <c r="F41" s="40" t="s">
        <v>108</v>
      </c>
      <c r="G41" s="40" t="s">
        <v>109</v>
      </c>
      <c r="H41" s="40">
        <v>0</v>
      </c>
      <c r="I41" s="40">
        <v>0</v>
      </c>
      <c r="J41" s="41" t="s">
        <v>40</v>
      </c>
      <c r="K41" s="76">
        <v>5.0000000000000001E-3</v>
      </c>
      <c r="L41" s="33" t="s">
        <v>154</v>
      </c>
      <c r="M41" s="94" t="b">
        <v>1</v>
      </c>
      <c r="O41" s="85">
        <f>[1]!OBGET([1]!OBCALL("",B41,"getValue",$C$8))</f>
        <v>1.0000222209619278</v>
      </c>
    </row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048576"/>
  <sheetViews>
    <sheetView zoomScale="75" zoomScaleNormal="75" workbookViewId="0">
      <selection activeCell="L18" sqref="L18"/>
    </sheetView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2" width="15.33203125" style="18" customWidth="1"/>
    <col min="13" max="13" width="14.5546875" style="87" customWidth="1"/>
    <col min="14" max="14" width="5.109375" style="18" customWidth="1"/>
    <col min="15" max="16" width="15.33203125" style="18" customWidth="1"/>
    <col min="17" max="257" width="14.5546875" style="18" customWidth="1"/>
    <col min="258" max="1025" width="11.5546875"/>
  </cols>
  <sheetData>
    <row r="2" spans="2:1024" ht="15" customHeight="1" x14ac:dyDescent="0.25">
      <c r="B2" s="15" t="s">
        <v>177</v>
      </c>
    </row>
    <row r="3" spans="2:1024" ht="13.2" customHeight="1" x14ac:dyDescent="0.25">
      <c r="K3" s="88" t="s">
        <v>64</v>
      </c>
      <c r="L3" s="17" t="s">
        <v>178</v>
      </c>
      <c r="S3" s="18" t="s">
        <v>179</v>
      </c>
    </row>
    <row r="4" spans="2:1024" ht="13.2" customHeight="1" x14ac:dyDescent="0.25">
      <c r="B4" s="44" t="s">
        <v>180</v>
      </c>
      <c r="C4" s="94" t="b">
        <v>0</v>
      </c>
      <c r="D4" s="97" t="s">
        <v>181</v>
      </c>
      <c r="K4" s="88"/>
      <c r="L4" s="17" t="s">
        <v>182</v>
      </c>
      <c r="S4" s="18" t="s">
        <v>183</v>
      </c>
    </row>
    <row r="5" spans="2:1024" ht="13.2" customHeight="1" x14ac:dyDescent="0.25">
      <c r="L5" s="17" t="s">
        <v>184</v>
      </c>
      <c r="S5" s="18" t="s">
        <v>185</v>
      </c>
    </row>
    <row r="6" spans="2:1024" ht="13.2" customHeight="1" x14ac:dyDescent="0.25">
      <c r="B6" s="20" t="s">
        <v>28</v>
      </c>
      <c r="C6" s="20"/>
      <c r="S6" s="18" t="s">
        <v>186</v>
      </c>
    </row>
    <row r="7" spans="2:1024" ht="13.2" customHeight="1" x14ac:dyDescent="0.25">
      <c r="B7" s="14"/>
      <c r="C7" s="14"/>
      <c r="S7" s="18" t="s">
        <v>187</v>
      </c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S8" s="18" t="s">
        <v>188</v>
      </c>
    </row>
    <row r="9" spans="2:1024" ht="13.2" customHeight="1" x14ac:dyDescent="0.25">
      <c r="B9" s="18" t="s">
        <v>189</v>
      </c>
      <c r="C9" s="21" t="e">
        <f>IF(C4,Calibration!$B$11,NA())</f>
        <v>#N/A</v>
      </c>
      <c r="E9" s="14" t="str">
        <f>[1]!OBMAKE("baseDate-sensitivities","LocalDate",F9)</f>
        <v>baseDate-sensitivities 
[10717]</v>
      </c>
      <c r="F9" s="19">
        <v>40918</v>
      </c>
      <c r="G9" s="14"/>
      <c r="H9" s="14"/>
      <c r="I9" s="14"/>
      <c r="O9" s="18" t="s">
        <v>190</v>
      </c>
      <c r="P9" s="41">
        <f>1/365</f>
        <v>2.7397260273972603E-3</v>
      </c>
      <c r="Q9" s="41">
        <f>0.01/100</f>
        <v>1E-4</v>
      </c>
      <c r="S9" s="18" t="s">
        <v>191</v>
      </c>
    </row>
    <row r="10" spans="2:1024" ht="13.2" customHeight="1" x14ac:dyDescent="0.25">
      <c r="B10" s="18" t="s">
        <v>156</v>
      </c>
      <c r="C10" s="21" t="e">
        <f>[1]!OBCALL("calibratedModel-sensitivities"&amp;"-"&amp;ROW(),C9,"getModel")</f>
        <v>#N/A</v>
      </c>
      <c r="E10" s="14" t="str">
        <f>[1]!OBMAKE("shortPeriod-sensitivities","String",F10)</f>
        <v>shortPeriod-sensitivities 
[10563]</v>
      </c>
      <c r="F10" s="40" t="s">
        <v>67</v>
      </c>
      <c r="G10" s="14"/>
      <c r="H10" s="14"/>
      <c r="I10" s="14"/>
      <c r="O10" s="18" t="s">
        <v>192</v>
      </c>
      <c r="Q10" s="41" t="s">
        <v>179</v>
      </c>
      <c r="S10" s="18" t="s">
        <v>193</v>
      </c>
    </row>
    <row r="11" spans="2:1024" ht="13.2" customHeight="1" x14ac:dyDescent="0.25">
      <c r="E11" s="14" t="str">
        <f>[1]!OBMAKE("businessDayCal-sensitivities",obLibs&amp;"net.finmath.time.businessdaycalendar."&amp;F11)</f>
        <v>businessDayCal-sensitivities 
[12737]</v>
      </c>
      <c r="F11" s="41" t="s">
        <v>46</v>
      </c>
      <c r="G11" s="14"/>
      <c r="H11" s="14"/>
      <c r="I11" s="14"/>
      <c r="O11" s="18" t="s">
        <v>194</v>
      </c>
      <c r="Q11" s="21" t="str">
        <f>[1]!OBCALL("calibratedCurves-"&amp;Q10,Calibration!$B$11,"getCloneShifted",[1]!OBMAKE("","String",Q10),[1]!OBMAKE("","double",Q9))</f>
        <v>calibratedCurves-discount-EUR-OIS-10Y 
[15188]</v>
      </c>
    </row>
    <row r="12" spans="2:1024" s="22" customFormat="1" ht="13.2" customHeight="1" x14ac:dyDescent="0.25">
      <c r="B12" s="22" t="s">
        <v>162</v>
      </c>
      <c r="M12" s="89"/>
      <c r="O12" s="22" t="s">
        <v>195</v>
      </c>
      <c r="Q12" s="22" t="str">
        <f>[1]!OBCALL("calibratedModel-"&amp;ROW(),Q11,"getModel")</f>
        <v>calibratedModel-12 
[15189]</v>
      </c>
      <c r="S12" s="18"/>
      <c r="AMJ12"/>
    </row>
    <row r="14" spans="2:1024" ht="13.2" customHeight="1" x14ac:dyDescent="0.25">
      <c r="B14" s="16" t="s">
        <v>163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90"/>
      <c r="O14" s="16"/>
      <c r="P14" s="16"/>
      <c r="Q14" s="16"/>
    </row>
    <row r="16" spans="2:1024" ht="13.2" customHeight="1" x14ac:dyDescent="0.25">
      <c r="C16" s="25" t="s">
        <v>164</v>
      </c>
      <c r="D16" s="25" t="s">
        <v>165</v>
      </c>
      <c r="E16" s="25" t="s">
        <v>166</v>
      </c>
      <c r="F16" s="25"/>
      <c r="G16" s="25"/>
      <c r="H16" s="25"/>
      <c r="I16" s="25"/>
      <c r="J16" s="91" t="s">
        <v>86</v>
      </c>
      <c r="K16" s="25" t="s">
        <v>87</v>
      </c>
      <c r="L16" s="91" t="s">
        <v>88</v>
      </c>
      <c r="M16" s="92" t="s">
        <v>167</v>
      </c>
      <c r="O16" s="93" t="s">
        <v>57</v>
      </c>
      <c r="P16" s="93" t="s">
        <v>196</v>
      </c>
      <c r="Q16" s="93" t="s">
        <v>197</v>
      </c>
      <c r="IX16" s="18"/>
      <c r="IY16" s="18"/>
      <c r="IZ16" s="18"/>
    </row>
    <row r="17" spans="2:260" ht="13.2" customHeight="1" x14ac:dyDescent="0.25">
      <c r="B17" s="21" t="str">
        <f>[1]!OBMAKE("swapLeg-2-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swapLeg-2-17 
[12772]</v>
      </c>
      <c r="C17" s="40">
        <v>0</v>
      </c>
      <c r="D17" s="40">
        <v>10</v>
      </c>
      <c r="E17" s="40">
        <v>0.25</v>
      </c>
      <c r="J17" s="41" t="s">
        <v>40</v>
      </c>
      <c r="K17" s="40">
        <v>0</v>
      </c>
      <c r="L17" s="41" t="s">
        <v>38</v>
      </c>
      <c r="M17" s="94" t="b">
        <f>TRUE()</f>
        <v>1</v>
      </c>
      <c r="O17" s="85" t="e">
        <f>[1]!OBGET([1]!OBCALL("",B17,"getValue",$C$10))</f>
        <v>#N/A</v>
      </c>
      <c r="P17" s="85" t="e">
        <f>([1]!OBGET([1]!OBCALL("",B17,"getValue",[1]!OBMAKE("","double",$P$9),$C$10))-O17)/$P$9/O17</f>
        <v>#N/A</v>
      </c>
      <c r="Q17" s="98" t="e">
        <f>([1]!OBGET([1]!OBCALL("",B17,"getValue",Q$12))-$O17)/Q$9</f>
        <v>#N/A</v>
      </c>
      <c r="IX17" s="18"/>
      <c r="IY17" s="18"/>
      <c r="IZ17" s="18"/>
    </row>
    <row r="18" spans="2:260" ht="13.2" customHeight="1" x14ac:dyDescent="0.25">
      <c r="B18" s="21" t="str">
        <f>[1]!OBMAKE("swapLeg-2-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swapLeg-2-18 
[13342]</v>
      </c>
      <c r="C18" s="40">
        <v>0</v>
      </c>
      <c r="D18" s="40">
        <v>10</v>
      </c>
      <c r="E18" s="40">
        <v>0.25</v>
      </c>
      <c r="J18" s="41" t="s">
        <v>40</v>
      </c>
      <c r="K18" s="40">
        <v>0</v>
      </c>
      <c r="L18" s="41" t="s">
        <v>40</v>
      </c>
      <c r="M18" s="94" t="b">
        <f>TRUE()</f>
        <v>1</v>
      </c>
      <c r="O18" s="85" t="e">
        <f>[1]!OBGET([1]!OBCALL("",B18,"getValue",$C$10))</f>
        <v>#N/A</v>
      </c>
      <c r="P18" s="85" t="e">
        <f>([1]!OBGET([1]!OBCALL("",B18,"getValue",[1]!OBMAKE("","double",$P$9),$C$10))-O18)/$P$9/O18</f>
        <v>#N/A</v>
      </c>
      <c r="Q18" s="98" t="e">
        <f>([1]!OBGET([1]!OBCALL("",B18,"getValue",Q$12))-$O18)/Q$9</f>
        <v>#VALUE!</v>
      </c>
      <c r="IX18" s="18"/>
      <c r="IY18" s="18"/>
      <c r="IZ18" s="18"/>
    </row>
    <row r="19" spans="2:260" ht="13.2" customHeight="1" x14ac:dyDescent="0.25">
      <c r="B19" s="21" t="str">
        <f>[1]!OBMAKE("swapLeg-2-"&amp;ROW(),obLibs&amp;"net.finmath.marketdata.products.SwapLeg",[1]!OBMAKE("",obLibs&amp;"net.finmath.time.RegularSchedule",[1]!OBMAKE("",obLibs&amp;"net.finmath.time.TimeDiscretizationFromArray",[1]!OBMAKE("","double",C19),[1]!OBMAKE("","double",D19),[1]!OBMAKE("","double",E19),[1]!OBCALL("","net.finmath.time.TimeDiscretizationFromArray$ShortPeriodLocation","valueOf",[1]!OBMAKE("","String","SHORT_PERIOD_AT_START")))),[1]!OBMAKE("","String",J19),[1]!OBMAKE("","double",K19),[1]!OBMAKE("","String",L19),[1]!OBMAKE("","boolean",M19))</f>
        <v>swapLeg-2-19 
[12399]</v>
      </c>
      <c r="C19" s="40">
        <v>0</v>
      </c>
      <c r="D19" s="40">
        <v>10</v>
      </c>
      <c r="E19" s="40">
        <v>1</v>
      </c>
      <c r="J19" s="41" t="str">
        <f>""</f>
        <v/>
      </c>
      <c r="K19" s="76">
        <v>1.6E-2</v>
      </c>
      <c r="L19" s="41" t="s">
        <v>38</v>
      </c>
      <c r="M19" s="94" t="b">
        <f>TRUE()</f>
        <v>1</v>
      </c>
      <c r="O19" s="85" t="e">
        <f>[1]!OBGET([1]!OBCALL("",B19,"getValue",$C$10))</f>
        <v>#N/A</v>
      </c>
      <c r="P19" s="85" t="e">
        <f>([1]!OBGET([1]!OBCALL("",B19,"getValue",[1]!OBMAKE("","double",$P$9),$C$10))-O19)/$P$9/O19</f>
        <v>#N/A</v>
      </c>
      <c r="Q19" s="98" t="e">
        <f>([1]!OBGET([1]!OBCALL("",B19,"getValue",Q$12))-$O19)/Q$9</f>
        <v>#N/A</v>
      </c>
      <c r="IX19" s="18"/>
      <c r="IY19" s="18"/>
      <c r="IZ19" s="18"/>
    </row>
    <row r="20" spans="2:260" ht="13.2" customHeight="1" x14ac:dyDescent="0.25">
      <c r="B20" s="21" t="str">
        <f>[1]!OBMAKE("swapLeg-2-"&amp;ROW(),obLibs&amp;"net.finmath.marketdata.products.SwapLeg",[1]!OBMAKE("",obLibs&amp;"net.finmath.time.RegularSchedule",[1]!OBMAKE("",obLibs&amp;"net.finmath.time.TimeDiscretizationFromArray",[1]!OBMAKE("","double",C20),[1]!OBMAKE("","double",D20),[1]!OBMAKE("","double",E20),[1]!OBCALL("","net.finmath.time.TimeDiscretizationFromArray$ShortPeriodLocation","valueOf",[1]!OBMAKE("","String","SHORT_PERIOD_AT_START")))),[1]!OBMAKE("","String",J20),[1]!OBMAKE("","double",K20),[1]!OBMAKE("","String",L20),[1]!OBMAKE("","boolean",M20))</f>
        <v>swapLeg-2-20 
[12379]</v>
      </c>
      <c r="C20" s="40">
        <v>0</v>
      </c>
      <c r="D20" s="40">
        <v>10</v>
      </c>
      <c r="E20" s="40">
        <v>1</v>
      </c>
      <c r="J20" s="41" t="str">
        <f>""</f>
        <v/>
      </c>
      <c r="K20" s="76">
        <v>1.6E-2</v>
      </c>
      <c r="L20" s="41" t="s">
        <v>40</v>
      </c>
      <c r="M20" s="94" t="b">
        <f>TRUE()</f>
        <v>1</v>
      </c>
      <c r="O20" s="85" t="e">
        <f>[1]!OBGET([1]!OBCALL("",B20,"getValue",$C$10))</f>
        <v>#N/A</v>
      </c>
      <c r="P20" s="85" t="e">
        <f>([1]!OBGET([1]!OBCALL("",B20,"getValue",[1]!OBMAKE("","double",$P$9),$C$10))-O20)/$P$9/O20</f>
        <v>#N/A</v>
      </c>
      <c r="Q20" s="98" t="e">
        <f>([1]!OBGET([1]!OBCALL("",B20,"getValue",Q$12))-$O20)/Q$9</f>
        <v>#VALUE!</v>
      </c>
      <c r="IX20" s="18"/>
      <c r="IY20" s="18"/>
      <c r="IZ20" s="18"/>
    </row>
    <row r="21" spans="2:260" ht="13.2" customHeight="1" x14ac:dyDescent="0.25">
      <c r="Q21" s="99"/>
    </row>
    <row r="22" spans="2:260" ht="13.2" customHeight="1" x14ac:dyDescent="0.25">
      <c r="Q22" s="99"/>
    </row>
    <row r="23" spans="2:260" ht="13.2" customHeight="1" x14ac:dyDescent="0.25">
      <c r="Q23" s="99"/>
    </row>
    <row r="24" spans="2:260" ht="13.2" customHeight="1" x14ac:dyDescent="0.25">
      <c r="B24" s="16" t="s">
        <v>172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90"/>
      <c r="O24" s="16"/>
      <c r="P24" s="16"/>
      <c r="Q24" s="16"/>
    </row>
    <row r="25" spans="2:260" ht="13.2" customHeight="1" x14ac:dyDescent="0.25">
      <c r="Q25" s="99"/>
    </row>
    <row r="26" spans="2:260" ht="13.2" customHeight="1" x14ac:dyDescent="0.25">
      <c r="C26" s="25" t="s">
        <v>164</v>
      </c>
      <c r="D26" s="25" t="s">
        <v>80</v>
      </c>
      <c r="E26" s="25" t="s">
        <v>81</v>
      </c>
      <c r="F26" s="25" t="s">
        <v>82</v>
      </c>
      <c r="G26" s="25" t="s">
        <v>83</v>
      </c>
      <c r="H26" s="25" t="s">
        <v>84</v>
      </c>
      <c r="I26" s="25" t="s">
        <v>85</v>
      </c>
      <c r="J26" s="46" t="s">
        <v>86</v>
      </c>
      <c r="K26" s="25" t="s">
        <v>87</v>
      </c>
      <c r="L26" s="46" t="s">
        <v>88</v>
      </c>
      <c r="M26" s="92" t="s">
        <v>167</v>
      </c>
      <c r="O26" s="93" t="s">
        <v>57</v>
      </c>
      <c r="P26" s="93" t="s">
        <v>196</v>
      </c>
      <c r="Q26" s="100" t="s">
        <v>198</v>
      </c>
    </row>
    <row r="27" spans="2:260" ht="13.2" customHeight="1" x14ac:dyDescent="0.25">
      <c r="B27" s="21" t="str">
        <f>[1]!OBMAKE("swapLeg-2-"&amp;ROW(),obLibs&amp;"net.finmath.marketdata.products.SwapLeg",[1]!OBCALL("",obLibs&amp;"net.finmath.time.ScheduleGenerator","createScheduleFromConventions",$E$9,[1]!OBMAKE("","LocalDate",C27),[1]!OBMAKE("","LocalDate",D27),[1]!OBMAKE("","String",E27),[1]!OBMAKE("","String",F27),$E$10,[1]!OBMAKE("","String",G27),$E$11,[1]!OBMAKE("","int",H27),[1]!OBMAKE("","int",I27)),[1]!OBMAKE("","String",J27),[1]!OBMAKE("","double",K27),[1]!OBMAKE("","String",L27),[1]!OBMAKE("","boolean",M27))</f>
        <v>swapLeg-2-27 
[14333]</v>
      </c>
      <c r="C27" s="96">
        <v>40920</v>
      </c>
      <c r="D27" s="96">
        <v>41286</v>
      </c>
      <c r="E27" s="40" t="s">
        <v>110</v>
      </c>
      <c r="F27" s="40" t="s">
        <v>130</v>
      </c>
      <c r="G27" s="40" t="s">
        <v>109</v>
      </c>
      <c r="H27" s="40">
        <v>0</v>
      </c>
      <c r="I27" s="40">
        <v>0</v>
      </c>
      <c r="J27" s="33" t="s">
        <v>39</v>
      </c>
      <c r="K27" s="40">
        <v>0</v>
      </c>
      <c r="L27" s="33" t="s">
        <v>38</v>
      </c>
      <c r="M27" s="94" t="b">
        <v>0</v>
      </c>
      <c r="O27" s="85" t="e">
        <f>[1]!OBGET([1]!OBCALL("",B27,"getValue",$C$10))</f>
        <v>#N/A</v>
      </c>
      <c r="P27" s="85" t="e">
        <f>([1]!OBGET([1]!OBCALL("",B27,"getValue",[1]!OBMAKE("","double",$P$9),$C$10))-O27)/$P$9/O27</f>
        <v>#N/A</v>
      </c>
      <c r="Q27" s="98" t="e">
        <f>([1]!OBGET([1]!OBCALL("",B27,"getValue",Q$12))-$O27)/Q$9</f>
        <v>#N/A</v>
      </c>
    </row>
    <row r="28" spans="2:260" ht="13.2" customHeight="1" x14ac:dyDescent="0.25">
      <c r="B28" s="21" t="str">
        <f>[1]!OBMAKE("swapLeg-2-"&amp;ROW(),obLibs&amp;"net.finmath.marketdata.products.SwapLeg",[1]!OBCALL("",obLibs&amp;"net.finmath.time.ScheduleGenerator","createScheduleFromConventions",$E$9,[1]!OBMAKE("","LocalDate",C28),[1]!OBMAKE("","LocalDate",D28),[1]!OBMAKE("","String",E28),[1]!OBMAKE("","String",F28),$E$10,[1]!OBMAKE("","String",G28),$E$11,[1]!OBMAKE("","int",H28),[1]!OBMAKE("","int",I28)),[1]!OBMAKE("","String",J28),[1]!OBMAKE("","double",K28),[1]!OBMAKE("","String",L28),[1]!OBMAKE("","boolean",M28))</f>
        <v>swapLeg-2-28 
[14359]</v>
      </c>
      <c r="C28" s="96">
        <v>40920</v>
      </c>
      <c r="D28" s="96">
        <v>44573</v>
      </c>
      <c r="E28" s="40" t="s">
        <v>149</v>
      </c>
      <c r="F28" s="40" t="str">
        <f>"act/360"</f>
        <v>act/360</v>
      </c>
      <c r="G28" s="40" t="s">
        <v>109</v>
      </c>
      <c r="H28" s="40">
        <v>0</v>
      </c>
      <c r="I28" s="40">
        <v>0</v>
      </c>
      <c r="J28" s="41" t="s">
        <v>40</v>
      </c>
      <c r="K28" s="40">
        <v>0</v>
      </c>
      <c r="L28" s="41" t="s">
        <v>38</v>
      </c>
      <c r="M28" s="94" t="b">
        <v>0</v>
      </c>
      <c r="O28" s="85" t="e">
        <f>[1]!OBGET([1]!OBCALL("",B28,"getValue",$C$10))</f>
        <v>#N/A</v>
      </c>
      <c r="P28" s="85" t="e">
        <f>([1]!OBGET([1]!OBCALL("",B28,"getValue",[1]!OBMAKE("","double",$P$9),$C$10))-O28)/$P$9/O28</f>
        <v>#N/A</v>
      </c>
      <c r="Q28" s="98" t="e">
        <f>([1]!OBGET([1]!OBCALL("",B28,"getValue",Q$12))-$O28)/Q$9</f>
        <v>#N/A</v>
      </c>
      <c r="IX28" s="18"/>
      <c r="IY28" s="18"/>
      <c r="IZ28" s="18"/>
    </row>
    <row r="29" spans="2:260" ht="13.2" customHeight="1" x14ac:dyDescent="0.25">
      <c r="B29" s="21" t="str">
        <f>[1]!OBMAKE("swapLeg-2-"&amp;ROW(),obLibs&amp;"net.finmath.marketdata.products.SwapLeg",[1]!OBCALL("",obLibs&amp;"net.finmath.time.ScheduleGenerator","createScheduleFromConventions",$E$9,[1]!OBMAKE("","LocalDate",C29),[1]!OBMAKE("","LocalDate",D29),[1]!OBMAKE("","String",E29),[1]!OBMAKE("","String",F29),$E$10,[1]!OBMAKE("","String",G29),$E$11,[1]!OBMAKE("","int",H29),[1]!OBMAKE("","int",I29)),[1]!OBMAKE("","String",J29),[1]!OBMAKE("","double",K29),[1]!OBMAKE("","String",L29),[1]!OBMAKE("","boolean",M29))</f>
        <v>swapLeg-2-29 
[12755]</v>
      </c>
      <c r="C29" s="96">
        <v>40920</v>
      </c>
      <c r="D29" s="96">
        <v>44573</v>
      </c>
      <c r="E29" s="40" t="s">
        <v>110</v>
      </c>
      <c r="F29" s="40" t="s">
        <v>174</v>
      </c>
      <c r="G29" s="40" t="s">
        <v>109</v>
      </c>
      <c r="H29" s="40">
        <v>0</v>
      </c>
      <c r="I29" s="40">
        <v>0</v>
      </c>
      <c r="J29" s="41" t="str">
        <f>""</f>
        <v/>
      </c>
      <c r="K29" s="76">
        <v>1.5570000000000001E-2</v>
      </c>
      <c r="L29" s="41" t="s">
        <v>38</v>
      </c>
      <c r="M29" s="94" t="b">
        <v>0</v>
      </c>
      <c r="O29" s="85" t="e">
        <f>[1]!OBGET([1]!OBCALL("",B29,"getValue",$C$10))</f>
        <v>#N/A</v>
      </c>
      <c r="P29" s="85" t="e">
        <f>([1]!OBGET([1]!OBCALL("",B29,"getValue",[1]!OBMAKE("","double",$P$9),$C$10))-O29)/$P$9/O29</f>
        <v>#N/A</v>
      </c>
      <c r="Q29" s="98" t="e">
        <f>([1]!OBGET([1]!OBCALL("",B29,"getValue",Q$12))-$O29)/Q$9</f>
        <v>#N/A</v>
      </c>
      <c r="R29" s="98"/>
      <c r="IX29" s="18"/>
      <c r="IY29" s="18"/>
      <c r="IZ29" s="18"/>
    </row>
    <row r="30" spans="2:260" ht="13.2" customHeight="1" x14ac:dyDescent="0.25">
      <c r="Q30" s="98"/>
    </row>
    <row r="31" spans="2:260" ht="13.2" customHeight="1" x14ac:dyDescent="0.25">
      <c r="B31" s="21" t="str">
        <f>[1]!OBMAKE("swapLeg-2-"&amp;ROW(),obLibs&amp;"net.finmath.marketdata.products.SwapLeg",[1]!OBCALL("",obLibs&amp;"net.finmath.time.ScheduleGenerator","createScheduleFromConventions",$E$9,[1]!OBMAKE("","LocalDate",C31),[1]!OBMAKE("","LocalDate",D31),[1]!OBMAKE("","String",E31),[1]!OBMAKE("","String",F31),$E$10,[1]!OBMAKE("","String",G31),$E$11,[1]!OBMAKE("","int",H31),[1]!OBMAKE("","int",I31)),[1]!OBMAKE("","String",J31),[1]!OBMAKE("","double",K31),[1]!OBMAKE("","String",L31),[1]!OBMAKE("","boolean",M31))</f>
        <v>swapLeg-2-31 
[14346]</v>
      </c>
      <c r="C31" s="96">
        <v>40910</v>
      </c>
      <c r="D31" s="96">
        <v>41276</v>
      </c>
      <c r="E31" s="40" t="s">
        <v>149</v>
      </c>
      <c r="F31" s="40" t="s">
        <v>174</v>
      </c>
      <c r="G31" s="40" t="s">
        <v>109</v>
      </c>
      <c r="H31" s="40">
        <v>0</v>
      </c>
      <c r="I31" s="40">
        <v>0</v>
      </c>
      <c r="J31" s="41" t="s">
        <v>40</v>
      </c>
      <c r="K31" s="76">
        <v>0</v>
      </c>
      <c r="L31" s="41" t="s">
        <v>38</v>
      </c>
      <c r="M31" s="94" t="b">
        <v>0</v>
      </c>
      <c r="O31" s="85" t="e">
        <f>[1]!OBGET([1]!OBCALL("",B31,"getValue",$C$10))</f>
        <v>#N/A</v>
      </c>
      <c r="P31" s="85" t="e">
        <f>([1]!OBGET([1]!OBCALL("",B31,"getValue",[1]!OBMAKE("","double",$P$9),$C$10))-O31)/$P$9/O31</f>
        <v>#N/A</v>
      </c>
      <c r="Q31" s="98" t="e">
        <f>([1]!OBGET([1]!OBCALL("",B31,"getValue",Q$12))-$O31)/Q$9</f>
        <v>#N/A</v>
      </c>
    </row>
    <row r="32" spans="2:260" ht="13.2" customHeight="1" x14ac:dyDescent="0.25">
      <c r="Q32" s="98"/>
    </row>
    <row r="33" spans="2:17" ht="13.2" customHeight="1" x14ac:dyDescent="0.25">
      <c r="Q33" s="98"/>
    </row>
    <row r="34" spans="2:17" ht="13.2" customHeight="1" x14ac:dyDescent="0.25">
      <c r="B34" s="21" t="str">
        <f>[1]!OBMAKE("swapLeg-2-"&amp;ROW(),obLibs&amp;"net.finmath.marketdata.products.SwapLeg",[1]!OBCALL("",obLibs&amp;"net.finmath.time.ScheduleGenerator","createScheduleFromConventions",$E$9,[1]!OBMAKE("","LocalDate",C34),[1]!OBMAKE("","LocalDate",D34),[1]!OBMAKE("","String",E34),[1]!OBMAKE("","String",F34),$E$10,[1]!OBMAKE("","String",G34),$E$11,[1]!OBMAKE("","int",H34),[1]!OBMAKE("","int",I34)),[1]!OBMAKE("","String",J34),[1]!OBMAKE("","double",K34),[1]!OBMAKE("","String",L34),[1]!OBMAKE("","boolean",M34))</f>
        <v>swapLeg-2-34 
[13368]</v>
      </c>
      <c r="C34" s="96">
        <v>40920</v>
      </c>
      <c r="D34" s="96">
        <v>42197</v>
      </c>
      <c r="E34" s="40" t="s">
        <v>149</v>
      </c>
      <c r="F34" s="40" t="str">
        <f>"act/360"</f>
        <v>act/360</v>
      </c>
      <c r="G34" s="40" t="s">
        <v>109</v>
      </c>
      <c r="H34" s="40">
        <v>0</v>
      </c>
      <c r="I34" s="40">
        <v>0</v>
      </c>
      <c r="J34" s="33" t="s">
        <v>39</v>
      </c>
      <c r="K34" s="40">
        <v>0</v>
      </c>
      <c r="L34" s="41" t="s">
        <v>38</v>
      </c>
      <c r="M34" s="94" t="b">
        <v>0</v>
      </c>
      <c r="O34" s="85" t="e">
        <f>[1]!OBGET([1]!OBCALL("",B34,"getValue",$C$10))</f>
        <v>#N/A</v>
      </c>
      <c r="P34" s="85" t="e">
        <f>([1]!OBGET([1]!OBCALL("",B34,"getValue",[1]!OBMAKE("","double",$P$9),$C$10))-O34)/$P$9/O34</f>
        <v>#N/A</v>
      </c>
      <c r="Q34" s="98" t="e">
        <f>([1]!OBGET([1]!OBCALL("",B34,"getValue",Q$12))-$O34)/Q$9</f>
        <v>#N/A</v>
      </c>
    </row>
    <row r="35" spans="2:17" ht="13.2" customHeight="1" x14ac:dyDescent="0.25">
      <c r="B35" s="21" t="str">
        <f>[1]!OBMAKE("swapLeg-2-"&amp;ROW(),obLibs&amp;"net.finmath.marketdata.products.SwapLeg",[1]!OBCALL("",obLibs&amp;"net.finmath.time.ScheduleGenerator","createScheduleFromConventions",$E$9,[1]!OBMAKE("","LocalDate",C35),[1]!OBMAKE("","LocalDate",D35),[1]!OBMAKE("","String",E35),[1]!OBMAKE("","String",F35),$E$10,[1]!OBMAKE("","String",G35),$E$11,[1]!OBMAKE("","int",H35),[1]!OBMAKE("","int",I35)),[1]!OBMAKE("","String",J35),[1]!OBMAKE("","double",K35),[1]!OBMAKE("","String",L35),[1]!OBMAKE("","boolean",M35))</f>
        <v>swapLeg-2-35 
[12880]</v>
      </c>
      <c r="C35" s="96">
        <v>40920</v>
      </c>
      <c r="D35" s="96">
        <v>42197</v>
      </c>
      <c r="E35" s="40" t="s">
        <v>110</v>
      </c>
      <c r="F35" s="40" t="s">
        <v>174</v>
      </c>
      <c r="G35" s="40" t="s">
        <v>109</v>
      </c>
      <c r="H35" s="40">
        <v>0</v>
      </c>
      <c r="I35" s="40">
        <v>0</v>
      </c>
      <c r="J35" s="41" t="str">
        <f>""</f>
        <v/>
      </c>
      <c r="K35" s="76">
        <v>5.5649999999999996E-3</v>
      </c>
      <c r="L35" s="41" t="s">
        <v>38</v>
      </c>
      <c r="M35" s="94" t="b">
        <v>0</v>
      </c>
      <c r="O35" s="85" t="e">
        <f>[1]!OBGET([1]!OBCALL("",B35,"getValue",$C$10))</f>
        <v>#N/A</v>
      </c>
      <c r="P35" s="85" t="e">
        <f>([1]!OBGET([1]!OBCALL("",B35,"getValue",[1]!OBMAKE("","double",$P$9),$C$10))-O35)/$P$9/O35</f>
        <v>#N/A</v>
      </c>
      <c r="Q35" s="98" t="e">
        <f>([1]!OBGET([1]!OBCALL("",B35,"getValue",Q$12))-$O35)/Q$9</f>
        <v>#N/A</v>
      </c>
    </row>
    <row r="36" spans="2:17" ht="13.2" customHeight="1" x14ac:dyDescent="0.25">
      <c r="P36" s="85"/>
    </row>
    <row r="38" spans="2:17" ht="13.2" customHeight="1" x14ac:dyDescent="0.25">
      <c r="B38" s="21" t="str">
        <f>[1]!OBMAKE("swapLeg-2-"&amp;ROW(),obLibs&amp;"net.finmath.marketdata.products.SwapLeg",[1]!OBCALL("",obLibs&amp;"net.finmath.time.ScheduleGenerator","createScheduleFromConventions",$E$9,[1]!OBMAKE("","LocalDate",C38),[1]!OBMAKE("","LocalDate",D38),[1]!OBMAKE("","String",E38),[1]!OBMAKE("","String",F38),$E$10,[1]!OBMAKE("","String",G38),$E$11,[1]!OBMAKE("","int",H38),[1]!OBMAKE("","int",I38)),[1]!OBMAKE("","String",J38),[1]!OBMAKE("","double",K38),[1]!OBMAKE("","String",L38),[1]!OBMAKE("","boolean",M38))</f>
        <v>swapLeg-2-38 
[13355]</v>
      </c>
      <c r="C38" s="96">
        <v>40920</v>
      </c>
      <c r="D38" s="96">
        <v>41286</v>
      </c>
      <c r="E38" s="40" t="s">
        <v>149</v>
      </c>
      <c r="F38" s="40" t="s">
        <v>130</v>
      </c>
      <c r="G38" s="40" t="s">
        <v>109</v>
      </c>
      <c r="H38" s="40">
        <v>0</v>
      </c>
      <c r="I38" s="40">
        <v>0</v>
      </c>
      <c r="J38" s="33" t="s">
        <v>39</v>
      </c>
      <c r="K38" s="40">
        <v>0</v>
      </c>
      <c r="L38" s="33" t="s">
        <v>38</v>
      </c>
      <c r="M38" s="94" t="b">
        <v>0</v>
      </c>
      <c r="O38" s="85" t="e">
        <f>[1]!OBGET([1]!OBCALL("",B38,"getValue",$C$10))</f>
        <v>#N/A</v>
      </c>
      <c r="P38" s="85" t="e">
        <f>([1]!OBGET([1]!OBCALL("",B38,"getValue",[1]!OBMAKE("","double",$P$9),$C$10))-O38)/$P$9/O38</f>
        <v>#N/A</v>
      </c>
      <c r="Q38" s="98" t="e">
        <f>([1]!OBGET([1]!OBCALL("",B38,"getValue",Q$12))-$O38)/Q$9</f>
        <v>#N/A</v>
      </c>
    </row>
    <row r="40" spans="2:17" ht="13.2" customHeight="1" x14ac:dyDescent="0.25">
      <c r="B40" s="21" t="str">
        <f>[1]!OBMAKE("swapLeg-2-"&amp;ROW(),obLibs&amp;"net.finmath.marketdata.products.SwapLeg",[1]!OBCALL("",obLibs&amp;"net.finmath.time.ScheduleGenerator","createScheduleFromConventions",$E$9,[1]!OBMAKE("","LocalDate",C40),[1]!OBMAKE("","LocalDate",D40),[1]!OBMAKE("","String",E40),[1]!OBMAKE("","String",F40),$E$10,[1]!OBMAKE("","String",G40),$E$11,[1]!OBMAKE("","int",H40),[1]!OBMAKE("","int",I40)),[1]!OBMAKE("","String",J40),[1]!OBMAKE("","double",K40),[1]!OBMAKE("","String",L40),[1]!OBMAKE("","boolean",M40))</f>
        <v>swapLeg-2-40 
[12854]</v>
      </c>
      <c r="C40" s="96">
        <v>40917</v>
      </c>
      <c r="D40" s="96">
        <v>44573</v>
      </c>
      <c r="E40" s="40" t="s">
        <v>110</v>
      </c>
      <c r="F40" s="40" t="str">
        <f>"act/360"</f>
        <v>act/360</v>
      </c>
      <c r="G40" s="40" t="s">
        <v>109</v>
      </c>
      <c r="H40" s="40">
        <v>0</v>
      </c>
      <c r="I40" s="40">
        <v>0</v>
      </c>
      <c r="J40" s="41" t="str">
        <f>""</f>
        <v/>
      </c>
      <c r="K40" s="76">
        <v>0</v>
      </c>
      <c r="L40" s="41" t="s">
        <v>199</v>
      </c>
      <c r="M40" s="94" t="b">
        <v>1</v>
      </c>
      <c r="O40" s="85" t="e">
        <f>[1]!OBGET([1]!OBCALL("",B40,"getValue",$C$10))</f>
        <v>#N/A</v>
      </c>
      <c r="P40" s="85" t="e">
        <f>([1]!OBGET([1]!OBCALL("",B40,"getValue",[1]!OBMAKE("","double",$P$9),$C$10))-O40)/$P$9/O40</f>
        <v>#N/A</v>
      </c>
      <c r="Q40" s="98" t="e">
        <f>([1]!OBGET([1]!OBCALL("",B40,"getValue",Q$12))-$O40)/Q$9</f>
        <v>#VALUE!</v>
      </c>
    </row>
    <row r="41" spans="2:17" ht="13.2" customHeight="1" x14ac:dyDescent="0.25">
      <c r="Q41" s="98"/>
    </row>
    <row r="42" spans="2:17" ht="13.2" customHeight="1" x14ac:dyDescent="0.25">
      <c r="B42" s="44" t="s">
        <v>176</v>
      </c>
      <c r="Q42" s="98"/>
    </row>
    <row r="43" spans="2:17" ht="13.2" customHeight="1" x14ac:dyDescent="0.25">
      <c r="Q43" s="98"/>
    </row>
    <row r="44" spans="2:17" ht="13.2" customHeight="1" x14ac:dyDescent="0.25">
      <c r="B44" s="21" t="str">
        <f>[1]!OBMAKE("swapLeg-2-"&amp;ROW(),obLibs&amp;"net.finmath.marketdata.products.SwapLeg",[1]!OBCALL("",obLibs&amp;"net.finmath.time.ScheduleGenerator","createScheduleFromConventions",$E$9,[1]!OBMAKE("","LocalDate",C44),[1]!OBMAKE("","LocalDate",D44),[1]!OBMAKE("","String",E44),[1]!OBMAKE("","String",F44),$E$10,[1]!OBMAKE("","String",G44),$E$11,[1]!OBMAKE("","int",H44),[1]!OBMAKE("","int",I44)),[1]!OBMAKE("","String",J44),[1]!OBMAKE("","double",K44),[1]!OBMAKE("","String",L44),[1]!OBMAKE("","boolean",M44))</f>
        <v>swapLeg-2-44 
[13426]</v>
      </c>
      <c r="C44" s="96">
        <v>40918</v>
      </c>
      <c r="D44" s="96">
        <v>44573</v>
      </c>
      <c r="E44" s="40" t="s">
        <v>149</v>
      </c>
      <c r="F44" s="40" t="s">
        <v>130</v>
      </c>
      <c r="G44" s="40" t="s">
        <v>109</v>
      </c>
      <c r="H44" s="40">
        <v>0</v>
      </c>
      <c r="I44" s="40">
        <v>0</v>
      </c>
      <c r="J44" s="41" t="s">
        <v>40</v>
      </c>
      <c r="K44" s="76">
        <v>5.0000000000000001E-3</v>
      </c>
      <c r="L44" s="33" t="s">
        <v>154</v>
      </c>
      <c r="M44" s="94" t="b">
        <v>1</v>
      </c>
      <c r="O44" s="85" t="e">
        <f>[1]!OBGET([1]!OBCALL("",B44,"getValue",$C$10))</f>
        <v>#N/A</v>
      </c>
      <c r="P44" s="85" t="e">
        <f>([1]!OBGET([1]!OBCALL("",B44,"getValue",[1]!OBMAKE("","double",$Q$9),$C$10))-O44)/$Q$9/O44</f>
        <v>#N/A</v>
      </c>
      <c r="Q44" s="98" t="e">
        <f>([1]!OBGET([1]!OBCALL("",B44,"getValue",Q$12))-$O44)/Q$9</f>
        <v>#N/A</v>
      </c>
    </row>
    <row r="45" spans="2:17" ht="13.2" customHeight="1" x14ac:dyDescent="0.25">
      <c r="B45" s="21" t="str">
        <f>[1]!OBMAKE("swapLeg-2-"&amp;ROW(),obLibs&amp;"net.finmath.marketdata.products.SwapLeg",[1]!OBCALL("",obLibs&amp;"net.finmath.time.ScheduleGenerator","createScheduleFromConventions",$E$9,[1]!OBMAKE("","LocalDate",C45),[1]!OBMAKE("","LocalDate",D45),[1]!OBMAKE("","String",E45),[1]!OBMAKE("","String",F45),$E$10,[1]!OBMAKE("","String",G45),$E$11,[1]!OBMAKE("","int",H45),[1]!OBMAKE("","int",I45)),[1]!OBMAKE("","String",J45),[1]!OBMAKE("","double",K45),[1]!OBMAKE("","String",L45),[1]!OBMAKE("","boolean",M45))</f>
        <v>swapLeg-2-45 
[13832]</v>
      </c>
      <c r="C45" s="96">
        <v>40918</v>
      </c>
      <c r="D45" s="96">
        <v>44573</v>
      </c>
      <c r="E45" s="40" t="s">
        <v>149</v>
      </c>
      <c r="F45" s="40" t="s">
        <v>130</v>
      </c>
      <c r="G45" s="40" t="s">
        <v>109</v>
      </c>
      <c r="H45" s="40">
        <v>0</v>
      </c>
      <c r="I45" s="40">
        <v>0</v>
      </c>
      <c r="J45" s="41" t="s">
        <v>200</v>
      </c>
      <c r="K45" s="76">
        <v>5.0000000000000001E-3</v>
      </c>
      <c r="L45" s="33" t="s">
        <v>201</v>
      </c>
      <c r="M45" s="94" t="b">
        <v>1</v>
      </c>
      <c r="O45" s="85" t="e">
        <f>[1]!OBGET([1]!OBCALL("",B45,"getValue",$C$10))</f>
        <v>#N/A</v>
      </c>
      <c r="P45" s="85" t="e">
        <f>([1]!OBGET([1]!OBCALL("",B45,"getValue",[1]!OBMAKE("","double",$Q$9),$C$10))-O45)/$Q$9/O45</f>
        <v>#N/A</v>
      </c>
      <c r="Q45" s="98" t="e">
        <f>([1]!OBGET([1]!OBCALL("",B45,"getValue",Q$12))-$O45)/Q$9</f>
        <v>#VALUE!</v>
      </c>
    </row>
    <row r="46" spans="2:17" ht="13.2" customHeight="1" x14ac:dyDescent="0.25">
      <c r="Q46" s="98"/>
    </row>
    <row r="47" spans="2:17" ht="13.2" customHeight="1" x14ac:dyDescent="0.25">
      <c r="B47" s="44" t="s">
        <v>202</v>
      </c>
      <c r="Q47" s="98"/>
    </row>
    <row r="48" spans="2:17" ht="13.2" customHeight="1" x14ac:dyDescent="0.25">
      <c r="Q48" s="98"/>
    </row>
    <row r="49" spans="2:21" ht="13.2" customHeight="1" x14ac:dyDescent="0.25">
      <c r="B49" s="21" t="str">
        <f>[1]!OBMAKE("swapLeg-2-"&amp;ROW(),obLibs&amp;"net.finmath.marketdata.products.SwapLeg",[1]!OBCALL("",obLibs&amp;"net.finmath.time.ScheduleGenerator","createScheduleFromConventions",$E$9,[1]!OBMAKE("","LocalDate",C49),[1]!OBMAKE("","LocalDate",D49),[1]!OBMAKE("","String",E49),[1]!OBMAKE("","String",F49),$E$10,[1]!OBMAKE("","String",G49),$E$11,[1]!OBMAKE("","int",H49),[1]!OBMAKE("","int",I49)),[1]!OBMAKE("","String",J49),[1]!OBMAKE("","double",K49),[1]!OBMAKE("","String",L49),[1]!OBMAKE("","boolean",M49))</f>
        <v>swapLeg-2-49 
[12827]</v>
      </c>
      <c r="C49" s="96">
        <v>40918</v>
      </c>
      <c r="D49" s="96">
        <v>44573</v>
      </c>
      <c r="E49" s="40" t="s">
        <v>149</v>
      </c>
      <c r="F49" s="40" t="s">
        <v>108</v>
      </c>
      <c r="G49" s="40" t="s">
        <v>109</v>
      </c>
      <c r="H49" s="40">
        <v>0</v>
      </c>
      <c r="I49" s="40">
        <v>0</v>
      </c>
      <c r="J49" s="41" t="s">
        <v>200</v>
      </c>
      <c r="K49" s="76">
        <v>5.0000000000000001E-3</v>
      </c>
      <c r="L49" s="33" t="s">
        <v>201</v>
      </c>
      <c r="M49" s="94" t="b">
        <v>1</v>
      </c>
      <c r="O49" s="85" t="e">
        <f>[1]!OBGET([1]!OBCALL("",B49,"getValue",$C$10))</f>
        <v>#N/A</v>
      </c>
      <c r="P49" s="85" t="e">
        <f>([1]!OBGET([1]!OBCALL("",B49,"getValue",[1]!OBMAKE("","double",$Q$9),$C$10))-O49)/$Q$9/O49</f>
        <v>#N/A</v>
      </c>
      <c r="Q49" s="98" t="e">
        <f>([1]!OBGET([1]!OBCALL("",B49,"getValue",Q$12))-$O49)/Q$9</f>
        <v>#VALUE!</v>
      </c>
    </row>
    <row r="50" spans="2:21" ht="13.2" customHeight="1" x14ac:dyDescent="0.25">
      <c r="B50" s="21" t="str">
        <f>[1]!OBMAKE("swapLeg-2-"&amp;ROW(),obLibs&amp;"net.finmath.marketdata.products.SwapLeg",[1]!OBCALL("",obLibs&amp;"net.finmath.time.ScheduleGenerator","createScheduleFromConventions",$E$9,[1]!OBMAKE("","LocalDate",C50),[1]!OBMAKE("","LocalDate",D50),[1]!OBMAKE("","String",E50),[1]!OBMAKE("","String",F50),$E$10,[1]!OBMAKE("","String",G50),$E$11,[1]!OBMAKE("","int",H50),[1]!OBMAKE("","int",I50)),[1]!OBMAKE("","String",J50),[1]!OBMAKE("","double",K50),[1]!OBMAKE("","String",L50),[1]!OBMAKE("","boolean",M50))</f>
        <v>swapLeg-2-50 
[13845]</v>
      </c>
      <c r="C50" s="96">
        <v>40918</v>
      </c>
      <c r="D50" s="96">
        <v>44573</v>
      </c>
      <c r="E50" s="40" t="s">
        <v>149</v>
      </c>
      <c r="F50" s="40" t="s">
        <v>108</v>
      </c>
      <c r="G50" s="40" t="s">
        <v>109</v>
      </c>
      <c r="H50" s="40">
        <v>0</v>
      </c>
      <c r="I50" s="40">
        <v>0</v>
      </c>
      <c r="J50" s="41" t="s">
        <v>40</v>
      </c>
      <c r="K50" s="76">
        <v>5.0000000000000001E-3</v>
      </c>
      <c r="L50" s="33" t="s">
        <v>201</v>
      </c>
      <c r="M50" s="94" t="b">
        <v>1</v>
      </c>
      <c r="O50" s="85" t="e">
        <f>[1]!OBGET([1]!OBCALL("",B50,"getValue",$C$10))</f>
        <v>#N/A</v>
      </c>
      <c r="P50" s="85" t="e">
        <f>([1]!OBGET([1]!OBCALL("",B50,"getValue",[1]!OBMAKE("","double",$Q$9),$C$10))-O50)/$Q$9/O50</f>
        <v>#N/A</v>
      </c>
      <c r="Q50" s="98" t="e">
        <f>([1]!OBGET([1]!OBCALL("",B50,"getValue",Q$12))-$O50)/Q$9</f>
        <v>#VALUE!</v>
      </c>
      <c r="R50" s="18" t="s">
        <v>203</v>
      </c>
    </row>
    <row r="51" spans="2:21" ht="13.2" customHeight="1" x14ac:dyDescent="0.25">
      <c r="Q51" s="98"/>
    </row>
    <row r="52" spans="2:21" ht="13.2" customHeight="1" x14ac:dyDescent="0.25">
      <c r="B52" s="21" t="str">
        <f>[1]!OBMAKE("swapLeg-2-"&amp;ROW(),obLibs&amp;"net.finmath.marketdata.products.SwapLeg",[1]!OBCALL("",obLibs&amp;"net.finmath.time.ScheduleGenerator","createScheduleFromConventions",$E$9,[1]!OBMAKE("","LocalDate",C52),[1]!OBMAKE("","LocalDate",D52),[1]!OBMAKE("","String",E52),[1]!OBMAKE("","String",F52),$E$10,[1]!OBMAKE("","String",G52),$E$11,[1]!OBMAKE("","int",H52),[1]!OBMAKE("","int",I52)),[1]!OBMAKE("","String",J52),[1]!OBMAKE("","double",K52),[1]!OBMAKE("","String",L52),[1]!OBMAKE("","boolean",M52))</f>
        <v>swapLeg-2-52 
[13400]</v>
      </c>
      <c r="C52" s="96">
        <v>40918</v>
      </c>
      <c r="D52" s="96">
        <v>44573</v>
      </c>
      <c r="E52" s="40" t="s">
        <v>149</v>
      </c>
      <c r="F52" s="40" t="s">
        <v>108</v>
      </c>
      <c r="G52" s="40" t="s">
        <v>109</v>
      </c>
      <c r="H52" s="40">
        <v>0</v>
      </c>
      <c r="I52" s="40">
        <v>0</v>
      </c>
      <c r="J52" s="41" t="str">
        <f>""</f>
        <v/>
      </c>
      <c r="K52" s="76">
        <v>2.0299999999999999E-2</v>
      </c>
      <c r="L52" s="33" t="s">
        <v>154</v>
      </c>
      <c r="M52" s="94" t="b">
        <v>1</v>
      </c>
      <c r="O52" s="85" t="e">
        <f>[1]!OBGET([1]!OBCALL("",B52,"getValue",$C$10))</f>
        <v>#N/A</v>
      </c>
      <c r="P52" s="85" t="e">
        <f>([1]!OBGET([1]!OBCALL("",B52,"getValue",[1]!OBMAKE("","double",$Q$9),$C$10))-O52)/$Q$9/O52</f>
        <v>#N/A</v>
      </c>
      <c r="Q52" s="98" t="e">
        <f>([1]!OBGET([1]!OBCALL("",B52,"getValue",Q$12))-$O52)/Q$9</f>
        <v>#N/A</v>
      </c>
      <c r="R52" s="18" t="s">
        <v>203</v>
      </c>
    </row>
    <row r="53" spans="2:21" ht="13.2" customHeight="1" x14ac:dyDescent="0.25">
      <c r="B53" s="21" t="str">
        <f>[1]!OBMAKE("swapLeg-2-"&amp;ROW(),obLibs&amp;"net.finmath.marketdata.products.SwapLeg",[1]!OBCALL("",obLibs&amp;"net.finmath.time.ScheduleGenerator","createScheduleFromConventions",$E$9,[1]!OBMAKE("","LocalDate",C53),[1]!OBMAKE("","LocalDate",D53),[1]!OBMAKE("","String",E53),[1]!OBMAKE("","String",F53),$E$10,[1]!OBMAKE("","String",G53),$E$11,[1]!OBMAKE("","int",H53),[1]!OBMAKE("","int",I53)),[1]!OBMAKE("","String",J53),[1]!OBMAKE("","double",K53),[1]!OBMAKE("","String",L53),[1]!OBMAKE("","boolean",M53))</f>
        <v>swapLeg-2-53 
[13305]</v>
      </c>
      <c r="C53" s="96">
        <v>40918</v>
      </c>
      <c r="D53" s="96">
        <v>44573</v>
      </c>
      <c r="E53" s="40" t="s">
        <v>149</v>
      </c>
      <c r="F53" s="40" t="s">
        <v>108</v>
      </c>
      <c r="G53" s="40" t="s">
        <v>109</v>
      </c>
      <c r="H53" s="40">
        <v>0</v>
      </c>
      <c r="I53" s="40">
        <v>0</v>
      </c>
      <c r="J53" s="41" t="str">
        <f>""</f>
        <v/>
      </c>
      <c r="K53" s="76">
        <v>2.0299999999999999E-2</v>
      </c>
      <c r="L53" s="33" t="s">
        <v>201</v>
      </c>
      <c r="M53" s="94" t="b">
        <v>1</v>
      </c>
      <c r="O53" s="85" t="e">
        <f>[1]!OBGET([1]!OBCALL("",B53,"getValue",$C$10))</f>
        <v>#N/A</v>
      </c>
      <c r="P53" s="85" t="e">
        <f>([1]!OBGET([1]!OBCALL("",B53,"getValue",[1]!OBMAKE("","double",$Q$9),$C$10))-O53)/$Q$9/O53</f>
        <v>#N/A</v>
      </c>
      <c r="Q53" s="98" t="e">
        <f>([1]!OBGET([1]!OBCALL("",B53,"getValue",Q$12))-$O53)/Q$9</f>
        <v>#VALUE!</v>
      </c>
    </row>
    <row r="56" spans="2:21" ht="13.2" customHeight="1" x14ac:dyDescent="0.25">
      <c r="B56" s="44" t="s">
        <v>204</v>
      </c>
    </row>
    <row r="58" spans="2:21" ht="13.2" customHeight="1" x14ac:dyDescent="0.25">
      <c r="B58" s="35" t="s">
        <v>205</v>
      </c>
      <c r="C58" s="96">
        <v>41133</v>
      </c>
      <c r="D58" s="96">
        <v>41225</v>
      </c>
      <c r="F58" s="18" t="s">
        <v>206</v>
      </c>
    </row>
    <row r="59" spans="2:21" ht="13.2" customHeight="1" x14ac:dyDescent="0.25">
      <c r="B59" s="35" t="s">
        <v>207</v>
      </c>
      <c r="C59" s="96">
        <v>41194</v>
      </c>
      <c r="D59" s="96">
        <v>41286</v>
      </c>
    </row>
    <row r="60" spans="2:21" ht="13.2" customHeight="1" x14ac:dyDescent="0.25">
      <c r="Q60" s="98"/>
    </row>
    <row r="61" spans="2:21" ht="13.2" customHeight="1" x14ac:dyDescent="0.25">
      <c r="B61" s="21" t="str">
        <f>[1]!OBMAKE("swapLeg-2-"&amp;ROW(),obLibs&amp;"net.finmath.marketdata.products.SwapLeg",[1]!OBCALL("",obLibs&amp;"net.finmath.time.ScheduleGenerator","createScheduleFromConventions",$E$9,[1]!OBMAKE("","LocalDate",C61),[1]!OBMAKE("","LocalDate",D61),[1]!OBMAKE("","String",E61),[1]!OBMAKE("","String",F61),$E$10,[1]!OBMAKE("","String",G61),$E$11,[1]!OBMAKE("","int",H61),[1]!OBMAKE("","int",I61)),[1]!OBMAKE("","String",J61),[1]!OBMAKE("","double",K61),[1]!OBMAKE("","String",L61),[1]!OBMAKE("","boolean",M61))</f>
        <v>swapLeg-2-61 
[13292]</v>
      </c>
      <c r="C61" s="96">
        <v>41133</v>
      </c>
      <c r="D61" s="96">
        <v>41225</v>
      </c>
      <c r="E61" s="40" t="s">
        <v>107</v>
      </c>
      <c r="F61" s="40" t="s">
        <v>108</v>
      </c>
      <c r="G61" s="40" t="s">
        <v>109</v>
      </c>
      <c r="H61" s="40">
        <v>0</v>
      </c>
      <c r="I61" s="40">
        <v>0</v>
      </c>
      <c r="J61" s="33" t="s">
        <v>40</v>
      </c>
      <c r="K61" s="40">
        <v>0</v>
      </c>
      <c r="L61" s="33" t="s">
        <v>38</v>
      </c>
      <c r="M61" s="94" t="b">
        <v>0</v>
      </c>
      <c r="O61" s="85" t="e">
        <f>[1]!OBGET([1]!OBCALL("",B61,"getValue",$C$10))</f>
        <v>#N/A</v>
      </c>
      <c r="P61" s="85" t="e">
        <f>([1]!OBGET([1]!OBCALL("",B61,"getValue",[1]!OBMAKE("","double",$Q$9),$C$10))-O61)/$Q$9/O61</f>
        <v>#N/A</v>
      </c>
      <c r="Q61" s="98" t="e">
        <f>([1]!OBGET([1]!OBCALL("",B61,"getValue",U61))-$O61)/Q$9</f>
        <v>#N/A</v>
      </c>
      <c r="R61" s="41" t="s">
        <v>208</v>
      </c>
      <c r="T61" s="18" t="e">
        <f>[1]!OBCALL("calibratedCurves-"&amp;R61,$C$9,"getCloneShifted",[1]!OBMAKE("","String",R61),[1]!OBMAKE("","double",$Q$9))</f>
        <v>#N/A</v>
      </c>
      <c r="U61" s="18" t="e">
        <f>[1]!OBCALL("calibratedModel-"&amp;ROW(),T61,"getModel")</f>
        <v>#N/A</v>
      </c>
    </row>
    <row r="62" spans="2:21" ht="13.2" customHeight="1" x14ac:dyDescent="0.25">
      <c r="B62" s="21" t="str">
        <f>[1]!OBMAKE("swapLeg-2-"&amp;ROW(),obLibs&amp;"net.finmath.marketdata.products.SwapLeg",[1]!OBCALL("",obLibs&amp;"net.finmath.time.ScheduleGenerator","createScheduleFromConventions",$E$9,[1]!OBMAKE("","LocalDate",C62),[1]!OBMAKE("","LocalDate",D62),[1]!OBMAKE("","String",E62),[1]!OBMAKE("","String",F62),$E$10,[1]!OBMAKE("","String",G62),$E$11,[1]!OBMAKE("","int",H62),[1]!OBMAKE("","int",I62)),[1]!OBMAKE("","String",J62),[1]!OBMAKE("","double",K62),[1]!OBMAKE("","String",L62),[1]!OBMAKE("","boolean",M62))</f>
        <v>swapLeg-2-62 
[13387]</v>
      </c>
      <c r="C62" s="96">
        <v>41133</v>
      </c>
      <c r="D62" s="96">
        <v>41225</v>
      </c>
      <c r="E62" s="40" t="s">
        <v>107</v>
      </c>
      <c r="F62" s="40" t="s">
        <v>108</v>
      </c>
      <c r="G62" s="40" t="s">
        <v>109</v>
      </c>
      <c r="H62" s="40">
        <v>0</v>
      </c>
      <c r="I62" s="40">
        <v>0</v>
      </c>
      <c r="J62" s="33" t="s">
        <v>40</v>
      </c>
      <c r="K62" s="40">
        <v>0</v>
      </c>
      <c r="L62" s="33" t="s">
        <v>38</v>
      </c>
      <c r="M62" s="94" t="b">
        <v>0</v>
      </c>
      <c r="O62" s="85" t="e">
        <f>[1]!OBGET([1]!OBCALL("",B62,"getValue",$C$10))</f>
        <v>#N/A</v>
      </c>
      <c r="P62" s="85" t="e">
        <f>([1]!OBGET([1]!OBCALL("",B62,"getValue",[1]!OBMAKE("","double",$Q$9),$C$10))-O62)/$Q$9/O62</f>
        <v>#N/A</v>
      </c>
      <c r="Q62" s="98" t="e">
        <f>([1]!OBGET([1]!OBCALL("",B62,"getValue",U62))-$O62)/Q$9</f>
        <v>#N/A</v>
      </c>
      <c r="R62" s="41" t="s">
        <v>209</v>
      </c>
      <c r="T62" s="18" t="e">
        <f>[1]!OBCALL("calibratedCurves-"&amp;R62,$C$9,"getCloneShifted",[1]!OBMAKE("","String",R62),[1]!OBMAKE("","double",$Q$9))</f>
        <v>#N/A</v>
      </c>
      <c r="U62" s="18" t="e">
        <f>[1]!OBCALL("calibratedModel-"&amp;ROW(),T62,"getModel")</f>
        <v>#N/A</v>
      </c>
    </row>
    <row r="63" spans="2:21" ht="13.2" customHeight="1" x14ac:dyDescent="0.25">
      <c r="B63" s="21" t="str">
        <f>[1]!OBMAKE("swapLeg-2-"&amp;ROW(),obLibs&amp;"net.finmath.marketdata.products.SwapLeg",[1]!OBCALL("",obLibs&amp;"net.finmath.time.ScheduleGenerator","createScheduleFromConventions",$E$9,[1]!OBMAKE("","LocalDate",C63),[1]!OBMAKE("","LocalDate",D63),[1]!OBMAKE("","String",E63),[1]!OBMAKE("","String",F63),$E$10,[1]!OBMAKE("","String",G63),$E$11,[1]!OBMAKE("","int",H63),[1]!OBMAKE("","int",I63)),[1]!OBMAKE("","String",J63),[1]!OBMAKE("","double",K63),[1]!OBMAKE("","String",L63),[1]!OBMAKE("","boolean",M63))</f>
        <v>swapLeg-2-63 
[13439]</v>
      </c>
      <c r="C63" s="96">
        <v>41133</v>
      </c>
      <c r="D63" s="96">
        <v>41225</v>
      </c>
      <c r="E63" s="40" t="s">
        <v>107</v>
      </c>
      <c r="F63" s="40" t="s">
        <v>108</v>
      </c>
      <c r="G63" s="40" t="s">
        <v>109</v>
      </c>
      <c r="H63" s="40">
        <v>0</v>
      </c>
      <c r="I63" s="40">
        <v>0</v>
      </c>
      <c r="J63" s="33" t="s">
        <v>40</v>
      </c>
      <c r="K63" s="40">
        <v>0</v>
      </c>
      <c r="L63" s="33" t="s">
        <v>38</v>
      </c>
      <c r="M63" s="94" t="b">
        <v>0</v>
      </c>
      <c r="O63" s="85" t="e">
        <f>[1]!OBGET([1]!OBCALL("",B63,"getValue",$C$10))</f>
        <v>#N/A</v>
      </c>
      <c r="P63" s="85" t="e">
        <f>([1]!OBGET([1]!OBCALL("",B63,"getValue",[1]!OBMAKE("","double",$Q$9),$C$10))-O63)/$Q$9/O63</f>
        <v>#N/A</v>
      </c>
      <c r="Q63" s="98" t="e">
        <f>([1]!OBGET([1]!OBCALL("",B63,"getValue",U63))-$O63)/Q$9</f>
        <v>#N/A</v>
      </c>
      <c r="R63" s="41" t="s">
        <v>210</v>
      </c>
      <c r="T63" s="18" t="e">
        <f>[1]!OBCALL("calibratedCurves-"&amp;R63,$C$9,"getCloneShifted",[1]!OBMAKE("","String",R63),[1]!OBMAKE("","double",$Q$9))</f>
        <v>#N/A</v>
      </c>
      <c r="U63" s="18" t="e">
        <f>[1]!OBCALL("calibratedModel-"&amp;ROW(),T63,"getModel")</f>
        <v>#N/A</v>
      </c>
    </row>
    <row r="64" spans="2:21" ht="13.2" customHeight="1" x14ac:dyDescent="0.25">
      <c r="B64" s="21" t="str">
        <f>[1]!OBMAKE("swapLeg-2-"&amp;ROW(),obLibs&amp;"net.finmath.marketdata.products.SwapLeg",[1]!OBCALL("",obLibs&amp;"net.finmath.time.ScheduleGenerator","createScheduleFromConventions",$E$9,[1]!OBMAKE("","LocalDate",C64),[1]!OBMAKE("","LocalDate",D64),[1]!OBMAKE("","String",E64),[1]!OBMAKE("","String",F64),$E$10,[1]!OBMAKE("","String",G64),$E$11,[1]!OBMAKE("","int",H64),[1]!OBMAKE("","int",I64)),[1]!OBMAKE("","String",J64),[1]!OBMAKE("","double",K64),[1]!OBMAKE("","String",L64),[1]!OBMAKE("","boolean",M64))</f>
        <v>swapLeg-2-64 
[12867]</v>
      </c>
      <c r="C64" s="96">
        <v>41133</v>
      </c>
      <c r="D64" s="96">
        <v>41225</v>
      </c>
      <c r="E64" s="40" t="s">
        <v>107</v>
      </c>
      <c r="F64" s="40" t="s">
        <v>108</v>
      </c>
      <c r="G64" s="40" t="s">
        <v>109</v>
      </c>
      <c r="H64" s="40">
        <v>0</v>
      </c>
      <c r="I64" s="40">
        <v>0</v>
      </c>
      <c r="J64" s="33" t="s">
        <v>40</v>
      </c>
      <c r="K64" s="40">
        <v>0</v>
      </c>
      <c r="L64" s="33" t="s">
        <v>38</v>
      </c>
      <c r="M64" s="94" t="b">
        <v>0</v>
      </c>
      <c r="O64" s="85" t="e">
        <f>[1]!OBGET([1]!OBCALL("",B64,"getValue",$C$10))</f>
        <v>#N/A</v>
      </c>
      <c r="P64" s="85" t="e">
        <f>([1]!OBGET([1]!OBCALL("",B64,"getValue",[1]!OBMAKE("","double",$Q$9),$C$10))-O64)/$Q$9/O64</f>
        <v>#N/A</v>
      </c>
      <c r="Q64" s="98" t="e">
        <f>([1]!OBGET([1]!OBCALL("",B64,"getValue",U64))-$O64)/Q$9</f>
        <v>#N/A</v>
      </c>
      <c r="R64" s="41" t="s">
        <v>211</v>
      </c>
      <c r="T64" s="18" t="e">
        <f>[1]!OBCALL("calibratedCurves-"&amp;R64,$C$9,"getCloneShifted",[1]!OBMAKE("","String",R64),[1]!OBMAKE("","double",$Q$9))</f>
        <v>#N/A</v>
      </c>
      <c r="U64" s="18" t="e">
        <f>[1]!OBCALL("calibratedModel-"&amp;ROW(),T64,"getModel")</f>
        <v>#N/A</v>
      </c>
    </row>
    <row r="65" spans="2:21" ht="13.2" customHeight="1" x14ac:dyDescent="0.25">
      <c r="B65" s="21" t="str">
        <f>[1]!OBMAKE("swapLeg-2-"&amp;ROW(),obLibs&amp;"net.finmath.marketdata.products.SwapLeg",[1]!OBCALL("",obLibs&amp;"net.finmath.time.ScheduleGenerator","createScheduleFromConventions",$E$9,[1]!OBMAKE("","LocalDate",C65),[1]!OBMAKE("","LocalDate",D65),[1]!OBMAKE("","String",E65),[1]!OBMAKE("","String",F65),$E$10,[1]!OBMAKE("","String",G65),$E$11,[1]!OBMAKE("","int",H65),[1]!OBMAKE("","int",I65)),[1]!OBMAKE("","String",J65),[1]!OBMAKE("","double",K65),[1]!OBMAKE("","String",L65),[1]!OBMAKE("","boolean",M65))</f>
        <v>swapLeg-2-65 
[14320]</v>
      </c>
      <c r="C65" s="96">
        <v>41133</v>
      </c>
      <c r="D65" s="96">
        <v>41225</v>
      </c>
      <c r="E65" s="40" t="s">
        <v>107</v>
      </c>
      <c r="F65" s="40" t="s">
        <v>108</v>
      </c>
      <c r="G65" s="40" t="s">
        <v>109</v>
      </c>
      <c r="H65" s="40">
        <v>0</v>
      </c>
      <c r="I65" s="40">
        <v>0</v>
      </c>
      <c r="J65" s="33" t="s">
        <v>40</v>
      </c>
      <c r="K65" s="40">
        <v>0</v>
      </c>
      <c r="L65" s="33" t="s">
        <v>38</v>
      </c>
      <c r="M65" s="94" t="b">
        <v>0</v>
      </c>
      <c r="O65" s="85" t="e">
        <f>[1]!OBGET([1]!OBCALL("",B65,"getValue",$C$10))</f>
        <v>#N/A</v>
      </c>
      <c r="P65" s="85" t="e">
        <f>([1]!OBGET([1]!OBCALL("",B65,"getValue",[1]!OBMAKE("","double",$Q$9),$C$10))-O65)/$Q$9/O65</f>
        <v>#N/A</v>
      </c>
      <c r="Q65" s="98" t="e">
        <f>([1]!OBGET([1]!OBCALL("",B65,"getValue",U65))-$O65)/Q$9</f>
        <v>#N/A</v>
      </c>
      <c r="R65" s="41" t="s">
        <v>212</v>
      </c>
      <c r="T65" s="18" t="e">
        <f>[1]!OBCALL("calibratedCurves-"&amp;R65,$C$9,"getCloneShifted",[1]!OBMAKE("","String",R65),[1]!OBMAKE("","double",$Q$9))</f>
        <v>#N/A</v>
      </c>
      <c r="U65" s="18" t="e">
        <f>[1]!OBCALL("calibratedModel-"&amp;ROW(),T65,"getModel")</f>
        <v>#N/A</v>
      </c>
    </row>
    <row r="66" spans="2:21" ht="13.2" customHeight="1" x14ac:dyDescent="0.25">
      <c r="B66" s="21" t="str">
        <f>[1]!OBMAKE("swapLeg-2-"&amp;ROW(),obLibs&amp;"net.finmath.marketdata.products.SwapLeg",[1]!OBCALL("",obLibs&amp;"net.finmath.time.ScheduleGenerator","createScheduleFromConventions",$E$9,[1]!OBMAKE("","LocalDate",C66),[1]!OBMAKE("","LocalDate",D66),[1]!OBMAKE("","String",E66),[1]!OBMAKE("","String",F66),$E$10,[1]!OBMAKE("","String",G66),$E$11,[1]!OBMAKE("","int",H66),[1]!OBMAKE("","int",I66)),[1]!OBMAKE("","String",J66),[1]!OBMAKE("","double",K66),[1]!OBMAKE("","String",L66),[1]!OBMAKE("","boolean",M66))</f>
        <v>swapLeg-2-66 
[14385]</v>
      </c>
      <c r="C66" s="96">
        <v>41133</v>
      </c>
      <c r="D66" s="96">
        <v>41225</v>
      </c>
      <c r="E66" s="40" t="s">
        <v>107</v>
      </c>
      <c r="F66" s="40" t="s">
        <v>108</v>
      </c>
      <c r="G66" s="40" t="s">
        <v>109</v>
      </c>
      <c r="H66" s="40">
        <v>0</v>
      </c>
      <c r="I66" s="40">
        <v>0</v>
      </c>
      <c r="J66" s="33" t="s">
        <v>40</v>
      </c>
      <c r="K66" s="40">
        <v>0</v>
      </c>
      <c r="L66" s="33" t="s">
        <v>38</v>
      </c>
      <c r="M66" s="94" t="b">
        <v>0</v>
      </c>
      <c r="O66" s="85" t="e">
        <f>[1]!OBGET([1]!OBCALL("",B66,"getValue",$C$10))</f>
        <v>#N/A</v>
      </c>
      <c r="P66" s="85" t="e">
        <f>([1]!OBGET([1]!OBCALL("",B66,"getValue",[1]!OBMAKE("","double",$Q$9),$C$10))-O66)/$Q$9/O66</f>
        <v>#N/A</v>
      </c>
      <c r="Q66" s="98" t="e">
        <f>([1]!OBGET([1]!OBCALL("",B66,"getValue",U66))-$O66)/Q$9</f>
        <v>#N/A</v>
      </c>
      <c r="R66" s="41" t="s">
        <v>213</v>
      </c>
      <c r="T66" s="18" t="e">
        <f>[1]!OBCALL("calibratedCurves-"&amp;R66,$C$9,"getCloneShifted",[1]!OBMAKE("","String",R66),[1]!OBMAKE("","double",$Q$9))</f>
        <v>#N/A</v>
      </c>
      <c r="U66" s="18" t="e">
        <f>[1]!OBCALL("calibratedModel-"&amp;ROW(),T66,"getModel")</f>
        <v>#N/A</v>
      </c>
    </row>
    <row r="67" spans="2:21" ht="13.2" customHeight="1" x14ac:dyDescent="0.25">
      <c r="B67" s="21" t="str">
        <f>[1]!OBMAKE("swapLeg-2-"&amp;ROW(),obLibs&amp;"net.finmath.marketdata.products.SwapLeg",[1]!OBCALL("",obLibs&amp;"net.finmath.time.ScheduleGenerator","createScheduleFromConventions",$E$9,[1]!OBMAKE("","LocalDate",C67),[1]!OBMAKE("","LocalDate",D67),[1]!OBMAKE("","String",E67),[1]!OBMAKE("","String",F67),$E$10,[1]!OBMAKE("","String",G67),$E$11,[1]!OBMAKE("","int",H67),[1]!OBMAKE("","int",I67)),[1]!OBMAKE("","String",J67),[1]!OBMAKE("","double",K67),[1]!OBMAKE("","String",L67),[1]!OBMAKE("","boolean",M67))</f>
        <v>swapLeg-2-67 
[13413]</v>
      </c>
      <c r="C67" s="96">
        <v>41133</v>
      </c>
      <c r="D67" s="96">
        <v>41225</v>
      </c>
      <c r="E67" s="40" t="s">
        <v>107</v>
      </c>
      <c r="F67" s="40" t="s">
        <v>108</v>
      </c>
      <c r="G67" s="40" t="s">
        <v>109</v>
      </c>
      <c r="H67" s="40">
        <v>0</v>
      </c>
      <c r="I67" s="40">
        <v>0</v>
      </c>
      <c r="J67" s="33" t="s">
        <v>40</v>
      </c>
      <c r="K67" s="40">
        <v>0</v>
      </c>
      <c r="L67" s="33" t="s">
        <v>38</v>
      </c>
      <c r="M67" s="94" t="b">
        <v>0</v>
      </c>
      <c r="O67" s="85" t="e">
        <f>[1]!OBGET([1]!OBCALL("",B67,"getValue",$C$10))</f>
        <v>#N/A</v>
      </c>
      <c r="P67" s="85" t="e">
        <f>([1]!OBGET([1]!OBCALL("",B67,"getValue",[1]!OBMAKE("","double",$Q$9),$C$10))-O67)/$Q$9/O67</f>
        <v>#N/A</v>
      </c>
      <c r="Q67" s="98" t="e">
        <f>([1]!OBGET([1]!OBCALL("",B67,"getValue",U67))-$O67)/Q$9</f>
        <v>#N/A</v>
      </c>
      <c r="R67" s="41" t="s">
        <v>214</v>
      </c>
      <c r="T67" s="18" t="e">
        <f>[1]!OBCALL("calibratedCurves-"&amp;R67,$C$9,"getCloneShifted",[1]!OBMAKE("","String",R67),[1]!OBMAKE("","double",$Q$9))</f>
        <v>#N/A</v>
      </c>
      <c r="U67" s="18" t="e">
        <f>[1]!OBCALL("calibratedModel-"&amp;ROW(),T67,"getModel")</f>
        <v>#N/A</v>
      </c>
    </row>
    <row r="68" spans="2:21" ht="13.2" customHeight="1" x14ac:dyDescent="0.25">
      <c r="B68" s="21" t="str">
        <f>[1]!OBMAKE("swapLeg-2-"&amp;ROW(),obLibs&amp;"net.finmath.marketdata.products.SwapLeg",[1]!OBCALL("",obLibs&amp;"net.finmath.time.ScheduleGenerator","createScheduleFromConventions",$E$9,[1]!OBMAKE("","LocalDate",C68),[1]!OBMAKE("","LocalDate",D68),[1]!OBMAKE("","String",E68),[1]!OBMAKE("","String",F68),$E$10,[1]!OBMAKE("","String",G68),$E$11,[1]!OBMAKE("","int",H68),[1]!OBMAKE("","int",I68)),[1]!OBMAKE("","String",J68),[1]!OBMAKE("","double",K68),[1]!OBMAKE("","String",L68),[1]!OBMAKE("","boolean",M68))</f>
        <v>swapLeg-2-68 
[12893]</v>
      </c>
      <c r="C68" s="96">
        <v>41133</v>
      </c>
      <c r="D68" s="96">
        <v>41225</v>
      </c>
      <c r="E68" s="40" t="s">
        <v>107</v>
      </c>
      <c r="F68" s="40" t="s">
        <v>108</v>
      </c>
      <c r="G68" s="40" t="s">
        <v>109</v>
      </c>
      <c r="H68" s="40">
        <v>0</v>
      </c>
      <c r="I68" s="40">
        <v>0</v>
      </c>
      <c r="J68" s="33" t="s">
        <v>40</v>
      </c>
      <c r="K68" s="40">
        <v>0</v>
      </c>
      <c r="L68" s="33" t="s">
        <v>38</v>
      </c>
      <c r="M68" s="94" t="b">
        <v>0</v>
      </c>
      <c r="O68" s="85" t="e">
        <f>[1]!OBGET([1]!OBCALL("",B68,"getValue",$C$10))</f>
        <v>#N/A</v>
      </c>
      <c r="P68" s="85" t="e">
        <f>([1]!OBGET([1]!OBCALL("",B68,"getValue",[1]!OBMAKE("","double",$Q$9),$C$10))-O68)/$Q$9/O68</f>
        <v>#N/A</v>
      </c>
      <c r="Q68" s="98" t="e">
        <f>([1]!OBGET([1]!OBCALL("",B68,"getValue",U68))-$O68)/Q$9</f>
        <v>#N/A</v>
      </c>
      <c r="R68" s="41" t="s">
        <v>215</v>
      </c>
      <c r="T68" s="18" t="e">
        <f>[1]!OBCALL("calibratedCurves-"&amp;R68,$C$9,"getCloneShifted",[1]!OBMAKE("","String",R68),[1]!OBMAKE("","double",$Q$9))</f>
        <v>#N/A</v>
      </c>
      <c r="U68" s="18" t="e">
        <f>[1]!OBCALL("calibratedModel-"&amp;ROW(),T68,"getModel")</f>
        <v>#N/A</v>
      </c>
    </row>
    <row r="69" spans="2:21" ht="13.2" customHeight="1" x14ac:dyDescent="0.25">
      <c r="B69" s="21" t="str">
        <f>[1]!OBMAKE("swapLeg-2-"&amp;ROW(),obLibs&amp;"net.finmath.marketdata.products.SwapLeg",[1]!OBCALL("",obLibs&amp;"net.finmath.time.ScheduleGenerator","createScheduleFromConventions",$E$9,[1]!OBMAKE("","LocalDate",C69),[1]!OBMAKE("","LocalDate",D69),[1]!OBMAKE("","String",E69),[1]!OBMAKE("","String",F69),$E$10,[1]!OBMAKE("","String",G69),$E$11,[1]!OBMAKE("","int",H69),[1]!OBMAKE("","int",I69)),[1]!OBMAKE("","String",J69),[1]!OBMAKE("","double",K69),[1]!OBMAKE("","String",L69),[1]!OBMAKE("","boolean",M69))</f>
        <v>swapLeg-2-69 
[14372]</v>
      </c>
      <c r="C69" s="96">
        <v>41133</v>
      </c>
      <c r="D69" s="96">
        <v>41225</v>
      </c>
      <c r="E69" s="40" t="s">
        <v>107</v>
      </c>
      <c r="F69" s="40" t="s">
        <v>108</v>
      </c>
      <c r="G69" s="40" t="s">
        <v>109</v>
      </c>
      <c r="H69" s="40">
        <v>0</v>
      </c>
      <c r="I69" s="40">
        <v>0</v>
      </c>
      <c r="J69" s="33" t="s">
        <v>40</v>
      </c>
      <c r="K69" s="40">
        <v>0</v>
      </c>
      <c r="L69" s="33" t="s">
        <v>38</v>
      </c>
      <c r="M69" s="94" t="b">
        <v>0</v>
      </c>
      <c r="O69" s="85" t="e">
        <f>[1]!OBGET([1]!OBCALL("",B69,"getValue",$C$10))</f>
        <v>#N/A</v>
      </c>
      <c r="P69" s="85" t="e">
        <f>([1]!OBGET([1]!OBCALL("",B69,"getValue",[1]!OBMAKE("","double",$Q$9),$C$10))-O69)/$Q$9/O69</f>
        <v>#N/A</v>
      </c>
      <c r="Q69" s="98" t="e">
        <f>([1]!OBGET([1]!OBCALL("",B69,"getValue",U69))-$O69)/Q$9</f>
        <v>#N/A</v>
      </c>
      <c r="R69" s="41" t="s">
        <v>216</v>
      </c>
      <c r="T69" s="18" t="e">
        <f>[1]!OBCALL("calibratedCurves-"&amp;R69,$C$9,"getCloneShifted",[1]!OBMAKE("","String",R69),[1]!OBMAKE("","double",$Q$9))</f>
        <v>#N/A</v>
      </c>
      <c r="U69" s="18" t="e">
        <f>[1]!OBCALL("calibratedModel-"&amp;ROW(),T69,"getModel")</f>
        <v>#N/A</v>
      </c>
    </row>
    <row r="70" spans="2:21" ht="13.2" customHeight="1" x14ac:dyDescent="0.25">
      <c r="B70" s="21" t="str">
        <f>[1]!OBMAKE("swapLeg-2-"&amp;ROW(),obLibs&amp;"net.finmath.marketdata.products.SwapLeg",[1]!OBCALL("",obLibs&amp;"net.finmath.time.ScheduleGenerator","createScheduleFromConventions",$E$9,[1]!OBMAKE("","LocalDate",C70),[1]!OBMAKE("","LocalDate",D70),[1]!OBMAKE("","String",E70),[1]!OBMAKE("","String",F70),$E$10,[1]!OBMAKE("","String",G70),$E$11,[1]!OBMAKE("","int",H70),[1]!OBMAKE("","int",I70)),[1]!OBMAKE("","String",J70),[1]!OBMAKE("","double",K70),[1]!OBMAKE("","String",L70),[1]!OBMAKE("","boolean",M70))</f>
        <v>swapLeg-2-70 
[12906]</v>
      </c>
      <c r="C70" s="96">
        <v>41133</v>
      </c>
      <c r="D70" s="96">
        <v>41225</v>
      </c>
      <c r="E70" s="40" t="s">
        <v>107</v>
      </c>
      <c r="F70" s="40" t="s">
        <v>108</v>
      </c>
      <c r="G70" s="40" t="s">
        <v>109</v>
      </c>
      <c r="H70" s="40">
        <v>0</v>
      </c>
      <c r="I70" s="40">
        <v>0</v>
      </c>
      <c r="J70" s="33" t="s">
        <v>40</v>
      </c>
      <c r="K70" s="40">
        <v>0</v>
      </c>
      <c r="L70" s="33" t="s">
        <v>38</v>
      </c>
      <c r="M70" s="94" t="b">
        <v>0</v>
      </c>
      <c r="O70" s="85" t="e">
        <f>[1]!OBGET([1]!OBCALL("",B70,"getValue",$C$10))</f>
        <v>#N/A</v>
      </c>
      <c r="P70" s="85" t="e">
        <f>([1]!OBGET([1]!OBCALL("",B70,"getValue",[1]!OBMAKE("","double",$Q$9),$C$10))-O70)/$Q$9/O70</f>
        <v>#N/A</v>
      </c>
      <c r="Q70" s="98" t="e">
        <f>([1]!OBGET([1]!OBCALL("",B70,"getValue",U70))-$O70)/Q$9</f>
        <v>#N/A</v>
      </c>
      <c r="R70" s="41" t="s">
        <v>217</v>
      </c>
      <c r="T70" s="18" t="e">
        <f>[1]!OBCALL("calibratedCurves-"&amp;R70,$C$9,"getCloneShifted",[1]!OBMAKE("","String",R70),[1]!OBMAKE("","double",$Q$9))</f>
        <v>#N/A</v>
      </c>
      <c r="U70" s="18" t="e">
        <f>[1]!OBCALL("calibratedModel-"&amp;ROW(),T70,"getModel")</f>
        <v>#N/A</v>
      </c>
    </row>
    <row r="71" spans="2:21" ht="13.2" customHeight="1" x14ac:dyDescent="0.25">
      <c r="Q71" s="18" t="e">
        <f>SUM(Q61:Q70)</f>
        <v>#N/A</v>
      </c>
    </row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1" width="15.33203125" style="18" customWidth="1"/>
    <col min="12" max="12" width="15.33203125" style="87" customWidth="1"/>
    <col min="13" max="13" width="14.5546875" style="18" customWidth="1"/>
    <col min="14" max="14" width="5.109375" style="18" customWidth="1"/>
    <col min="15" max="16" width="15.33203125" style="18" customWidth="1"/>
    <col min="17" max="256" width="14.5546875" style="18" customWidth="1"/>
    <col min="257" max="257" width="14.5546875" customWidth="1"/>
    <col min="258" max="1025" width="11.5546875"/>
  </cols>
  <sheetData>
    <row r="1" spans="2:1024" ht="13.2" customHeight="1" x14ac:dyDescent="0.25">
      <c r="L1" s="18"/>
      <c r="M1" s="87"/>
      <c r="IW1" s="18"/>
    </row>
    <row r="2" spans="2:1024" ht="15" customHeight="1" x14ac:dyDescent="0.25">
      <c r="B2" s="15" t="s">
        <v>177</v>
      </c>
      <c r="L2" s="18"/>
      <c r="M2" s="87"/>
      <c r="IW2" s="18"/>
    </row>
    <row r="3" spans="2:1024" ht="13.2" customHeight="1" x14ac:dyDescent="0.25">
      <c r="K3" s="88" t="s">
        <v>64</v>
      </c>
      <c r="L3" s="17" t="s">
        <v>178</v>
      </c>
      <c r="M3" s="87"/>
      <c r="IW3" s="18"/>
    </row>
    <row r="4" spans="2:1024" ht="13.2" customHeight="1" x14ac:dyDescent="0.25">
      <c r="B4" s="44" t="s">
        <v>180</v>
      </c>
      <c r="C4" s="94" t="b">
        <v>0</v>
      </c>
      <c r="D4" s="97" t="s">
        <v>181</v>
      </c>
      <c r="K4" s="88"/>
      <c r="L4" s="17" t="s">
        <v>182</v>
      </c>
      <c r="M4" s="87"/>
      <c r="IW4" s="18"/>
    </row>
    <row r="5" spans="2:1024" ht="13.2" customHeight="1" x14ac:dyDescent="0.25">
      <c r="L5" s="17" t="s">
        <v>184</v>
      </c>
      <c r="M5" s="87"/>
      <c r="IW5" s="18"/>
    </row>
    <row r="6" spans="2:1024" ht="13.2" customHeight="1" x14ac:dyDescent="0.25">
      <c r="B6" s="20" t="s">
        <v>28</v>
      </c>
      <c r="C6" s="20"/>
      <c r="L6" s="18"/>
      <c r="M6" s="87"/>
      <c r="IW6" s="18"/>
    </row>
    <row r="7" spans="2:1024" ht="13.2" customHeight="1" x14ac:dyDescent="0.25">
      <c r="B7" s="14"/>
      <c r="C7" s="14"/>
      <c r="L7" s="18"/>
      <c r="M7" s="87"/>
      <c r="IW7" s="18"/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L8" s="18"/>
      <c r="M8" s="87"/>
      <c r="IW8" s="18"/>
    </row>
    <row r="9" spans="2:1024" ht="13.2" customHeight="1" x14ac:dyDescent="0.25">
      <c r="B9" s="18" t="s">
        <v>189</v>
      </c>
      <c r="C9" s="21" t="e">
        <f>IF(C4,Calibration!$B$11,NA())</f>
        <v>#N/A</v>
      </c>
      <c r="E9" s="14" t="str">
        <f>[1]!OBMAKE("baseDate-sensitivities-2","LocalDate",F9)</f>
        <v>baseDate-sensitivities-2 
[10856]</v>
      </c>
      <c r="F9" s="19">
        <v>40918</v>
      </c>
      <c r="G9" s="14"/>
      <c r="H9" s="14"/>
      <c r="I9" s="14"/>
      <c r="L9" s="18"/>
      <c r="M9" s="87"/>
      <c r="IW9" s="18"/>
    </row>
    <row r="10" spans="2:1024" ht="13.2" customHeight="1" x14ac:dyDescent="0.25">
      <c r="B10" s="18" t="s">
        <v>156</v>
      </c>
      <c r="C10"/>
      <c r="E10" s="14" t="str">
        <f>[1]!OBMAKE("shortPeriod-sensitivities-2","String",F10)</f>
        <v>shortPeriod-sensitivities-2 
[10889]</v>
      </c>
      <c r="F10" s="40" t="s">
        <v>67</v>
      </c>
      <c r="G10" s="14"/>
      <c r="H10" s="14"/>
      <c r="I10" s="14"/>
      <c r="L10" s="18"/>
      <c r="M10" s="87"/>
      <c r="IW10" s="18"/>
    </row>
    <row r="11" spans="2:1024" ht="13.2" customHeight="1" x14ac:dyDescent="0.25">
      <c r="E11" s="14" t="str">
        <f>[1]!OBMAKE("businessDayCal-sensitivities-2",obLibs&amp;"net.finmath.time.businessdaycalendar."&amp;F11)</f>
        <v>businessDayCal-sensitivities-2 
[13309]</v>
      </c>
      <c r="F11" s="41" t="s">
        <v>46</v>
      </c>
      <c r="G11" s="14"/>
      <c r="H11" s="14"/>
      <c r="I11" s="14"/>
      <c r="L11" s="18"/>
      <c r="M11" s="87"/>
      <c r="IW11" s="18"/>
    </row>
    <row r="12" spans="2:1024" s="22" customFormat="1" ht="13.2" customHeight="1" x14ac:dyDescent="0.25">
      <c r="B12" s="22" t="s">
        <v>162</v>
      </c>
      <c r="M12" s="89"/>
      <c r="AMJ12"/>
    </row>
    <row r="13" spans="2:1024" ht="13.2" customHeight="1" x14ac:dyDescent="0.25">
      <c r="L13" s="18"/>
      <c r="M13" s="87"/>
      <c r="IW13" s="18"/>
    </row>
    <row r="14" spans="2:1024" ht="13.2" customHeight="1" x14ac:dyDescent="0.25">
      <c r="B14" s="16" t="s">
        <v>163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90"/>
      <c r="IW14" s="18"/>
    </row>
    <row r="15" spans="2:1024" ht="13.2" customHeight="1" x14ac:dyDescent="0.25">
      <c r="L15" s="18"/>
      <c r="M15" s="87"/>
      <c r="IW15" s="18"/>
    </row>
    <row r="16" spans="2:1024" ht="13.2" customHeight="1" x14ac:dyDescent="0.25">
      <c r="B16" s="18" t="s">
        <v>190</v>
      </c>
      <c r="C16" s="41">
        <f>0.01/100</f>
        <v>1E-4</v>
      </c>
      <c r="L16" s="18"/>
      <c r="M16" s="87"/>
      <c r="IW16" s="18"/>
    </row>
    <row r="17" spans="2:259" ht="13.2" customHeight="1" x14ac:dyDescent="0.25">
      <c r="L17" s="18"/>
      <c r="M17" s="87"/>
      <c r="IW17" s="18"/>
    </row>
    <row r="18" spans="2:259" ht="13.2" customHeight="1" x14ac:dyDescent="0.25">
      <c r="B18" s="44" t="s">
        <v>218</v>
      </c>
      <c r="L18" s="18"/>
      <c r="M18" s="87"/>
      <c r="IW18" s="18"/>
    </row>
    <row r="19" spans="2:259" ht="13.2" customHeight="1" x14ac:dyDescent="0.25">
      <c r="L19" s="18"/>
      <c r="M19" s="87"/>
      <c r="IW19" s="18"/>
    </row>
    <row r="20" spans="2:259" ht="13.2" customHeight="1" x14ac:dyDescent="0.25">
      <c r="L20" s="18"/>
      <c r="M20" s="87"/>
      <c r="IW20" s="18"/>
    </row>
    <row r="21" spans="2:259" ht="13.2" customHeight="1" x14ac:dyDescent="0.25">
      <c r="B21" s="21" t="str">
        <f>[1]!OBMAKE("swapLeg-1-"&amp;ROW(),obLibs&amp;"net.finmath.marketdata.products.SwapLeg",[1]!OBCALL("",obLibs&amp;"net.finmath.time.ScheduleGenerator","createScheduleFromConventions",$E$9,[1]!OBMAKE("","LocalDate",C21),[1]!OBMAKE("","LocalDate",D21),[1]!OBMAKE("","String",E21),[1]!OBMAKE("","String",F21),$E$10,[1]!OBMAKE("","String",G21),$E$11,[1]!OBMAKE("","int",H21),[1]!OBMAKE("","int",I21)),[1]!OBMAKE("","String",J21),[1]!OBMAKE("","double",K21),[1]!OBMAKE("","String",L21),[1]!OBMAKE("","boolean",M21))</f>
        <v>swapLeg-1-21 
[14801]</v>
      </c>
      <c r="C21" s="96">
        <v>40920</v>
      </c>
      <c r="D21" s="96">
        <v>44573</v>
      </c>
      <c r="E21" s="40" t="s">
        <v>149</v>
      </c>
      <c r="F21" s="40" t="s">
        <v>108</v>
      </c>
      <c r="G21" s="40" t="s">
        <v>109</v>
      </c>
      <c r="H21" s="40">
        <v>0</v>
      </c>
      <c r="I21" s="40">
        <v>0</v>
      </c>
      <c r="J21" s="33" t="s">
        <v>40</v>
      </c>
      <c r="K21" s="40">
        <v>0</v>
      </c>
      <c r="L21" s="33" t="s">
        <v>219</v>
      </c>
      <c r="M21" s="94" t="b">
        <v>0</v>
      </c>
      <c r="IW21" s="18"/>
    </row>
    <row r="22" spans="2:259" ht="13.2" customHeight="1" x14ac:dyDescent="0.25">
      <c r="B22" s="21" t="str">
        <f>[1]!OBMAKE("swapLeg-1-"&amp;ROW(),obLibs&amp;"net.finmath.marketdata.products.SwapLeg",[1]!OBCALL("",obLibs&amp;"net.finmath.time.ScheduleGenerator","createScheduleFromConventions",$E$9,[1]!OBMAKE("","LocalDate",C22),[1]!OBMAKE("","LocalDate",D22),[1]!OBMAKE("","String",E22),[1]!OBMAKE("","String",F22),$E$10,[1]!OBMAKE("","String",G22),$E$11,[1]!OBMAKE("","int",H22),[1]!OBMAKE("","int",I22)),[1]!OBMAKE("","String",J22),[1]!OBMAKE("","double",K22),[1]!OBMAKE("","String",L22),[1]!OBMAKE("","boolean",M22))</f>
        <v>swapLeg-1-22 
[14814]</v>
      </c>
      <c r="C22" s="96">
        <v>40920</v>
      </c>
      <c r="D22" s="96">
        <v>44573</v>
      </c>
      <c r="E22" s="40" t="s">
        <v>110</v>
      </c>
      <c r="F22" s="40" t="s">
        <v>150</v>
      </c>
      <c r="G22" s="40" t="s">
        <v>109</v>
      </c>
      <c r="H22" s="40">
        <v>0</v>
      </c>
      <c r="I22" s="40">
        <v>0</v>
      </c>
      <c r="J22" s="33" t="str">
        <f>""</f>
        <v/>
      </c>
      <c r="K22" s="51">
        <v>0.06</v>
      </c>
      <c r="L22" s="33" t="s">
        <v>219</v>
      </c>
      <c r="M22" s="94" t="b">
        <v>0</v>
      </c>
      <c r="IW22" s="18"/>
    </row>
    <row r="23" spans="2:259" ht="13.2" customHeight="1" x14ac:dyDescent="0.25">
      <c r="B23" s="21"/>
      <c r="C23" s="87"/>
      <c r="D23" s="87"/>
      <c r="E23" s="87"/>
      <c r="F23" s="87"/>
      <c r="G23" s="87"/>
      <c r="H23" s="87"/>
      <c r="I23" s="87"/>
      <c r="J23" s="87"/>
      <c r="K23" s="87"/>
      <c r="M23" s="87"/>
      <c r="IW23" s="18"/>
    </row>
    <row r="24" spans="2:259" ht="13.2" customHeight="1" x14ac:dyDescent="0.25">
      <c r="B24" s="21" t="str">
        <f>[1]!OBMAKE("swap-3-"&amp;ROW(),obLibs&amp;"net.finmath.marketdata.products.Swap",B21,B22)</f>
        <v>swap-3-24 
[14815]</v>
      </c>
      <c r="L24" s="18"/>
      <c r="M24" s="87"/>
      <c r="IW24" s="18"/>
    </row>
    <row r="25" spans="2:259" ht="13.2" customHeight="1" x14ac:dyDescent="0.25">
      <c r="B25" s="21"/>
      <c r="H25" s="18" t="s">
        <v>220</v>
      </c>
      <c r="L25" s="18"/>
      <c r="M25" s="87"/>
      <c r="IW25" s="18"/>
    </row>
    <row r="26" spans="2:259" ht="13.2" customHeight="1" x14ac:dyDescent="0.25">
      <c r="B26" s="101" t="s">
        <v>221</v>
      </c>
      <c r="C26" s="91" t="s">
        <v>222</v>
      </c>
      <c r="D26" s="91" t="s">
        <v>223</v>
      </c>
      <c r="E26" s="91" t="s">
        <v>224</v>
      </c>
      <c r="H26" s="91" t="s">
        <v>225</v>
      </c>
      <c r="I26" s="91" t="s">
        <v>226</v>
      </c>
      <c r="K26" s="91" t="s">
        <v>227</v>
      </c>
      <c r="L26" s="91"/>
      <c r="O26" s="87"/>
      <c r="IW26" s="18"/>
      <c r="IX26" s="18"/>
      <c r="IY26" s="18"/>
    </row>
    <row r="27" spans="2:259" ht="13.2" customHeight="1" x14ac:dyDescent="0.25">
      <c r="B27" s="21"/>
      <c r="C27" s="98" t="e">
        <f>[1]!OBGET([1]!OBCALL("",$B$24,"getValue",$E$27))</f>
        <v>#N/A</v>
      </c>
      <c r="D27" s="85"/>
      <c r="E27" s="21" t="e">
        <f>[1]!OBCALL("calibratedModel-sensitivities-2"&amp;"-"&amp;ROW(),C9,"getModel")</f>
        <v>#N/A</v>
      </c>
      <c r="L27" s="18"/>
      <c r="O27" s="87"/>
      <c r="IW27" s="18"/>
      <c r="IX27" s="18"/>
      <c r="IY27" s="18"/>
    </row>
    <row r="28" spans="2:259" ht="13.2" customHeight="1" x14ac:dyDescent="0.25">
      <c r="B28" s="41" t="s">
        <v>228</v>
      </c>
      <c r="C28" s="98" t="e">
        <f>([1]!OBGET([1]!OBCALL("",$B$24,"getValue",E28))-C$27)/C$16</f>
        <v>#N/A</v>
      </c>
      <c r="D28" s="18" t="e">
        <f>[1]!OBCALL("calibratedCurves-"&amp;B28,$C$9,"getCloneShifted",[1]!OBMAKE("","String",B28),[1]!OBMAKE("","double",$C$16))</f>
        <v>#N/A</v>
      </c>
      <c r="E28" s="18" t="e">
        <f>[1]!OBCALL("calibratedModel-"&amp;ROW(),D28,"getModel")</f>
        <v>#N/A</v>
      </c>
      <c r="G28" s="98"/>
      <c r="H28" s="18" t="e">
        <f>[1]!OBCALL("calibrationProduct-"&amp;ROW(),C$9,"getCalibrationProductForSymbol",[1]!OBMAKE("","String",B28))</f>
        <v>#N/A</v>
      </c>
      <c r="I28" s="102" t="e">
        <f>([1]!OBGET([1]!OBCALL("",$H28,"getValue",E28))-[1]!OBGET([1]!OBCALL("",$H28,"getValue",E$27)))/$C$16</f>
        <v>#N/A</v>
      </c>
      <c r="K28" s="103" t="str">
        <f t="shared" ref="K28:K59" si="0">B28</f>
        <v>discount-EUR-OIS-1D</v>
      </c>
      <c r="L28" s="103" t="e">
        <f t="shared" ref="L28:L59" si="1">C28/I28</f>
        <v>#N/A</v>
      </c>
      <c r="N28" s="87"/>
      <c r="IW28" s="18"/>
      <c r="IX28" s="18"/>
    </row>
    <row r="29" spans="2:259" ht="13.2" customHeight="1" x14ac:dyDescent="0.25">
      <c r="B29" s="41" t="s">
        <v>229</v>
      </c>
      <c r="C29" s="98" t="e">
        <f>([1]!OBGET([1]!OBCALL("",$B$24,"getValue",E29))-C$27)/C$16</f>
        <v>#N/A</v>
      </c>
      <c r="D29" s="18" t="e">
        <f>[1]!OBCALL("calibratedCurves-"&amp;B29,$C$9,"getCloneShifted",[1]!OBMAKE("","String",B29),[1]!OBMAKE("","double",$C$16))</f>
        <v>#N/A</v>
      </c>
      <c r="E29" s="18" t="e">
        <f>[1]!OBCALL("calibratedModel-"&amp;ROW(),D29,"getModel")</f>
        <v>#N/A</v>
      </c>
      <c r="G29" s="98"/>
      <c r="H29" s="18" t="e">
        <f>[1]!OBCALL("calibrationProduct-"&amp;ROW(),C$9,"getCalibrationProductForSymbol",[1]!OBMAKE("","String",B29))</f>
        <v>#N/A</v>
      </c>
      <c r="I29" s="102" t="e">
        <f>([1]!OBGET([1]!OBCALL("",$H29,"getValue",E29))-[1]!OBGET([1]!OBCALL("",$H29,"getValue",E$27)))/$C$16</f>
        <v>#N/A</v>
      </c>
      <c r="K29" s="103" t="str">
        <f t="shared" si="0"/>
        <v>discount-EUR-OIS-1W</v>
      </c>
      <c r="L29" s="103" t="e">
        <f t="shared" si="1"/>
        <v>#N/A</v>
      </c>
      <c r="N29" s="87"/>
      <c r="IW29" s="18"/>
      <c r="IX29" s="18"/>
    </row>
    <row r="30" spans="2:259" ht="13.2" customHeight="1" x14ac:dyDescent="0.25">
      <c r="B30" s="41" t="s">
        <v>230</v>
      </c>
      <c r="C30" s="98" t="e">
        <f>([1]!OBGET([1]!OBCALL("",$B$24,"getValue",E30))-C$27)/C$16</f>
        <v>#N/A</v>
      </c>
      <c r="D30" s="18" t="e">
        <f>[1]!OBCALL("calibratedCurves-"&amp;B30,$C$9,"getCloneShifted",[1]!OBMAKE("","String",B30),[1]!OBMAKE("","double",$C$16))</f>
        <v>#N/A</v>
      </c>
      <c r="E30" s="18" t="e">
        <f>[1]!OBCALL("calibratedModel-"&amp;ROW(),D30,"getModel")</f>
        <v>#N/A</v>
      </c>
      <c r="G30" s="98"/>
      <c r="H30" s="18" t="e">
        <f>[1]!OBCALL("calibrationProduct-"&amp;ROW(),C$9,"getCalibrationProductForSymbol",[1]!OBMAKE("","String",B30))</f>
        <v>#N/A</v>
      </c>
      <c r="I30" s="102" t="e">
        <f>([1]!OBGET([1]!OBCALL("",$H30,"getValue",E30))-[1]!OBGET([1]!OBCALL("",$H30,"getValue",E$27)))/$C$16</f>
        <v>#N/A</v>
      </c>
      <c r="K30" s="103" t="str">
        <f t="shared" si="0"/>
        <v>discount-EUR-OIS-2W</v>
      </c>
      <c r="L30" s="103" t="e">
        <f t="shared" si="1"/>
        <v>#N/A</v>
      </c>
      <c r="N30" s="87"/>
      <c r="IW30" s="18"/>
      <c r="IX30" s="18"/>
    </row>
    <row r="31" spans="2:259" ht="13.2" customHeight="1" x14ac:dyDescent="0.25">
      <c r="B31" s="41" t="s">
        <v>231</v>
      </c>
      <c r="C31" s="98" t="e">
        <f>([1]!OBGET([1]!OBCALL("",$B$24,"getValue",E31))-C$27)/C$16</f>
        <v>#N/A</v>
      </c>
      <c r="D31" s="18" t="e">
        <f>[1]!OBCALL("calibratedCurves-"&amp;B31,$C$9,"getCloneShifted",[1]!OBMAKE("","String",B31),[1]!OBMAKE("","double",$C$16))</f>
        <v>#N/A</v>
      </c>
      <c r="E31" s="18" t="e">
        <f>[1]!OBCALL("calibratedModel-"&amp;ROW(),D31,"getModel")</f>
        <v>#N/A</v>
      </c>
      <c r="G31" s="98"/>
      <c r="H31" s="18" t="e">
        <f>[1]!OBCALL("calibrationProduct-"&amp;ROW(),C$9,"getCalibrationProductForSymbol",[1]!OBMAKE("","String",B31))</f>
        <v>#N/A</v>
      </c>
      <c r="I31" s="102" t="e">
        <f>([1]!OBGET([1]!OBCALL("",$H31,"getValue",E31))-[1]!OBGET([1]!OBCALL("",$H31,"getValue",E$27)))/$C$16</f>
        <v>#N/A</v>
      </c>
      <c r="K31" s="103" t="str">
        <f t="shared" si="0"/>
        <v>discount-EUR-OIS-3W</v>
      </c>
      <c r="L31" s="103" t="e">
        <f t="shared" si="1"/>
        <v>#N/A</v>
      </c>
      <c r="N31" s="87"/>
      <c r="IW31" s="18"/>
      <c r="IX31" s="18"/>
    </row>
    <row r="32" spans="2:259" ht="13.2" customHeight="1" x14ac:dyDescent="0.25">
      <c r="B32" s="41" t="s">
        <v>232</v>
      </c>
      <c r="C32" s="98" t="e">
        <f>([1]!OBGET([1]!OBCALL("",$B$24,"getValue",E32))-C$27)/C$16</f>
        <v>#N/A</v>
      </c>
      <c r="D32" s="18" t="e">
        <f>[1]!OBCALL("calibratedCurves-"&amp;B32,$C$9,"getCloneShifted",[1]!OBMAKE("","String",B32),[1]!OBMAKE("","double",$C$16))</f>
        <v>#N/A</v>
      </c>
      <c r="E32" s="18" t="e">
        <f>[1]!OBCALL("calibratedModel-"&amp;ROW(),D32,"getModel")</f>
        <v>#N/A</v>
      </c>
      <c r="G32" s="98"/>
      <c r="H32" s="18" t="e">
        <f>[1]!OBCALL("calibrationProduct-"&amp;ROW(),C$9,"getCalibrationProductForSymbol",[1]!OBMAKE("","String",B32))</f>
        <v>#N/A</v>
      </c>
      <c r="I32" s="102" t="e">
        <f>([1]!OBGET([1]!OBCALL("",$H32,"getValue",E32))-[1]!OBGET([1]!OBCALL("",$H32,"getValue",E$27)))/$C$16</f>
        <v>#N/A</v>
      </c>
      <c r="K32" s="103" t="str">
        <f t="shared" si="0"/>
        <v>discount-EUR-OIS-1M</v>
      </c>
      <c r="L32" s="103" t="e">
        <f t="shared" si="1"/>
        <v>#N/A</v>
      </c>
      <c r="N32" s="87"/>
      <c r="IW32" s="18"/>
      <c r="IX32" s="18"/>
    </row>
    <row r="33" spans="2:258" ht="13.2" customHeight="1" x14ac:dyDescent="0.25">
      <c r="B33" s="41" t="s">
        <v>233</v>
      </c>
      <c r="C33" s="98" t="e">
        <f>([1]!OBGET([1]!OBCALL("",$B$24,"getValue",E33))-C$27)/C$16</f>
        <v>#N/A</v>
      </c>
      <c r="D33" s="18" t="e">
        <f>[1]!OBCALL("calibratedCurves-"&amp;B33,$C$9,"getCloneShifted",[1]!OBMAKE("","String",B33),[1]!OBMAKE("","double",$C$16))</f>
        <v>#N/A</v>
      </c>
      <c r="E33" s="18" t="e">
        <f>[1]!OBCALL("calibratedModel-"&amp;ROW(),D33,"getModel")</f>
        <v>#N/A</v>
      </c>
      <c r="G33" s="98"/>
      <c r="H33" s="18" t="e">
        <f>[1]!OBCALL("calibrationProduct-"&amp;ROW(),C$9,"getCalibrationProductForSymbol",[1]!OBMAKE("","String",B33))</f>
        <v>#N/A</v>
      </c>
      <c r="I33" s="102" t="e">
        <f>([1]!OBGET([1]!OBCALL("",$H33,"getValue",E33))-[1]!OBGET([1]!OBCALL("",$H33,"getValue",E$27)))/$C$16</f>
        <v>#N/A</v>
      </c>
      <c r="K33" s="103" t="str">
        <f t="shared" si="0"/>
        <v>discount-EUR-OIS-2M</v>
      </c>
      <c r="L33" s="103" t="e">
        <f t="shared" si="1"/>
        <v>#N/A</v>
      </c>
      <c r="N33" s="87"/>
      <c r="IW33" s="18"/>
      <c r="IX33" s="18"/>
    </row>
    <row r="34" spans="2:258" ht="13.2" customHeight="1" x14ac:dyDescent="0.25">
      <c r="B34" s="41" t="s">
        <v>234</v>
      </c>
      <c r="C34" s="98" t="e">
        <f>([1]!OBGET([1]!OBCALL("",$B$24,"getValue",E34))-C$27)/C$16</f>
        <v>#N/A</v>
      </c>
      <c r="D34" s="18" t="e">
        <f>[1]!OBCALL("calibratedCurves-"&amp;B34,$C$9,"getCloneShifted",[1]!OBMAKE("","String",B34),[1]!OBMAKE("","double",$C$16))</f>
        <v>#N/A</v>
      </c>
      <c r="E34" s="18" t="e">
        <f>[1]!OBCALL("calibratedModel-"&amp;ROW(),D34,"getModel")</f>
        <v>#N/A</v>
      </c>
      <c r="G34" s="98"/>
      <c r="H34" s="18" t="e">
        <f>[1]!OBCALL("calibrationProduct-"&amp;ROW(),C$9,"getCalibrationProductForSymbol",[1]!OBMAKE("","String",B34))</f>
        <v>#N/A</v>
      </c>
      <c r="I34" s="102" t="e">
        <f>([1]!OBGET([1]!OBCALL("",$H34,"getValue",E34))-[1]!OBGET([1]!OBCALL("",$H34,"getValue",E$27)))/$C$16</f>
        <v>#N/A</v>
      </c>
      <c r="K34" s="103" t="str">
        <f t="shared" si="0"/>
        <v>discount-EUR-OIS-3M</v>
      </c>
      <c r="L34" s="103" t="e">
        <f t="shared" si="1"/>
        <v>#N/A</v>
      </c>
      <c r="N34" s="87"/>
      <c r="IW34" s="18"/>
      <c r="IX34" s="18"/>
    </row>
    <row r="35" spans="2:258" ht="13.2" customHeight="1" x14ac:dyDescent="0.25">
      <c r="B35" s="41" t="s">
        <v>235</v>
      </c>
      <c r="C35" s="98" t="e">
        <f>([1]!OBGET([1]!OBCALL("",$B$24,"getValue",E35))-C$27)/C$16</f>
        <v>#N/A</v>
      </c>
      <c r="D35" s="18" t="e">
        <f>[1]!OBCALL("calibratedCurves-"&amp;B35,$C$9,"getCloneShifted",[1]!OBMAKE("","String",B35),[1]!OBMAKE("","double",$C$16))</f>
        <v>#N/A</v>
      </c>
      <c r="E35" s="18" t="e">
        <f>[1]!OBCALL("calibratedModel-"&amp;ROW(),D35,"getModel")</f>
        <v>#N/A</v>
      </c>
      <c r="G35" s="98"/>
      <c r="H35" s="18" t="e">
        <f>[1]!OBCALL("calibrationProduct-"&amp;ROW(),C$9,"getCalibrationProductForSymbol",[1]!OBMAKE("","String",B35))</f>
        <v>#N/A</v>
      </c>
      <c r="I35" s="102" t="e">
        <f>([1]!OBGET([1]!OBCALL("",$H35,"getValue",E35))-[1]!OBGET([1]!OBCALL("",$H35,"getValue",E$27)))/$C$16</f>
        <v>#N/A</v>
      </c>
      <c r="K35" s="103" t="str">
        <f t="shared" si="0"/>
        <v>discount-EUR-OIS-4M</v>
      </c>
      <c r="L35" s="103" t="e">
        <f t="shared" si="1"/>
        <v>#N/A</v>
      </c>
      <c r="N35" s="87"/>
      <c r="IW35" s="18"/>
      <c r="IX35" s="18"/>
    </row>
    <row r="36" spans="2:258" ht="13.2" customHeight="1" x14ac:dyDescent="0.25">
      <c r="B36" s="41" t="s">
        <v>236</v>
      </c>
      <c r="C36" s="98" t="e">
        <f>([1]!OBGET([1]!OBCALL("",$B$24,"getValue",E36))-C$27)/C$16</f>
        <v>#N/A</v>
      </c>
      <c r="D36" s="18" t="e">
        <f>[1]!OBCALL("calibratedCurves-"&amp;B36,$C$9,"getCloneShifted",[1]!OBMAKE("","String",B36),[1]!OBMAKE("","double",$C$16))</f>
        <v>#N/A</v>
      </c>
      <c r="E36" s="18" t="e">
        <f>[1]!OBCALL("calibratedModel-"&amp;ROW(),D36,"getModel")</f>
        <v>#N/A</v>
      </c>
      <c r="G36" s="98"/>
      <c r="H36" s="18" t="e">
        <f>[1]!OBCALL("calibrationProduct-"&amp;ROW(),C$9,"getCalibrationProductForSymbol",[1]!OBMAKE("","String",B36))</f>
        <v>#N/A</v>
      </c>
      <c r="I36" s="102" t="e">
        <f>([1]!OBGET([1]!OBCALL("",$H36,"getValue",E36))-[1]!OBGET([1]!OBCALL("",$H36,"getValue",E$27)))/$C$16</f>
        <v>#N/A</v>
      </c>
      <c r="K36" s="103" t="str">
        <f t="shared" si="0"/>
        <v>discount-EUR-OIS-5M</v>
      </c>
      <c r="L36" s="103" t="e">
        <f t="shared" si="1"/>
        <v>#N/A</v>
      </c>
      <c r="N36" s="87"/>
      <c r="IW36" s="18"/>
      <c r="IX36" s="18"/>
    </row>
    <row r="37" spans="2:258" ht="13.2" customHeight="1" x14ac:dyDescent="0.25">
      <c r="B37" s="41" t="s">
        <v>237</v>
      </c>
      <c r="C37" s="98" t="e">
        <f>([1]!OBGET([1]!OBCALL("",$B$24,"getValue",E37))-C$27)/C$16</f>
        <v>#N/A</v>
      </c>
      <c r="D37" s="18" t="e">
        <f>[1]!OBCALL("calibratedCurves-"&amp;B37,$C$9,"getCloneShifted",[1]!OBMAKE("","String",B37),[1]!OBMAKE("","double",$C$16))</f>
        <v>#N/A</v>
      </c>
      <c r="E37" s="18" t="e">
        <f>[1]!OBCALL("calibratedModel-"&amp;ROW(),D37,"getModel")</f>
        <v>#N/A</v>
      </c>
      <c r="G37" s="98"/>
      <c r="H37" s="18" t="e">
        <f>[1]!OBCALL("calibrationProduct-"&amp;ROW(),C$9,"getCalibrationProductForSymbol",[1]!OBMAKE("","String",B37))</f>
        <v>#N/A</v>
      </c>
      <c r="I37" s="102" t="e">
        <f>([1]!OBGET([1]!OBCALL("",$H37,"getValue",E37))-[1]!OBGET([1]!OBCALL("",$H37,"getValue",E$27)))/$C$16</f>
        <v>#N/A</v>
      </c>
      <c r="K37" s="103" t="str">
        <f t="shared" si="0"/>
        <v>discount-EUR-OIS-6M</v>
      </c>
      <c r="L37" s="103" t="e">
        <f t="shared" si="1"/>
        <v>#N/A</v>
      </c>
      <c r="N37" s="87"/>
      <c r="IW37" s="18"/>
      <c r="IX37" s="18"/>
    </row>
    <row r="38" spans="2:258" ht="13.2" customHeight="1" x14ac:dyDescent="0.25">
      <c r="B38" s="41" t="s">
        <v>238</v>
      </c>
      <c r="C38" s="98" t="e">
        <f>([1]!OBGET([1]!OBCALL("",$B$24,"getValue",E38))-C$27)/C$16</f>
        <v>#N/A</v>
      </c>
      <c r="D38" s="18" t="e">
        <f>[1]!OBCALL("calibratedCurves-"&amp;B38,$C$9,"getCloneShifted",[1]!OBMAKE("","String",B38),[1]!OBMAKE("","double",$C$16))</f>
        <v>#N/A</v>
      </c>
      <c r="E38" s="18" t="e">
        <f>[1]!OBCALL("calibratedModel-"&amp;ROW(),D38,"getModel")</f>
        <v>#N/A</v>
      </c>
      <c r="G38" s="98"/>
      <c r="H38" s="18" t="e">
        <f>[1]!OBCALL("calibrationProduct-"&amp;ROW(),C$9,"getCalibrationProductForSymbol",[1]!OBMAKE("","String",B38))</f>
        <v>#N/A</v>
      </c>
      <c r="I38" s="102" t="e">
        <f>([1]!OBGET([1]!OBCALL("",$H38,"getValue",E38))-[1]!OBGET([1]!OBCALL("",$H38,"getValue",E$27)))/$C$16</f>
        <v>#N/A</v>
      </c>
      <c r="K38" s="103" t="str">
        <f t="shared" si="0"/>
        <v>discount-EUR-OIS-7M</v>
      </c>
      <c r="L38" s="103" t="e">
        <f t="shared" si="1"/>
        <v>#N/A</v>
      </c>
      <c r="N38" s="87"/>
      <c r="IW38" s="18"/>
      <c r="IX38" s="18"/>
    </row>
    <row r="39" spans="2:258" ht="13.2" customHeight="1" x14ac:dyDescent="0.25">
      <c r="B39" s="41" t="s">
        <v>239</v>
      </c>
      <c r="C39" s="98" t="e">
        <f>([1]!OBGET([1]!OBCALL("",$B$24,"getValue",E39))-C$27)/C$16</f>
        <v>#N/A</v>
      </c>
      <c r="D39" s="18" t="e">
        <f>[1]!OBCALL("calibratedCurves-"&amp;B39,$C$9,"getCloneShifted",[1]!OBMAKE("","String",B39),[1]!OBMAKE("","double",$C$16))</f>
        <v>#N/A</v>
      </c>
      <c r="E39" s="18" t="e">
        <f>[1]!OBCALL("calibratedModel-"&amp;ROW(),D39,"getModel")</f>
        <v>#N/A</v>
      </c>
      <c r="G39" s="98"/>
      <c r="H39" s="18" t="e">
        <f>[1]!OBCALL("calibrationProduct-"&amp;ROW(),C$9,"getCalibrationProductForSymbol",[1]!OBMAKE("","String",B39))</f>
        <v>#N/A</v>
      </c>
      <c r="I39" s="102" t="e">
        <f>([1]!OBGET([1]!OBCALL("",$H39,"getValue",E39))-[1]!OBGET([1]!OBCALL("",$H39,"getValue",E$27)))/$C$16</f>
        <v>#N/A</v>
      </c>
      <c r="K39" s="103" t="str">
        <f t="shared" si="0"/>
        <v>discount-EUR-OIS-8M</v>
      </c>
      <c r="L39" s="103" t="e">
        <f t="shared" si="1"/>
        <v>#N/A</v>
      </c>
      <c r="N39" s="87"/>
      <c r="IW39" s="18"/>
      <c r="IX39" s="18"/>
    </row>
    <row r="40" spans="2:258" ht="13.2" customHeight="1" x14ac:dyDescent="0.25">
      <c r="B40" s="41" t="s">
        <v>240</v>
      </c>
      <c r="C40" s="98" t="e">
        <f>([1]!OBGET([1]!OBCALL("",$B$24,"getValue",E40))-C$27)/C$16</f>
        <v>#N/A</v>
      </c>
      <c r="D40" s="18" t="e">
        <f>[1]!OBCALL("calibratedCurves-"&amp;B40,$C$9,"getCloneShifted",[1]!OBMAKE("","String",B40),[1]!OBMAKE("","double",$C$16))</f>
        <v>#N/A</v>
      </c>
      <c r="E40" s="18" t="e">
        <f>[1]!OBCALL("calibratedModel-"&amp;ROW(),D40,"getModel")</f>
        <v>#N/A</v>
      </c>
      <c r="G40" s="98"/>
      <c r="H40" s="18" t="e">
        <f>[1]!OBCALL("calibrationProduct-"&amp;ROW(),C$9,"getCalibrationProductForSymbol",[1]!OBMAKE("","String",B40))</f>
        <v>#N/A</v>
      </c>
      <c r="I40" s="102" t="e">
        <f>([1]!OBGET([1]!OBCALL("",$H40,"getValue",E40))-[1]!OBGET([1]!OBCALL("",$H40,"getValue",E$27)))/$C$16</f>
        <v>#N/A</v>
      </c>
      <c r="K40" s="103" t="str">
        <f t="shared" si="0"/>
        <v>discount-EUR-OIS-9M</v>
      </c>
      <c r="L40" s="103" t="e">
        <f t="shared" si="1"/>
        <v>#N/A</v>
      </c>
      <c r="N40" s="87"/>
      <c r="IW40" s="18"/>
      <c r="IX40" s="18"/>
    </row>
    <row r="41" spans="2:258" ht="13.2" customHeight="1" x14ac:dyDescent="0.25">
      <c r="B41" s="41" t="s">
        <v>241</v>
      </c>
      <c r="C41" s="98" t="e">
        <f>([1]!OBGET([1]!OBCALL("",$B$24,"getValue",E41))-C$27)/C$16</f>
        <v>#N/A</v>
      </c>
      <c r="D41" s="18" t="e">
        <f>[1]!OBCALL("calibratedCurves-"&amp;B41,$C$9,"getCloneShifted",[1]!OBMAKE("","String",B41),[1]!OBMAKE("","double",$C$16))</f>
        <v>#N/A</v>
      </c>
      <c r="E41" s="18" t="e">
        <f>[1]!OBCALL("calibratedModel-"&amp;ROW(),D41,"getModel")</f>
        <v>#N/A</v>
      </c>
      <c r="G41" s="98"/>
      <c r="H41" s="18" t="e">
        <f>[1]!OBCALL("calibrationProduct-"&amp;ROW(),C$9,"getCalibrationProductForSymbol",[1]!OBMAKE("","String",B41))</f>
        <v>#N/A</v>
      </c>
      <c r="I41" s="102" t="e">
        <f>([1]!OBGET([1]!OBCALL("",$H41,"getValue",E41))-[1]!OBGET([1]!OBCALL("",$H41,"getValue",E$27)))/$C$16</f>
        <v>#N/A</v>
      </c>
      <c r="K41" s="103" t="str">
        <f t="shared" si="0"/>
        <v>discount-EUR-OIS-10M</v>
      </c>
      <c r="L41" s="103" t="e">
        <f t="shared" si="1"/>
        <v>#N/A</v>
      </c>
      <c r="N41" s="87"/>
      <c r="IW41" s="18"/>
      <c r="IX41" s="18"/>
    </row>
    <row r="42" spans="2:258" ht="13.2" customHeight="1" x14ac:dyDescent="0.25">
      <c r="B42" s="41" t="s">
        <v>242</v>
      </c>
      <c r="C42" s="98" t="e">
        <f>([1]!OBGET([1]!OBCALL("",$B$24,"getValue",E42))-C$27)/C$16</f>
        <v>#N/A</v>
      </c>
      <c r="D42" s="18" t="e">
        <f>[1]!OBCALL("calibratedCurves-"&amp;B42,$C$9,"getCloneShifted",[1]!OBMAKE("","String",B42),[1]!OBMAKE("","double",$C$16))</f>
        <v>#N/A</v>
      </c>
      <c r="E42" s="18" t="e">
        <f>[1]!OBCALL("calibratedModel-"&amp;ROW(),D42,"getModel")</f>
        <v>#N/A</v>
      </c>
      <c r="G42" s="98"/>
      <c r="H42" s="18" t="e">
        <f>[1]!OBCALL("calibrationProduct-"&amp;ROW(),C$9,"getCalibrationProductForSymbol",[1]!OBMAKE("","String",B42))</f>
        <v>#N/A</v>
      </c>
      <c r="I42" s="102" t="e">
        <f>([1]!OBGET([1]!OBCALL("",$H42,"getValue",E42))-[1]!OBGET([1]!OBCALL("",$H42,"getValue",E$27)))/$C$16</f>
        <v>#N/A</v>
      </c>
      <c r="K42" s="103" t="str">
        <f t="shared" si="0"/>
        <v>discount-EUR-OIS-11M</v>
      </c>
      <c r="L42" s="103" t="e">
        <f t="shared" si="1"/>
        <v>#N/A</v>
      </c>
      <c r="N42" s="87"/>
      <c r="IW42" s="18"/>
      <c r="IX42" s="18"/>
    </row>
    <row r="43" spans="2:258" ht="13.2" customHeight="1" x14ac:dyDescent="0.25">
      <c r="B43" s="41" t="s">
        <v>243</v>
      </c>
      <c r="C43" s="98" t="e">
        <f>([1]!OBGET([1]!OBCALL("",$B$24,"getValue",E43))-C$27)/C$16</f>
        <v>#N/A</v>
      </c>
      <c r="D43" s="18" t="e">
        <f>[1]!OBCALL("calibratedCurves-"&amp;B43,$C$9,"getCloneShifted",[1]!OBMAKE("","String",B43),[1]!OBMAKE("","double",$C$16))</f>
        <v>#N/A</v>
      </c>
      <c r="E43" s="18" t="e">
        <f>[1]!OBCALL("calibratedModel-"&amp;ROW(),D43,"getModel")</f>
        <v>#N/A</v>
      </c>
      <c r="G43" s="98"/>
      <c r="H43" s="18" t="e">
        <f>[1]!OBCALL("calibrationProduct-"&amp;ROW(),C$9,"getCalibrationProductForSymbol",[1]!OBMAKE("","String",B43))</f>
        <v>#N/A</v>
      </c>
      <c r="I43" s="102" t="e">
        <f>([1]!OBGET([1]!OBCALL("",$H43,"getValue",E43))-[1]!OBGET([1]!OBCALL("",$H43,"getValue",E$27)))/$C$16</f>
        <v>#N/A</v>
      </c>
      <c r="K43" s="103" t="str">
        <f t="shared" si="0"/>
        <v>discount-EUR-OIS-12M</v>
      </c>
      <c r="L43" s="103" t="e">
        <f t="shared" si="1"/>
        <v>#N/A</v>
      </c>
      <c r="N43" s="87"/>
      <c r="IW43" s="18"/>
      <c r="IX43" s="18"/>
    </row>
    <row r="44" spans="2:258" ht="13.2" customHeight="1" x14ac:dyDescent="0.25">
      <c r="B44" s="41" t="s">
        <v>244</v>
      </c>
      <c r="C44" s="98" t="e">
        <f>([1]!OBGET([1]!OBCALL("",$B$24,"getValue",E44))-C$27)/C$16</f>
        <v>#N/A</v>
      </c>
      <c r="D44" s="18" t="e">
        <f>[1]!OBCALL("calibratedCurves-"&amp;B44,$C$9,"getCloneShifted",[1]!OBMAKE("","String",B44),[1]!OBMAKE("","double",$C$16))</f>
        <v>#N/A</v>
      </c>
      <c r="E44" s="18" t="e">
        <f>[1]!OBCALL("calibratedModel-"&amp;ROW(),D44,"getModel")</f>
        <v>#N/A</v>
      </c>
      <c r="G44" s="98"/>
      <c r="H44" s="18" t="e">
        <f>[1]!OBCALL("calibrationProduct-"&amp;ROW(),C$9,"getCalibrationProductForSymbol",[1]!OBMAKE("","String",B44))</f>
        <v>#N/A</v>
      </c>
      <c r="I44" s="102" t="e">
        <f>([1]!OBGET([1]!OBCALL("",$H44,"getValue",E44))-[1]!OBGET([1]!OBCALL("",$H44,"getValue",E$27)))/$C$16</f>
        <v>#N/A</v>
      </c>
      <c r="K44" s="103" t="str">
        <f t="shared" si="0"/>
        <v>discount-EUR-OIS-15M</v>
      </c>
      <c r="L44" s="103" t="e">
        <f t="shared" si="1"/>
        <v>#N/A</v>
      </c>
      <c r="N44" s="87"/>
      <c r="IW44" s="18"/>
      <c r="IX44" s="18"/>
    </row>
    <row r="45" spans="2:258" ht="13.2" customHeight="1" x14ac:dyDescent="0.25">
      <c r="B45" s="41" t="s">
        <v>245</v>
      </c>
      <c r="C45" s="98" t="e">
        <f>([1]!OBGET([1]!OBCALL("",$B$24,"getValue",E45))-C$27)/C$16</f>
        <v>#N/A</v>
      </c>
      <c r="D45" s="18" t="e">
        <f>[1]!OBCALL("calibratedCurves-"&amp;B45,$C$9,"getCloneShifted",[1]!OBMAKE("","String",B45),[1]!OBMAKE("","double",$C$16))</f>
        <v>#N/A</v>
      </c>
      <c r="E45" s="18" t="e">
        <f>[1]!OBCALL("calibratedModel-"&amp;ROW(),D45,"getModel")</f>
        <v>#N/A</v>
      </c>
      <c r="G45" s="98"/>
      <c r="H45" s="18" t="e">
        <f>[1]!OBCALL("calibrationProduct-"&amp;ROW(),C$9,"getCalibrationProductForSymbol",[1]!OBMAKE("","String",B45))</f>
        <v>#N/A</v>
      </c>
      <c r="I45" s="102" t="e">
        <f>([1]!OBGET([1]!OBCALL("",$H45,"getValue",E45))-[1]!OBGET([1]!OBCALL("",$H45,"getValue",E$27)))/$C$16</f>
        <v>#N/A</v>
      </c>
      <c r="K45" s="103" t="str">
        <f t="shared" si="0"/>
        <v>discount-EUR-OIS-18M</v>
      </c>
      <c r="L45" s="103" t="e">
        <f t="shared" si="1"/>
        <v>#N/A</v>
      </c>
      <c r="N45" s="87"/>
      <c r="IW45" s="18"/>
      <c r="IX45" s="18"/>
    </row>
    <row r="46" spans="2:258" ht="13.2" customHeight="1" x14ac:dyDescent="0.25">
      <c r="B46" s="41" t="s">
        <v>246</v>
      </c>
      <c r="C46" s="98" t="e">
        <f>([1]!OBGET([1]!OBCALL("",$B$24,"getValue",E46))-C$27)/C$16</f>
        <v>#N/A</v>
      </c>
      <c r="D46" s="18" t="e">
        <f>[1]!OBCALL("calibratedCurves-"&amp;B46,$C$9,"getCloneShifted",[1]!OBMAKE("","String",B46),[1]!OBMAKE("","double",$C$16))</f>
        <v>#N/A</v>
      </c>
      <c r="E46" s="18" t="e">
        <f>[1]!OBCALL("calibratedModel-"&amp;ROW(),D46,"getModel")</f>
        <v>#N/A</v>
      </c>
      <c r="G46" s="98"/>
      <c r="H46" s="18" t="e">
        <f>[1]!OBCALL("calibrationProduct-"&amp;ROW(),C$9,"getCalibrationProductForSymbol",[1]!OBMAKE("","String",B46))</f>
        <v>#N/A</v>
      </c>
      <c r="I46" s="102" t="e">
        <f>([1]!OBGET([1]!OBCALL("",$H46,"getValue",E46))-[1]!OBGET([1]!OBCALL("",$H46,"getValue",E$27)))/$C$16</f>
        <v>#N/A</v>
      </c>
      <c r="K46" s="103" t="str">
        <f t="shared" si="0"/>
        <v>discount-EUR-OIS-21M</v>
      </c>
      <c r="L46" s="103" t="e">
        <f t="shared" si="1"/>
        <v>#N/A</v>
      </c>
      <c r="N46" s="87"/>
      <c r="IW46" s="18"/>
      <c r="IX46" s="18"/>
    </row>
    <row r="47" spans="2:258" ht="13.2" customHeight="1" x14ac:dyDescent="0.25">
      <c r="B47" s="41" t="s">
        <v>247</v>
      </c>
      <c r="C47" s="98" t="e">
        <f>([1]!OBGET([1]!OBCALL("",$B$24,"getValue",E47))-C$27)/C$16</f>
        <v>#N/A</v>
      </c>
      <c r="D47" s="18" t="e">
        <f>[1]!OBCALL("calibratedCurves-"&amp;B47,$C$9,"getCloneShifted",[1]!OBMAKE("","String",B47),[1]!OBMAKE("","double",$C$16))</f>
        <v>#N/A</v>
      </c>
      <c r="E47" s="18" t="e">
        <f>[1]!OBCALL("calibratedModel-"&amp;ROW(),D47,"getModel")</f>
        <v>#N/A</v>
      </c>
      <c r="G47" s="98"/>
      <c r="H47" s="18" t="e">
        <f>[1]!OBCALL("calibrationProduct-"&amp;ROW(),C$9,"getCalibrationProductForSymbol",[1]!OBMAKE("","String",B47))</f>
        <v>#N/A</v>
      </c>
      <c r="I47" s="102" t="e">
        <f>([1]!OBGET([1]!OBCALL("",$H47,"getValue",E47))-[1]!OBGET([1]!OBCALL("",$H47,"getValue",E$27)))/$C$16</f>
        <v>#N/A</v>
      </c>
      <c r="K47" s="103" t="str">
        <f t="shared" si="0"/>
        <v>discount-EUR-OIS-2Y</v>
      </c>
      <c r="L47" s="103" t="e">
        <f t="shared" si="1"/>
        <v>#N/A</v>
      </c>
      <c r="N47" s="87"/>
      <c r="IW47" s="18"/>
      <c r="IX47" s="18"/>
    </row>
    <row r="48" spans="2:258" ht="13.2" customHeight="1" x14ac:dyDescent="0.25">
      <c r="B48" s="41" t="s">
        <v>248</v>
      </c>
      <c r="C48" s="98" t="e">
        <f>([1]!OBGET([1]!OBCALL("",$B$24,"getValue",E48))-C$27)/C$16</f>
        <v>#N/A</v>
      </c>
      <c r="D48" s="18" t="e">
        <f>[1]!OBCALL("calibratedCurves-"&amp;B48,$C$9,"getCloneShifted",[1]!OBMAKE("","String",B48),[1]!OBMAKE("","double",$C$16))</f>
        <v>#N/A</v>
      </c>
      <c r="E48" s="18" t="e">
        <f>[1]!OBCALL("calibratedModel-"&amp;ROW(),D48,"getModel")</f>
        <v>#N/A</v>
      </c>
      <c r="G48" s="98"/>
      <c r="H48" s="18" t="e">
        <f>[1]!OBCALL("calibrationProduct-"&amp;ROW(),C$9,"getCalibrationProductForSymbol",[1]!OBMAKE("","String",B48))</f>
        <v>#N/A</v>
      </c>
      <c r="I48" s="102" t="e">
        <f>([1]!OBGET([1]!OBCALL("",$H48,"getValue",E48))-[1]!OBGET([1]!OBCALL("",$H48,"getValue",E$27)))/$C$16</f>
        <v>#N/A</v>
      </c>
      <c r="K48" s="103" t="str">
        <f t="shared" si="0"/>
        <v>discount-EUR-OIS-3Y</v>
      </c>
      <c r="L48" s="103" t="e">
        <f t="shared" si="1"/>
        <v>#N/A</v>
      </c>
      <c r="N48" s="87"/>
      <c r="IW48" s="18"/>
      <c r="IX48" s="18"/>
    </row>
    <row r="49" spans="2:258" ht="13.2" customHeight="1" x14ac:dyDescent="0.25">
      <c r="B49" s="41" t="s">
        <v>249</v>
      </c>
      <c r="C49" s="98" t="e">
        <f>([1]!OBGET([1]!OBCALL("",$B$24,"getValue",E49))-C$27)/C$16</f>
        <v>#N/A</v>
      </c>
      <c r="D49" s="18" t="e">
        <f>[1]!OBCALL("calibratedCurves-"&amp;B49,$C$9,"getCloneShifted",[1]!OBMAKE("","String",B49),[1]!OBMAKE("","double",$C$16))</f>
        <v>#N/A</v>
      </c>
      <c r="E49" s="18" t="e">
        <f>[1]!OBCALL("calibratedModel-"&amp;ROW(),D49,"getModel")</f>
        <v>#N/A</v>
      </c>
      <c r="G49" s="98"/>
      <c r="H49" s="18" t="e">
        <f>[1]!OBCALL("calibrationProduct-"&amp;ROW(),C$9,"getCalibrationProductForSymbol",[1]!OBMAKE("","String",B49))</f>
        <v>#N/A</v>
      </c>
      <c r="I49" s="102" t="e">
        <f>([1]!OBGET([1]!OBCALL("",$H49,"getValue",E49))-[1]!OBGET([1]!OBCALL("",$H49,"getValue",E$27)))/$C$16</f>
        <v>#N/A</v>
      </c>
      <c r="K49" s="103" t="str">
        <f t="shared" si="0"/>
        <v>discount-EUR-OIS-4Y</v>
      </c>
      <c r="L49" s="103" t="e">
        <f t="shared" si="1"/>
        <v>#N/A</v>
      </c>
      <c r="N49" s="87"/>
      <c r="IW49" s="18"/>
      <c r="IX49" s="18"/>
    </row>
    <row r="50" spans="2:258" ht="13.2" customHeight="1" x14ac:dyDescent="0.25">
      <c r="B50" s="41" t="s">
        <v>250</v>
      </c>
      <c r="C50" s="98" t="e">
        <f>([1]!OBGET([1]!OBCALL("",$B$24,"getValue",E50))-C$27)/C$16</f>
        <v>#N/A</v>
      </c>
      <c r="D50" s="18" t="e">
        <f>[1]!OBCALL("calibratedCurves-"&amp;B50,$C$9,"getCloneShifted",[1]!OBMAKE("","String",B50),[1]!OBMAKE("","double",$C$16))</f>
        <v>#N/A</v>
      </c>
      <c r="E50" s="18" t="e">
        <f>[1]!OBCALL("calibratedModel-"&amp;ROW(),D50,"getModel")</f>
        <v>#N/A</v>
      </c>
      <c r="G50" s="98"/>
      <c r="H50" s="18" t="e">
        <f>[1]!OBCALL("calibrationProduct-"&amp;ROW(),C$9,"getCalibrationProductForSymbol",[1]!OBMAKE("","String",B50))</f>
        <v>#N/A</v>
      </c>
      <c r="I50" s="102" t="e">
        <f>([1]!OBGET([1]!OBCALL("",$H50,"getValue",E50))-[1]!OBGET([1]!OBCALL("",$H50,"getValue",E$27)))/$C$16</f>
        <v>#N/A</v>
      </c>
      <c r="K50" s="103" t="str">
        <f t="shared" si="0"/>
        <v>discount-EUR-OIS-5Y</v>
      </c>
      <c r="L50" s="103" t="e">
        <f t="shared" si="1"/>
        <v>#N/A</v>
      </c>
      <c r="N50" s="87"/>
      <c r="IW50" s="18"/>
      <c r="IX50" s="18"/>
    </row>
    <row r="51" spans="2:258" ht="13.2" customHeight="1" x14ac:dyDescent="0.25">
      <c r="B51" s="41" t="s">
        <v>251</v>
      </c>
      <c r="C51" s="98" t="e">
        <f>([1]!OBGET([1]!OBCALL("",$B$24,"getValue",E51))-C$27)/C$16</f>
        <v>#N/A</v>
      </c>
      <c r="D51" s="18" t="e">
        <f>[1]!OBCALL("calibratedCurves-"&amp;B51,$C$9,"getCloneShifted",[1]!OBMAKE("","String",B51),[1]!OBMAKE("","double",$C$16))</f>
        <v>#N/A</v>
      </c>
      <c r="E51" s="18" t="e">
        <f>[1]!OBCALL("calibratedModel-"&amp;ROW(),D51,"getModel")</f>
        <v>#N/A</v>
      </c>
      <c r="G51" s="98"/>
      <c r="H51" s="18" t="e">
        <f>[1]!OBCALL("calibrationProduct-"&amp;ROW(),C$9,"getCalibrationProductForSymbol",[1]!OBMAKE("","String",B51))</f>
        <v>#N/A</v>
      </c>
      <c r="I51" s="102" t="e">
        <f>([1]!OBGET([1]!OBCALL("",$H51,"getValue",E51))-[1]!OBGET([1]!OBCALL("",$H51,"getValue",E$27)))/$C$16</f>
        <v>#N/A</v>
      </c>
      <c r="K51" s="103" t="str">
        <f t="shared" si="0"/>
        <v>discount-EUR-OIS-6Y</v>
      </c>
      <c r="L51" s="103" t="e">
        <f t="shared" si="1"/>
        <v>#N/A</v>
      </c>
      <c r="N51" s="87"/>
      <c r="IW51" s="18"/>
      <c r="IX51" s="18"/>
    </row>
    <row r="52" spans="2:258" ht="13.2" customHeight="1" x14ac:dyDescent="0.25">
      <c r="B52" s="41" t="s">
        <v>252</v>
      </c>
      <c r="C52" s="98" t="e">
        <f>([1]!OBGET([1]!OBCALL("",$B$24,"getValue",E52))-C$27)/C$16</f>
        <v>#N/A</v>
      </c>
      <c r="D52" s="18" t="e">
        <f>[1]!OBCALL("calibratedCurves-"&amp;B52,$C$9,"getCloneShifted",[1]!OBMAKE("","String",B52),[1]!OBMAKE("","double",$C$16))</f>
        <v>#N/A</v>
      </c>
      <c r="E52" s="18" t="e">
        <f>[1]!OBCALL("calibratedModel-"&amp;ROW(),D52,"getModel")</f>
        <v>#N/A</v>
      </c>
      <c r="G52" s="98"/>
      <c r="H52" s="18" t="e">
        <f>[1]!OBCALL("calibrationProduct-"&amp;ROW(),C$9,"getCalibrationProductForSymbol",[1]!OBMAKE("","String",B52))</f>
        <v>#N/A</v>
      </c>
      <c r="I52" s="102" t="e">
        <f>([1]!OBGET([1]!OBCALL("",$H52,"getValue",E52))-[1]!OBGET([1]!OBCALL("",$H52,"getValue",E$27)))/$C$16</f>
        <v>#N/A</v>
      </c>
      <c r="K52" s="103" t="str">
        <f t="shared" si="0"/>
        <v>discount-EUR-OIS-7Y</v>
      </c>
      <c r="L52" s="103" t="e">
        <f t="shared" si="1"/>
        <v>#N/A</v>
      </c>
      <c r="N52" s="87"/>
      <c r="IW52" s="18"/>
      <c r="IX52" s="18"/>
    </row>
    <row r="53" spans="2:258" ht="13.2" customHeight="1" x14ac:dyDescent="0.25">
      <c r="B53" s="41" t="s">
        <v>253</v>
      </c>
      <c r="C53" s="98" t="e">
        <f>([1]!OBGET([1]!OBCALL("",$B$24,"getValue",E53))-C$27)/C$16</f>
        <v>#N/A</v>
      </c>
      <c r="D53" s="18" t="e">
        <f>[1]!OBCALL("calibratedCurves-"&amp;B53,$C$9,"getCloneShifted",[1]!OBMAKE("","String",B53),[1]!OBMAKE("","double",$C$16))</f>
        <v>#N/A</v>
      </c>
      <c r="E53" s="18" t="e">
        <f>[1]!OBCALL("calibratedModel-"&amp;ROW(),D53,"getModel")</f>
        <v>#N/A</v>
      </c>
      <c r="G53" s="98"/>
      <c r="H53" s="18" t="e">
        <f>[1]!OBCALL("calibrationProduct-"&amp;ROW(),C$9,"getCalibrationProductForSymbol",[1]!OBMAKE("","String",B53))</f>
        <v>#N/A</v>
      </c>
      <c r="I53" s="102" t="e">
        <f>([1]!OBGET([1]!OBCALL("",$H53,"getValue",E53))-[1]!OBGET([1]!OBCALL("",$H53,"getValue",E$27)))/$C$16</f>
        <v>#N/A</v>
      </c>
      <c r="K53" s="103" t="str">
        <f t="shared" si="0"/>
        <v>discount-EUR-OIS-8Y</v>
      </c>
      <c r="L53" s="103" t="e">
        <f t="shared" si="1"/>
        <v>#N/A</v>
      </c>
      <c r="N53" s="87"/>
      <c r="IW53" s="18"/>
      <c r="IX53" s="18"/>
    </row>
    <row r="54" spans="2:258" ht="13.2" customHeight="1" x14ac:dyDescent="0.25">
      <c r="B54" s="41" t="s">
        <v>254</v>
      </c>
      <c r="C54" s="98" t="e">
        <f>([1]!OBGET([1]!OBCALL("",$B$24,"getValue",E54))-C$27)/C$16</f>
        <v>#N/A</v>
      </c>
      <c r="D54" s="18" t="e">
        <f>[1]!OBCALL("calibratedCurves-"&amp;B54,$C$9,"getCloneShifted",[1]!OBMAKE("","String",B54),[1]!OBMAKE("","double",$C$16))</f>
        <v>#N/A</v>
      </c>
      <c r="E54" s="18" t="e">
        <f>[1]!OBCALL("calibratedModel-"&amp;ROW(),D54,"getModel")</f>
        <v>#N/A</v>
      </c>
      <c r="G54" s="98"/>
      <c r="H54" s="18" t="e">
        <f>[1]!OBCALL("calibrationProduct-"&amp;ROW(),C$9,"getCalibrationProductForSymbol",[1]!OBMAKE("","String",B54))</f>
        <v>#N/A</v>
      </c>
      <c r="I54" s="102" t="e">
        <f>([1]!OBGET([1]!OBCALL("",$H54,"getValue",E54))-[1]!OBGET([1]!OBCALL("",$H54,"getValue",E$27)))/$C$16</f>
        <v>#N/A</v>
      </c>
      <c r="K54" s="103" t="str">
        <f t="shared" si="0"/>
        <v>discount-EUR-OIS-9Y</v>
      </c>
      <c r="L54" s="103" t="e">
        <f t="shared" si="1"/>
        <v>#N/A</v>
      </c>
      <c r="N54" s="87"/>
      <c r="IW54" s="18"/>
      <c r="IX54" s="18"/>
    </row>
    <row r="55" spans="2:258" ht="13.2" customHeight="1" x14ac:dyDescent="0.25">
      <c r="B55" s="41" t="s">
        <v>179</v>
      </c>
      <c r="C55" s="98" t="e">
        <f>([1]!OBGET([1]!OBCALL("",$B$24,"getValue",E55))-C$27)/C$16</f>
        <v>#N/A</v>
      </c>
      <c r="D55" s="18" t="e">
        <f>[1]!OBCALL("calibratedCurves-"&amp;B55,$C$9,"getCloneShifted",[1]!OBMAKE("","String",B55),[1]!OBMAKE("","double",$C$16))</f>
        <v>#N/A</v>
      </c>
      <c r="E55" s="18" t="e">
        <f>[1]!OBCALL("calibratedModel-"&amp;ROW(),D55,"getModel")</f>
        <v>#N/A</v>
      </c>
      <c r="G55" s="98"/>
      <c r="H55" s="18" t="e">
        <f>[1]!OBCALL("calibrationProduct-"&amp;ROW(),C$9,"getCalibrationProductForSymbol",[1]!OBMAKE("","String",B55))</f>
        <v>#N/A</v>
      </c>
      <c r="I55" s="102" t="e">
        <f>([1]!OBGET([1]!OBCALL("",$H55,"getValue",E55))-[1]!OBGET([1]!OBCALL("",$H55,"getValue",E$27)))/$C$16</f>
        <v>#N/A</v>
      </c>
      <c r="K55" s="103" t="str">
        <f t="shared" si="0"/>
        <v>discount-EUR-OIS-10Y</v>
      </c>
      <c r="L55" s="103" t="e">
        <f t="shared" si="1"/>
        <v>#N/A</v>
      </c>
      <c r="N55" s="87"/>
      <c r="IW55" s="18"/>
      <c r="IX55" s="18"/>
    </row>
    <row r="56" spans="2:258" ht="13.2" customHeight="1" x14ac:dyDescent="0.25">
      <c r="B56" s="41" t="s">
        <v>255</v>
      </c>
      <c r="C56" s="98" t="e">
        <f>([1]!OBGET([1]!OBCALL("",$B$24,"getValue",E56))-C$27)/C$16</f>
        <v>#N/A</v>
      </c>
      <c r="D56" s="18" t="e">
        <f>[1]!OBCALL("calibratedCurves-"&amp;B56,$C$9,"getCloneShifted",[1]!OBMAKE("","String",B56),[1]!OBMAKE("","double",$C$16))</f>
        <v>#N/A</v>
      </c>
      <c r="E56" s="18" t="e">
        <f>[1]!OBCALL("calibratedModel-"&amp;ROW(),D56,"getModel")</f>
        <v>#N/A</v>
      </c>
      <c r="G56" s="98"/>
      <c r="H56" s="18" t="e">
        <f>[1]!OBCALL("calibrationProduct-"&amp;ROW(),C$9,"getCalibrationProductForSymbol",[1]!OBMAKE("","String",B56))</f>
        <v>#N/A</v>
      </c>
      <c r="I56" s="102" t="e">
        <f>([1]!OBGET([1]!OBCALL("",$H56,"getValue",E56))-[1]!OBGET([1]!OBCALL("",$H56,"getValue",E$27)))/$C$16</f>
        <v>#N/A</v>
      </c>
      <c r="K56" s="103" t="str">
        <f t="shared" si="0"/>
        <v>discount-EUR-OIS-11Y</v>
      </c>
      <c r="L56" s="103" t="e">
        <f t="shared" si="1"/>
        <v>#N/A</v>
      </c>
      <c r="N56" s="87"/>
      <c r="IW56" s="18"/>
      <c r="IX56" s="18"/>
    </row>
    <row r="57" spans="2:258" ht="13.2" customHeight="1" x14ac:dyDescent="0.25">
      <c r="B57" s="41" t="s">
        <v>256</v>
      </c>
      <c r="C57" s="98" t="e">
        <f>([1]!OBGET([1]!OBCALL("",$B$24,"getValue",E57))-C$27)/C$16</f>
        <v>#N/A</v>
      </c>
      <c r="D57" s="18" t="e">
        <f>[1]!OBCALL("calibratedCurves-"&amp;B57,$C$9,"getCloneShifted",[1]!OBMAKE("","String",B57),[1]!OBMAKE("","double",$C$16))</f>
        <v>#N/A</v>
      </c>
      <c r="E57" s="18" t="e">
        <f>[1]!OBCALL("calibratedModel-"&amp;ROW(),D57,"getModel")</f>
        <v>#N/A</v>
      </c>
      <c r="G57" s="98"/>
      <c r="H57" s="18" t="e">
        <f>[1]!OBCALL("calibrationProduct-"&amp;ROW(),C$9,"getCalibrationProductForSymbol",[1]!OBMAKE("","String",B57))</f>
        <v>#N/A</v>
      </c>
      <c r="I57" s="102" t="e">
        <f>([1]!OBGET([1]!OBCALL("",$H57,"getValue",E57))-[1]!OBGET([1]!OBCALL("",$H57,"getValue",E$27)))/$C$16</f>
        <v>#N/A</v>
      </c>
      <c r="K57" s="103" t="str">
        <f t="shared" si="0"/>
        <v>discount-EUR-OIS-12Y</v>
      </c>
      <c r="L57" s="103" t="e">
        <f t="shared" si="1"/>
        <v>#N/A</v>
      </c>
      <c r="N57" s="87"/>
      <c r="IW57" s="18"/>
      <c r="IX57" s="18"/>
    </row>
    <row r="58" spans="2:258" ht="13.2" customHeight="1" x14ac:dyDescent="0.25">
      <c r="B58" s="41" t="s">
        <v>257</v>
      </c>
      <c r="C58" s="98" t="e">
        <f>([1]!OBGET([1]!OBCALL("",$B$24,"getValue",E58))-C$27)/C$16</f>
        <v>#N/A</v>
      </c>
      <c r="D58" s="18" t="e">
        <f>[1]!OBCALL("calibratedCurves-"&amp;B58,$C$9,"getCloneShifted",[1]!OBMAKE("","String",B58),[1]!OBMAKE("","double",$C$16))</f>
        <v>#N/A</v>
      </c>
      <c r="E58" s="18" t="e">
        <f>[1]!OBCALL("calibratedModel-"&amp;ROW(),D58,"getModel")</f>
        <v>#N/A</v>
      </c>
      <c r="G58" s="98"/>
      <c r="H58" s="18" t="e">
        <f>[1]!OBCALL("calibrationProduct-"&amp;ROW(),C$9,"getCalibrationProductForSymbol",[1]!OBMAKE("","String",B58))</f>
        <v>#N/A</v>
      </c>
      <c r="I58" s="102" t="e">
        <f>([1]!OBGET([1]!OBCALL("",$H58,"getValue",E58))-[1]!OBGET([1]!OBCALL("",$H58,"getValue",E$27)))/$C$16</f>
        <v>#N/A</v>
      </c>
      <c r="K58" s="103" t="str">
        <f t="shared" si="0"/>
        <v>discount-EUR-OIS-15Y</v>
      </c>
      <c r="L58" s="103" t="e">
        <f t="shared" si="1"/>
        <v>#N/A</v>
      </c>
      <c r="N58" s="87"/>
      <c r="IW58" s="18"/>
      <c r="IX58" s="18"/>
    </row>
    <row r="59" spans="2:258" ht="13.2" customHeight="1" x14ac:dyDescent="0.25">
      <c r="B59" s="41" t="s">
        <v>258</v>
      </c>
      <c r="C59" s="98" t="e">
        <f>([1]!OBGET([1]!OBCALL("",$B$24,"getValue",E59))-C$27)/C$16</f>
        <v>#N/A</v>
      </c>
      <c r="D59" s="18" t="e">
        <f>[1]!OBCALL("calibratedCurves-"&amp;B59,$C$9,"getCloneShifted",[1]!OBMAKE("","String",B59),[1]!OBMAKE("","double",$C$16))</f>
        <v>#N/A</v>
      </c>
      <c r="E59" s="18" t="e">
        <f>[1]!OBCALL("calibratedModel-"&amp;ROW(),D59,"getModel")</f>
        <v>#N/A</v>
      </c>
      <c r="G59" s="98"/>
      <c r="H59" s="18" t="e">
        <f>[1]!OBCALL("calibrationProduct-"&amp;ROW(),C$9,"getCalibrationProductForSymbol",[1]!OBMAKE("","String",B59))</f>
        <v>#N/A</v>
      </c>
      <c r="I59" s="102" t="e">
        <f>([1]!OBGET([1]!OBCALL("",$H59,"getValue",E59))-[1]!OBGET([1]!OBCALL("",$H59,"getValue",E$27)))/$C$16</f>
        <v>#N/A</v>
      </c>
      <c r="K59" s="103" t="str">
        <f t="shared" si="0"/>
        <v>discount-EUR-OIS-20Y</v>
      </c>
      <c r="L59" s="103" t="e">
        <f t="shared" si="1"/>
        <v>#N/A</v>
      </c>
      <c r="N59" s="87"/>
      <c r="IW59" s="18"/>
      <c r="IX59" s="18"/>
    </row>
    <row r="60" spans="2:258" ht="13.2" customHeight="1" x14ac:dyDescent="0.25">
      <c r="B60" s="41" t="s">
        <v>259</v>
      </c>
      <c r="C60" s="98" t="e">
        <f>([1]!OBGET([1]!OBCALL("",$B$24,"getValue",E60))-C$27)/C$16</f>
        <v>#N/A</v>
      </c>
      <c r="D60" s="18" t="e">
        <f>[1]!OBCALL("calibratedCurves-"&amp;B60,$C$9,"getCloneShifted",[1]!OBMAKE("","String",B60),[1]!OBMAKE("","double",$C$16))</f>
        <v>#N/A</v>
      </c>
      <c r="E60" s="18" t="e">
        <f>[1]!OBCALL("calibratedModel-"&amp;ROW(),D60,"getModel")</f>
        <v>#N/A</v>
      </c>
      <c r="G60" s="98"/>
      <c r="H60" s="18" t="e">
        <f>[1]!OBCALL("calibrationProduct-"&amp;ROW(),C$9,"getCalibrationProductForSymbol",[1]!OBMAKE("","String",B60))</f>
        <v>#N/A</v>
      </c>
      <c r="I60" s="102" t="e">
        <f>([1]!OBGET([1]!OBCALL("",$H60,"getValue",E60))-[1]!OBGET([1]!OBCALL("",$H60,"getValue",E$27)))/$C$16</f>
        <v>#N/A</v>
      </c>
      <c r="K60" s="103" t="str">
        <f t="shared" ref="K60:K91" si="2">B60</f>
        <v>discount-EUR-OIS-25Y</v>
      </c>
      <c r="L60" s="103" t="e">
        <f t="shared" ref="L60:L91" si="3">C60/I60</f>
        <v>#N/A</v>
      </c>
      <c r="N60" s="87"/>
      <c r="IW60" s="18"/>
      <c r="IX60" s="18"/>
    </row>
    <row r="61" spans="2:258" ht="13.2" customHeight="1" x14ac:dyDescent="0.25">
      <c r="B61" s="41" t="s">
        <v>260</v>
      </c>
      <c r="C61" s="98" t="e">
        <f>([1]!OBGET([1]!OBCALL("",$B$24,"getValue",E61))-C$27)/C$16</f>
        <v>#N/A</v>
      </c>
      <c r="D61" s="18" t="e">
        <f>[1]!OBCALL("calibratedCurves-"&amp;B61,$C$9,"getCloneShifted",[1]!OBMAKE("","String",B61),[1]!OBMAKE("","double",$C$16))</f>
        <v>#N/A</v>
      </c>
      <c r="E61" s="18" t="e">
        <f>[1]!OBCALL("calibratedModel-"&amp;ROW(),D61,"getModel")</f>
        <v>#N/A</v>
      </c>
      <c r="G61" s="98"/>
      <c r="H61" s="18" t="e">
        <f>[1]!OBCALL("calibrationProduct-"&amp;ROW(),C$9,"getCalibrationProductForSymbol",[1]!OBMAKE("","String",B61))</f>
        <v>#N/A</v>
      </c>
      <c r="I61" s="102" t="e">
        <f>([1]!OBGET([1]!OBCALL("",$H61,"getValue",E61))-[1]!OBGET([1]!OBCALL("",$H61,"getValue",E$27)))/$C$16</f>
        <v>#N/A</v>
      </c>
      <c r="K61" s="103" t="str">
        <f t="shared" si="2"/>
        <v>discount-EUR-OIS-30Y</v>
      </c>
      <c r="L61" s="103" t="e">
        <f t="shared" si="3"/>
        <v>#N/A</v>
      </c>
      <c r="N61" s="87"/>
      <c r="IW61" s="18"/>
      <c r="IX61" s="18"/>
    </row>
    <row r="62" spans="2:258" ht="13.2" customHeight="1" x14ac:dyDescent="0.25">
      <c r="B62" s="41" t="s">
        <v>261</v>
      </c>
      <c r="C62" s="98" t="e">
        <f>([1]!OBGET([1]!OBCALL("",$B$24,"getValue",E62))-C$27)/C$16</f>
        <v>#N/A</v>
      </c>
      <c r="D62" s="18" t="e">
        <f>[1]!OBCALL("calibratedCurves-"&amp;B62,$C$9,"getCloneShifted",[1]!OBMAKE("","String",B62),[1]!OBMAKE("","double",$C$16))</f>
        <v>#N/A</v>
      </c>
      <c r="E62" s="18" t="e">
        <f>[1]!OBCALL("calibratedModel-"&amp;ROW(),D62,"getModel")</f>
        <v>#N/A</v>
      </c>
      <c r="G62" s="98"/>
      <c r="H62" s="18" t="e">
        <f>[1]!OBCALL("calibrationProduct-"&amp;ROW(),C$9,"getCalibrationProductForSymbol",[1]!OBMAKE("","String",B62))</f>
        <v>#N/A</v>
      </c>
      <c r="I62" s="102" t="e">
        <f>([1]!OBGET([1]!OBCALL("",$H62,"getValue",E62))-[1]!OBGET([1]!OBCALL("",$H62,"getValue",E$27)))/$C$16</f>
        <v>#N/A</v>
      </c>
      <c r="K62" s="103" t="str">
        <f t="shared" si="2"/>
        <v>discount-EUR-OIS-40Y</v>
      </c>
      <c r="L62" s="103" t="e">
        <f t="shared" si="3"/>
        <v>#N/A</v>
      </c>
      <c r="N62" s="87"/>
      <c r="IW62" s="18"/>
      <c r="IX62" s="18"/>
    </row>
    <row r="63" spans="2:258" ht="13.2" customHeight="1" x14ac:dyDescent="0.25">
      <c r="B63" s="41" t="s">
        <v>262</v>
      </c>
      <c r="C63" s="98" t="e">
        <f>([1]!OBGET([1]!OBCALL("",$B$24,"getValue",E63))-C$27)/C$16</f>
        <v>#N/A</v>
      </c>
      <c r="D63" s="18" t="e">
        <f>[1]!OBCALL("calibratedCurves-"&amp;B63,$C$9,"getCloneShifted",[1]!OBMAKE("","String",B63),[1]!OBMAKE("","double",$C$16))</f>
        <v>#N/A</v>
      </c>
      <c r="E63" s="18" t="e">
        <f>[1]!OBCALL("calibratedModel-"&amp;ROW(),D63,"getModel")</f>
        <v>#N/A</v>
      </c>
      <c r="G63" s="98"/>
      <c r="H63" s="18" t="e">
        <f>[1]!OBCALL("calibrationProduct-"&amp;ROW(),C$9,"getCalibrationProductForSymbol",[1]!OBMAKE("","String",B63))</f>
        <v>#N/A</v>
      </c>
      <c r="I63" s="102" t="e">
        <f>([1]!OBGET([1]!OBCALL("",$H63,"getValue",E63))-[1]!OBGET([1]!OBCALL("",$H63,"getValue",E$27)))/$C$16</f>
        <v>#N/A</v>
      </c>
      <c r="K63" s="103" t="str">
        <f t="shared" si="2"/>
        <v>discount-EUR-OIS-50Y</v>
      </c>
      <c r="L63" s="103" t="e">
        <f t="shared" si="3"/>
        <v>#N/A</v>
      </c>
      <c r="N63" s="87"/>
      <c r="IW63" s="18"/>
      <c r="IX63" s="18"/>
    </row>
    <row r="64" spans="2:258" ht="13.2" customHeight="1" x14ac:dyDescent="0.25">
      <c r="B64" s="41" t="s">
        <v>208</v>
      </c>
      <c r="C64" s="98" t="e">
        <f>([1]!OBGET([1]!OBCALL("",$B$24,"getValue",E64))-C$27)/C$16</f>
        <v>#N/A</v>
      </c>
      <c r="D64" s="18" t="e">
        <f>[1]!OBCALL("calibratedCurves-"&amp;B64,$C$9,"getCloneShifted",[1]!OBMAKE("","String",B64),[1]!OBMAKE("","double",$C$16))</f>
        <v>#N/A</v>
      </c>
      <c r="E64" s="18" t="e">
        <f>[1]!OBCALL("calibratedModel-"&amp;ROW(),D64,"getModel")</f>
        <v>#N/A</v>
      </c>
      <c r="G64" s="98"/>
      <c r="H64" s="18" t="e">
        <f>[1]!OBCALL("calibrationProduct-"&amp;ROW(),C$9,"getCalibrationProductForSymbol",[1]!OBMAKE("","String",B64))</f>
        <v>#N/A</v>
      </c>
      <c r="I64" s="102" t="e">
        <f>([1]!OBGET([1]!OBCALL("",$H64,"getValue",E64))-[1]!OBGET([1]!OBCALL("",$H64,"getValue",E$27)))/$C$16</f>
        <v>#N/A</v>
      </c>
      <c r="K64" s="103" t="str">
        <f t="shared" si="2"/>
        <v>forward-EUR-3M-0Dx3M</v>
      </c>
      <c r="L64" s="103" t="e">
        <f t="shared" si="3"/>
        <v>#N/A</v>
      </c>
      <c r="N64" s="87"/>
      <c r="IW64" s="18"/>
      <c r="IX64" s="18"/>
    </row>
    <row r="65" spans="2:258" ht="13.2" customHeight="1" x14ac:dyDescent="0.25">
      <c r="B65" s="41" t="s">
        <v>209</v>
      </c>
      <c r="C65" s="98" t="e">
        <f>([1]!OBGET([1]!OBCALL("",$B$24,"getValue",E65))-C$27)/C$16</f>
        <v>#N/A</v>
      </c>
      <c r="D65" s="18" t="e">
        <f>[1]!OBCALL("calibratedCurves-"&amp;B65,$C$9,"getCloneShifted",[1]!OBMAKE("","String",B65),[1]!OBMAKE("","double",$C$16))</f>
        <v>#N/A</v>
      </c>
      <c r="E65" s="18" t="e">
        <f>[1]!OBCALL("calibratedModel-"&amp;ROW(),D65,"getModel")</f>
        <v>#N/A</v>
      </c>
      <c r="G65" s="98"/>
      <c r="H65" s="18" t="e">
        <f>[1]!OBCALL("calibrationProduct-"&amp;ROW(),C$9,"getCalibrationProductForSymbol",[1]!OBMAKE("","String",B65))</f>
        <v>#N/A</v>
      </c>
      <c r="I65" s="102" t="e">
        <f>([1]!OBGET([1]!OBCALL("",$H65,"getValue",E65))-[1]!OBGET([1]!OBCALL("",$H65,"getValue",E$27)))/$C$16</f>
        <v>#N/A</v>
      </c>
      <c r="K65" s="103" t="str">
        <f t="shared" si="2"/>
        <v>forward-EUR-3M-1Mx3M</v>
      </c>
      <c r="L65" s="103" t="e">
        <f t="shared" si="3"/>
        <v>#N/A</v>
      </c>
      <c r="N65" s="87"/>
      <c r="IW65" s="18"/>
      <c r="IX65" s="18"/>
    </row>
    <row r="66" spans="2:258" ht="13.2" customHeight="1" x14ac:dyDescent="0.25">
      <c r="B66" s="41" t="s">
        <v>210</v>
      </c>
      <c r="C66" s="98" t="e">
        <f>([1]!OBGET([1]!OBCALL("",$B$24,"getValue",E66))-C$27)/C$16</f>
        <v>#N/A</v>
      </c>
      <c r="D66" s="18" t="e">
        <f>[1]!OBCALL("calibratedCurves-"&amp;B66,$C$9,"getCloneShifted",[1]!OBMAKE("","String",B66),[1]!OBMAKE("","double",$C$16))</f>
        <v>#N/A</v>
      </c>
      <c r="E66" s="18" t="e">
        <f>[1]!OBCALL("calibratedModel-"&amp;ROW(),D66,"getModel")</f>
        <v>#N/A</v>
      </c>
      <c r="G66" s="98"/>
      <c r="H66" s="18" t="e">
        <f>[1]!OBCALL("calibrationProduct-"&amp;ROW(),C$9,"getCalibrationProductForSymbol",[1]!OBMAKE("","String",B66))</f>
        <v>#N/A</v>
      </c>
      <c r="I66" s="102" t="e">
        <f>([1]!OBGET([1]!OBCALL("",$H66,"getValue",E66))-[1]!OBGET([1]!OBCALL("",$H66,"getValue",E$27)))/$C$16</f>
        <v>#N/A</v>
      </c>
      <c r="K66" s="103" t="str">
        <f t="shared" si="2"/>
        <v>forward-EUR-3M-2Mx3M</v>
      </c>
      <c r="L66" s="103" t="e">
        <f t="shared" si="3"/>
        <v>#N/A</v>
      </c>
      <c r="N66" s="87"/>
      <c r="IW66" s="18"/>
      <c r="IX66" s="18"/>
    </row>
    <row r="67" spans="2:258" ht="13.2" customHeight="1" x14ac:dyDescent="0.25">
      <c r="B67" s="41" t="s">
        <v>211</v>
      </c>
      <c r="C67" s="98" t="e">
        <f>([1]!OBGET([1]!OBCALL("",$B$24,"getValue",E67))-C$27)/C$16</f>
        <v>#N/A</v>
      </c>
      <c r="D67" s="18" t="e">
        <f>[1]!OBCALL("calibratedCurves-"&amp;B67,$C$9,"getCloneShifted",[1]!OBMAKE("","String",B67),[1]!OBMAKE("","double",$C$16))</f>
        <v>#N/A</v>
      </c>
      <c r="E67" s="18" t="e">
        <f>[1]!OBCALL("calibratedModel-"&amp;ROW(),D67,"getModel")</f>
        <v>#N/A</v>
      </c>
      <c r="G67" s="98"/>
      <c r="H67" s="18" t="e">
        <f>[1]!OBCALL("calibrationProduct-"&amp;ROW(),C$9,"getCalibrationProductForSymbol",[1]!OBMAKE("","String",B67))</f>
        <v>#N/A</v>
      </c>
      <c r="I67" s="102" t="e">
        <f>([1]!OBGET([1]!OBCALL("",$H67,"getValue",E67))-[1]!OBGET([1]!OBCALL("",$H67,"getValue",E$27)))/$C$16</f>
        <v>#N/A</v>
      </c>
      <c r="K67" s="103" t="str">
        <f t="shared" si="2"/>
        <v>forward-EUR-3M-3Mx3M</v>
      </c>
      <c r="L67" s="103" t="e">
        <f t="shared" si="3"/>
        <v>#N/A</v>
      </c>
      <c r="N67" s="87"/>
      <c r="IW67" s="18"/>
      <c r="IX67" s="18"/>
    </row>
    <row r="68" spans="2:258" ht="13.2" customHeight="1" x14ac:dyDescent="0.25">
      <c r="B68" s="41" t="s">
        <v>214</v>
      </c>
      <c r="C68" s="98" t="e">
        <f>([1]!OBGET([1]!OBCALL("",$B$24,"getValue",E68))-C$27)/C$16</f>
        <v>#N/A</v>
      </c>
      <c r="D68" s="18" t="e">
        <f>[1]!OBCALL("calibratedCurves-"&amp;B68,$C$9,"getCloneShifted",[1]!OBMAKE("","String",B68),[1]!OBMAKE("","double",$C$16))</f>
        <v>#N/A</v>
      </c>
      <c r="E68" s="18" t="e">
        <f>[1]!OBCALL("calibratedModel-"&amp;ROW(),D68,"getModel")</f>
        <v>#N/A</v>
      </c>
      <c r="G68" s="98"/>
      <c r="H68" s="18" t="e">
        <f>[1]!OBCALL("calibrationProduct-"&amp;ROW(),C$9,"getCalibrationProductForSymbol",[1]!OBMAKE("","String",B68))</f>
        <v>#N/A</v>
      </c>
      <c r="I68" s="102" t="e">
        <f>([1]!OBGET([1]!OBCALL("",$H68,"getValue",E68))-[1]!OBGET([1]!OBCALL("",$H68,"getValue",E$27)))/$C$16</f>
        <v>#N/A</v>
      </c>
      <c r="K68" s="103" t="str">
        <f t="shared" si="2"/>
        <v>forward-EUR-3M-6Mx3M</v>
      </c>
      <c r="L68" s="103" t="e">
        <f t="shared" si="3"/>
        <v>#N/A</v>
      </c>
      <c r="N68" s="87"/>
      <c r="IW68" s="18"/>
      <c r="IX68" s="18"/>
    </row>
    <row r="69" spans="2:258" ht="13.2" customHeight="1" x14ac:dyDescent="0.25">
      <c r="B69" s="41" t="s">
        <v>263</v>
      </c>
      <c r="C69" s="98" t="e">
        <f>([1]!OBGET([1]!OBCALL("",$B$24,"getValue",E69))-C$27)/C$16</f>
        <v>#N/A</v>
      </c>
      <c r="D69" s="18" t="e">
        <f>[1]!OBCALL("calibratedCurves-"&amp;B69,$C$9,"getCloneShifted",[1]!OBMAKE("","String",B69),[1]!OBMAKE("","double",$C$16))</f>
        <v>#N/A</v>
      </c>
      <c r="E69" s="18" t="e">
        <f>[1]!OBCALL("calibratedModel-"&amp;ROW(),D69,"getModel")</f>
        <v>#N/A</v>
      </c>
      <c r="G69" s="98"/>
      <c r="H69" s="18" t="e">
        <f>[1]!OBCALL("calibrationProduct-"&amp;ROW(),C$9,"getCalibrationProductForSymbol",[1]!OBMAKE("","String",B69))</f>
        <v>#N/A</v>
      </c>
      <c r="I69" s="102" t="e">
        <f>([1]!OBGET([1]!OBCALL("",$H69,"getValue",E69))-[1]!OBGET([1]!OBCALL("",$H69,"getValue",E$27)))/$C$16</f>
        <v>#N/A</v>
      </c>
      <c r="K69" s="103" t="str">
        <f t="shared" si="2"/>
        <v>forward-EUR-3M-9Mx3M</v>
      </c>
      <c r="L69" s="103" t="e">
        <f t="shared" si="3"/>
        <v>#N/A</v>
      </c>
      <c r="N69" s="87"/>
      <c r="IW69" s="18"/>
      <c r="IX69" s="18"/>
    </row>
    <row r="70" spans="2:258" ht="13.2" customHeight="1" x14ac:dyDescent="0.25">
      <c r="B70" s="41" t="s">
        <v>264</v>
      </c>
      <c r="C70" s="98" t="e">
        <f>([1]!OBGET([1]!OBCALL("",$B$24,"getValue",E70))-C$27)/C$16</f>
        <v>#N/A</v>
      </c>
      <c r="D70" s="18" t="e">
        <f>[1]!OBCALL("calibratedCurves-"&amp;B70,$C$9,"getCloneShifted",[1]!OBMAKE("","String",B70),[1]!OBMAKE("","double",$C$16))</f>
        <v>#N/A</v>
      </c>
      <c r="E70" s="18" t="e">
        <f>[1]!OBCALL("calibratedModel-"&amp;ROW(),D70,"getModel")</f>
        <v>#N/A</v>
      </c>
      <c r="G70" s="98"/>
      <c r="H70" s="18" t="e">
        <f>[1]!OBCALL("calibrationProduct-"&amp;ROW(),C$9,"getCalibrationProductForSymbol",[1]!OBMAKE("","String",B70))</f>
        <v>#N/A</v>
      </c>
      <c r="I70" s="102" t="e">
        <f>([1]!OBGET([1]!OBCALL("",$H70,"getValue",E70))-[1]!OBGET([1]!OBCALL("",$H70,"getValue",E$27)))/$C$16</f>
        <v>#N/A</v>
      </c>
      <c r="K70" s="103" t="str">
        <f t="shared" si="2"/>
        <v>forward-EUR-3M-12Mx3M</v>
      </c>
      <c r="L70" s="103" t="e">
        <f t="shared" si="3"/>
        <v>#N/A</v>
      </c>
      <c r="N70" s="87"/>
      <c r="IW70" s="18"/>
      <c r="IX70" s="18"/>
    </row>
    <row r="71" spans="2:258" ht="13.2" customHeight="1" x14ac:dyDescent="0.25">
      <c r="B71" s="41" t="s">
        <v>265</v>
      </c>
      <c r="C71" s="98" t="e">
        <f>([1]!OBGET([1]!OBCALL("",$B$24,"getValue",E71))-C$27)/C$16</f>
        <v>#N/A</v>
      </c>
      <c r="D71" s="18" t="e">
        <f>[1]!OBCALL("calibratedCurves-"&amp;B71,$C$9,"getCloneShifted",[1]!OBMAKE("","String",B71),[1]!OBMAKE("","double",$C$16))</f>
        <v>#N/A</v>
      </c>
      <c r="E71" s="18" t="e">
        <f>[1]!OBCALL("calibratedModel-"&amp;ROW(),D71,"getModel")</f>
        <v>#N/A</v>
      </c>
      <c r="G71" s="98"/>
      <c r="H71" s="18" t="e">
        <f>[1]!OBCALL("calibrationProduct-"&amp;ROW(),C$9,"getCalibrationProductForSymbol",[1]!OBMAKE("","String",B71))</f>
        <v>#N/A</v>
      </c>
      <c r="I71" s="102" t="e">
        <f>([1]!OBGET([1]!OBCALL("",$H71,"getValue",E71))-[1]!OBGET([1]!OBCALL("",$H71,"getValue",E$27)))/$C$16</f>
        <v>#N/A</v>
      </c>
      <c r="K71" s="103" t="str">
        <f t="shared" si="2"/>
        <v>forward-EUR-3M-15Mx3M</v>
      </c>
      <c r="L71" s="103" t="e">
        <f t="shared" si="3"/>
        <v>#N/A</v>
      </c>
      <c r="N71" s="87"/>
      <c r="IW71" s="18"/>
      <c r="IX71" s="18"/>
    </row>
    <row r="72" spans="2:258" ht="13.2" customHeight="1" x14ac:dyDescent="0.25">
      <c r="B72" s="41" t="s">
        <v>266</v>
      </c>
      <c r="C72" s="98" t="e">
        <f>([1]!OBGET([1]!OBCALL("",$B$24,"getValue",E72))-C$27)/C$16</f>
        <v>#N/A</v>
      </c>
      <c r="D72" s="18" t="e">
        <f>[1]!OBCALL("calibratedCurves-"&amp;B72,$C$9,"getCloneShifted",[1]!OBMAKE("","String",B72),[1]!OBMAKE("","double",$C$16))</f>
        <v>#N/A</v>
      </c>
      <c r="E72" s="18" t="e">
        <f>[1]!OBCALL("calibratedModel-"&amp;ROW(),D72,"getModel")</f>
        <v>#N/A</v>
      </c>
      <c r="G72" s="98"/>
      <c r="H72" s="18" t="e">
        <f>[1]!OBCALL("calibrationProduct-"&amp;ROW(),C$9,"getCalibrationProductForSymbol",[1]!OBMAKE("","String",B72))</f>
        <v>#N/A</v>
      </c>
      <c r="I72" s="102" t="e">
        <f>([1]!OBGET([1]!OBCALL("",$H72,"getValue",E72))-[1]!OBGET([1]!OBCALL("",$H72,"getValue",E$27)))/$C$16</f>
        <v>#N/A</v>
      </c>
      <c r="K72" s="103" t="str">
        <f t="shared" si="2"/>
        <v>forward-EUR-3M-2Y</v>
      </c>
      <c r="L72" s="103" t="e">
        <f t="shared" si="3"/>
        <v>#N/A</v>
      </c>
      <c r="N72" s="87"/>
      <c r="IW72" s="18"/>
      <c r="IX72" s="18"/>
    </row>
    <row r="73" spans="2:258" ht="13.2" customHeight="1" x14ac:dyDescent="0.25">
      <c r="B73" s="41" t="s">
        <v>267</v>
      </c>
      <c r="C73" s="98" t="e">
        <f>([1]!OBGET([1]!OBCALL("",$B$24,"getValue",E73))-C$27)/C$16</f>
        <v>#N/A</v>
      </c>
      <c r="D73" s="18" t="e">
        <f>[1]!OBCALL("calibratedCurves-"&amp;B73,$C$9,"getCloneShifted",[1]!OBMAKE("","String",B73),[1]!OBMAKE("","double",$C$16))</f>
        <v>#N/A</v>
      </c>
      <c r="E73" s="18" t="e">
        <f>[1]!OBCALL("calibratedModel-"&amp;ROW(),D73,"getModel")</f>
        <v>#N/A</v>
      </c>
      <c r="G73" s="98"/>
      <c r="H73" s="18" t="e">
        <f>[1]!OBCALL("calibrationProduct-"&amp;ROW(),C$9,"getCalibrationProductForSymbol",[1]!OBMAKE("","String",B73))</f>
        <v>#N/A</v>
      </c>
      <c r="I73" s="102" t="e">
        <f>([1]!OBGET([1]!OBCALL("",$H73,"getValue",E73))-[1]!OBGET([1]!OBCALL("",$H73,"getValue",E$27)))/$C$16</f>
        <v>#N/A</v>
      </c>
      <c r="K73" s="103" t="str">
        <f t="shared" si="2"/>
        <v>forward-EUR-3M-3Y</v>
      </c>
      <c r="L73" s="103" t="e">
        <f t="shared" si="3"/>
        <v>#N/A</v>
      </c>
      <c r="N73" s="87"/>
      <c r="IW73" s="18"/>
      <c r="IX73" s="18"/>
    </row>
    <row r="74" spans="2:258" ht="13.2" customHeight="1" x14ac:dyDescent="0.25">
      <c r="B74" s="41" t="s">
        <v>268</v>
      </c>
      <c r="C74" s="98" t="e">
        <f>([1]!OBGET([1]!OBCALL("",$B$24,"getValue",E74))-C$27)/C$16</f>
        <v>#N/A</v>
      </c>
      <c r="D74" s="18" t="e">
        <f>[1]!OBCALL("calibratedCurves-"&amp;B74,$C$9,"getCloneShifted",[1]!OBMAKE("","String",B74),[1]!OBMAKE("","double",$C$16))</f>
        <v>#N/A</v>
      </c>
      <c r="E74" s="18" t="e">
        <f>[1]!OBCALL("calibratedModel-"&amp;ROW(),D74,"getModel")</f>
        <v>#N/A</v>
      </c>
      <c r="G74" s="98"/>
      <c r="H74" s="18" t="e">
        <f>[1]!OBCALL("calibrationProduct-"&amp;ROW(),C$9,"getCalibrationProductForSymbol",[1]!OBMAKE("","String",B74))</f>
        <v>#N/A</v>
      </c>
      <c r="I74" s="102" t="e">
        <f>([1]!OBGET([1]!OBCALL("",$H74,"getValue",E74))-[1]!OBGET([1]!OBCALL("",$H74,"getValue",E$27)))/$C$16</f>
        <v>#N/A</v>
      </c>
      <c r="K74" s="103" t="str">
        <f t="shared" si="2"/>
        <v>forward-EUR-3M-4Y</v>
      </c>
      <c r="L74" s="103" t="e">
        <f t="shared" si="3"/>
        <v>#N/A</v>
      </c>
      <c r="N74" s="87"/>
      <c r="IW74" s="18"/>
      <c r="IX74" s="18"/>
    </row>
    <row r="75" spans="2:258" ht="13.2" customHeight="1" x14ac:dyDescent="0.25">
      <c r="B75" s="41" t="s">
        <v>269</v>
      </c>
      <c r="C75" s="98" t="e">
        <f>([1]!OBGET([1]!OBCALL("",$B$24,"getValue",E75))-C$27)/C$16</f>
        <v>#N/A</v>
      </c>
      <c r="D75" s="18" t="e">
        <f>[1]!OBCALL("calibratedCurves-"&amp;B75,$C$9,"getCloneShifted",[1]!OBMAKE("","String",B75),[1]!OBMAKE("","double",$C$16))</f>
        <v>#N/A</v>
      </c>
      <c r="E75" s="18" t="e">
        <f>[1]!OBCALL("calibratedModel-"&amp;ROW(),D75,"getModel")</f>
        <v>#N/A</v>
      </c>
      <c r="G75" s="98"/>
      <c r="H75" s="18" t="e">
        <f>[1]!OBCALL("calibrationProduct-"&amp;ROW(),C$9,"getCalibrationProductForSymbol",[1]!OBMAKE("","String",B75))</f>
        <v>#N/A</v>
      </c>
      <c r="I75" s="102" t="e">
        <f>([1]!OBGET([1]!OBCALL("",$H75,"getValue",E75))-[1]!OBGET([1]!OBCALL("",$H75,"getValue",E$27)))/$C$16</f>
        <v>#N/A</v>
      </c>
      <c r="K75" s="103" t="str">
        <f t="shared" si="2"/>
        <v>forward-EUR-3M-5Y</v>
      </c>
      <c r="L75" s="103" t="e">
        <f t="shared" si="3"/>
        <v>#N/A</v>
      </c>
      <c r="N75" s="87"/>
      <c r="IW75" s="18"/>
      <c r="IX75" s="18"/>
    </row>
    <row r="76" spans="2:258" ht="13.2" customHeight="1" x14ac:dyDescent="0.25">
      <c r="B76" s="41" t="s">
        <v>270</v>
      </c>
      <c r="C76" s="98" t="e">
        <f>([1]!OBGET([1]!OBCALL("",$B$24,"getValue",E76))-C$27)/C$16</f>
        <v>#N/A</v>
      </c>
      <c r="D76" s="18" t="e">
        <f>[1]!OBCALL("calibratedCurves-"&amp;B76,$C$9,"getCloneShifted",[1]!OBMAKE("","String",B76),[1]!OBMAKE("","double",$C$16))</f>
        <v>#N/A</v>
      </c>
      <c r="E76" s="18" t="e">
        <f>[1]!OBCALL("calibratedModel-"&amp;ROW(),D76,"getModel")</f>
        <v>#N/A</v>
      </c>
      <c r="G76" s="98"/>
      <c r="H76" s="18" t="e">
        <f>[1]!OBCALL("calibrationProduct-"&amp;ROW(),C$9,"getCalibrationProductForSymbol",[1]!OBMAKE("","String",B76))</f>
        <v>#N/A</v>
      </c>
      <c r="I76" s="102" t="e">
        <f>([1]!OBGET([1]!OBCALL("",$H76,"getValue",E76))-[1]!OBGET([1]!OBCALL("",$H76,"getValue",E$27)))/$C$16</f>
        <v>#N/A</v>
      </c>
      <c r="K76" s="103" t="str">
        <f t="shared" si="2"/>
        <v>forward-EUR-3M-6Y</v>
      </c>
      <c r="L76" s="103" t="e">
        <f t="shared" si="3"/>
        <v>#N/A</v>
      </c>
      <c r="N76" s="87"/>
      <c r="IW76" s="18"/>
      <c r="IX76" s="18"/>
    </row>
    <row r="77" spans="2:258" ht="13.2" customHeight="1" x14ac:dyDescent="0.25">
      <c r="B77" s="41" t="s">
        <v>271</v>
      </c>
      <c r="C77" s="98" t="e">
        <f>([1]!OBGET([1]!OBCALL("",$B$24,"getValue",E77))-C$27)/C$16</f>
        <v>#N/A</v>
      </c>
      <c r="D77" s="18" t="e">
        <f>[1]!OBCALL("calibratedCurves-"&amp;B77,$C$9,"getCloneShifted",[1]!OBMAKE("","String",B77),[1]!OBMAKE("","double",$C$16))</f>
        <v>#N/A</v>
      </c>
      <c r="E77" s="18" t="e">
        <f>[1]!OBCALL("calibratedModel-"&amp;ROW(),D77,"getModel")</f>
        <v>#N/A</v>
      </c>
      <c r="G77" s="98"/>
      <c r="H77" s="18" t="e">
        <f>[1]!OBCALL("calibrationProduct-"&amp;ROW(),C$9,"getCalibrationProductForSymbol",[1]!OBMAKE("","String",B77))</f>
        <v>#N/A</v>
      </c>
      <c r="I77" s="102" t="e">
        <f>([1]!OBGET([1]!OBCALL("",$H77,"getValue",E77))-[1]!OBGET([1]!OBCALL("",$H77,"getValue",E$27)))/$C$16</f>
        <v>#N/A</v>
      </c>
      <c r="K77" s="103" t="str">
        <f t="shared" si="2"/>
        <v>forward-EUR-3M-7Y</v>
      </c>
      <c r="L77" s="103" t="e">
        <f t="shared" si="3"/>
        <v>#N/A</v>
      </c>
      <c r="N77" s="87"/>
      <c r="IW77" s="18"/>
      <c r="IX77" s="18"/>
    </row>
    <row r="78" spans="2:258" ht="13.2" customHeight="1" x14ac:dyDescent="0.25">
      <c r="B78" s="41" t="s">
        <v>272</v>
      </c>
      <c r="C78" s="98" t="e">
        <f>([1]!OBGET([1]!OBCALL("",$B$24,"getValue",E78))-C$27)/C$16</f>
        <v>#N/A</v>
      </c>
      <c r="D78" s="18" t="e">
        <f>[1]!OBCALL("calibratedCurves-"&amp;B78,$C$9,"getCloneShifted",[1]!OBMAKE("","String",B78),[1]!OBMAKE("","double",$C$16))</f>
        <v>#N/A</v>
      </c>
      <c r="E78" s="18" t="e">
        <f>[1]!OBCALL("calibratedModel-"&amp;ROW(),D78,"getModel")</f>
        <v>#N/A</v>
      </c>
      <c r="G78" s="98"/>
      <c r="H78" s="18" t="e">
        <f>[1]!OBCALL("calibrationProduct-"&amp;ROW(),C$9,"getCalibrationProductForSymbol",[1]!OBMAKE("","String",B78))</f>
        <v>#N/A</v>
      </c>
      <c r="I78" s="102" t="e">
        <f>([1]!OBGET([1]!OBCALL("",$H78,"getValue",E78))-[1]!OBGET([1]!OBCALL("",$H78,"getValue",E$27)))/$C$16</f>
        <v>#N/A</v>
      </c>
      <c r="K78" s="103" t="str">
        <f t="shared" si="2"/>
        <v>forward-EUR-3M-8Y</v>
      </c>
      <c r="L78" s="103" t="e">
        <f t="shared" si="3"/>
        <v>#N/A</v>
      </c>
      <c r="N78" s="87"/>
      <c r="IW78" s="18"/>
      <c r="IX78" s="18"/>
    </row>
    <row r="79" spans="2:258" ht="13.2" customHeight="1" x14ac:dyDescent="0.25">
      <c r="B79" s="41" t="s">
        <v>273</v>
      </c>
      <c r="C79" s="98" t="e">
        <f>([1]!OBGET([1]!OBCALL("",$B$24,"getValue",E79))-C$27)/C$16</f>
        <v>#N/A</v>
      </c>
      <c r="D79" s="18" t="e">
        <f>[1]!OBCALL("calibratedCurves-"&amp;B79,$C$9,"getCloneShifted",[1]!OBMAKE("","String",B79),[1]!OBMAKE("","double",$C$16))</f>
        <v>#N/A</v>
      </c>
      <c r="E79" s="18" t="e">
        <f>[1]!OBCALL("calibratedModel-"&amp;ROW(),D79,"getModel")</f>
        <v>#N/A</v>
      </c>
      <c r="G79" s="98"/>
      <c r="H79" s="18" t="e">
        <f>[1]!OBCALL("calibrationProduct-"&amp;ROW(),C$9,"getCalibrationProductForSymbol",[1]!OBMAKE("","String",B79))</f>
        <v>#N/A</v>
      </c>
      <c r="I79" s="102" t="e">
        <f>([1]!OBGET([1]!OBCALL("",$H79,"getValue",E79))-[1]!OBGET([1]!OBCALL("",$H79,"getValue",E$27)))/$C$16</f>
        <v>#N/A</v>
      </c>
      <c r="K79" s="103" t="str">
        <f t="shared" si="2"/>
        <v>forward-EUR-3M-9Y</v>
      </c>
      <c r="L79" s="103" t="e">
        <f t="shared" si="3"/>
        <v>#N/A</v>
      </c>
      <c r="N79" s="87"/>
      <c r="IW79" s="18"/>
      <c r="IX79" s="18"/>
    </row>
    <row r="80" spans="2:258" ht="13.2" customHeight="1" x14ac:dyDescent="0.25">
      <c r="B80" s="41" t="s">
        <v>183</v>
      </c>
      <c r="C80" s="98" t="e">
        <f>([1]!OBGET([1]!OBCALL("",$B$24,"getValue",E80))-C$27)/C$16</f>
        <v>#N/A</v>
      </c>
      <c r="D80" s="18" t="e">
        <f>[1]!OBCALL("calibratedCurves-"&amp;B80,$C$9,"getCloneShifted",[1]!OBMAKE("","String",B80),[1]!OBMAKE("","double",$C$16))</f>
        <v>#N/A</v>
      </c>
      <c r="E80" s="18" t="e">
        <f>[1]!OBCALL("calibratedModel-"&amp;ROW(),D80,"getModel")</f>
        <v>#N/A</v>
      </c>
      <c r="G80" s="98"/>
      <c r="H80" s="18" t="e">
        <f>[1]!OBCALL("calibrationProduct-"&amp;ROW(),C$9,"getCalibrationProductForSymbol",[1]!OBMAKE("","String",B80))</f>
        <v>#N/A</v>
      </c>
      <c r="I80" s="102" t="e">
        <f>([1]!OBGET([1]!OBCALL("",$H80,"getValue",E80))-[1]!OBGET([1]!OBCALL("",$H80,"getValue",E$27)))/$C$16</f>
        <v>#N/A</v>
      </c>
      <c r="K80" s="103" t="str">
        <f t="shared" si="2"/>
        <v>forward-EUR-3M-10Y</v>
      </c>
      <c r="L80" s="103" t="e">
        <f t="shared" si="3"/>
        <v>#N/A</v>
      </c>
      <c r="N80" s="87"/>
      <c r="IW80" s="18"/>
      <c r="IX80" s="18"/>
    </row>
    <row r="81" spans="2:258" ht="13.2" customHeight="1" x14ac:dyDescent="0.25">
      <c r="B81" s="41" t="s">
        <v>274</v>
      </c>
      <c r="C81" s="98" t="e">
        <f>([1]!OBGET([1]!OBCALL("",$B$24,"getValue",E81))-C$27)/C$16</f>
        <v>#N/A</v>
      </c>
      <c r="D81" s="18" t="e">
        <f>[1]!OBCALL("calibratedCurves-"&amp;B81,$C$9,"getCloneShifted",[1]!OBMAKE("","String",B81),[1]!OBMAKE("","double",$C$16))</f>
        <v>#N/A</v>
      </c>
      <c r="E81" s="18" t="e">
        <f>[1]!OBCALL("calibratedModel-"&amp;ROW(),D81,"getModel")</f>
        <v>#N/A</v>
      </c>
      <c r="G81" s="98"/>
      <c r="H81" s="18" t="e">
        <f>[1]!OBCALL("calibrationProduct-"&amp;ROW(),C$9,"getCalibrationProductForSymbol",[1]!OBMAKE("","String",B81))</f>
        <v>#N/A</v>
      </c>
      <c r="I81" s="102" t="e">
        <f>([1]!OBGET([1]!OBCALL("",$H81,"getValue",E81))-[1]!OBGET([1]!OBCALL("",$H81,"getValue",E$27)))/$C$16</f>
        <v>#N/A</v>
      </c>
      <c r="K81" s="103" t="str">
        <f t="shared" si="2"/>
        <v>forward-EUR-3M-12Y</v>
      </c>
      <c r="L81" s="103" t="e">
        <f t="shared" si="3"/>
        <v>#N/A</v>
      </c>
      <c r="N81" s="87"/>
      <c r="IW81" s="18"/>
      <c r="IX81" s="18"/>
    </row>
    <row r="82" spans="2:258" ht="13.2" customHeight="1" x14ac:dyDescent="0.25">
      <c r="B82" s="41" t="s">
        <v>275</v>
      </c>
      <c r="C82" s="98" t="e">
        <f>([1]!OBGET([1]!OBCALL("",$B$24,"getValue",E82))-C$27)/C$16</f>
        <v>#N/A</v>
      </c>
      <c r="D82" s="18" t="e">
        <f>[1]!OBCALL("calibratedCurves-"&amp;B82,$C$9,"getCloneShifted",[1]!OBMAKE("","String",B82),[1]!OBMAKE("","double",$C$16))</f>
        <v>#N/A</v>
      </c>
      <c r="E82" s="18" t="e">
        <f>[1]!OBCALL("calibratedModel-"&amp;ROW(),D82,"getModel")</f>
        <v>#N/A</v>
      </c>
      <c r="G82" s="98"/>
      <c r="H82" s="18" t="e">
        <f>[1]!OBCALL("calibrationProduct-"&amp;ROW(),C$9,"getCalibrationProductForSymbol",[1]!OBMAKE("","String",B82))</f>
        <v>#N/A</v>
      </c>
      <c r="I82" s="102" t="e">
        <f>([1]!OBGET([1]!OBCALL("",$H82,"getValue",E82))-[1]!OBGET([1]!OBCALL("",$H82,"getValue",E$27)))/$C$16</f>
        <v>#N/A</v>
      </c>
      <c r="K82" s="103" t="str">
        <f t="shared" si="2"/>
        <v>forward-EUR-3M-15Y</v>
      </c>
      <c r="L82" s="103" t="e">
        <f t="shared" si="3"/>
        <v>#N/A</v>
      </c>
      <c r="N82" s="87"/>
      <c r="IW82" s="18"/>
      <c r="IX82" s="18"/>
    </row>
    <row r="83" spans="2:258" ht="13.2" customHeight="1" x14ac:dyDescent="0.25">
      <c r="B83" s="41" t="s">
        <v>276</v>
      </c>
      <c r="C83" s="98" t="e">
        <f>([1]!OBGET([1]!OBCALL("",$B$24,"getValue",E83))-C$27)/C$16</f>
        <v>#N/A</v>
      </c>
      <c r="D83" s="18" t="e">
        <f>[1]!OBCALL("calibratedCurves-"&amp;B83,$C$9,"getCloneShifted",[1]!OBMAKE("","String",B83),[1]!OBMAKE("","double",$C$16))</f>
        <v>#N/A</v>
      </c>
      <c r="E83" s="18" t="e">
        <f>[1]!OBCALL("calibratedModel-"&amp;ROW(),D83,"getModel")</f>
        <v>#N/A</v>
      </c>
      <c r="G83" s="98"/>
      <c r="H83" s="18" t="e">
        <f>[1]!OBCALL("calibrationProduct-"&amp;ROW(),C$9,"getCalibrationProductForSymbol",[1]!OBMAKE("","String",B83))</f>
        <v>#N/A</v>
      </c>
      <c r="I83" s="102" t="e">
        <f>([1]!OBGET([1]!OBCALL("",$H83,"getValue",E83))-[1]!OBGET([1]!OBCALL("",$H83,"getValue",E$27)))/$C$16</f>
        <v>#N/A</v>
      </c>
      <c r="K83" s="103" t="str">
        <f t="shared" si="2"/>
        <v>forward-EUR-3M-20Y</v>
      </c>
      <c r="L83" s="103" t="e">
        <f t="shared" si="3"/>
        <v>#N/A</v>
      </c>
      <c r="N83" s="87"/>
      <c r="IW83" s="18"/>
      <c r="IX83" s="18"/>
    </row>
    <row r="84" spans="2:258" ht="13.2" customHeight="1" x14ac:dyDescent="0.25">
      <c r="B84" s="41" t="s">
        <v>277</v>
      </c>
      <c r="C84" s="98" t="e">
        <f>([1]!OBGET([1]!OBCALL("",$B$24,"getValue",E84))-C$27)/C$16</f>
        <v>#N/A</v>
      </c>
      <c r="D84" s="18" t="e">
        <f>[1]!OBCALL("calibratedCurves-"&amp;B84,$C$9,"getCloneShifted",[1]!OBMAKE("","String",B84),[1]!OBMAKE("","double",$C$16))</f>
        <v>#N/A</v>
      </c>
      <c r="E84" s="18" t="e">
        <f>[1]!OBCALL("calibratedModel-"&amp;ROW(),D84,"getModel")</f>
        <v>#N/A</v>
      </c>
      <c r="G84" s="98"/>
      <c r="H84" s="18" t="e">
        <f>[1]!OBCALL("calibrationProduct-"&amp;ROW(),C$9,"getCalibrationProductForSymbol",[1]!OBMAKE("","String",B84))</f>
        <v>#N/A</v>
      </c>
      <c r="I84" s="102" t="e">
        <f>([1]!OBGET([1]!OBCALL("",$H84,"getValue",E84))-[1]!OBGET([1]!OBCALL("",$H84,"getValue",E$27)))/$C$16</f>
        <v>#N/A</v>
      </c>
      <c r="K84" s="103" t="str">
        <f t="shared" si="2"/>
        <v>forward-EUR-3M-25Y</v>
      </c>
      <c r="L84" s="103" t="e">
        <f t="shared" si="3"/>
        <v>#N/A</v>
      </c>
      <c r="N84" s="87"/>
      <c r="IW84" s="18"/>
      <c r="IX84" s="18"/>
    </row>
    <row r="85" spans="2:258" ht="13.2" customHeight="1" x14ac:dyDescent="0.25">
      <c r="B85" s="41" t="s">
        <v>278</v>
      </c>
      <c r="C85" s="98" t="e">
        <f>([1]!OBGET([1]!OBCALL("",$B$24,"getValue",E85))-C$27)/C$16</f>
        <v>#N/A</v>
      </c>
      <c r="D85" s="18" t="e">
        <f>[1]!OBCALL("calibratedCurves-"&amp;B85,$C$9,"getCloneShifted",[1]!OBMAKE("","String",B85),[1]!OBMAKE("","double",$C$16))</f>
        <v>#N/A</v>
      </c>
      <c r="E85" s="18" t="e">
        <f>[1]!OBCALL("calibratedModel-"&amp;ROW(),D85,"getModel")</f>
        <v>#N/A</v>
      </c>
      <c r="G85" s="98"/>
      <c r="H85" s="18" t="e">
        <f>[1]!OBCALL("calibrationProduct-"&amp;ROW(),C$9,"getCalibrationProductForSymbol",[1]!OBMAKE("","String",B85))</f>
        <v>#N/A</v>
      </c>
      <c r="I85" s="102" t="e">
        <f>([1]!OBGET([1]!OBCALL("",$H85,"getValue",E85))-[1]!OBGET([1]!OBCALL("",$H85,"getValue",E$27)))/$C$16</f>
        <v>#N/A</v>
      </c>
      <c r="K85" s="103" t="str">
        <f t="shared" si="2"/>
        <v>forward-EUR-3M-30Y</v>
      </c>
      <c r="L85" s="103" t="e">
        <f t="shared" si="3"/>
        <v>#N/A</v>
      </c>
      <c r="N85" s="87"/>
      <c r="IW85" s="18"/>
      <c r="IX85" s="18"/>
    </row>
    <row r="86" spans="2:258" ht="13.2" customHeight="1" x14ac:dyDescent="0.25">
      <c r="B86" s="41" t="s">
        <v>279</v>
      </c>
      <c r="C86" s="98" t="e">
        <f>([1]!OBGET([1]!OBCALL("",$B$24,"getValue",E86))-C$27)/C$16</f>
        <v>#N/A</v>
      </c>
      <c r="D86" s="18" t="e">
        <f>[1]!OBCALL("calibratedCurves-"&amp;B86,$C$9,"getCloneShifted",[1]!OBMAKE("","String",B86),[1]!OBMAKE("","double",$C$16))</f>
        <v>#N/A</v>
      </c>
      <c r="E86" s="18" t="e">
        <f>[1]!OBCALL("calibratedModel-"&amp;ROW(),D86,"getModel")</f>
        <v>#N/A</v>
      </c>
      <c r="G86" s="98"/>
      <c r="H86" s="18" t="e">
        <f>[1]!OBCALL("calibrationProduct-"&amp;ROW(),C$9,"getCalibrationProductForSymbol",[1]!OBMAKE("","String",B86))</f>
        <v>#N/A</v>
      </c>
      <c r="I86" s="102" t="e">
        <f>([1]!OBGET([1]!OBCALL("",$H86,"getValue",E86))-[1]!OBGET([1]!OBCALL("",$H86,"getValue",E$27)))/$C$16</f>
        <v>#N/A</v>
      </c>
      <c r="K86" s="103" t="str">
        <f t="shared" si="2"/>
        <v>forward-EUR-3M-40Y</v>
      </c>
      <c r="L86" s="103" t="e">
        <f t="shared" si="3"/>
        <v>#N/A</v>
      </c>
      <c r="N86" s="87"/>
      <c r="IW86" s="18"/>
      <c r="IX86" s="18"/>
    </row>
    <row r="87" spans="2:258" ht="13.2" customHeight="1" x14ac:dyDescent="0.25">
      <c r="B87" s="41" t="s">
        <v>280</v>
      </c>
      <c r="C87" s="98" t="e">
        <f>([1]!OBGET([1]!OBCALL("",$B$24,"getValue",E87))-C$27)/C$16</f>
        <v>#N/A</v>
      </c>
      <c r="D87" s="18" t="e">
        <f>[1]!OBCALL("calibratedCurves-"&amp;B87,$C$9,"getCloneShifted",[1]!OBMAKE("","String",B87),[1]!OBMAKE("","double",$C$16))</f>
        <v>#N/A</v>
      </c>
      <c r="E87" s="18" t="e">
        <f>[1]!OBCALL("calibratedModel-"&amp;ROW(),D87,"getModel")</f>
        <v>#N/A</v>
      </c>
      <c r="G87" s="98"/>
      <c r="H87" s="18" t="e">
        <f>[1]!OBCALL("calibrationProduct-"&amp;ROW(),C$9,"getCalibrationProductForSymbol",[1]!OBMAKE("","String",B87))</f>
        <v>#N/A</v>
      </c>
      <c r="I87" s="102" t="e">
        <f>([1]!OBGET([1]!OBCALL("",$H87,"getValue",E87))-[1]!OBGET([1]!OBCALL("",$H87,"getValue",E$27)))/$C$16</f>
        <v>#N/A</v>
      </c>
      <c r="K87" s="103" t="str">
        <f t="shared" si="2"/>
        <v>forward-EUR-3M-50Y</v>
      </c>
      <c r="L87" s="103" t="e">
        <f t="shared" si="3"/>
        <v>#N/A</v>
      </c>
      <c r="N87" s="87"/>
      <c r="IW87" s="18"/>
      <c r="IX87" s="18"/>
    </row>
    <row r="88" spans="2:258" ht="13.2" customHeight="1" x14ac:dyDescent="0.25">
      <c r="B88" s="41" t="s">
        <v>281</v>
      </c>
      <c r="C88" s="98" t="e">
        <f>([1]!OBGET([1]!OBCALL("",$B$24,"getValue",E88))-C$27)/C$16</f>
        <v>#N/A</v>
      </c>
      <c r="D88" s="18" t="e">
        <f>[1]!OBCALL("calibratedCurves-"&amp;B88,$C$9,"getCloneShifted",[1]!OBMAKE("","String",B88),[1]!OBMAKE("","double",$C$16))</f>
        <v>#N/A</v>
      </c>
      <c r="E88" s="18" t="e">
        <f>[1]!OBCALL("calibratedModel-"&amp;ROW(),D88,"getModel")</f>
        <v>#N/A</v>
      </c>
      <c r="G88" s="98"/>
      <c r="H88" s="18" t="e">
        <f>[1]!OBCALL("calibrationProduct-"&amp;ROW(),C$9,"getCalibrationProductForSymbol",[1]!OBMAKE("","String",B88))</f>
        <v>#N/A</v>
      </c>
      <c r="I88" s="102" t="e">
        <f>([1]!OBGET([1]!OBCALL("",$H88,"getValue",E88))-[1]!OBGET([1]!OBCALL("",$H88,"getValue",E$27)))/$C$16</f>
        <v>#N/A</v>
      </c>
      <c r="K88" s="103" t="str">
        <f t="shared" si="2"/>
        <v>forward-EUR-6M-0Dx6M</v>
      </c>
      <c r="L88" s="103" t="e">
        <f t="shared" si="3"/>
        <v>#N/A</v>
      </c>
      <c r="N88" s="87"/>
      <c r="IW88" s="18"/>
      <c r="IX88" s="18"/>
    </row>
    <row r="89" spans="2:258" ht="13.2" customHeight="1" x14ac:dyDescent="0.25">
      <c r="B89" s="41" t="s">
        <v>282</v>
      </c>
      <c r="C89" s="98" t="e">
        <f>([1]!OBGET([1]!OBCALL("",$B$24,"getValue",E89))-C$27)/C$16</f>
        <v>#N/A</v>
      </c>
      <c r="D89" s="18" t="e">
        <f>[1]!OBCALL("calibratedCurves-"&amp;B89,$C$9,"getCloneShifted",[1]!OBMAKE("","String",B89),[1]!OBMAKE("","double",$C$16))</f>
        <v>#N/A</v>
      </c>
      <c r="E89" s="18" t="e">
        <f>[1]!OBCALL("calibratedModel-"&amp;ROW(),D89,"getModel")</f>
        <v>#N/A</v>
      </c>
      <c r="G89" s="98"/>
      <c r="H89" s="18" t="e">
        <f>[1]!OBCALL("calibrationProduct-"&amp;ROW(),C$9,"getCalibrationProductForSymbol",[1]!OBMAKE("","String",B89))</f>
        <v>#N/A</v>
      </c>
      <c r="I89" s="102" t="e">
        <f>([1]!OBGET([1]!OBCALL("",$H89,"getValue",E89))-[1]!OBGET([1]!OBCALL("",$H89,"getValue",E$27)))/$C$16</f>
        <v>#N/A</v>
      </c>
      <c r="K89" s="103" t="str">
        <f t="shared" si="2"/>
        <v>forward-EUR-6M-1Mx6M</v>
      </c>
      <c r="L89" s="103" t="e">
        <f t="shared" si="3"/>
        <v>#N/A</v>
      </c>
      <c r="N89" s="87"/>
      <c r="IW89" s="18"/>
      <c r="IX89" s="18"/>
    </row>
    <row r="90" spans="2:258" ht="13.2" customHeight="1" x14ac:dyDescent="0.25">
      <c r="B90" s="41" t="s">
        <v>283</v>
      </c>
      <c r="C90" s="98" t="e">
        <f>([1]!OBGET([1]!OBCALL("",$B$24,"getValue",E90))-C$27)/C$16</f>
        <v>#N/A</v>
      </c>
      <c r="D90" s="18" t="e">
        <f>[1]!OBCALL("calibratedCurves-"&amp;B90,$C$9,"getCloneShifted",[1]!OBMAKE("","String",B90),[1]!OBMAKE("","double",$C$16))</f>
        <v>#N/A</v>
      </c>
      <c r="E90" s="18" t="e">
        <f>[1]!OBCALL("calibratedModel-"&amp;ROW(),D90,"getModel")</f>
        <v>#N/A</v>
      </c>
      <c r="G90" s="98"/>
      <c r="H90" s="18" t="e">
        <f>[1]!OBCALL("calibrationProduct-"&amp;ROW(),C$9,"getCalibrationProductForSymbol",[1]!OBMAKE("","String",B90))</f>
        <v>#N/A</v>
      </c>
      <c r="I90" s="102" t="e">
        <f>([1]!OBGET([1]!OBCALL("",$H90,"getValue",E90))-[1]!OBGET([1]!OBCALL("",$H90,"getValue",E$27)))/$C$16</f>
        <v>#N/A</v>
      </c>
      <c r="K90" s="103" t="str">
        <f t="shared" si="2"/>
        <v>forward-EUR-6M-2Mx6M</v>
      </c>
      <c r="L90" s="103" t="e">
        <f t="shared" si="3"/>
        <v>#N/A</v>
      </c>
      <c r="N90" s="87"/>
      <c r="IW90" s="18"/>
      <c r="IX90" s="18"/>
    </row>
    <row r="91" spans="2:258" ht="13.2" customHeight="1" x14ac:dyDescent="0.25">
      <c r="B91" s="41" t="s">
        <v>284</v>
      </c>
      <c r="C91" s="98" t="e">
        <f>([1]!OBGET([1]!OBCALL("",$B$24,"getValue",E91))-C$27)/C$16</f>
        <v>#N/A</v>
      </c>
      <c r="D91" s="18" t="e">
        <f>[1]!OBCALL("calibratedCurves-"&amp;B91,$C$9,"getCloneShifted",[1]!OBMAKE("","String",B91),[1]!OBMAKE("","double",$C$16))</f>
        <v>#N/A</v>
      </c>
      <c r="E91" s="18" t="e">
        <f>[1]!OBCALL("calibratedModel-"&amp;ROW(),D91,"getModel")</f>
        <v>#N/A</v>
      </c>
      <c r="G91" s="98"/>
      <c r="H91" s="18" t="e">
        <f>[1]!OBCALL("calibrationProduct-"&amp;ROW(),C$9,"getCalibrationProductForSymbol",[1]!OBMAKE("","String",B91))</f>
        <v>#N/A</v>
      </c>
      <c r="I91" s="102" t="e">
        <f>([1]!OBGET([1]!OBCALL("",$H91,"getValue",E91))-[1]!OBGET([1]!OBCALL("",$H91,"getValue",E$27)))/$C$16</f>
        <v>#N/A</v>
      </c>
      <c r="K91" s="103" t="str">
        <f t="shared" si="2"/>
        <v>forward-EUR-6M-3Mx6M</v>
      </c>
      <c r="L91" s="103" t="e">
        <f t="shared" si="3"/>
        <v>#N/A</v>
      </c>
      <c r="N91" s="87"/>
      <c r="IW91" s="18"/>
      <c r="IX91" s="18"/>
    </row>
    <row r="92" spans="2:258" ht="13.2" customHeight="1" x14ac:dyDescent="0.25">
      <c r="B92" s="41" t="s">
        <v>285</v>
      </c>
      <c r="C92" s="98" t="e">
        <f>([1]!OBGET([1]!OBCALL("",$B$24,"getValue",E92))-C$27)/C$16</f>
        <v>#N/A</v>
      </c>
      <c r="D92" s="18" t="e">
        <f>[1]!OBCALL("calibratedCurves-"&amp;B92,$C$9,"getCloneShifted",[1]!OBMAKE("","String",B92),[1]!OBMAKE("","double",$C$16))</f>
        <v>#N/A</v>
      </c>
      <c r="E92" s="18" t="e">
        <f>[1]!OBCALL("calibratedModel-"&amp;ROW(),D92,"getModel")</f>
        <v>#N/A</v>
      </c>
      <c r="G92" s="98"/>
      <c r="H92" s="18" t="e">
        <f>[1]!OBCALL("calibrationProduct-"&amp;ROW(),C$9,"getCalibrationProductForSymbol",[1]!OBMAKE("","String",B92))</f>
        <v>#N/A</v>
      </c>
      <c r="I92" s="102" t="e">
        <f>([1]!OBGET([1]!OBCALL("",$H92,"getValue",E92))-[1]!OBGET([1]!OBCALL("",$H92,"getValue",E$27)))/$C$16</f>
        <v>#N/A</v>
      </c>
      <c r="K92" s="103" t="str">
        <f t="shared" ref="K92:K123" si="4">B92</f>
        <v>forward-EUR-6M-6Mx6M</v>
      </c>
      <c r="L92" s="103" t="e">
        <f t="shared" ref="L92:L123" si="5">C92/I92</f>
        <v>#N/A</v>
      </c>
      <c r="N92" s="87"/>
      <c r="IW92" s="18"/>
      <c r="IX92" s="18"/>
    </row>
    <row r="93" spans="2:258" ht="13.2" customHeight="1" x14ac:dyDescent="0.25">
      <c r="B93" s="41" t="s">
        <v>286</v>
      </c>
      <c r="C93" s="98" t="e">
        <f>([1]!OBGET([1]!OBCALL("",$B$24,"getValue",E93))-C$27)/C$16</f>
        <v>#N/A</v>
      </c>
      <c r="D93" s="18" t="e">
        <f>[1]!OBCALL("calibratedCurves-"&amp;B93,$C$9,"getCloneShifted",[1]!OBMAKE("","String",B93),[1]!OBMAKE("","double",$C$16))</f>
        <v>#N/A</v>
      </c>
      <c r="E93" s="18" t="e">
        <f>[1]!OBCALL("calibratedModel-"&amp;ROW(),D93,"getModel")</f>
        <v>#N/A</v>
      </c>
      <c r="G93" s="98"/>
      <c r="H93" s="18" t="e">
        <f>[1]!OBCALL("calibrationProduct-"&amp;ROW(),C$9,"getCalibrationProductForSymbol",[1]!OBMAKE("","String",B93))</f>
        <v>#N/A</v>
      </c>
      <c r="I93" s="102" t="e">
        <f>([1]!OBGET([1]!OBCALL("",$H93,"getValue",E93))-[1]!OBGET([1]!OBCALL("",$H93,"getValue",E$27)))/$C$16</f>
        <v>#N/A</v>
      </c>
      <c r="K93" s="103" t="str">
        <f t="shared" si="4"/>
        <v>forward-EUR-6M-9Mx6M</v>
      </c>
      <c r="L93" s="103" t="e">
        <f t="shared" si="5"/>
        <v>#N/A</v>
      </c>
      <c r="N93" s="87"/>
      <c r="IW93" s="18"/>
      <c r="IX93" s="18"/>
    </row>
    <row r="94" spans="2:258" ht="13.2" customHeight="1" x14ac:dyDescent="0.25">
      <c r="B94" s="41" t="s">
        <v>287</v>
      </c>
      <c r="C94" s="98" t="e">
        <f>([1]!OBGET([1]!OBCALL("",$B$24,"getValue",E94))-C$27)/C$16</f>
        <v>#N/A</v>
      </c>
      <c r="D94" s="18" t="e">
        <f>[1]!OBCALL("calibratedCurves-"&amp;B94,$C$9,"getCloneShifted",[1]!OBMAKE("","String",B94),[1]!OBMAKE("","double",$C$16))</f>
        <v>#N/A</v>
      </c>
      <c r="E94" s="18" t="e">
        <f>[1]!OBCALL("calibratedModel-"&amp;ROW(),D94,"getModel")</f>
        <v>#N/A</v>
      </c>
      <c r="G94" s="98"/>
      <c r="H94" s="18" t="e">
        <f>[1]!OBCALL("calibrationProduct-"&amp;ROW(),C$9,"getCalibrationProductForSymbol",[1]!OBMAKE("","String",B94))</f>
        <v>#N/A</v>
      </c>
      <c r="I94" s="102" t="e">
        <f>([1]!OBGET([1]!OBCALL("",$H94,"getValue",E94))-[1]!OBGET([1]!OBCALL("",$H94,"getValue",E$27)))/$C$16</f>
        <v>#N/A</v>
      </c>
      <c r="K94" s="103" t="str">
        <f t="shared" si="4"/>
        <v>forward-EUR-6M-12Mx6M</v>
      </c>
      <c r="L94" s="103" t="e">
        <f t="shared" si="5"/>
        <v>#N/A</v>
      </c>
      <c r="N94" s="87"/>
      <c r="IW94" s="18"/>
      <c r="IX94" s="18"/>
    </row>
    <row r="95" spans="2:258" ht="13.2" customHeight="1" x14ac:dyDescent="0.25">
      <c r="B95" s="41" t="s">
        <v>288</v>
      </c>
      <c r="C95" s="98" t="e">
        <f>([1]!OBGET([1]!OBCALL("",$B$24,"getValue",E95))-C$27)/C$16</f>
        <v>#N/A</v>
      </c>
      <c r="D95" s="18" t="e">
        <f>[1]!OBCALL("calibratedCurves-"&amp;B95,$C$9,"getCloneShifted",[1]!OBMAKE("","String",B95),[1]!OBMAKE("","double",$C$16))</f>
        <v>#N/A</v>
      </c>
      <c r="E95" s="18" t="e">
        <f>[1]!OBCALL("calibratedModel-"&amp;ROW(),D95,"getModel")</f>
        <v>#N/A</v>
      </c>
      <c r="G95" s="98"/>
      <c r="H95" s="18" t="e">
        <f>[1]!OBCALL("calibrationProduct-"&amp;ROW(),C$9,"getCalibrationProductForSymbol",[1]!OBMAKE("","String",B95))</f>
        <v>#N/A</v>
      </c>
      <c r="I95" s="102" t="e">
        <f>([1]!OBGET([1]!OBCALL("",$H95,"getValue",E95))-[1]!OBGET([1]!OBCALL("",$H95,"getValue",E$27)))/$C$16</f>
        <v>#N/A</v>
      </c>
      <c r="K95" s="103" t="str">
        <f t="shared" si="4"/>
        <v>forward-EUR-6M-2Y</v>
      </c>
      <c r="L95" s="103" t="e">
        <f t="shared" si="5"/>
        <v>#N/A</v>
      </c>
      <c r="N95" s="87"/>
      <c r="IW95" s="18"/>
      <c r="IX95" s="18"/>
    </row>
    <row r="96" spans="2:258" ht="13.2" customHeight="1" x14ac:dyDescent="0.25">
      <c r="B96" s="41" t="s">
        <v>289</v>
      </c>
      <c r="C96" s="98" t="e">
        <f>([1]!OBGET([1]!OBCALL("",$B$24,"getValue",E96))-C$27)/C$16</f>
        <v>#N/A</v>
      </c>
      <c r="D96" s="18" t="e">
        <f>[1]!OBCALL("calibratedCurves-"&amp;B96,$C$9,"getCloneShifted",[1]!OBMAKE("","String",B96),[1]!OBMAKE("","double",$C$16))</f>
        <v>#N/A</v>
      </c>
      <c r="E96" s="18" t="e">
        <f>[1]!OBCALL("calibratedModel-"&amp;ROW(),D96,"getModel")</f>
        <v>#N/A</v>
      </c>
      <c r="G96" s="98"/>
      <c r="H96" s="18" t="e">
        <f>[1]!OBCALL("calibrationProduct-"&amp;ROW(),C$9,"getCalibrationProductForSymbol",[1]!OBMAKE("","String",B96))</f>
        <v>#N/A</v>
      </c>
      <c r="I96" s="102" t="e">
        <f>([1]!OBGET([1]!OBCALL("",$H96,"getValue",E96))-[1]!OBGET([1]!OBCALL("",$H96,"getValue",E$27)))/$C$16</f>
        <v>#N/A</v>
      </c>
      <c r="K96" s="103" t="str">
        <f t="shared" si="4"/>
        <v>forward-EUR-6M-3Y</v>
      </c>
      <c r="L96" s="103" t="e">
        <f t="shared" si="5"/>
        <v>#N/A</v>
      </c>
      <c r="N96" s="87"/>
      <c r="IW96" s="18"/>
      <c r="IX96" s="18"/>
    </row>
    <row r="97" spans="2:258" ht="13.2" customHeight="1" x14ac:dyDescent="0.25">
      <c r="B97" s="41" t="s">
        <v>290</v>
      </c>
      <c r="C97" s="98" t="e">
        <f>([1]!OBGET([1]!OBCALL("",$B$24,"getValue",E97))-C$27)/C$16</f>
        <v>#N/A</v>
      </c>
      <c r="D97" s="18" t="e">
        <f>[1]!OBCALL("calibratedCurves-"&amp;B97,$C$9,"getCloneShifted",[1]!OBMAKE("","String",B97),[1]!OBMAKE("","double",$C$16))</f>
        <v>#N/A</v>
      </c>
      <c r="E97" s="18" t="e">
        <f>[1]!OBCALL("calibratedModel-"&amp;ROW(),D97,"getModel")</f>
        <v>#N/A</v>
      </c>
      <c r="G97" s="98"/>
      <c r="H97" s="18" t="e">
        <f>[1]!OBCALL("calibrationProduct-"&amp;ROW(),C$9,"getCalibrationProductForSymbol",[1]!OBMAKE("","String",B97))</f>
        <v>#N/A</v>
      </c>
      <c r="I97" s="102" t="e">
        <f>([1]!OBGET([1]!OBCALL("",$H97,"getValue",E97))-[1]!OBGET([1]!OBCALL("",$H97,"getValue",E$27)))/$C$16</f>
        <v>#N/A</v>
      </c>
      <c r="K97" s="103" t="str">
        <f t="shared" si="4"/>
        <v>forward-EUR-6M-4Y</v>
      </c>
      <c r="L97" s="103" t="e">
        <f t="shared" si="5"/>
        <v>#N/A</v>
      </c>
      <c r="N97" s="87"/>
      <c r="IW97" s="18"/>
      <c r="IX97" s="18"/>
    </row>
    <row r="98" spans="2:258" ht="13.2" customHeight="1" x14ac:dyDescent="0.25">
      <c r="B98" s="41" t="s">
        <v>291</v>
      </c>
      <c r="C98" s="98" t="e">
        <f>([1]!OBGET([1]!OBCALL("",$B$24,"getValue",E98))-C$27)/C$16</f>
        <v>#N/A</v>
      </c>
      <c r="D98" s="18" t="e">
        <f>[1]!OBCALL("calibratedCurves-"&amp;B98,$C$9,"getCloneShifted",[1]!OBMAKE("","String",B98),[1]!OBMAKE("","double",$C$16))</f>
        <v>#N/A</v>
      </c>
      <c r="E98" s="18" t="e">
        <f>[1]!OBCALL("calibratedModel-"&amp;ROW(),D98,"getModel")</f>
        <v>#N/A</v>
      </c>
      <c r="G98" s="98"/>
      <c r="H98" s="18" t="e">
        <f>[1]!OBCALL("calibrationProduct-"&amp;ROW(),C$9,"getCalibrationProductForSymbol",[1]!OBMAKE("","String",B98))</f>
        <v>#N/A</v>
      </c>
      <c r="I98" s="102" t="e">
        <f>([1]!OBGET([1]!OBCALL("",$H98,"getValue",E98))-[1]!OBGET([1]!OBCALL("",$H98,"getValue",E$27)))/$C$16</f>
        <v>#N/A</v>
      </c>
      <c r="K98" s="103" t="str">
        <f t="shared" si="4"/>
        <v>forward-EUR-6M-5Y</v>
      </c>
      <c r="L98" s="103" t="e">
        <f t="shared" si="5"/>
        <v>#N/A</v>
      </c>
      <c r="N98" s="87"/>
      <c r="IW98" s="18"/>
      <c r="IX98" s="18"/>
    </row>
    <row r="99" spans="2:258" ht="13.2" customHeight="1" x14ac:dyDescent="0.25">
      <c r="B99" s="41" t="s">
        <v>292</v>
      </c>
      <c r="C99" s="98" t="e">
        <f>([1]!OBGET([1]!OBCALL("",$B$24,"getValue",E99))-C$27)/C$16</f>
        <v>#N/A</v>
      </c>
      <c r="D99" s="18" t="e">
        <f>[1]!OBCALL("calibratedCurves-"&amp;B99,$C$9,"getCloneShifted",[1]!OBMAKE("","String",B99),[1]!OBMAKE("","double",$C$16))</f>
        <v>#N/A</v>
      </c>
      <c r="E99" s="18" t="e">
        <f>[1]!OBCALL("calibratedModel-"&amp;ROW(),D99,"getModel")</f>
        <v>#N/A</v>
      </c>
      <c r="G99" s="98"/>
      <c r="H99" s="18" t="e">
        <f>[1]!OBCALL("calibrationProduct-"&amp;ROW(),C$9,"getCalibrationProductForSymbol",[1]!OBMAKE("","String",B99))</f>
        <v>#N/A</v>
      </c>
      <c r="I99" s="102" t="e">
        <f>([1]!OBGET([1]!OBCALL("",$H99,"getValue",E99))-[1]!OBGET([1]!OBCALL("",$H99,"getValue",E$27)))/$C$16</f>
        <v>#N/A</v>
      </c>
      <c r="K99" s="103" t="str">
        <f t="shared" si="4"/>
        <v>forward-EUR-6M-6Y</v>
      </c>
      <c r="L99" s="103" t="e">
        <f t="shared" si="5"/>
        <v>#N/A</v>
      </c>
      <c r="N99" s="87"/>
      <c r="IW99" s="18"/>
      <c r="IX99" s="18"/>
    </row>
    <row r="100" spans="2:258" ht="13.2" customHeight="1" x14ac:dyDescent="0.25">
      <c r="B100" s="41" t="s">
        <v>293</v>
      </c>
      <c r="C100" s="98" t="e">
        <f>([1]!OBGET([1]!OBCALL("",$B$24,"getValue",E100))-C$27)/C$16</f>
        <v>#N/A</v>
      </c>
      <c r="D100" s="18" t="e">
        <f>[1]!OBCALL("calibratedCurves-"&amp;B100,$C$9,"getCloneShifted",[1]!OBMAKE("","String",B100),[1]!OBMAKE("","double",$C$16))</f>
        <v>#N/A</v>
      </c>
      <c r="E100" s="18" t="e">
        <f>[1]!OBCALL("calibratedModel-"&amp;ROW(),D100,"getModel")</f>
        <v>#N/A</v>
      </c>
      <c r="G100" s="98"/>
      <c r="H100" s="18" t="e">
        <f>[1]!OBCALL("calibrationProduct-"&amp;ROW(),C$9,"getCalibrationProductForSymbol",[1]!OBMAKE("","String",B100))</f>
        <v>#N/A</v>
      </c>
      <c r="I100" s="102" t="e">
        <f>([1]!OBGET([1]!OBCALL("",$H100,"getValue",E100))-[1]!OBGET([1]!OBCALL("",$H100,"getValue",E$27)))/$C$16</f>
        <v>#N/A</v>
      </c>
      <c r="K100" s="103" t="str">
        <f t="shared" si="4"/>
        <v>forward-EUR-6M-7Y</v>
      </c>
      <c r="L100" s="103" t="e">
        <f t="shared" si="5"/>
        <v>#N/A</v>
      </c>
      <c r="N100" s="87"/>
      <c r="IW100" s="18"/>
      <c r="IX100" s="18"/>
    </row>
    <row r="101" spans="2:258" ht="13.2" customHeight="1" x14ac:dyDescent="0.25">
      <c r="B101" s="41" t="s">
        <v>294</v>
      </c>
      <c r="C101" s="98" t="e">
        <f>([1]!OBGET([1]!OBCALL("",$B$24,"getValue",E101))-C$27)/C$16</f>
        <v>#N/A</v>
      </c>
      <c r="D101" s="18" t="e">
        <f>[1]!OBCALL("calibratedCurves-"&amp;B101,$C$9,"getCloneShifted",[1]!OBMAKE("","String",B101),[1]!OBMAKE("","double",$C$16))</f>
        <v>#N/A</v>
      </c>
      <c r="E101" s="18" t="e">
        <f>[1]!OBCALL("calibratedModel-"&amp;ROW(),D101,"getModel")</f>
        <v>#N/A</v>
      </c>
      <c r="G101" s="98"/>
      <c r="H101" s="18" t="e">
        <f>[1]!OBCALL("calibrationProduct-"&amp;ROW(),C$9,"getCalibrationProductForSymbol",[1]!OBMAKE("","String",B101))</f>
        <v>#N/A</v>
      </c>
      <c r="I101" s="102" t="e">
        <f>([1]!OBGET([1]!OBCALL("",$H101,"getValue",E101))-[1]!OBGET([1]!OBCALL("",$H101,"getValue",E$27)))/$C$16</f>
        <v>#N/A</v>
      </c>
      <c r="K101" s="103" t="str">
        <f t="shared" si="4"/>
        <v>forward-EUR-6M-8Y</v>
      </c>
      <c r="L101" s="103" t="e">
        <f t="shared" si="5"/>
        <v>#N/A</v>
      </c>
      <c r="N101" s="87"/>
      <c r="IW101" s="18"/>
      <c r="IX101" s="18"/>
    </row>
    <row r="102" spans="2:258" ht="13.2" customHeight="1" x14ac:dyDescent="0.25">
      <c r="B102" s="41" t="s">
        <v>295</v>
      </c>
      <c r="C102" s="98" t="e">
        <f>([1]!OBGET([1]!OBCALL("",$B$24,"getValue",E102))-C$27)/C$16</f>
        <v>#N/A</v>
      </c>
      <c r="D102" s="18" t="e">
        <f>[1]!OBCALL("calibratedCurves-"&amp;B102,$C$9,"getCloneShifted",[1]!OBMAKE("","String",B102),[1]!OBMAKE("","double",$C$16))</f>
        <v>#N/A</v>
      </c>
      <c r="E102" s="18" t="e">
        <f>[1]!OBCALL("calibratedModel-"&amp;ROW(),D102,"getModel")</f>
        <v>#N/A</v>
      </c>
      <c r="G102" s="98"/>
      <c r="H102" s="18" t="e">
        <f>[1]!OBCALL("calibrationProduct-"&amp;ROW(),C$9,"getCalibrationProductForSymbol",[1]!OBMAKE("","String",B102))</f>
        <v>#N/A</v>
      </c>
      <c r="I102" s="102" t="e">
        <f>([1]!OBGET([1]!OBCALL("",$H102,"getValue",E102))-[1]!OBGET([1]!OBCALL("",$H102,"getValue",E$27)))/$C$16</f>
        <v>#N/A</v>
      </c>
      <c r="K102" s="103" t="str">
        <f t="shared" si="4"/>
        <v>forward-EUR-6M-9Y</v>
      </c>
      <c r="L102" s="103" t="e">
        <f t="shared" si="5"/>
        <v>#N/A</v>
      </c>
      <c r="N102" s="87"/>
      <c r="IW102" s="18"/>
      <c r="IX102" s="18"/>
    </row>
    <row r="103" spans="2:258" ht="13.2" customHeight="1" x14ac:dyDescent="0.25">
      <c r="B103" s="41" t="s">
        <v>296</v>
      </c>
      <c r="C103" s="98" t="e">
        <f>([1]!OBGET([1]!OBCALL("",$B$24,"getValue",E103))-C$27)/C$16</f>
        <v>#N/A</v>
      </c>
      <c r="D103" s="18" t="e">
        <f>[1]!OBCALL("calibratedCurves-"&amp;B103,$C$9,"getCloneShifted",[1]!OBMAKE("","String",B103),[1]!OBMAKE("","double",$C$16))</f>
        <v>#N/A</v>
      </c>
      <c r="E103" s="18" t="e">
        <f>[1]!OBCALL("calibratedModel-"&amp;ROW(),D103,"getModel")</f>
        <v>#N/A</v>
      </c>
      <c r="G103" s="98"/>
      <c r="H103" s="18" t="e">
        <f>[1]!OBCALL("calibrationProduct-"&amp;ROW(),C$9,"getCalibrationProductForSymbol",[1]!OBMAKE("","String",B103))</f>
        <v>#N/A</v>
      </c>
      <c r="I103" s="102" t="e">
        <f>([1]!OBGET([1]!OBCALL("",$H103,"getValue",E103))-[1]!OBGET([1]!OBCALL("",$H103,"getValue",E$27)))/$C$16</f>
        <v>#N/A</v>
      </c>
      <c r="K103" s="103" t="str">
        <f t="shared" si="4"/>
        <v>forward-EUR-6M-10Y</v>
      </c>
      <c r="L103" s="103" t="e">
        <f t="shared" si="5"/>
        <v>#N/A</v>
      </c>
      <c r="N103" s="87"/>
      <c r="IW103" s="18"/>
      <c r="IX103" s="18"/>
    </row>
    <row r="104" spans="2:258" ht="13.2" customHeight="1" x14ac:dyDescent="0.25">
      <c r="B104" s="41" t="s">
        <v>297</v>
      </c>
      <c r="C104" s="98" t="e">
        <f>([1]!OBGET([1]!OBCALL("",$B$24,"getValue",E104))-C$27)/C$16</f>
        <v>#N/A</v>
      </c>
      <c r="D104" s="18" t="e">
        <f>[1]!OBCALL("calibratedCurves-"&amp;B104,$C$9,"getCloneShifted",[1]!OBMAKE("","String",B104),[1]!OBMAKE("","double",$C$16))</f>
        <v>#N/A</v>
      </c>
      <c r="E104" s="18" t="e">
        <f>[1]!OBCALL("calibratedModel-"&amp;ROW(),D104,"getModel")</f>
        <v>#N/A</v>
      </c>
      <c r="G104" s="98"/>
      <c r="H104" s="18" t="e">
        <f>[1]!OBCALL("calibrationProduct-"&amp;ROW(),C$9,"getCalibrationProductForSymbol",[1]!OBMAKE("","String",B104))</f>
        <v>#N/A</v>
      </c>
      <c r="I104" s="102" t="e">
        <f>([1]!OBGET([1]!OBCALL("",$H104,"getValue",E104))-[1]!OBGET([1]!OBCALL("",$H104,"getValue",E$27)))/$C$16</f>
        <v>#N/A</v>
      </c>
      <c r="K104" s="103" t="str">
        <f t="shared" si="4"/>
        <v>forward-EUR-6M-12Y</v>
      </c>
      <c r="L104" s="103" t="e">
        <f t="shared" si="5"/>
        <v>#N/A</v>
      </c>
      <c r="N104" s="87"/>
      <c r="IW104" s="18"/>
      <c r="IX104" s="18"/>
    </row>
    <row r="105" spans="2:258" ht="13.2" customHeight="1" x14ac:dyDescent="0.25">
      <c r="B105" s="41" t="s">
        <v>298</v>
      </c>
      <c r="C105" s="98" t="e">
        <f>([1]!OBGET([1]!OBCALL("",$B$24,"getValue",E105))-C$27)/C$16</f>
        <v>#N/A</v>
      </c>
      <c r="D105" s="18" t="e">
        <f>[1]!OBCALL("calibratedCurves-"&amp;B105,$C$9,"getCloneShifted",[1]!OBMAKE("","String",B105),[1]!OBMAKE("","double",$C$16))</f>
        <v>#N/A</v>
      </c>
      <c r="E105" s="18" t="e">
        <f>[1]!OBCALL("calibratedModel-"&amp;ROW(),D105,"getModel")</f>
        <v>#N/A</v>
      </c>
      <c r="G105" s="98"/>
      <c r="H105" s="18" t="e">
        <f>[1]!OBCALL("calibrationProduct-"&amp;ROW(),C$9,"getCalibrationProductForSymbol",[1]!OBMAKE("","String",B105))</f>
        <v>#N/A</v>
      </c>
      <c r="I105" s="102" t="e">
        <f>([1]!OBGET([1]!OBCALL("",$H105,"getValue",E105))-[1]!OBGET([1]!OBCALL("",$H105,"getValue",E$27)))/$C$16</f>
        <v>#N/A</v>
      </c>
      <c r="K105" s="103" t="str">
        <f t="shared" si="4"/>
        <v>forward-EUR-6M-15Y</v>
      </c>
      <c r="L105" s="103" t="e">
        <f t="shared" si="5"/>
        <v>#N/A</v>
      </c>
      <c r="N105" s="87"/>
      <c r="IW105" s="18"/>
      <c r="IX105" s="18"/>
    </row>
    <row r="106" spans="2:258" ht="13.2" customHeight="1" x14ac:dyDescent="0.25">
      <c r="B106" s="41" t="s">
        <v>299</v>
      </c>
      <c r="C106" s="98" t="e">
        <f>([1]!OBGET([1]!OBCALL("",$B$24,"getValue",E106))-C$27)/C$16</f>
        <v>#N/A</v>
      </c>
      <c r="D106" s="18" t="e">
        <f>[1]!OBCALL("calibratedCurves-"&amp;B106,$C$9,"getCloneShifted",[1]!OBMAKE("","String",B106),[1]!OBMAKE("","double",$C$16))</f>
        <v>#N/A</v>
      </c>
      <c r="E106" s="18" t="e">
        <f>[1]!OBCALL("calibratedModel-"&amp;ROW(),D106,"getModel")</f>
        <v>#N/A</v>
      </c>
      <c r="G106" s="98"/>
      <c r="H106" s="18" t="e">
        <f>[1]!OBCALL("calibrationProduct-"&amp;ROW(),C$9,"getCalibrationProductForSymbol",[1]!OBMAKE("","String",B106))</f>
        <v>#N/A</v>
      </c>
      <c r="I106" s="102" t="e">
        <f>([1]!OBGET([1]!OBCALL("",$H106,"getValue",E106))-[1]!OBGET([1]!OBCALL("",$H106,"getValue",E$27)))/$C$16</f>
        <v>#N/A</v>
      </c>
      <c r="K106" s="103" t="str">
        <f t="shared" si="4"/>
        <v>forward-EUR-6M-20Y</v>
      </c>
      <c r="L106" s="103" t="e">
        <f t="shared" si="5"/>
        <v>#N/A</v>
      </c>
      <c r="N106" s="87"/>
      <c r="IW106" s="18"/>
      <c r="IX106" s="18"/>
    </row>
    <row r="107" spans="2:258" ht="13.2" customHeight="1" x14ac:dyDescent="0.25">
      <c r="B107" s="41" t="s">
        <v>300</v>
      </c>
      <c r="C107" s="98" t="e">
        <f>([1]!OBGET([1]!OBCALL("",$B$24,"getValue",E107))-C$27)/C$16</f>
        <v>#N/A</v>
      </c>
      <c r="D107" s="18" t="e">
        <f>[1]!OBCALL("calibratedCurves-"&amp;B107,$C$9,"getCloneShifted",[1]!OBMAKE("","String",B107),[1]!OBMAKE("","double",$C$16))</f>
        <v>#N/A</v>
      </c>
      <c r="E107" s="18" t="e">
        <f>[1]!OBCALL("calibratedModel-"&amp;ROW(),D107,"getModel")</f>
        <v>#N/A</v>
      </c>
      <c r="G107" s="98"/>
      <c r="H107" s="18" t="e">
        <f>[1]!OBCALL("calibrationProduct-"&amp;ROW(),C$9,"getCalibrationProductForSymbol",[1]!OBMAKE("","String",B107))</f>
        <v>#N/A</v>
      </c>
      <c r="I107" s="102" t="e">
        <f>([1]!OBGET([1]!OBCALL("",$H107,"getValue",E107))-[1]!OBGET([1]!OBCALL("",$H107,"getValue",E$27)))/$C$16</f>
        <v>#N/A</v>
      </c>
      <c r="K107" s="103" t="str">
        <f t="shared" si="4"/>
        <v>forward-EUR-6M-25Y</v>
      </c>
      <c r="L107" s="103" t="e">
        <f t="shared" si="5"/>
        <v>#N/A</v>
      </c>
      <c r="N107" s="87"/>
      <c r="IW107" s="18"/>
      <c r="IX107" s="18"/>
    </row>
    <row r="108" spans="2:258" ht="13.2" customHeight="1" x14ac:dyDescent="0.25">
      <c r="B108" s="41" t="s">
        <v>301</v>
      </c>
      <c r="C108" s="98" t="e">
        <f>([1]!OBGET([1]!OBCALL("",$B$24,"getValue",E108))-C$27)/C$16</f>
        <v>#N/A</v>
      </c>
      <c r="D108" s="18" t="e">
        <f>[1]!OBCALL("calibratedCurves-"&amp;B108,$C$9,"getCloneShifted",[1]!OBMAKE("","String",B108),[1]!OBMAKE("","double",$C$16))</f>
        <v>#N/A</v>
      </c>
      <c r="E108" s="18" t="e">
        <f>[1]!OBCALL("calibratedModel-"&amp;ROW(),D108,"getModel")</f>
        <v>#N/A</v>
      </c>
      <c r="G108" s="98"/>
      <c r="H108" s="18" t="e">
        <f>[1]!OBCALL("calibrationProduct-"&amp;ROW(),C$9,"getCalibrationProductForSymbol",[1]!OBMAKE("","String",B108))</f>
        <v>#N/A</v>
      </c>
      <c r="I108" s="102" t="e">
        <f>([1]!OBGET([1]!OBCALL("",$H108,"getValue",E108))-[1]!OBGET([1]!OBCALL("",$H108,"getValue",E$27)))/$C$16</f>
        <v>#N/A</v>
      </c>
      <c r="K108" s="103" t="str">
        <f t="shared" si="4"/>
        <v>forward-EUR-6M-30Y</v>
      </c>
      <c r="L108" s="103" t="e">
        <f t="shared" si="5"/>
        <v>#N/A</v>
      </c>
      <c r="N108" s="87"/>
      <c r="IW108" s="18"/>
      <c r="IX108" s="18"/>
    </row>
    <row r="109" spans="2:258" ht="13.2" customHeight="1" x14ac:dyDescent="0.25">
      <c r="B109" s="41" t="s">
        <v>302</v>
      </c>
      <c r="C109" s="98" t="e">
        <f>([1]!OBGET([1]!OBCALL("",$B$24,"getValue",E109))-C$27)/C$16</f>
        <v>#N/A</v>
      </c>
      <c r="D109" s="18" t="e">
        <f>[1]!OBCALL("calibratedCurves-"&amp;B109,$C$9,"getCloneShifted",[1]!OBMAKE("","String",B109),[1]!OBMAKE("","double",$C$16))</f>
        <v>#N/A</v>
      </c>
      <c r="E109" s="18" t="e">
        <f>[1]!OBCALL("calibratedModel-"&amp;ROW(),D109,"getModel")</f>
        <v>#N/A</v>
      </c>
      <c r="G109" s="98"/>
      <c r="H109" s="18" t="e">
        <f>[1]!OBCALL("calibrationProduct-"&amp;ROW(),C$9,"getCalibrationProductForSymbol",[1]!OBMAKE("","String",B109))</f>
        <v>#N/A</v>
      </c>
      <c r="I109" s="102" t="e">
        <f>([1]!OBGET([1]!OBCALL("",$H109,"getValue",E109))-[1]!OBGET([1]!OBCALL("",$H109,"getValue",E$27)))/$C$16</f>
        <v>#N/A</v>
      </c>
      <c r="K109" s="103" t="str">
        <f t="shared" si="4"/>
        <v>forward-EUR-6M-40Y</v>
      </c>
      <c r="L109" s="103" t="e">
        <f t="shared" si="5"/>
        <v>#N/A</v>
      </c>
      <c r="N109" s="87"/>
      <c r="IW109" s="18"/>
      <c r="IX109" s="18"/>
    </row>
    <row r="110" spans="2:258" ht="13.2" customHeight="1" x14ac:dyDescent="0.25">
      <c r="B110" s="41" t="s">
        <v>303</v>
      </c>
      <c r="C110" s="98" t="e">
        <f>([1]!OBGET([1]!OBCALL("",$B$24,"getValue",E110))-C$27)/C$16</f>
        <v>#N/A</v>
      </c>
      <c r="D110" s="18" t="e">
        <f>[1]!OBCALL("calibratedCurves-"&amp;B110,$C$9,"getCloneShifted",[1]!OBMAKE("","String",B110),[1]!OBMAKE("","double",$C$16))</f>
        <v>#N/A</v>
      </c>
      <c r="E110" s="18" t="e">
        <f>[1]!OBCALL("calibratedModel-"&amp;ROW(),D110,"getModel")</f>
        <v>#N/A</v>
      </c>
      <c r="G110" s="98"/>
      <c r="H110" s="18" t="e">
        <f>[1]!OBCALL("calibrationProduct-"&amp;ROW(),C$9,"getCalibrationProductForSymbol",[1]!OBMAKE("","String",B110))</f>
        <v>#N/A</v>
      </c>
      <c r="I110" s="102" t="e">
        <f>([1]!OBGET([1]!OBCALL("",$H110,"getValue",E110))-[1]!OBGET([1]!OBCALL("",$H110,"getValue",E$27)))/$C$16</f>
        <v>#N/A</v>
      </c>
      <c r="K110" s="103" t="str">
        <f t="shared" si="4"/>
        <v>forward-EUR-6M-50Y</v>
      </c>
      <c r="L110" s="103" t="e">
        <f t="shared" si="5"/>
        <v>#N/A</v>
      </c>
      <c r="N110" s="87"/>
      <c r="IW110" s="18"/>
      <c r="IX110" s="18"/>
    </row>
    <row r="111" spans="2:258" ht="13.2" customHeight="1" x14ac:dyDescent="0.25">
      <c r="B111" s="41" t="s">
        <v>304</v>
      </c>
      <c r="C111" s="98" t="e">
        <f>([1]!OBGET([1]!OBCALL("",$B$24,"getValue",E111))-C$27)/C$16</f>
        <v>#N/A</v>
      </c>
      <c r="D111" s="18" t="e">
        <f>[1]!OBCALL("calibratedCurves-"&amp;B111,$C$9,"getCloneShifted",[1]!OBMAKE("","String",B111),[1]!OBMAKE("","double",$C$16))</f>
        <v>#N/A</v>
      </c>
      <c r="E111" s="18" t="e">
        <f>[1]!OBCALL("calibratedModel-"&amp;ROW(),D111,"getModel")</f>
        <v>#N/A</v>
      </c>
      <c r="G111" s="98"/>
      <c r="H111" s="18" t="e">
        <f>[1]!OBCALL("calibrationProduct-"&amp;ROW(),C$9,"getCalibrationProductForSymbol",[1]!OBMAKE("","String",B111))</f>
        <v>#N/A</v>
      </c>
      <c r="I111" s="102" t="e">
        <f>([1]!OBGET([1]!OBCALL("",$H111,"getValue",E111))-[1]!OBGET([1]!OBCALL("",$H111,"getValue",E$27)))/$C$16</f>
        <v>#N/A</v>
      </c>
      <c r="K111" s="103" t="str">
        <f t="shared" si="4"/>
        <v>discount-USD-OIS-1Y</v>
      </c>
      <c r="L111" s="103" t="e">
        <f t="shared" si="5"/>
        <v>#N/A</v>
      </c>
      <c r="N111" s="87"/>
      <c r="IW111" s="18"/>
      <c r="IX111" s="18"/>
    </row>
    <row r="112" spans="2:258" ht="13.2" customHeight="1" x14ac:dyDescent="0.25">
      <c r="B112" s="41" t="s">
        <v>305</v>
      </c>
      <c r="C112" s="98" t="e">
        <f>([1]!OBGET([1]!OBCALL("",$B$24,"getValue",E112))-C$27)/C$16</f>
        <v>#N/A</v>
      </c>
      <c r="D112" s="18" t="e">
        <f>[1]!OBCALL("calibratedCurves-"&amp;B112,$C$9,"getCloneShifted",[1]!OBMAKE("","String",B112),[1]!OBMAKE("","double",$C$16))</f>
        <v>#N/A</v>
      </c>
      <c r="E112" s="18" t="e">
        <f>[1]!OBCALL("calibratedModel-"&amp;ROW(),D112,"getModel")</f>
        <v>#N/A</v>
      </c>
      <c r="G112" s="98"/>
      <c r="H112" s="18" t="e">
        <f>[1]!OBCALL("calibrationProduct-"&amp;ROW(),C$9,"getCalibrationProductForSymbol",[1]!OBMAKE("","String",B112))</f>
        <v>#N/A</v>
      </c>
      <c r="I112" s="102" t="e">
        <f>([1]!OBGET([1]!OBCALL("",$H112,"getValue",E112))-[1]!OBGET([1]!OBCALL("",$H112,"getValue",E$27)))/$C$16</f>
        <v>#N/A</v>
      </c>
      <c r="K112" s="103" t="str">
        <f t="shared" si="4"/>
        <v>discount-USD-OIS-2Y</v>
      </c>
      <c r="L112" s="103" t="e">
        <f t="shared" si="5"/>
        <v>#N/A</v>
      </c>
      <c r="N112" s="87"/>
      <c r="IW112" s="18"/>
      <c r="IX112" s="18"/>
    </row>
    <row r="113" spans="2:258" ht="13.2" customHeight="1" x14ac:dyDescent="0.25">
      <c r="B113" s="41" t="s">
        <v>306</v>
      </c>
      <c r="C113" s="98" t="e">
        <f>([1]!OBGET([1]!OBCALL("",$B$24,"getValue",E113))-C$27)/C$16</f>
        <v>#N/A</v>
      </c>
      <c r="D113" s="18" t="e">
        <f>[1]!OBCALL("calibratedCurves-"&amp;B113,$C$9,"getCloneShifted",[1]!OBMAKE("","String",B113),[1]!OBMAKE("","double",$C$16))</f>
        <v>#N/A</v>
      </c>
      <c r="E113" s="18" t="e">
        <f>[1]!OBCALL("calibratedModel-"&amp;ROW(),D113,"getModel")</f>
        <v>#N/A</v>
      </c>
      <c r="G113" s="98"/>
      <c r="H113" s="18" t="e">
        <f>[1]!OBCALL("calibrationProduct-"&amp;ROW(),C$9,"getCalibrationProductForSymbol",[1]!OBMAKE("","String",B113))</f>
        <v>#N/A</v>
      </c>
      <c r="I113" s="102" t="e">
        <f>([1]!OBGET([1]!OBCALL("",$H113,"getValue",E113))-[1]!OBGET([1]!OBCALL("",$H113,"getValue",E$27)))/$C$16</f>
        <v>#N/A</v>
      </c>
      <c r="K113" s="103" t="str">
        <f t="shared" si="4"/>
        <v>discount-USD-OIS-3Y</v>
      </c>
      <c r="L113" s="103" t="e">
        <f t="shared" si="5"/>
        <v>#N/A</v>
      </c>
      <c r="N113" s="87"/>
      <c r="IW113" s="18"/>
      <c r="IX113" s="18"/>
    </row>
    <row r="114" spans="2:258" ht="13.2" customHeight="1" x14ac:dyDescent="0.25">
      <c r="B114" s="41" t="s">
        <v>307</v>
      </c>
      <c r="C114" s="98" t="e">
        <f>([1]!OBGET([1]!OBCALL("",$B$24,"getValue",E114))-C$27)/C$16</f>
        <v>#N/A</v>
      </c>
      <c r="D114" s="18" t="e">
        <f>[1]!OBCALL("calibratedCurves-"&amp;B114,$C$9,"getCloneShifted",[1]!OBMAKE("","String",B114),[1]!OBMAKE("","double",$C$16))</f>
        <v>#N/A</v>
      </c>
      <c r="E114" s="18" t="e">
        <f>[1]!OBCALL("calibratedModel-"&amp;ROW(),D114,"getModel")</f>
        <v>#N/A</v>
      </c>
      <c r="G114" s="98"/>
      <c r="H114" s="18" t="e">
        <f>[1]!OBCALL("calibrationProduct-"&amp;ROW(),C$9,"getCalibrationProductForSymbol",[1]!OBMAKE("","String",B114))</f>
        <v>#N/A</v>
      </c>
      <c r="I114" s="102" t="e">
        <f>([1]!OBGET([1]!OBCALL("",$H114,"getValue",E114))-[1]!OBGET([1]!OBCALL("",$H114,"getValue",E$27)))/$C$16</f>
        <v>#N/A</v>
      </c>
      <c r="K114" s="103" t="str">
        <f t="shared" si="4"/>
        <v>discount-USD-OIS-4Y</v>
      </c>
      <c r="L114" s="103" t="e">
        <f t="shared" si="5"/>
        <v>#N/A</v>
      </c>
      <c r="N114" s="87"/>
      <c r="IW114" s="18"/>
      <c r="IX114" s="18"/>
    </row>
    <row r="115" spans="2:258" ht="13.2" customHeight="1" x14ac:dyDescent="0.25">
      <c r="B115" s="41" t="s">
        <v>308</v>
      </c>
      <c r="C115" s="98" t="e">
        <f>([1]!OBGET([1]!OBCALL("",$B$24,"getValue",E115))-C$27)/C$16</f>
        <v>#N/A</v>
      </c>
      <c r="D115" s="18" t="e">
        <f>[1]!OBCALL("calibratedCurves-"&amp;B115,$C$9,"getCloneShifted",[1]!OBMAKE("","String",B115),[1]!OBMAKE("","double",$C$16))</f>
        <v>#N/A</v>
      </c>
      <c r="E115" s="18" t="e">
        <f>[1]!OBCALL("calibratedModel-"&amp;ROW(),D115,"getModel")</f>
        <v>#N/A</v>
      </c>
      <c r="G115" s="98"/>
      <c r="H115" s="18" t="e">
        <f>[1]!OBCALL("calibrationProduct-"&amp;ROW(),C$9,"getCalibrationProductForSymbol",[1]!OBMAKE("","String",B115))</f>
        <v>#N/A</v>
      </c>
      <c r="I115" s="102" t="e">
        <f>([1]!OBGET([1]!OBCALL("",$H115,"getValue",E115))-[1]!OBGET([1]!OBCALL("",$H115,"getValue",E$27)))/$C$16</f>
        <v>#N/A</v>
      </c>
      <c r="K115" s="103" t="str">
        <f t="shared" si="4"/>
        <v>discount-USD-OIS-5Y</v>
      </c>
      <c r="L115" s="103" t="e">
        <f t="shared" si="5"/>
        <v>#N/A</v>
      </c>
      <c r="N115" s="87"/>
      <c r="IW115" s="18"/>
      <c r="IX115" s="18"/>
    </row>
    <row r="116" spans="2:258" ht="13.2" customHeight="1" x14ac:dyDescent="0.25">
      <c r="B116" s="41" t="s">
        <v>309</v>
      </c>
      <c r="C116" s="98" t="e">
        <f>([1]!OBGET([1]!OBCALL("",$B$24,"getValue",E116))-C$27)/C$16</f>
        <v>#N/A</v>
      </c>
      <c r="D116" s="18" t="e">
        <f>[1]!OBCALL("calibratedCurves-"&amp;B116,$C$9,"getCloneShifted",[1]!OBMAKE("","String",B116),[1]!OBMAKE("","double",$C$16))</f>
        <v>#N/A</v>
      </c>
      <c r="E116" s="18" t="e">
        <f>[1]!OBCALL("calibratedModel-"&amp;ROW(),D116,"getModel")</f>
        <v>#N/A</v>
      </c>
      <c r="G116" s="98"/>
      <c r="H116" s="18" t="e">
        <f>[1]!OBCALL("calibrationProduct-"&amp;ROW(),C$9,"getCalibrationProductForSymbol",[1]!OBMAKE("","String",B116))</f>
        <v>#N/A</v>
      </c>
      <c r="I116" s="102" t="e">
        <f>([1]!OBGET([1]!OBCALL("",$H116,"getValue",E116))-[1]!OBGET([1]!OBCALL("",$H116,"getValue",E$27)))/$C$16</f>
        <v>#N/A</v>
      </c>
      <c r="K116" s="103" t="str">
        <f t="shared" si="4"/>
        <v>discount-USD-OIS-7Y</v>
      </c>
      <c r="L116" s="103" t="e">
        <f t="shared" si="5"/>
        <v>#N/A</v>
      </c>
      <c r="N116" s="87"/>
      <c r="IW116" s="18"/>
      <c r="IX116" s="18"/>
    </row>
    <row r="117" spans="2:258" ht="13.2" customHeight="1" x14ac:dyDescent="0.25">
      <c r="B117" s="41" t="s">
        <v>310</v>
      </c>
      <c r="C117" s="98" t="e">
        <f>([1]!OBGET([1]!OBCALL("",$B$24,"getValue",E117))-C$27)/C$16</f>
        <v>#N/A</v>
      </c>
      <c r="D117" s="18" t="e">
        <f>[1]!OBCALL("calibratedCurves-"&amp;B117,$C$9,"getCloneShifted",[1]!OBMAKE("","String",B117),[1]!OBMAKE("","double",$C$16))</f>
        <v>#N/A</v>
      </c>
      <c r="E117" s="18" t="e">
        <f>[1]!OBCALL("calibratedModel-"&amp;ROW(),D117,"getModel")</f>
        <v>#N/A</v>
      </c>
      <c r="G117" s="98"/>
      <c r="H117" s="18" t="e">
        <f>[1]!OBCALL("calibrationProduct-"&amp;ROW(),C$9,"getCalibrationProductForSymbol",[1]!OBMAKE("","String",B117))</f>
        <v>#N/A</v>
      </c>
      <c r="I117" s="102" t="e">
        <f>([1]!OBGET([1]!OBCALL("",$H117,"getValue",E117))-[1]!OBGET([1]!OBCALL("",$H117,"getValue",E$27)))/$C$16</f>
        <v>#N/A</v>
      </c>
      <c r="K117" s="103" t="str">
        <f t="shared" si="4"/>
        <v>discount-USD-OIS-8Y</v>
      </c>
      <c r="L117" s="103" t="e">
        <f t="shared" si="5"/>
        <v>#N/A</v>
      </c>
      <c r="N117" s="87"/>
      <c r="IW117" s="18"/>
      <c r="IX117" s="18"/>
    </row>
    <row r="118" spans="2:258" ht="13.2" customHeight="1" x14ac:dyDescent="0.25">
      <c r="B118" s="41" t="s">
        <v>311</v>
      </c>
      <c r="C118" s="98" t="e">
        <f>([1]!OBGET([1]!OBCALL("",$B$24,"getValue",E118))-C$27)/C$16</f>
        <v>#N/A</v>
      </c>
      <c r="D118" s="18" t="e">
        <f>[1]!OBCALL("calibratedCurves-"&amp;B118,$C$9,"getCloneShifted",[1]!OBMAKE("","String",B118),[1]!OBMAKE("","double",$C$16))</f>
        <v>#N/A</v>
      </c>
      <c r="E118" s="18" t="e">
        <f>[1]!OBCALL("calibratedModel-"&amp;ROW(),D118,"getModel")</f>
        <v>#N/A</v>
      </c>
      <c r="G118" s="98"/>
      <c r="H118" s="18" t="e">
        <f>[1]!OBCALL("calibrationProduct-"&amp;ROW(),C$9,"getCalibrationProductForSymbol",[1]!OBMAKE("","String",B118))</f>
        <v>#N/A</v>
      </c>
      <c r="I118" s="102" t="e">
        <f>([1]!OBGET([1]!OBCALL("",$H118,"getValue",E118))-[1]!OBGET([1]!OBCALL("",$H118,"getValue",E$27)))/$C$16</f>
        <v>#N/A</v>
      </c>
      <c r="K118" s="103" t="str">
        <f t="shared" si="4"/>
        <v>discount-USD-OIS-9Y</v>
      </c>
      <c r="L118" s="103" t="e">
        <f t="shared" si="5"/>
        <v>#N/A</v>
      </c>
      <c r="N118" s="87"/>
      <c r="IW118" s="18"/>
      <c r="IX118" s="18"/>
    </row>
    <row r="119" spans="2:258" ht="13.2" customHeight="1" x14ac:dyDescent="0.25">
      <c r="B119" s="41" t="s">
        <v>187</v>
      </c>
      <c r="C119" s="98" t="e">
        <f>([1]!OBGET([1]!OBCALL("",$B$24,"getValue",E119))-C$27)/C$16</f>
        <v>#N/A</v>
      </c>
      <c r="D119" s="18" t="e">
        <f>[1]!OBCALL("calibratedCurves-"&amp;B119,$C$9,"getCloneShifted",[1]!OBMAKE("","String",B119),[1]!OBMAKE("","double",$C$16))</f>
        <v>#N/A</v>
      </c>
      <c r="E119" s="18" t="e">
        <f>[1]!OBCALL("calibratedModel-"&amp;ROW(),D119,"getModel")</f>
        <v>#N/A</v>
      </c>
      <c r="G119" s="98"/>
      <c r="H119" s="18" t="e">
        <f>[1]!OBCALL("calibrationProduct-"&amp;ROW(),C$9,"getCalibrationProductForSymbol",[1]!OBMAKE("","String",B119))</f>
        <v>#N/A</v>
      </c>
      <c r="I119" s="102" t="e">
        <f>([1]!OBGET([1]!OBCALL("",$H119,"getValue",E119))-[1]!OBGET([1]!OBCALL("",$H119,"getValue",E$27)))/$C$16</f>
        <v>#N/A</v>
      </c>
      <c r="K119" s="103" t="str">
        <f t="shared" si="4"/>
        <v>discount-USD-OIS-10Y</v>
      </c>
      <c r="L119" s="103" t="e">
        <f t="shared" si="5"/>
        <v>#N/A</v>
      </c>
      <c r="N119" s="87"/>
      <c r="IW119" s="18"/>
      <c r="IX119" s="18"/>
    </row>
    <row r="120" spans="2:258" ht="13.2" customHeight="1" x14ac:dyDescent="0.25">
      <c r="B120" s="41" t="s">
        <v>312</v>
      </c>
      <c r="C120" s="98" t="e">
        <f>([1]!OBGET([1]!OBCALL("",$B$24,"getValue",E120))-C$27)/C$16</f>
        <v>#N/A</v>
      </c>
      <c r="D120" s="18" t="e">
        <f>[1]!OBCALL("calibratedCurves-"&amp;B120,$C$9,"getCloneShifted",[1]!OBMAKE("","String",B120),[1]!OBMAKE("","double",$C$16))</f>
        <v>#N/A</v>
      </c>
      <c r="E120" s="18" t="e">
        <f>[1]!OBCALL("calibratedModel-"&amp;ROW(),D120,"getModel")</f>
        <v>#N/A</v>
      </c>
      <c r="G120" s="98"/>
      <c r="H120" s="18" t="e">
        <f>[1]!OBCALL("calibrationProduct-"&amp;ROW(),C$9,"getCalibrationProductForSymbol",[1]!OBMAKE("","String",B120))</f>
        <v>#N/A</v>
      </c>
      <c r="I120" s="102" t="e">
        <f>([1]!OBGET([1]!OBCALL("",$H120,"getValue",E120))-[1]!OBGET([1]!OBCALL("",$H120,"getValue",E$27)))/$C$16</f>
        <v>#N/A</v>
      </c>
      <c r="K120" s="103" t="str">
        <f t="shared" si="4"/>
        <v>discount-USD-OIS-12Y</v>
      </c>
      <c r="L120" s="103" t="e">
        <f t="shared" si="5"/>
        <v>#N/A</v>
      </c>
      <c r="N120" s="87"/>
      <c r="IW120" s="18"/>
      <c r="IX120" s="18"/>
    </row>
    <row r="121" spans="2:258" ht="13.2" customHeight="1" x14ac:dyDescent="0.25">
      <c r="B121" s="41" t="s">
        <v>313</v>
      </c>
      <c r="C121" s="98" t="e">
        <f>([1]!OBGET([1]!OBCALL("",$B$24,"getValue",E121))-C$27)/C$16</f>
        <v>#N/A</v>
      </c>
      <c r="D121" s="18" t="e">
        <f>[1]!OBCALL("calibratedCurves-"&amp;B121,$C$9,"getCloneShifted",[1]!OBMAKE("","String",B121),[1]!OBMAKE("","double",$C$16))</f>
        <v>#N/A</v>
      </c>
      <c r="E121" s="18" t="e">
        <f>[1]!OBCALL("calibratedModel-"&amp;ROW(),D121,"getModel")</f>
        <v>#N/A</v>
      </c>
      <c r="G121" s="98"/>
      <c r="H121" s="18" t="e">
        <f>[1]!OBCALL("calibrationProduct-"&amp;ROW(),C$9,"getCalibrationProductForSymbol",[1]!OBMAKE("","String",B121))</f>
        <v>#N/A</v>
      </c>
      <c r="I121" s="102" t="e">
        <f>([1]!OBGET([1]!OBCALL("",$H121,"getValue",E121))-[1]!OBGET([1]!OBCALL("",$H121,"getValue",E$27)))/$C$16</f>
        <v>#N/A</v>
      </c>
      <c r="K121" s="103" t="str">
        <f t="shared" si="4"/>
        <v>discount-USD-OIS-15Y</v>
      </c>
      <c r="L121" s="103" t="e">
        <f t="shared" si="5"/>
        <v>#N/A</v>
      </c>
      <c r="N121" s="87"/>
      <c r="IW121" s="18"/>
      <c r="IX121" s="18"/>
    </row>
    <row r="122" spans="2:258" ht="13.2" customHeight="1" x14ac:dyDescent="0.25">
      <c r="B122" s="41" t="s">
        <v>314</v>
      </c>
      <c r="C122" s="98" t="e">
        <f>([1]!OBGET([1]!OBCALL("",$B$24,"getValue",E122))-C$27)/C$16</f>
        <v>#N/A</v>
      </c>
      <c r="D122" s="18" t="e">
        <f>[1]!OBCALL("calibratedCurves-"&amp;B122,$C$9,"getCloneShifted",[1]!OBMAKE("","String",B122),[1]!OBMAKE("","double",$C$16))</f>
        <v>#N/A</v>
      </c>
      <c r="E122" s="18" t="e">
        <f>[1]!OBCALL("calibratedModel-"&amp;ROW(),D122,"getModel")</f>
        <v>#N/A</v>
      </c>
      <c r="G122" s="98"/>
      <c r="H122" s="18" t="e">
        <f>[1]!OBCALL("calibrationProduct-"&amp;ROW(),C$9,"getCalibrationProductForSymbol",[1]!OBMAKE("","String",B122))</f>
        <v>#N/A</v>
      </c>
      <c r="I122" s="102" t="e">
        <f>([1]!OBGET([1]!OBCALL("",$H122,"getValue",E122))-[1]!OBGET([1]!OBCALL("",$H122,"getValue",E$27)))/$C$16</f>
        <v>#N/A</v>
      </c>
      <c r="K122" s="103" t="str">
        <f t="shared" si="4"/>
        <v>discount-USD-OIS-20Y</v>
      </c>
      <c r="L122" s="103" t="e">
        <f t="shared" si="5"/>
        <v>#N/A</v>
      </c>
      <c r="N122" s="87"/>
      <c r="IW122" s="18"/>
      <c r="IX122" s="18"/>
    </row>
    <row r="123" spans="2:258" ht="13.2" customHeight="1" x14ac:dyDescent="0.25">
      <c r="B123" s="41" t="s">
        <v>315</v>
      </c>
      <c r="C123" s="98" t="e">
        <f>([1]!OBGET([1]!OBCALL("",$B$24,"getValue",E123))-C$27)/C$16</f>
        <v>#N/A</v>
      </c>
      <c r="D123" s="18" t="e">
        <f>[1]!OBCALL("calibratedCurves-"&amp;B123,$C$9,"getCloneShifted",[1]!OBMAKE("","String",B123),[1]!OBMAKE("","double",$C$16))</f>
        <v>#N/A</v>
      </c>
      <c r="E123" s="18" t="e">
        <f>[1]!OBCALL("calibratedModel-"&amp;ROW(),D123,"getModel")</f>
        <v>#N/A</v>
      </c>
      <c r="G123" s="98"/>
      <c r="H123" s="18" t="e">
        <f>[1]!OBCALL("calibrationProduct-"&amp;ROW(),C$9,"getCalibrationProductForSymbol",[1]!OBMAKE("","String",B123))</f>
        <v>#N/A</v>
      </c>
      <c r="I123" s="102" t="e">
        <f>([1]!OBGET([1]!OBCALL("",$H123,"getValue",E123))-[1]!OBGET([1]!OBCALL("",$H123,"getValue",E$27)))/$C$16</f>
        <v>#N/A</v>
      </c>
      <c r="K123" s="103" t="str">
        <f t="shared" si="4"/>
        <v>discount-USD-OIS-25Y</v>
      </c>
      <c r="L123" s="103" t="e">
        <f t="shared" si="5"/>
        <v>#N/A</v>
      </c>
      <c r="N123" s="87"/>
      <c r="IW123" s="18"/>
      <c r="IX123" s="18"/>
    </row>
    <row r="124" spans="2:258" ht="13.2" customHeight="1" x14ac:dyDescent="0.25">
      <c r="B124" s="41" t="s">
        <v>316</v>
      </c>
      <c r="C124" s="98" t="e">
        <f>([1]!OBGET([1]!OBCALL("",$B$24,"getValue",E124))-C$27)/C$16</f>
        <v>#N/A</v>
      </c>
      <c r="D124" s="18" t="e">
        <f>[1]!OBCALL("calibratedCurves-"&amp;B124,$C$9,"getCloneShifted",[1]!OBMAKE("","String",B124),[1]!OBMAKE("","double",$C$16))</f>
        <v>#N/A</v>
      </c>
      <c r="E124" s="18" t="e">
        <f>[1]!OBCALL("calibratedModel-"&amp;ROW(),D124,"getModel")</f>
        <v>#N/A</v>
      </c>
      <c r="G124" s="98"/>
      <c r="H124" s="18" t="e">
        <f>[1]!OBCALL("calibrationProduct-"&amp;ROW(),C$9,"getCalibrationProductForSymbol",[1]!OBMAKE("","String",B124))</f>
        <v>#N/A</v>
      </c>
      <c r="I124" s="102" t="e">
        <f>([1]!OBGET([1]!OBCALL("",$H124,"getValue",E124))-[1]!OBGET([1]!OBCALL("",$H124,"getValue",E$27)))/$C$16</f>
        <v>#N/A</v>
      </c>
      <c r="K124" s="103" t="str">
        <f t="shared" ref="K124:K155" si="6">B124</f>
        <v>discount-USD-OIS-30Y</v>
      </c>
      <c r="L124" s="103" t="e">
        <f t="shared" ref="L124:L155" si="7">C124/I124</f>
        <v>#N/A</v>
      </c>
      <c r="N124" s="87"/>
      <c r="IW124" s="18"/>
      <c r="IX124" s="18"/>
    </row>
    <row r="125" spans="2:258" ht="13.2" customHeight="1" x14ac:dyDescent="0.25">
      <c r="B125" s="41" t="s">
        <v>317</v>
      </c>
      <c r="C125" s="98" t="e">
        <f>([1]!OBGET([1]!OBCALL("",$B$24,"getValue",E125))-C$27)/C$16</f>
        <v>#N/A</v>
      </c>
      <c r="D125" s="18" t="e">
        <f>[1]!OBCALL("calibratedCurves-"&amp;B125,$C$9,"getCloneShifted",[1]!OBMAKE("","String",B125),[1]!OBMAKE("","double",$C$16))</f>
        <v>#N/A</v>
      </c>
      <c r="E125" s="18" t="e">
        <f>[1]!OBCALL("calibratedModel-"&amp;ROW(),D125,"getModel")</f>
        <v>#N/A</v>
      </c>
      <c r="G125" s="98"/>
      <c r="H125" s="18" t="e">
        <f>[1]!OBCALL("calibrationProduct-"&amp;ROW(),C$9,"getCalibrationProductForSymbol",[1]!OBMAKE("","String",B125))</f>
        <v>#N/A</v>
      </c>
      <c r="I125" s="102" t="e">
        <f>([1]!OBGET([1]!OBCALL("",$H125,"getValue",E125))-[1]!OBGET([1]!OBCALL("",$H125,"getValue",E$27)))/$C$16</f>
        <v>#N/A</v>
      </c>
      <c r="K125" s="103" t="str">
        <f t="shared" si="6"/>
        <v>discount-USD-OIS-40Y</v>
      </c>
      <c r="L125" s="103" t="e">
        <f t="shared" si="7"/>
        <v>#N/A</v>
      </c>
      <c r="N125" s="87"/>
      <c r="IW125" s="18"/>
      <c r="IX125" s="18"/>
    </row>
    <row r="126" spans="2:258" ht="13.2" customHeight="1" x14ac:dyDescent="0.25">
      <c r="B126" s="41" t="s">
        <v>318</v>
      </c>
      <c r="C126" s="98" t="e">
        <f>([1]!OBGET([1]!OBCALL("",$B$24,"getValue",E126))-C$27)/C$16</f>
        <v>#N/A</v>
      </c>
      <c r="D126" s="18" t="e">
        <f>[1]!OBCALL("calibratedCurves-"&amp;B126,$C$9,"getCloneShifted",[1]!OBMAKE("","String",B126),[1]!OBMAKE("","double",$C$16))</f>
        <v>#N/A</v>
      </c>
      <c r="E126" s="18" t="e">
        <f>[1]!OBCALL("calibratedModel-"&amp;ROW(),D126,"getModel")</f>
        <v>#N/A</v>
      </c>
      <c r="G126" s="98"/>
      <c r="H126" s="18" t="e">
        <f>[1]!OBCALL("calibrationProduct-"&amp;ROW(),C$9,"getCalibrationProductForSymbol",[1]!OBMAKE("","String",B126))</f>
        <v>#N/A</v>
      </c>
      <c r="I126" s="102" t="e">
        <f>([1]!OBGET([1]!OBCALL("",$H126,"getValue",E126))-[1]!OBGET([1]!OBCALL("",$H126,"getValue",E$27)))/$C$16</f>
        <v>#N/A</v>
      </c>
      <c r="K126" s="103" t="str">
        <f t="shared" si="6"/>
        <v>discount-USD-OIS-50Y</v>
      </c>
      <c r="L126" s="103" t="e">
        <f t="shared" si="7"/>
        <v>#N/A</v>
      </c>
      <c r="N126" s="87"/>
      <c r="IW126" s="18"/>
      <c r="IX126" s="18"/>
    </row>
    <row r="127" spans="2:258" ht="13.2" customHeight="1" x14ac:dyDescent="0.25">
      <c r="B127" s="41" t="s">
        <v>319</v>
      </c>
      <c r="C127" s="98" t="e">
        <f>([1]!OBGET([1]!OBCALL("",$B$24,"getValue",E127))-C$27)/C$16</f>
        <v>#N/A</v>
      </c>
      <c r="D127" s="18" t="e">
        <f>[1]!OBCALL("calibratedCurves-"&amp;B127,$C$9,"getCloneShifted",[1]!OBMAKE("","String",B127),[1]!OBMAKE("","double",$C$16))</f>
        <v>#N/A</v>
      </c>
      <c r="E127" s="18" t="e">
        <f>[1]!OBCALL("calibratedModel-"&amp;ROW(),D127,"getModel")</f>
        <v>#N/A</v>
      </c>
      <c r="G127" s="98"/>
      <c r="H127" s="18" t="e">
        <f>[1]!OBCALL("calibrationProduct-"&amp;ROW(),C$9,"getCalibrationProductForSymbol",[1]!OBMAKE("","String",B127))</f>
        <v>#N/A</v>
      </c>
      <c r="I127" s="102" t="e">
        <f>([1]!OBGET([1]!OBCALL("",$H127,"getValue",E127))-[1]!OBGET([1]!OBCALL("",$H127,"getValue",E$27)))/$C$16</f>
        <v>#N/A</v>
      </c>
      <c r="K127" s="103" t="str">
        <f t="shared" si="6"/>
        <v>forward-USD-3M-1Y</v>
      </c>
      <c r="L127" s="103" t="e">
        <f t="shared" si="7"/>
        <v>#N/A</v>
      </c>
      <c r="N127" s="87"/>
      <c r="IW127" s="18"/>
      <c r="IX127" s="18"/>
    </row>
    <row r="128" spans="2:258" ht="13.2" customHeight="1" x14ac:dyDescent="0.25">
      <c r="B128" s="41" t="s">
        <v>320</v>
      </c>
      <c r="C128" s="98" t="e">
        <f>([1]!OBGET([1]!OBCALL("",$B$24,"getValue",E128))-C$27)/C$16</f>
        <v>#N/A</v>
      </c>
      <c r="D128" s="18" t="e">
        <f>[1]!OBCALL("calibratedCurves-"&amp;B128,$C$9,"getCloneShifted",[1]!OBMAKE("","String",B128),[1]!OBMAKE("","double",$C$16))</f>
        <v>#N/A</v>
      </c>
      <c r="E128" s="18" t="e">
        <f>[1]!OBCALL("calibratedModel-"&amp;ROW(),D128,"getModel")</f>
        <v>#N/A</v>
      </c>
      <c r="G128" s="98"/>
      <c r="H128" s="18" t="e">
        <f>[1]!OBCALL("calibrationProduct-"&amp;ROW(),C$9,"getCalibrationProductForSymbol",[1]!OBMAKE("","String",B128))</f>
        <v>#N/A</v>
      </c>
      <c r="I128" s="102" t="e">
        <f>([1]!OBGET([1]!OBCALL("",$H128,"getValue",E128))-[1]!OBGET([1]!OBCALL("",$H128,"getValue",E$27)))/$C$16</f>
        <v>#N/A</v>
      </c>
      <c r="K128" s="103" t="str">
        <f t="shared" si="6"/>
        <v>forward-USD-3M-2Y</v>
      </c>
      <c r="L128" s="103" t="e">
        <f t="shared" si="7"/>
        <v>#N/A</v>
      </c>
      <c r="N128" s="87"/>
      <c r="IW128" s="18"/>
      <c r="IX128" s="18"/>
    </row>
    <row r="129" spans="2:258" ht="13.2" customHeight="1" x14ac:dyDescent="0.25">
      <c r="B129" s="41" t="s">
        <v>321</v>
      </c>
      <c r="C129" s="98" t="e">
        <f>([1]!OBGET([1]!OBCALL("",$B$24,"getValue",E129))-C$27)/C$16</f>
        <v>#N/A</v>
      </c>
      <c r="D129" s="18" t="e">
        <f>[1]!OBCALL("calibratedCurves-"&amp;B129,$C$9,"getCloneShifted",[1]!OBMAKE("","String",B129),[1]!OBMAKE("","double",$C$16))</f>
        <v>#N/A</v>
      </c>
      <c r="E129" s="18" t="e">
        <f>[1]!OBCALL("calibratedModel-"&amp;ROW(),D129,"getModel")</f>
        <v>#N/A</v>
      </c>
      <c r="G129" s="98"/>
      <c r="H129" s="18" t="e">
        <f>[1]!OBCALL("calibrationProduct-"&amp;ROW(),C$9,"getCalibrationProductForSymbol",[1]!OBMAKE("","String",B129))</f>
        <v>#N/A</v>
      </c>
      <c r="I129" s="102" t="e">
        <f>([1]!OBGET([1]!OBCALL("",$H129,"getValue",E129))-[1]!OBGET([1]!OBCALL("",$H129,"getValue",E$27)))/$C$16</f>
        <v>#N/A</v>
      </c>
      <c r="K129" s="103" t="str">
        <f t="shared" si="6"/>
        <v>forward-USD-3M-3Y</v>
      </c>
      <c r="L129" s="103" t="e">
        <f t="shared" si="7"/>
        <v>#N/A</v>
      </c>
      <c r="N129" s="87"/>
      <c r="IW129" s="18"/>
      <c r="IX129" s="18"/>
    </row>
    <row r="130" spans="2:258" ht="13.2" customHeight="1" x14ac:dyDescent="0.25">
      <c r="B130" s="41" t="s">
        <v>322</v>
      </c>
      <c r="C130" s="98" t="e">
        <f>([1]!OBGET([1]!OBCALL("",$B$24,"getValue",E130))-C$27)/C$16</f>
        <v>#N/A</v>
      </c>
      <c r="D130" s="18" t="e">
        <f>[1]!OBCALL("calibratedCurves-"&amp;B130,$C$9,"getCloneShifted",[1]!OBMAKE("","String",B130),[1]!OBMAKE("","double",$C$16))</f>
        <v>#N/A</v>
      </c>
      <c r="E130" s="18" t="e">
        <f>[1]!OBCALL("calibratedModel-"&amp;ROW(),D130,"getModel")</f>
        <v>#N/A</v>
      </c>
      <c r="G130" s="98"/>
      <c r="H130" s="18" t="e">
        <f>[1]!OBCALL("calibrationProduct-"&amp;ROW(),C$9,"getCalibrationProductForSymbol",[1]!OBMAKE("","String",B130))</f>
        <v>#N/A</v>
      </c>
      <c r="I130" s="102" t="e">
        <f>([1]!OBGET([1]!OBCALL("",$H130,"getValue",E130))-[1]!OBGET([1]!OBCALL("",$H130,"getValue",E$27)))/$C$16</f>
        <v>#N/A</v>
      </c>
      <c r="K130" s="103" t="str">
        <f t="shared" si="6"/>
        <v>forward-USD-3M-4Y</v>
      </c>
      <c r="L130" s="103" t="e">
        <f t="shared" si="7"/>
        <v>#N/A</v>
      </c>
      <c r="N130" s="87"/>
      <c r="IW130" s="18"/>
      <c r="IX130" s="18"/>
    </row>
    <row r="131" spans="2:258" ht="13.2" customHeight="1" x14ac:dyDescent="0.25">
      <c r="B131" s="41" t="s">
        <v>323</v>
      </c>
      <c r="C131" s="98" t="e">
        <f>([1]!OBGET([1]!OBCALL("",$B$24,"getValue",E131))-C$27)/C$16</f>
        <v>#N/A</v>
      </c>
      <c r="D131" s="18" t="e">
        <f>[1]!OBCALL("calibratedCurves-"&amp;B131,$C$9,"getCloneShifted",[1]!OBMAKE("","String",B131),[1]!OBMAKE("","double",$C$16))</f>
        <v>#N/A</v>
      </c>
      <c r="E131" s="18" t="e">
        <f>[1]!OBCALL("calibratedModel-"&amp;ROW(),D131,"getModel")</f>
        <v>#N/A</v>
      </c>
      <c r="G131" s="98"/>
      <c r="H131" s="18" t="e">
        <f>[1]!OBCALL("calibrationProduct-"&amp;ROW(),C$9,"getCalibrationProductForSymbol",[1]!OBMAKE("","String",B131))</f>
        <v>#N/A</v>
      </c>
      <c r="I131" s="102" t="e">
        <f>([1]!OBGET([1]!OBCALL("",$H131,"getValue",E131))-[1]!OBGET([1]!OBCALL("",$H131,"getValue",E$27)))/$C$16</f>
        <v>#N/A</v>
      </c>
      <c r="K131" s="103" t="str">
        <f t="shared" si="6"/>
        <v>forward-USD-3M-5Y</v>
      </c>
      <c r="L131" s="103" t="e">
        <f t="shared" si="7"/>
        <v>#N/A</v>
      </c>
      <c r="N131" s="87"/>
      <c r="IW131" s="18"/>
      <c r="IX131" s="18"/>
    </row>
    <row r="132" spans="2:258" ht="13.2" customHeight="1" x14ac:dyDescent="0.25">
      <c r="B132" s="41" t="s">
        <v>324</v>
      </c>
      <c r="C132" s="98" t="e">
        <f>([1]!OBGET([1]!OBCALL("",$B$24,"getValue",E132))-C$27)/C$16</f>
        <v>#N/A</v>
      </c>
      <c r="D132" s="18" t="e">
        <f>[1]!OBCALL("calibratedCurves-"&amp;B132,$C$9,"getCloneShifted",[1]!OBMAKE("","String",B132),[1]!OBMAKE("","double",$C$16))</f>
        <v>#N/A</v>
      </c>
      <c r="E132" s="18" t="e">
        <f>[1]!OBCALL("calibratedModel-"&amp;ROW(),D132,"getModel")</f>
        <v>#N/A</v>
      </c>
      <c r="G132" s="98"/>
      <c r="H132" s="18" t="e">
        <f>[1]!OBCALL("calibrationProduct-"&amp;ROW(),C$9,"getCalibrationProductForSymbol",[1]!OBMAKE("","String",B132))</f>
        <v>#N/A</v>
      </c>
      <c r="I132" s="102" t="e">
        <f>([1]!OBGET([1]!OBCALL("",$H132,"getValue",E132))-[1]!OBGET([1]!OBCALL("",$H132,"getValue",E$27)))/$C$16</f>
        <v>#N/A</v>
      </c>
      <c r="K132" s="103" t="str">
        <f t="shared" si="6"/>
        <v>forward-USD-3M-6Y</v>
      </c>
      <c r="L132" s="103" t="e">
        <f t="shared" si="7"/>
        <v>#N/A</v>
      </c>
      <c r="N132" s="87"/>
      <c r="IW132" s="18"/>
      <c r="IX132" s="18"/>
    </row>
    <row r="133" spans="2:258" ht="13.2" customHeight="1" x14ac:dyDescent="0.25">
      <c r="B133" s="41" t="s">
        <v>325</v>
      </c>
      <c r="C133" s="98" t="e">
        <f>([1]!OBGET([1]!OBCALL("",$B$24,"getValue",E133))-C$27)/C$16</f>
        <v>#N/A</v>
      </c>
      <c r="D133" s="18" t="e">
        <f>[1]!OBCALL("calibratedCurves-"&amp;B133,$C$9,"getCloneShifted",[1]!OBMAKE("","String",B133),[1]!OBMAKE("","double",$C$16))</f>
        <v>#N/A</v>
      </c>
      <c r="E133" s="18" t="e">
        <f>[1]!OBCALL("calibratedModel-"&amp;ROW(),D133,"getModel")</f>
        <v>#N/A</v>
      </c>
      <c r="G133" s="98"/>
      <c r="H133" s="18" t="e">
        <f>[1]!OBCALL("calibrationProduct-"&amp;ROW(),C$9,"getCalibrationProductForSymbol",[1]!OBMAKE("","String",B133))</f>
        <v>#N/A</v>
      </c>
      <c r="I133" s="102" t="e">
        <f>([1]!OBGET([1]!OBCALL("",$H133,"getValue",E133))-[1]!OBGET([1]!OBCALL("",$H133,"getValue",E$27)))/$C$16</f>
        <v>#N/A</v>
      </c>
      <c r="K133" s="103" t="str">
        <f t="shared" si="6"/>
        <v>forward-USD-3M-7Y</v>
      </c>
      <c r="L133" s="103" t="e">
        <f t="shared" si="7"/>
        <v>#N/A</v>
      </c>
      <c r="N133" s="87"/>
      <c r="IW133" s="18"/>
      <c r="IX133" s="18"/>
    </row>
    <row r="134" spans="2:258" ht="13.2" customHeight="1" x14ac:dyDescent="0.25">
      <c r="B134" s="41" t="s">
        <v>326</v>
      </c>
      <c r="C134" s="98" t="e">
        <f>([1]!OBGET([1]!OBCALL("",$B$24,"getValue",E134))-C$27)/C$16</f>
        <v>#N/A</v>
      </c>
      <c r="D134" s="18" t="e">
        <f>[1]!OBCALL("calibratedCurves-"&amp;B134,$C$9,"getCloneShifted",[1]!OBMAKE("","String",B134),[1]!OBMAKE("","double",$C$16))</f>
        <v>#N/A</v>
      </c>
      <c r="E134" s="18" t="e">
        <f>[1]!OBCALL("calibratedModel-"&amp;ROW(),D134,"getModel")</f>
        <v>#N/A</v>
      </c>
      <c r="G134" s="98"/>
      <c r="H134" s="18" t="e">
        <f>[1]!OBCALL("calibrationProduct-"&amp;ROW(),C$9,"getCalibrationProductForSymbol",[1]!OBMAKE("","String",B134))</f>
        <v>#N/A</v>
      </c>
      <c r="I134" s="102" t="e">
        <f>([1]!OBGET([1]!OBCALL("",$H134,"getValue",E134))-[1]!OBGET([1]!OBCALL("",$H134,"getValue",E$27)))/$C$16</f>
        <v>#N/A</v>
      </c>
      <c r="K134" s="103" t="str">
        <f t="shared" si="6"/>
        <v>forward-USD-3M-8Y</v>
      </c>
      <c r="L134" s="103" t="e">
        <f t="shared" si="7"/>
        <v>#N/A</v>
      </c>
      <c r="N134" s="87"/>
      <c r="IW134" s="18"/>
      <c r="IX134" s="18"/>
    </row>
    <row r="135" spans="2:258" ht="13.2" customHeight="1" x14ac:dyDescent="0.25">
      <c r="B135" s="41" t="s">
        <v>327</v>
      </c>
      <c r="C135" s="98" t="e">
        <f>([1]!OBGET([1]!OBCALL("",$B$24,"getValue",E135))-C$27)/C$16</f>
        <v>#N/A</v>
      </c>
      <c r="D135" s="18" t="e">
        <f>[1]!OBCALL("calibratedCurves-"&amp;B135,$C$9,"getCloneShifted",[1]!OBMAKE("","String",B135),[1]!OBMAKE("","double",$C$16))</f>
        <v>#N/A</v>
      </c>
      <c r="E135" s="18" t="e">
        <f>[1]!OBCALL("calibratedModel-"&amp;ROW(),D135,"getModel")</f>
        <v>#N/A</v>
      </c>
      <c r="G135" s="98"/>
      <c r="H135" s="18" t="e">
        <f>[1]!OBCALL("calibrationProduct-"&amp;ROW(),C$9,"getCalibrationProductForSymbol",[1]!OBMAKE("","String",B135))</f>
        <v>#N/A</v>
      </c>
      <c r="I135" s="102" t="e">
        <f>([1]!OBGET([1]!OBCALL("",$H135,"getValue",E135))-[1]!OBGET([1]!OBCALL("",$H135,"getValue",E$27)))/$C$16</f>
        <v>#N/A</v>
      </c>
      <c r="K135" s="103" t="str">
        <f t="shared" si="6"/>
        <v>forward-USD-3M-9Y</v>
      </c>
      <c r="L135" s="103" t="e">
        <f t="shared" si="7"/>
        <v>#N/A</v>
      </c>
      <c r="N135" s="87"/>
      <c r="IW135" s="18"/>
      <c r="IX135" s="18"/>
    </row>
    <row r="136" spans="2:258" ht="13.2" customHeight="1" x14ac:dyDescent="0.25">
      <c r="B136" s="41" t="s">
        <v>185</v>
      </c>
      <c r="C136" s="98" t="e">
        <f>([1]!OBGET([1]!OBCALL("",$B$24,"getValue",E136))-C$27)/C$16</f>
        <v>#N/A</v>
      </c>
      <c r="D136" s="18" t="e">
        <f>[1]!OBCALL("calibratedCurves-"&amp;B136,$C$9,"getCloneShifted",[1]!OBMAKE("","String",B136),[1]!OBMAKE("","double",$C$16))</f>
        <v>#N/A</v>
      </c>
      <c r="E136" s="18" t="e">
        <f>[1]!OBCALL("calibratedModel-"&amp;ROW(),D136,"getModel")</f>
        <v>#N/A</v>
      </c>
      <c r="G136" s="98"/>
      <c r="H136" s="18" t="e">
        <f>[1]!OBCALL("calibrationProduct-"&amp;ROW(),C$9,"getCalibrationProductForSymbol",[1]!OBMAKE("","String",B136))</f>
        <v>#N/A</v>
      </c>
      <c r="I136" s="102" t="e">
        <f>([1]!OBGET([1]!OBCALL("",$H136,"getValue",E136))-[1]!OBGET([1]!OBCALL("",$H136,"getValue",E$27)))/$C$16</f>
        <v>#N/A</v>
      </c>
      <c r="K136" s="103" t="str">
        <f t="shared" si="6"/>
        <v>forward-USD-3M-10Y</v>
      </c>
      <c r="L136" s="103" t="e">
        <f t="shared" si="7"/>
        <v>#N/A</v>
      </c>
      <c r="N136" s="87"/>
      <c r="IW136" s="18"/>
      <c r="IX136" s="18"/>
    </row>
    <row r="137" spans="2:258" ht="13.2" customHeight="1" x14ac:dyDescent="0.25">
      <c r="B137" s="41" t="s">
        <v>328</v>
      </c>
      <c r="C137" s="98" t="e">
        <f>([1]!OBGET([1]!OBCALL("",$B$24,"getValue",E137))-C$27)/C$16</f>
        <v>#N/A</v>
      </c>
      <c r="D137" s="18" t="e">
        <f>[1]!OBCALL("calibratedCurves-"&amp;B137,$C$9,"getCloneShifted",[1]!OBMAKE("","String",B137),[1]!OBMAKE("","double",$C$16))</f>
        <v>#N/A</v>
      </c>
      <c r="E137" s="18" t="e">
        <f>[1]!OBCALL("calibratedModel-"&amp;ROW(),D137,"getModel")</f>
        <v>#N/A</v>
      </c>
      <c r="G137" s="98"/>
      <c r="H137" s="18" t="e">
        <f>[1]!OBCALL("calibrationProduct-"&amp;ROW(),C$9,"getCalibrationProductForSymbol",[1]!OBMAKE("","String",B137))</f>
        <v>#N/A</v>
      </c>
      <c r="I137" s="102" t="e">
        <f>([1]!OBGET([1]!OBCALL("",$H137,"getValue",E137))-[1]!OBGET([1]!OBCALL("",$H137,"getValue",E$27)))/$C$16</f>
        <v>#N/A</v>
      </c>
      <c r="K137" s="103" t="str">
        <f t="shared" si="6"/>
        <v>forward-USD-3M-12Y</v>
      </c>
      <c r="L137" s="103" t="e">
        <f t="shared" si="7"/>
        <v>#N/A</v>
      </c>
      <c r="N137" s="87"/>
      <c r="IW137" s="18"/>
      <c r="IX137" s="18"/>
    </row>
    <row r="138" spans="2:258" ht="13.2" customHeight="1" x14ac:dyDescent="0.25">
      <c r="B138" s="41" t="s">
        <v>329</v>
      </c>
      <c r="C138" s="98" t="e">
        <f>([1]!OBGET([1]!OBCALL("",$B$24,"getValue",E138))-C$27)/C$16</f>
        <v>#N/A</v>
      </c>
      <c r="D138" s="18" t="e">
        <f>[1]!OBCALL("calibratedCurves-"&amp;B138,$C$9,"getCloneShifted",[1]!OBMAKE("","String",B138),[1]!OBMAKE("","double",$C$16))</f>
        <v>#N/A</v>
      </c>
      <c r="E138" s="18" t="e">
        <f>[1]!OBCALL("calibratedModel-"&amp;ROW(),D138,"getModel")</f>
        <v>#N/A</v>
      </c>
      <c r="G138" s="98"/>
      <c r="H138" s="18" t="e">
        <f>[1]!OBCALL("calibrationProduct-"&amp;ROW(),C$9,"getCalibrationProductForSymbol",[1]!OBMAKE("","String",B138))</f>
        <v>#N/A</v>
      </c>
      <c r="I138" s="102" t="e">
        <f>([1]!OBGET([1]!OBCALL("",$H138,"getValue",E138))-[1]!OBGET([1]!OBCALL("",$H138,"getValue",E$27)))/$C$16</f>
        <v>#N/A</v>
      </c>
      <c r="K138" s="103" t="str">
        <f t="shared" si="6"/>
        <v>forward-USD-3M-15Y</v>
      </c>
      <c r="L138" s="103" t="e">
        <f t="shared" si="7"/>
        <v>#N/A</v>
      </c>
      <c r="N138" s="87"/>
      <c r="IW138" s="18"/>
      <c r="IX138" s="18"/>
    </row>
    <row r="139" spans="2:258" ht="13.2" customHeight="1" x14ac:dyDescent="0.25">
      <c r="B139" s="41" t="s">
        <v>330</v>
      </c>
      <c r="C139" s="98" t="e">
        <f>([1]!OBGET([1]!OBCALL("",$B$24,"getValue",E139))-C$27)/C$16</f>
        <v>#N/A</v>
      </c>
      <c r="D139" s="18" t="e">
        <f>[1]!OBCALL("calibratedCurves-"&amp;B139,$C$9,"getCloneShifted",[1]!OBMAKE("","String",B139),[1]!OBMAKE("","double",$C$16))</f>
        <v>#N/A</v>
      </c>
      <c r="E139" s="18" t="e">
        <f>[1]!OBCALL("calibratedModel-"&amp;ROW(),D139,"getModel")</f>
        <v>#N/A</v>
      </c>
      <c r="G139" s="98"/>
      <c r="H139" s="18" t="e">
        <f>[1]!OBCALL("calibrationProduct-"&amp;ROW(),C$9,"getCalibrationProductForSymbol",[1]!OBMAKE("","String",B139))</f>
        <v>#N/A</v>
      </c>
      <c r="I139" s="102" t="e">
        <f>([1]!OBGET([1]!OBCALL("",$H139,"getValue",E139))-[1]!OBGET([1]!OBCALL("",$H139,"getValue",E$27)))/$C$16</f>
        <v>#N/A</v>
      </c>
      <c r="K139" s="103" t="str">
        <f t="shared" si="6"/>
        <v>forward-USD-3M-20Y</v>
      </c>
      <c r="L139" s="103" t="e">
        <f t="shared" si="7"/>
        <v>#N/A</v>
      </c>
      <c r="N139" s="87"/>
      <c r="IW139" s="18"/>
      <c r="IX139" s="18"/>
    </row>
    <row r="140" spans="2:258" ht="13.2" customHeight="1" x14ac:dyDescent="0.25">
      <c r="B140" s="41" t="s">
        <v>331</v>
      </c>
      <c r="C140" s="98" t="e">
        <f>([1]!OBGET([1]!OBCALL("",$B$24,"getValue",E140))-C$27)/C$16</f>
        <v>#N/A</v>
      </c>
      <c r="D140" s="18" t="e">
        <f>[1]!OBCALL("calibratedCurves-"&amp;B140,$C$9,"getCloneShifted",[1]!OBMAKE("","String",B140),[1]!OBMAKE("","double",$C$16))</f>
        <v>#N/A</v>
      </c>
      <c r="E140" s="18" t="e">
        <f>[1]!OBCALL("calibratedModel-"&amp;ROW(),D140,"getModel")</f>
        <v>#N/A</v>
      </c>
      <c r="G140" s="98"/>
      <c r="H140" s="18" t="e">
        <f>[1]!OBCALL("calibrationProduct-"&amp;ROW(),C$9,"getCalibrationProductForSymbol",[1]!OBMAKE("","String",B140))</f>
        <v>#N/A</v>
      </c>
      <c r="I140" s="102" t="e">
        <f>([1]!OBGET([1]!OBCALL("",$H140,"getValue",E140))-[1]!OBGET([1]!OBCALL("",$H140,"getValue",E$27)))/$C$16</f>
        <v>#N/A</v>
      </c>
      <c r="K140" s="103" t="str">
        <f t="shared" si="6"/>
        <v>forward-USD-3M-25Y</v>
      </c>
      <c r="L140" s="103" t="e">
        <f t="shared" si="7"/>
        <v>#N/A</v>
      </c>
      <c r="N140" s="87"/>
      <c r="IW140" s="18"/>
      <c r="IX140" s="18"/>
    </row>
    <row r="141" spans="2:258" ht="13.2" customHeight="1" x14ac:dyDescent="0.25">
      <c r="B141" s="41" t="s">
        <v>332</v>
      </c>
      <c r="C141" s="98" t="e">
        <f>([1]!OBGET([1]!OBCALL("",$B$24,"getValue",E141))-C$27)/C$16</f>
        <v>#N/A</v>
      </c>
      <c r="D141" s="18" t="e">
        <f>[1]!OBCALL("calibratedCurves-"&amp;B141,$C$9,"getCloneShifted",[1]!OBMAKE("","String",B141),[1]!OBMAKE("","double",$C$16))</f>
        <v>#N/A</v>
      </c>
      <c r="E141" s="18" t="e">
        <f>[1]!OBCALL("calibratedModel-"&amp;ROW(),D141,"getModel")</f>
        <v>#N/A</v>
      </c>
      <c r="G141" s="98"/>
      <c r="H141" s="18" t="e">
        <f>[1]!OBCALL("calibrationProduct-"&amp;ROW(),C$9,"getCalibrationProductForSymbol",[1]!OBMAKE("","String",B141))</f>
        <v>#N/A</v>
      </c>
      <c r="I141" s="102" t="e">
        <f>([1]!OBGET([1]!OBCALL("",$H141,"getValue",E141))-[1]!OBGET([1]!OBCALL("",$H141,"getValue",E$27)))/$C$16</f>
        <v>#N/A</v>
      </c>
      <c r="K141" s="103" t="str">
        <f t="shared" si="6"/>
        <v>forward-USD-3M-30Y</v>
      </c>
      <c r="L141" s="103" t="e">
        <f t="shared" si="7"/>
        <v>#N/A</v>
      </c>
      <c r="N141" s="87"/>
      <c r="IW141" s="18"/>
      <c r="IX141" s="18"/>
    </row>
    <row r="142" spans="2:258" ht="13.2" customHeight="1" x14ac:dyDescent="0.25">
      <c r="B142" s="41" t="s">
        <v>333</v>
      </c>
      <c r="C142" s="98" t="e">
        <f>([1]!OBGET([1]!OBCALL("",$B$24,"getValue",E142))-C$27)/C$16</f>
        <v>#N/A</v>
      </c>
      <c r="D142" s="18" t="e">
        <f>[1]!OBCALL("calibratedCurves-"&amp;B142,$C$9,"getCloneShifted",[1]!OBMAKE("","String",B142),[1]!OBMAKE("","double",$C$16))</f>
        <v>#N/A</v>
      </c>
      <c r="E142" s="18" t="e">
        <f>[1]!OBCALL("calibratedModel-"&amp;ROW(),D142,"getModel")</f>
        <v>#N/A</v>
      </c>
      <c r="G142" s="98"/>
      <c r="H142" s="18" t="e">
        <f>[1]!OBCALL("calibrationProduct-"&amp;ROW(),C$9,"getCalibrationProductForSymbol",[1]!OBMAKE("","String",B142))</f>
        <v>#N/A</v>
      </c>
      <c r="I142" s="102" t="e">
        <f>([1]!OBGET([1]!OBCALL("",$H142,"getValue",E142))-[1]!OBGET([1]!OBCALL("",$H142,"getValue",E$27)))/$C$16</f>
        <v>#N/A</v>
      </c>
      <c r="K142" s="103" t="str">
        <f t="shared" si="6"/>
        <v>forward-USD-3M-40Y</v>
      </c>
      <c r="L142" s="103" t="e">
        <f t="shared" si="7"/>
        <v>#N/A</v>
      </c>
      <c r="N142" s="87"/>
      <c r="IW142" s="18"/>
      <c r="IX142" s="18"/>
    </row>
    <row r="143" spans="2:258" ht="13.2" customHeight="1" x14ac:dyDescent="0.25">
      <c r="B143" s="41" t="s">
        <v>334</v>
      </c>
      <c r="C143" s="98" t="e">
        <f>([1]!OBGET([1]!OBCALL("",$B$24,"getValue",E143))-C$27)/C$16</f>
        <v>#N/A</v>
      </c>
      <c r="D143" s="18" t="e">
        <f>[1]!OBCALL("calibratedCurves-"&amp;B143,$C$9,"getCloneShifted",[1]!OBMAKE("","String",B143),[1]!OBMAKE("","double",$C$16))</f>
        <v>#N/A</v>
      </c>
      <c r="E143" s="18" t="e">
        <f>[1]!OBCALL("calibratedModel-"&amp;ROW(),D143,"getModel")</f>
        <v>#N/A</v>
      </c>
      <c r="G143" s="98"/>
      <c r="H143" s="18" t="e">
        <f>[1]!OBCALL("calibrationProduct-"&amp;ROW(),C$9,"getCalibrationProductForSymbol",[1]!OBMAKE("","String",B143))</f>
        <v>#N/A</v>
      </c>
      <c r="I143" s="102" t="e">
        <f>([1]!OBGET([1]!OBCALL("",$H143,"getValue",E143))-[1]!OBGET([1]!OBCALL("",$H143,"getValue",E$27)))/$C$16</f>
        <v>#N/A</v>
      </c>
      <c r="K143" s="103" t="str">
        <f t="shared" si="6"/>
        <v>forward-USD-3M-50Y</v>
      </c>
      <c r="L143" s="103" t="e">
        <f t="shared" si="7"/>
        <v>#N/A</v>
      </c>
      <c r="N143" s="87"/>
      <c r="IW143" s="18"/>
      <c r="IX143" s="18"/>
    </row>
    <row r="144" spans="2:258" ht="13.2" customHeight="1" x14ac:dyDescent="0.25">
      <c r="B144" s="41" t="s">
        <v>335</v>
      </c>
      <c r="C144" s="98" t="e">
        <f>([1]!OBGET([1]!OBCALL("",$B$24,"getValue",E144))-C$27)/C$16</f>
        <v>#N/A</v>
      </c>
      <c r="D144" s="18" t="e">
        <f>[1]!OBCALL("calibratedCurves-"&amp;B144,$C$9,"getCloneShifted",[1]!OBMAKE("","String",B144),[1]!OBMAKE("","double",$C$16))</f>
        <v>#N/A</v>
      </c>
      <c r="E144" s="18" t="e">
        <f>[1]!OBCALL("calibratedModel-"&amp;ROW(),D144,"getModel")</f>
        <v>#N/A</v>
      </c>
      <c r="G144" s="98"/>
      <c r="H144" s="18" t="e">
        <f>[1]!OBCALL("calibrationProduct-"&amp;ROW(),C$9,"getCalibrationProductForSymbol",[1]!OBMAKE("","String",B144))</f>
        <v>#N/A</v>
      </c>
      <c r="I144" s="102" t="e">
        <f>([1]!OBGET([1]!OBCALL("",$H144,"getValue",E144))-[1]!OBGET([1]!OBCALL("",$H144,"getValue",E$27)))/$C$16</f>
        <v>#N/A</v>
      </c>
      <c r="K144" s="103" t="str">
        <f t="shared" si="6"/>
        <v>discount-EUR-USD-OIS-1Y</v>
      </c>
      <c r="L144" s="103" t="e">
        <f t="shared" si="7"/>
        <v>#N/A</v>
      </c>
      <c r="N144" s="87"/>
      <c r="IW144" s="18"/>
      <c r="IX144" s="18"/>
    </row>
    <row r="145" spans="2:258" ht="13.2" customHeight="1" x14ac:dyDescent="0.25">
      <c r="B145" s="41" t="s">
        <v>336</v>
      </c>
      <c r="C145" s="98" t="e">
        <f>([1]!OBGET([1]!OBCALL("",$B$24,"getValue",E145))-C$27)/C$16</f>
        <v>#N/A</v>
      </c>
      <c r="D145" s="18" t="e">
        <f>[1]!OBCALL("calibratedCurves-"&amp;B145,$C$9,"getCloneShifted",[1]!OBMAKE("","String",B145),[1]!OBMAKE("","double",$C$16))</f>
        <v>#N/A</v>
      </c>
      <c r="E145" s="18" t="e">
        <f>[1]!OBCALL("calibratedModel-"&amp;ROW(),D145,"getModel")</f>
        <v>#N/A</v>
      </c>
      <c r="G145" s="98"/>
      <c r="H145" s="18" t="e">
        <f>[1]!OBCALL("calibrationProduct-"&amp;ROW(),C$9,"getCalibrationProductForSymbol",[1]!OBMAKE("","String",B145))</f>
        <v>#N/A</v>
      </c>
      <c r="I145" s="102" t="e">
        <f>([1]!OBGET([1]!OBCALL("",$H145,"getValue",E145))-[1]!OBGET([1]!OBCALL("",$H145,"getValue",E$27)))/$C$16</f>
        <v>#N/A</v>
      </c>
      <c r="K145" s="103" t="str">
        <f t="shared" si="6"/>
        <v>discount-EUR-USD-OIS-2Y</v>
      </c>
      <c r="L145" s="103" t="e">
        <f t="shared" si="7"/>
        <v>#N/A</v>
      </c>
      <c r="N145" s="87"/>
      <c r="IW145" s="18"/>
      <c r="IX145" s="18"/>
    </row>
    <row r="146" spans="2:258" ht="13.2" customHeight="1" x14ac:dyDescent="0.25">
      <c r="B146" s="41" t="s">
        <v>337</v>
      </c>
      <c r="C146" s="98" t="e">
        <f>([1]!OBGET([1]!OBCALL("",$B$24,"getValue",E146))-C$27)/C$16</f>
        <v>#N/A</v>
      </c>
      <c r="D146" s="18" t="e">
        <f>[1]!OBCALL("calibratedCurves-"&amp;B146,$C$9,"getCloneShifted",[1]!OBMAKE("","String",B146),[1]!OBMAKE("","double",$C$16))</f>
        <v>#N/A</v>
      </c>
      <c r="E146" s="18" t="e">
        <f>[1]!OBCALL("calibratedModel-"&amp;ROW(),D146,"getModel")</f>
        <v>#N/A</v>
      </c>
      <c r="G146" s="98"/>
      <c r="H146" s="18" t="e">
        <f>[1]!OBCALL("calibrationProduct-"&amp;ROW(),C$9,"getCalibrationProductForSymbol",[1]!OBMAKE("","String",B146))</f>
        <v>#N/A</v>
      </c>
      <c r="I146" s="102" t="e">
        <f>([1]!OBGET([1]!OBCALL("",$H146,"getValue",E146))-[1]!OBGET([1]!OBCALL("",$H146,"getValue",E$27)))/$C$16</f>
        <v>#N/A</v>
      </c>
      <c r="K146" s="103" t="str">
        <f t="shared" si="6"/>
        <v>discount-EUR-USD-OIS-3Y</v>
      </c>
      <c r="L146" s="103" t="e">
        <f t="shared" si="7"/>
        <v>#N/A</v>
      </c>
      <c r="N146" s="87"/>
      <c r="IW146" s="18"/>
      <c r="IX146" s="18"/>
    </row>
    <row r="147" spans="2:258" ht="13.2" customHeight="1" x14ac:dyDescent="0.25">
      <c r="B147" s="41" t="s">
        <v>338</v>
      </c>
      <c r="C147" s="98" t="e">
        <f>([1]!OBGET([1]!OBCALL("",$B$24,"getValue",E147))-C$27)/C$16</f>
        <v>#N/A</v>
      </c>
      <c r="D147" s="18" t="e">
        <f>[1]!OBCALL("calibratedCurves-"&amp;B147,$C$9,"getCloneShifted",[1]!OBMAKE("","String",B147),[1]!OBMAKE("","double",$C$16))</f>
        <v>#N/A</v>
      </c>
      <c r="E147" s="18" t="e">
        <f>[1]!OBCALL("calibratedModel-"&amp;ROW(),D147,"getModel")</f>
        <v>#N/A</v>
      </c>
      <c r="G147" s="98"/>
      <c r="H147" s="18" t="e">
        <f>[1]!OBCALL("calibrationProduct-"&amp;ROW(),C$9,"getCalibrationProductForSymbol",[1]!OBMAKE("","String",B147))</f>
        <v>#N/A</v>
      </c>
      <c r="I147" s="102" t="e">
        <f>([1]!OBGET([1]!OBCALL("",$H147,"getValue",E147))-[1]!OBGET([1]!OBCALL("",$H147,"getValue",E$27)))/$C$16</f>
        <v>#N/A</v>
      </c>
      <c r="K147" s="103" t="str">
        <f t="shared" si="6"/>
        <v>discount-EUR-USD-OIS-4Y</v>
      </c>
      <c r="L147" s="103" t="e">
        <f t="shared" si="7"/>
        <v>#N/A</v>
      </c>
      <c r="N147" s="87"/>
      <c r="IW147" s="18"/>
      <c r="IX147" s="18"/>
    </row>
    <row r="148" spans="2:258" ht="13.2" customHeight="1" x14ac:dyDescent="0.25">
      <c r="B148" s="41" t="s">
        <v>339</v>
      </c>
      <c r="C148" s="98" t="e">
        <f>([1]!OBGET([1]!OBCALL("",$B$24,"getValue",E148))-C$27)/C$16</f>
        <v>#N/A</v>
      </c>
      <c r="D148" s="18" t="e">
        <f>[1]!OBCALL("calibratedCurves-"&amp;B148,$C$9,"getCloneShifted",[1]!OBMAKE("","String",B148),[1]!OBMAKE("","double",$C$16))</f>
        <v>#N/A</v>
      </c>
      <c r="E148" s="18" t="e">
        <f>[1]!OBCALL("calibratedModel-"&amp;ROW(),D148,"getModel")</f>
        <v>#N/A</v>
      </c>
      <c r="G148" s="98"/>
      <c r="H148" s="18" t="e">
        <f>[1]!OBCALL("calibrationProduct-"&amp;ROW(),C$9,"getCalibrationProductForSymbol",[1]!OBMAKE("","String",B148))</f>
        <v>#N/A</v>
      </c>
      <c r="I148" s="102" t="e">
        <f>([1]!OBGET([1]!OBCALL("",$H148,"getValue",E148))-[1]!OBGET([1]!OBCALL("",$H148,"getValue",E$27)))/$C$16</f>
        <v>#N/A</v>
      </c>
      <c r="K148" s="103" t="str">
        <f t="shared" si="6"/>
        <v>discount-EUR-USD-OIS-5Y</v>
      </c>
      <c r="L148" s="103" t="e">
        <f t="shared" si="7"/>
        <v>#N/A</v>
      </c>
      <c r="N148" s="87"/>
      <c r="IW148" s="18"/>
      <c r="IX148" s="18"/>
    </row>
    <row r="149" spans="2:258" ht="13.2" customHeight="1" x14ac:dyDescent="0.25">
      <c r="B149" s="41" t="s">
        <v>340</v>
      </c>
      <c r="C149" s="98" t="e">
        <f>([1]!OBGET([1]!OBCALL("",$B$24,"getValue",E149))-C$27)/C$16</f>
        <v>#N/A</v>
      </c>
      <c r="D149" s="18" t="e">
        <f>[1]!OBCALL("calibratedCurves-"&amp;B149,$C$9,"getCloneShifted",[1]!OBMAKE("","String",B149),[1]!OBMAKE("","double",$C$16))</f>
        <v>#N/A</v>
      </c>
      <c r="E149" s="18" t="e">
        <f>[1]!OBCALL("calibratedModel-"&amp;ROW(),D149,"getModel")</f>
        <v>#N/A</v>
      </c>
      <c r="G149" s="98"/>
      <c r="H149" s="18" t="e">
        <f>[1]!OBCALL("calibrationProduct-"&amp;ROW(),C$9,"getCalibrationProductForSymbol",[1]!OBMAKE("","String",B149))</f>
        <v>#N/A</v>
      </c>
      <c r="I149" s="102" t="e">
        <f>([1]!OBGET([1]!OBCALL("",$H149,"getValue",E149))-[1]!OBGET([1]!OBCALL("",$H149,"getValue",E$27)))/$C$16</f>
        <v>#N/A</v>
      </c>
      <c r="K149" s="103" t="str">
        <f t="shared" si="6"/>
        <v>discount-EUR-USD-OIS-7Y</v>
      </c>
      <c r="L149" s="103" t="e">
        <f t="shared" si="7"/>
        <v>#N/A</v>
      </c>
      <c r="N149" s="87"/>
      <c r="IW149" s="18"/>
      <c r="IX149" s="18"/>
    </row>
    <row r="150" spans="2:258" ht="13.2" customHeight="1" x14ac:dyDescent="0.25">
      <c r="B150" s="41" t="s">
        <v>341</v>
      </c>
      <c r="C150" s="98" t="e">
        <f>([1]!OBGET([1]!OBCALL("",$B$24,"getValue",E150))-C$27)/C$16</f>
        <v>#N/A</v>
      </c>
      <c r="D150" s="18" t="e">
        <f>[1]!OBCALL("calibratedCurves-"&amp;B150,$C$9,"getCloneShifted",[1]!OBMAKE("","String",B150),[1]!OBMAKE("","double",$C$16))</f>
        <v>#N/A</v>
      </c>
      <c r="E150" s="18" t="e">
        <f>[1]!OBCALL("calibratedModel-"&amp;ROW(),D150,"getModel")</f>
        <v>#N/A</v>
      </c>
      <c r="G150" s="98"/>
      <c r="H150" s="18" t="e">
        <f>[1]!OBCALL("calibrationProduct-"&amp;ROW(),C$9,"getCalibrationProductForSymbol",[1]!OBMAKE("","String",B150))</f>
        <v>#N/A</v>
      </c>
      <c r="I150" s="102" t="e">
        <f>([1]!OBGET([1]!OBCALL("",$H150,"getValue",E150))-[1]!OBGET([1]!OBCALL("",$H150,"getValue",E$27)))/$C$16</f>
        <v>#N/A</v>
      </c>
      <c r="K150" s="103" t="str">
        <f t="shared" si="6"/>
        <v>discount-EUR-USD-OIS-10Y</v>
      </c>
      <c r="L150" s="103" t="e">
        <f t="shared" si="7"/>
        <v>#N/A</v>
      </c>
      <c r="N150" s="87"/>
      <c r="IW150" s="18"/>
      <c r="IX150" s="18"/>
    </row>
    <row r="151" spans="2:258" ht="13.2" customHeight="1" x14ac:dyDescent="0.25">
      <c r="B151" s="41" t="s">
        <v>342</v>
      </c>
      <c r="C151" s="98" t="e">
        <f>([1]!OBGET([1]!OBCALL("",$B$24,"getValue",E151))-C$27)/C$16</f>
        <v>#N/A</v>
      </c>
      <c r="D151" s="18" t="e">
        <f>[1]!OBCALL("calibratedCurves-"&amp;B151,$C$9,"getCloneShifted",[1]!OBMAKE("","String",B151),[1]!OBMAKE("","double",$C$16))</f>
        <v>#N/A</v>
      </c>
      <c r="E151" s="18" t="e">
        <f>[1]!OBCALL("calibratedModel-"&amp;ROW(),D151,"getModel")</f>
        <v>#N/A</v>
      </c>
      <c r="G151" s="98"/>
      <c r="H151" s="18" t="e">
        <f>[1]!OBCALL("calibrationProduct-"&amp;ROW(),C$9,"getCalibrationProductForSymbol",[1]!OBMAKE("","String",B151))</f>
        <v>#N/A</v>
      </c>
      <c r="I151" s="102" t="e">
        <f>([1]!OBGET([1]!OBCALL("",$H151,"getValue",E151))-[1]!OBGET([1]!OBCALL("",$H151,"getValue",E$27)))/$C$16</f>
        <v>#N/A</v>
      </c>
      <c r="K151" s="103" t="str">
        <f t="shared" si="6"/>
        <v>discount-EUR-USD-OIS-15Y</v>
      </c>
      <c r="L151" s="103" t="e">
        <f t="shared" si="7"/>
        <v>#N/A</v>
      </c>
      <c r="N151" s="87"/>
      <c r="IW151" s="18"/>
      <c r="IX151" s="18"/>
    </row>
    <row r="152" spans="2:258" ht="13.2" customHeight="1" x14ac:dyDescent="0.25">
      <c r="B152" s="41" t="s">
        <v>343</v>
      </c>
      <c r="C152" s="98" t="e">
        <f>([1]!OBGET([1]!OBCALL("",$B$24,"getValue",E152))-C$27)/C$16</f>
        <v>#N/A</v>
      </c>
      <c r="D152" s="18" t="e">
        <f>[1]!OBCALL("calibratedCurves-"&amp;B152,$C$9,"getCloneShifted",[1]!OBMAKE("","String",B152),[1]!OBMAKE("","double",$C$16))</f>
        <v>#N/A</v>
      </c>
      <c r="E152" s="18" t="e">
        <f>[1]!OBCALL("calibratedModel-"&amp;ROW(),D152,"getModel")</f>
        <v>#N/A</v>
      </c>
      <c r="G152" s="98"/>
      <c r="H152" s="18" t="e">
        <f>[1]!OBCALL("calibrationProduct-"&amp;ROW(),C$9,"getCalibrationProductForSymbol",[1]!OBMAKE("","String",B152))</f>
        <v>#N/A</v>
      </c>
      <c r="I152" s="102" t="e">
        <f>([1]!OBGET([1]!OBCALL("",$H152,"getValue",E152))-[1]!OBGET([1]!OBCALL("",$H152,"getValue",E$27)))/$C$16</f>
        <v>#N/A</v>
      </c>
      <c r="K152" s="103" t="str">
        <f t="shared" si="6"/>
        <v>discount-EUR-USD-OIS-20Y</v>
      </c>
      <c r="L152" s="103" t="e">
        <f t="shared" si="7"/>
        <v>#N/A</v>
      </c>
      <c r="N152" s="87"/>
      <c r="IW152" s="18"/>
      <c r="IX152" s="18"/>
    </row>
    <row r="153" spans="2:258" ht="13.2" customHeight="1" x14ac:dyDescent="0.25">
      <c r="B153" s="41" t="s">
        <v>344</v>
      </c>
      <c r="C153" s="98" t="e">
        <f>([1]!OBGET([1]!OBCALL("",$B$24,"getValue",E153))-C$27)/C$16</f>
        <v>#N/A</v>
      </c>
      <c r="D153" s="18" t="e">
        <f>[1]!OBCALL("calibratedCurves-"&amp;B153,$C$9,"getCloneShifted",[1]!OBMAKE("","String",B153),[1]!OBMAKE("","double",$C$16))</f>
        <v>#N/A</v>
      </c>
      <c r="E153" s="18" t="e">
        <f>[1]!OBCALL("calibratedModel-"&amp;ROW(),D153,"getModel")</f>
        <v>#N/A</v>
      </c>
      <c r="G153" s="98"/>
      <c r="H153" s="18" t="e">
        <f>[1]!OBCALL("calibrationProduct-"&amp;ROW(),C$9,"getCalibrationProductForSymbol",[1]!OBMAKE("","String",B153))</f>
        <v>#N/A</v>
      </c>
      <c r="I153" s="102" t="e">
        <f>([1]!OBGET([1]!OBCALL("",$H153,"getValue",E153))-[1]!OBGET([1]!OBCALL("",$H153,"getValue",E$27)))/$C$16</f>
        <v>#N/A</v>
      </c>
      <c r="K153" s="103" t="str">
        <f t="shared" si="6"/>
        <v>discount-EUR-USD-OIS-30Y</v>
      </c>
      <c r="L153" s="103" t="e">
        <f t="shared" si="7"/>
        <v>#N/A</v>
      </c>
      <c r="N153" s="87"/>
      <c r="IW153" s="18"/>
      <c r="IX153" s="18"/>
    </row>
    <row r="154" spans="2:258" ht="13.2" customHeight="1" x14ac:dyDescent="0.25">
      <c r="B154" s="41" t="s">
        <v>345</v>
      </c>
      <c r="C154" s="98" t="e">
        <f>([1]!OBGET([1]!OBCALL("",$B$24,"getValue",E154))-C$27)/C$16</f>
        <v>#N/A</v>
      </c>
      <c r="D154" s="18" t="e">
        <f>[1]!OBCALL("calibratedCurves-"&amp;B154,$C$9,"getCloneShifted",[1]!OBMAKE("","String",B154),[1]!OBMAKE("","double",$C$16))</f>
        <v>#N/A</v>
      </c>
      <c r="E154" s="18" t="e">
        <f>[1]!OBCALL("calibratedModel-"&amp;ROW(),D154,"getModel")</f>
        <v>#N/A</v>
      </c>
      <c r="G154" s="98"/>
      <c r="H154" s="18" t="e">
        <f>[1]!OBCALL("calibrationProduct-"&amp;ROW(),C$9,"getCalibrationProductForSymbol",[1]!OBMAKE("","String",B154))</f>
        <v>#N/A</v>
      </c>
      <c r="I154" s="102" t="e">
        <f>([1]!OBGET([1]!OBCALL("",$H154,"getValue",E154))-[1]!OBGET([1]!OBCALL("",$H154,"getValue",E$27)))/$C$16</f>
        <v>#N/A</v>
      </c>
      <c r="K154" s="103" t="str">
        <f t="shared" si="6"/>
        <v>discount-EUR-USD-OIS-40Y</v>
      </c>
      <c r="L154" s="103" t="e">
        <f t="shared" si="7"/>
        <v>#N/A</v>
      </c>
      <c r="N154" s="87"/>
      <c r="IW154" s="18"/>
      <c r="IX154" s="18"/>
    </row>
    <row r="155" spans="2:258" ht="13.2" customHeight="1" x14ac:dyDescent="0.25">
      <c r="B155" s="41" t="s">
        <v>346</v>
      </c>
      <c r="C155" s="98" t="e">
        <f>([1]!OBGET([1]!OBCALL("",$B$24,"getValue",E155))-C$27)/C$16</f>
        <v>#N/A</v>
      </c>
      <c r="D155" s="18" t="e">
        <f>[1]!OBCALL("calibratedCurves-"&amp;B155,$C$9,"getCloneShifted",[1]!OBMAKE("","String",B155),[1]!OBMAKE("","double",$C$16))</f>
        <v>#N/A</v>
      </c>
      <c r="E155" s="18" t="e">
        <f>[1]!OBCALL("calibratedModel-"&amp;ROW(),D155,"getModel")</f>
        <v>#N/A</v>
      </c>
      <c r="G155" s="98"/>
      <c r="H155" s="18" t="e">
        <f>[1]!OBCALL("calibrationProduct-"&amp;ROW(),C$9,"getCalibrationProductForSymbol",[1]!OBMAKE("","String",B155))</f>
        <v>#N/A</v>
      </c>
      <c r="I155" s="102" t="e">
        <f>([1]!OBGET([1]!OBCALL("",$H155,"getValue",E155))-[1]!OBGET([1]!OBCALL("",$H155,"getValue",E$27)))/$C$16</f>
        <v>#N/A</v>
      </c>
      <c r="K155" s="103" t="str">
        <f t="shared" si="6"/>
        <v>discount-EUR-USD-OIS-50Y</v>
      </c>
      <c r="L155" s="103" t="e">
        <f t="shared" si="7"/>
        <v>#N/A</v>
      </c>
      <c r="N155" s="87"/>
      <c r="IW155" s="18"/>
      <c r="IX155" s="18"/>
    </row>
    <row r="156" spans="2:258" ht="13.2" customHeight="1" x14ac:dyDescent="0.25">
      <c r="B156" s="41" t="s">
        <v>347</v>
      </c>
      <c r="C156" s="98" t="e">
        <f>([1]!OBGET([1]!OBCALL("",$B$24,"getValue",E156))-C$27)/C$16</f>
        <v>#N/A</v>
      </c>
      <c r="D156" s="18" t="e">
        <f>[1]!OBCALL("calibratedCurves-"&amp;B156,$C$9,"getCloneShifted",[1]!OBMAKE("","String",B156),[1]!OBMAKE("","double",$C$16))</f>
        <v>#N/A</v>
      </c>
      <c r="E156" s="18" t="e">
        <f>[1]!OBCALL("calibratedModel-"&amp;ROW(),D156,"getModel")</f>
        <v>#N/A</v>
      </c>
      <c r="G156" s="98"/>
      <c r="H156" s="18" t="e">
        <f>[1]!OBCALL("calibrationProduct-"&amp;ROW(),C$9,"getCalibrationProductForSymbol",[1]!OBMAKE("","String",B156))</f>
        <v>#N/A</v>
      </c>
      <c r="I156" s="102" t="e">
        <f>([1]!OBGET([1]!OBCALL("",$H156,"getValue",E156))-[1]!OBGET([1]!OBCALL("",$H156,"getValue",E$27)))/$C$16</f>
        <v>#N/A</v>
      </c>
      <c r="K156" s="103" t="str">
        <f t="shared" ref="K156:K187" si="8">B156</f>
        <v>forward-EUR-3M-USD-OIS-0Dx3M</v>
      </c>
      <c r="L156" s="103" t="e">
        <f t="shared" ref="L156:L187" si="9">C156/I156</f>
        <v>#N/A</v>
      </c>
      <c r="N156" s="87"/>
      <c r="IW156" s="18"/>
      <c r="IX156" s="18"/>
    </row>
    <row r="157" spans="2:258" ht="13.2" customHeight="1" x14ac:dyDescent="0.25">
      <c r="B157" s="41" t="s">
        <v>348</v>
      </c>
      <c r="C157" s="98" t="e">
        <f>([1]!OBGET([1]!OBCALL("",$B$24,"getValue",E157))-C$27)/C$16</f>
        <v>#N/A</v>
      </c>
      <c r="D157" s="18" t="e">
        <f>[1]!OBCALL("calibratedCurves-"&amp;B157,$C$9,"getCloneShifted",[1]!OBMAKE("","String",B157),[1]!OBMAKE("","double",$C$16))</f>
        <v>#N/A</v>
      </c>
      <c r="E157" s="18" t="e">
        <f>[1]!OBCALL("calibratedModel-"&amp;ROW(),D157,"getModel")</f>
        <v>#N/A</v>
      </c>
      <c r="G157" s="98"/>
      <c r="H157" s="18" t="e">
        <f>[1]!OBCALL("calibrationProduct-"&amp;ROW(),C$9,"getCalibrationProductForSymbol",[1]!OBMAKE("","String",B157))</f>
        <v>#N/A</v>
      </c>
      <c r="I157" s="102" t="e">
        <f>([1]!OBGET([1]!OBCALL("",$H157,"getValue",E157))-[1]!OBGET([1]!OBCALL("",$H157,"getValue",E$27)))/$C$16</f>
        <v>#N/A</v>
      </c>
      <c r="K157" s="103" t="str">
        <f t="shared" si="8"/>
        <v>forward-EUR-3M-USD-OIS-1Mx3M</v>
      </c>
      <c r="L157" s="103" t="e">
        <f t="shared" si="9"/>
        <v>#N/A</v>
      </c>
      <c r="N157" s="87"/>
      <c r="IW157" s="18"/>
      <c r="IX157" s="18"/>
    </row>
    <row r="158" spans="2:258" ht="13.2" customHeight="1" x14ac:dyDescent="0.25">
      <c r="B158" s="41" t="s">
        <v>349</v>
      </c>
      <c r="C158" s="98" t="e">
        <f>([1]!OBGET([1]!OBCALL("",$B$24,"getValue",E158))-C$27)/C$16</f>
        <v>#N/A</v>
      </c>
      <c r="D158" s="18" t="e">
        <f>[1]!OBCALL("calibratedCurves-"&amp;B158,$C$9,"getCloneShifted",[1]!OBMAKE("","String",B158),[1]!OBMAKE("","double",$C$16))</f>
        <v>#N/A</v>
      </c>
      <c r="E158" s="18" t="e">
        <f>[1]!OBCALL("calibratedModel-"&amp;ROW(),D158,"getModel")</f>
        <v>#N/A</v>
      </c>
      <c r="G158" s="98"/>
      <c r="H158" s="18" t="e">
        <f>[1]!OBCALL("calibrationProduct-"&amp;ROW(),C$9,"getCalibrationProductForSymbol",[1]!OBMAKE("","String",B158))</f>
        <v>#N/A</v>
      </c>
      <c r="I158" s="102" t="e">
        <f>([1]!OBGET([1]!OBCALL("",$H158,"getValue",E158))-[1]!OBGET([1]!OBCALL("",$H158,"getValue",E$27)))/$C$16</f>
        <v>#N/A</v>
      </c>
      <c r="K158" s="103" t="str">
        <f t="shared" si="8"/>
        <v>forward-EUR-3M-USD-OIS-2Mx3M</v>
      </c>
      <c r="L158" s="103" t="e">
        <f t="shared" si="9"/>
        <v>#N/A</v>
      </c>
      <c r="N158" s="87"/>
      <c r="IW158" s="18"/>
      <c r="IX158" s="18"/>
    </row>
    <row r="159" spans="2:258" ht="13.2" customHeight="1" x14ac:dyDescent="0.25">
      <c r="B159" s="41" t="s">
        <v>350</v>
      </c>
      <c r="C159" s="98" t="e">
        <f>([1]!OBGET([1]!OBCALL("",$B$24,"getValue",E159))-C$27)/C$16</f>
        <v>#N/A</v>
      </c>
      <c r="D159" s="18" t="e">
        <f>[1]!OBCALL("calibratedCurves-"&amp;B159,$C$9,"getCloneShifted",[1]!OBMAKE("","String",B159),[1]!OBMAKE("","double",$C$16))</f>
        <v>#N/A</v>
      </c>
      <c r="E159" s="18" t="e">
        <f>[1]!OBCALL("calibratedModel-"&amp;ROW(),D159,"getModel")</f>
        <v>#N/A</v>
      </c>
      <c r="G159" s="98"/>
      <c r="H159" s="18" t="e">
        <f>[1]!OBCALL("calibrationProduct-"&amp;ROW(),C$9,"getCalibrationProductForSymbol",[1]!OBMAKE("","String",B159))</f>
        <v>#N/A</v>
      </c>
      <c r="I159" s="102" t="e">
        <f>([1]!OBGET([1]!OBCALL("",$H159,"getValue",E159))-[1]!OBGET([1]!OBCALL("",$H159,"getValue",E$27)))/$C$16</f>
        <v>#N/A</v>
      </c>
      <c r="K159" s="103" t="str">
        <f t="shared" si="8"/>
        <v>forward-EUR-3M-USD-OIS-3Mx3M</v>
      </c>
      <c r="L159" s="103" t="e">
        <f t="shared" si="9"/>
        <v>#N/A</v>
      </c>
      <c r="N159" s="87"/>
      <c r="IW159" s="18"/>
      <c r="IX159" s="18"/>
    </row>
    <row r="160" spans="2:258" ht="13.2" customHeight="1" x14ac:dyDescent="0.25">
      <c r="B160" s="41" t="s">
        <v>351</v>
      </c>
      <c r="C160" s="98" t="e">
        <f>([1]!OBGET([1]!OBCALL("",$B$24,"getValue",E160))-C$27)/C$16</f>
        <v>#N/A</v>
      </c>
      <c r="D160" s="18" t="e">
        <f>[1]!OBCALL("calibratedCurves-"&amp;B160,$C$9,"getCloneShifted",[1]!OBMAKE("","String",B160),[1]!OBMAKE("","double",$C$16))</f>
        <v>#N/A</v>
      </c>
      <c r="E160" s="18" t="e">
        <f>[1]!OBCALL("calibratedModel-"&amp;ROW(),D160,"getModel")</f>
        <v>#N/A</v>
      </c>
      <c r="G160" s="98"/>
      <c r="H160" s="18" t="e">
        <f>[1]!OBCALL("calibrationProduct-"&amp;ROW(),C$9,"getCalibrationProductForSymbol",[1]!OBMAKE("","String",B160))</f>
        <v>#N/A</v>
      </c>
      <c r="I160" s="102" t="e">
        <f>([1]!OBGET([1]!OBCALL("",$H160,"getValue",E160))-[1]!OBGET([1]!OBCALL("",$H160,"getValue",E$27)))/$C$16</f>
        <v>#N/A</v>
      </c>
      <c r="K160" s="103" t="str">
        <f t="shared" si="8"/>
        <v>forward-EUR-3M-USD-OIS-6Mx3M</v>
      </c>
      <c r="L160" s="103" t="e">
        <f t="shared" si="9"/>
        <v>#N/A</v>
      </c>
      <c r="N160" s="87"/>
      <c r="IW160" s="18"/>
      <c r="IX160" s="18"/>
    </row>
    <row r="161" spans="2:258" ht="13.2" customHeight="1" x14ac:dyDescent="0.25">
      <c r="B161" s="41" t="s">
        <v>352</v>
      </c>
      <c r="C161" s="98" t="e">
        <f>([1]!OBGET([1]!OBCALL("",$B$24,"getValue",E161))-C$27)/C$16</f>
        <v>#N/A</v>
      </c>
      <c r="D161" s="18" t="e">
        <f>[1]!OBCALL("calibratedCurves-"&amp;B161,$C$9,"getCloneShifted",[1]!OBMAKE("","String",B161),[1]!OBMAKE("","double",$C$16))</f>
        <v>#N/A</v>
      </c>
      <c r="E161" s="18" t="e">
        <f>[1]!OBCALL("calibratedModel-"&amp;ROW(),D161,"getModel")</f>
        <v>#N/A</v>
      </c>
      <c r="G161" s="98"/>
      <c r="H161" s="18" t="e">
        <f>[1]!OBCALL("calibrationProduct-"&amp;ROW(),C$9,"getCalibrationProductForSymbol",[1]!OBMAKE("","String",B161))</f>
        <v>#N/A</v>
      </c>
      <c r="I161" s="102" t="e">
        <f>([1]!OBGET([1]!OBCALL("",$H161,"getValue",E161))-[1]!OBGET([1]!OBCALL("",$H161,"getValue",E$27)))/$C$16</f>
        <v>#N/A</v>
      </c>
      <c r="K161" s="103" t="str">
        <f t="shared" si="8"/>
        <v>forward-EUR-3M-USD-OIS-9Mx3M</v>
      </c>
      <c r="L161" s="103" t="e">
        <f t="shared" si="9"/>
        <v>#N/A</v>
      </c>
      <c r="N161" s="87"/>
      <c r="IW161" s="18"/>
      <c r="IX161" s="18"/>
    </row>
    <row r="162" spans="2:258" ht="13.2" customHeight="1" x14ac:dyDescent="0.25">
      <c r="B162" s="41" t="s">
        <v>353</v>
      </c>
      <c r="C162" s="98" t="e">
        <f>([1]!OBGET([1]!OBCALL("",$B$24,"getValue",E162))-C$27)/C$16</f>
        <v>#N/A</v>
      </c>
      <c r="D162" s="18" t="e">
        <f>[1]!OBCALL("calibratedCurves-"&amp;B162,$C$9,"getCloneShifted",[1]!OBMAKE("","String",B162),[1]!OBMAKE("","double",$C$16))</f>
        <v>#N/A</v>
      </c>
      <c r="E162" s="18" t="e">
        <f>[1]!OBCALL("calibratedModel-"&amp;ROW(),D162,"getModel")</f>
        <v>#N/A</v>
      </c>
      <c r="G162" s="98"/>
      <c r="H162" s="18" t="e">
        <f>[1]!OBCALL("calibrationProduct-"&amp;ROW(),C$9,"getCalibrationProductForSymbol",[1]!OBMAKE("","String",B162))</f>
        <v>#N/A</v>
      </c>
      <c r="I162" s="102" t="e">
        <f>([1]!OBGET([1]!OBCALL("",$H162,"getValue",E162))-[1]!OBGET([1]!OBCALL("",$H162,"getValue",E$27)))/$C$16</f>
        <v>#N/A</v>
      </c>
      <c r="K162" s="103" t="str">
        <f t="shared" si="8"/>
        <v>forward-EUR-3M-USD-OIS-12Mx3M</v>
      </c>
      <c r="L162" s="103" t="e">
        <f t="shared" si="9"/>
        <v>#N/A</v>
      </c>
      <c r="N162" s="87"/>
      <c r="IW162" s="18"/>
      <c r="IX162" s="18"/>
    </row>
    <row r="163" spans="2:258" ht="13.2" customHeight="1" x14ac:dyDescent="0.25">
      <c r="B163" s="41" t="s">
        <v>354</v>
      </c>
      <c r="C163" s="98" t="e">
        <f>([1]!OBGET([1]!OBCALL("",$B$24,"getValue",E163))-C$27)/C$16</f>
        <v>#N/A</v>
      </c>
      <c r="D163" s="18" t="e">
        <f>[1]!OBCALL("calibratedCurves-"&amp;B163,$C$9,"getCloneShifted",[1]!OBMAKE("","String",B163),[1]!OBMAKE("","double",$C$16))</f>
        <v>#N/A</v>
      </c>
      <c r="E163" s="18" t="e">
        <f>[1]!OBCALL("calibratedModel-"&amp;ROW(),D163,"getModel")</f>
        <v>#N/A</v>
      </c>
      <c r="G163" s="98"/>
      <c r="H163" s="18" t="e">
        <f>[1]!OBCALL("calibrationProduct-"&amp;ROW(),C$9,"getCalibrationProductForSymbol",[1]!OBMAKE("","String",B163))</f>
        <v>#N/A</v>
      </c>
      <c r="I163" s="102" t="e">
        <f>([1]!OBGET([1]!OBCALL("",$H163,"getValue",E163))-[1]!OBGET([1]!OBCALL("",$H163,"getValue",E$27)))/$C$16</f>
        <v>#N/A</v>
      </c>
      <c r="K163" s="103" t="str">
        <f t="shared" si="8"/>
        <v>forward-EUR-3M-USD-OIS-15Mx3M</v>
      </c>
      <c r="L163" s="103" t="e">
        <f t="shared" si="9"/>
        <v>#N/A</v>
      </c>
      <c r="N163" s="87"/>
      <c r="IW163" s="18"/>
      <c r="IX163" s="18"/>
    </row>
    <row r="164" spans="2:258" ht="13.2" customHeight="1" x14ac:dyDescent="0.25">
      <c r="B164" s="41" t="s">
        <v>355</v>
      </c>
      <c r="C164" s="98" t="e">
        <f>([1]!OBGET([1]!OBCALL("",$B$24,"getValue",E164))-C$27)/C$16</f>
        <v>#N/A</v>
      </c>
      <c r="D164" s="18" t="e">
        <f>[1]!OBCALL("calibratedCurves-"&amp;B164,$C$9,"getCloneShifted",[1]!OBMAKE("","String",B164),[1]!OBMAKE("","double",$C$16))</f>
        <v>#N/A</v>
      </c>
      <c r="E164" s="18" t="e">
        <f>[1]!OBCALL("calibratedModel-"&amp;ROW(),D164,"getModel")</f>
        <v>#N/A</v>
      </c>
      <c r="G164" s="98"/>
      <c r="H164" s="18" t="e">
        <f>[1]!OBCALL("calibrationProduct-"&amp;ROW(),C$9,"getCalibrationProductForSymbol",[1]!OBMAKE("","String",B164))</f>
        <v>#N/A</v>
      </c>
      <c r="I164" s="102" t="e">
        <f>([1]!OBGET([1]!OBCALL("",$H164,"getValue",E164))-[1]!OBGET([1]!OBCALL("",$H164,"getValue",E$27)))/$C$16</f>
        <v>#N/A</v>
      </c>
      <c r="K164" s="103" t="str">
        <f t="shared" si="8"/>
        <v>forward-EUR-3M-USD-OIS-2Y</v>
      </c>
      <c r="L164" s="103" t="e">
        <f t="shared" si="9"/>
        <v>#N/A</v>
      </c>
      <c r="N164" s="87"/>
      <c r="IW164" s="18"/>
      <c r="IX164" s="18"/>
    </row>
    <row r="165" spans="2:258" ht="13.2" customHeight="1" x14ac:dyDescent="0.25">
      <c r="B165" s="41" t="s">
        <v>356</v>
      </c>
      <c r="C165" s="98" t="e">
        <f>([1]!OBGET([1]!OBCALL("",$B$24,"getValue",E165))-C$27)/C$16</f>
        <v>#N/A</v>
      </c>
      <c r="D165" s="18" t="e">
        <f>[1]!OBCALL("calibratedCurves-"&amp;B165,$C$9,"getCloneShifted",[1]!OBMAKE("","String",B165),[1]!OBMAKE("","double",$C$16))</f>
        <v>#N/A</v>
      </c>
      <c r="E165" s="18" t="e">
        <f>[1]!OBCALL("calibratedModel-"&amp;ROW(),D165,"getModel")</f>
        <v>#N/A</v>
      </c>
      <c r="G165" s="98"/>
      <c r="H165" s="18" t="e">
        <f>[1]!OBCALL("calibrationProduct-"&amp;ROW(),C$9,"getCalibrationProductForSymbol",[1]!OBMAKE("","String",B165))</f>
        <v>#N/A</v>
      </c>
      <c r="I165" s="102" t="e">
        <f>([1]!OBGET([1]!OBCALL("",$H165,"getValue",E165))-[1]!OBGET([1]!OBCALL("",$H165,"getValue",E$27)))/$C$16</f>
        <v>#N/A</v>
      </c>
      <c r="K165" s="103" t="str">
        <f t="shared" si="8"/>
        <v>forward-EUR-3M-USD-OIS-3Y</v>
      </c>
      <c r="L165" s="103" t="e">
        <f t="shared" si="9"/>
        <v>#N/A</v>
      </c>
      <c r="N165" s="87"/>
      <c r="IW165" s="18"/>
      <c r="IX165" s="18"/>
    </row>
    <row r="166" spans="2:258" ht="13.2" customHeight="1" x14ac:dyDescent="0.25">
      <c r="B166" s="41" t="s">
        <v>357</v>
      </c>
      <c r="C166" s="98" t="e">
        <f>([1]!OBGET([1]!OBCALL("",$B$24,"getValue",E166))-C$27)/C$16</f>
        <v>#N/A</v>
      </c>
      <c r="D166" s="18" t="e">
        <f>[1]!OBCALL("calibratedCurves-"&amp;B166,$C$9,"getCloneShifted",[1]!OBMAKE("","String",B166),[1]!OBMAKE("","double",$C$16))</f>
        <v>#N/A</v>
      </c>
      <c r="E166" s="18" t="e">
        <f>[1]!OBCALL("calibratedModel-"&amp;ROW(),D166,"getModel")</f>
        <v>#N/A</v>
      </c>
      <c r="G166" s="98"/>
      <c r="H166" s="18" t="e">
        <f>[1]!OBCALL("calibrationProduct-"&amp;ROW(),C$9,"getCalibrationProductForSymbol",[1]!OBMAKE("","String",B166))</f>
        <v>#N/A</v>
      </c>
      <c r="I166" s="102" t="e">
        <f>([1]!OBGET([1]!OBCALL("",$H166,"getValue",E166))-[1]!OBGET([1]!OBCALL("",$H166,"getValue",E$27)))/$C$16</f>
        <v>#N/A</v>
      </c>
      <c r="K166" s="103" t="str">
        <f t="shared" si="8"/>
        <v>forward-EUR-3M-USD-OIS-4Y</v>
      </c>
      <c r="L166" s="103" t="e">
        <f t="shared" si="9"/>
        <v>#N/A</v>
      </c>
      <c r="N166" s="87"/>
      <c r="IW166" s="18"/>
      <c r="IX166" s="18"/>
    </row>
    <row r="167" spans="2:258" ht="13.2" customHeight="1" x14ac:dyDescent="0.25">
      <c r="B167" s="41" t="s">
        <v>358</v>
      </c>
      <c r="C167" s="98" t="e">
        <f>([1]!OBGET([1]!OBCALL("",$B$24,"getValue",E167))-C$27)/C$16</f>
        <v>#N/A</v>
      </c>
      <c r="D167" s="18" t="e">
        <f>[1]!OBCALL("calibratedCurves-"&amp;B167,$C$9,"getCloneShifted",[1]!OBMAKE("","String",B167),[1]!OBMAKE("","double",$C$16))</f>
        <v>#N/A</v>
      </c>
      <c r="E167" s="18" t="e">
        <f>[1]!OBCALL("calibratedModel-"&amp;ROW(),D167,"getModel")</f>
        <v>#N/A</v>
      </c>
      <c r="G167" s="98"/>
      <c r="H167" s="18" t="e">
        <f>[1]!OBCALL("calibrationProduct-"&amp;ROW(),C$9,"getCalibrationProductForSymbol",[1]!OBMAKE("","String",B167))</f>
        <v>#N/A</v>
      </c>
      <c r="I167" s="102" t="e">
        <f>([1]!OBGET([1]!OBCALL("",$H167,"getValue",E167))-[1]!OBGET([1]!OBCALL("",$H167,"getValue",E$27)))/$C$16</f>
        <v>#N/A</v>
      </c>
      <c r="K167" s="103" t="str">
        <f t="shared" si="8"/>
        <v>forward-EUR-3M-USD-OIS-5Y</v>
      </c>
      <c r="L167" s="103" t="e">
        <f t="shared" si="9"/>
        <v>#N/A</v>
      </c>
      <c r="N167" s="87"/>
      <c r="IW167" s="18"/>
      <c r="IX167" s="18"/>
    </row>
    <row r="168" spans="2:258" ht="13.2" customHeight="1" x14ac:dyDescent="0.25">
      <c r="B168" s="41" t="s">
        <v>359</v>
      </c>
      <c r="C168" s="98" t="e">
        <f>([1]!OBGET([1]!OBCALL("",$B$24,"getValue",E168))-C$27)/C$16</f>
        <v>#N/A</v>
      </c>
      <c r="D168" s="18" t="e">
        <f>[1]!OBCALL("calibratedCurves-"&amp;B168,$C$9,"getCloneShifted",[1]!OBMAKE("","String",B168),[1]!OBMAKE("","double",$C$16))</f>
        <v>#N/A</v>
      </c>
      <c r="E168" s="18" t="e">
        <f>[1]!OBCALL("calibratedModel-"&amp;ROW(),D168,"getModel")</f>
        <v>#N/A</v>
      </c>
      <c r="G168" s="98"/>
      <c r="H168" s="18" t="e">
        <f>[1]!OBCALL("calibrationProduct-"&amp;ROW(),C$9,"getCalibrationProductForSymbol",[1]!OBMAKE("","String",B168))</f>
        <v>#N/A</v>
      </c>
      <c r="I168" s="102" t="e">
        <f>([1]!OBGET([1]!OBCALL("",$H168,"getValue",E168))-[1]!OBGET([1]!OBCALL("",$H168,"getValue",E$27)))/$C$16</f>
        <v>#N/A</v>
      </c>
      <c r="K168" s="103" t="str">
        <f t="shared" si="8"/>
        <v>forward-EUR-3M-USD-OIS-6Y</v>
      </c>
      <c r="L168" s="103" t="e">
        <f t="shared" si="9"/>
        <v>#N/A</v>
      </c>
      <c r="N168" s="87"/>
      <c r="IW168" s="18"/>
      <c r="IX168" s="18"/>
    </row>
    <row r="169" spans="2:258" ht="13.2" customHeight="1" x14ac:dyDescent="0.25">
      <c r="B169" s="41" t="s">
        <v>360</v>
      </c>
      <c r="C169" s="98" t="e">
        <f>([1]!OBGET([1]!OBCALL("",$B$24,"getValue",E169))-C$27)/C$16</f>
        <v>#N/A</v>
      </c>
      <c r="D169" s="18" t="e">
        <f>[1]!OBCALL("calibratedCurves-"&amp;B169,$C$9,"getCloneShifted",[1]!OBMAKE("","String",B169),[1]!OBMAKE("","double",$C$16))</f>
        <v>#N/A</v>
      </c>
      <c r="E169" s="18" t="e">
        <f>[1]!OBCALL("calibratedModel-"&amp;ROW(),D169,"getModel")</f>
        <v>#N/A</v>
      </c>
      <c r="G169" s="98"/>
      <c r="H169" s="18" t="e">
        <f>[1]!OBCALL("calibrationProduct-"&amp;ROW(),C$9,"getCalibrationProductForSymbol",[1]!OBMAKE("","String",B169))</f>
        <v>#N/A</v>
      </c>
      <c r="I169" s="102" t="e">
        <f>([1]!OBGET([1]!OBCALL("",$H169,"getValue",E169))-[1]!OBGET([1]!OBCALL("",$H169,"getValue",E$27)))/$C$16</f>
        <v>#N/A</v>
      </c>
      <c r="K169" s="103" t="str">
        <f t="shared" si="8"/>
        <v>forward-EUR-3M-USD-OIS-7Y</v>
      </c>
      <c r="L169" s="103" t="e">
        <f t="shared" si="9"/>
        <v>#N/A</v>
      </c>
      <c r="N169" s="87"/>
      <c r="IW169" s="18"/>
      <c r="IX169" s="18"/>
    </row>
    <row r="170" spans="2:258" ht="13.2" customHeight="1" x14ac:dyDescent="0.25">
      <c r="B170" s="41" t="s">
        <v>361</v>
      </c>
      <c r="C170" s="98" t="e">
        <f>([1]!OBGET([1]!OBCALL("",$B$24,"getValue",E170))-C$27)/C$16</f>
        <v>#N/A</v>
      </c>
      <c r="D170" s="18" t="e">
        <f>[1]!OBCALL("calibratedCurves-"&amp;B170,$C$9,"getCloneShifted",[1]!OBMAKE("","String",B170),[1]!OBMAKE("","double",$C$16))</f>
        <v>#N/A</v>
      </c>
      <c r="E170" s="18" t="e">
        <f>[1]!OBCALL("calibratedModel-"&amp;ROW(),D170,"getModel")</f>
        <v>#N/A</v>
      </c>
      <c r="G170" s="98"/>
      <c r="H170" s="18" t="e">
        <f>[1]!OBCALL("calibrationProduct-"&amp;ROW(),C$9,"getCalibrationProductForSymbol",[1]!OBMAKE("","String",B170))</f>
        <v>#N/A</v>
      </c>
      <c r="I170" s="102" t="e">
        <f>([1]!OBGET([1]!OBCALL("",$H170,"getValue",E170))-[1]!OBGET([1]!OBCALL("",$H170,"getValue",E$27)))/$C$16</f>
        <v>#N/A</v>
      </c>
      <c r="K170" s="103" t="str">
        <f t="shared" si="8"/>
        <v>forward-EUR-3M-USD-OIS-8Y</v>
      </c>
      <c r="L170" s="103" t="e">
        <f t="shared" si="9"/>
        <v>#N/A</v>
      </c>
      <c r="N170" s="87"/>
      <c r="IW170" s="18"/>
      <c r="IX170" s="18"/>
    </row>
    <row r="171" spans="2:258" ht="13.2" customHeight="1" x14ac:dyDescent="0.25">
      <c r="B171" s="41" t="s">
        <v>362</v>
      </c>
      <c r="C171" s="98" t="e">
        <f>([1]!OBGET([1]!OBCALL("",$B$24,"getValue",E171))-C$27)/C$16</f>
        <v>#N/A</v>
      </c>
      <c r="D171" s="18" t="e">
        <f>[1]!OBCALL("calibratedCurves-"&amp;B171,$C$9,"getCloneShifted",[1]!OBMAKE("","String",B171),[1]!OBMAKE("","double",$C$16))</f>
        <v>#N/A</v>
      </c>
      <c r="E171" s="18" t="e">
        <f>[1]!OBCALL("calibratedModel-"&amp;ROW(),D171,"getModel")</f>
        <v>#N/A</v>
      </c>
      <c r="G171" s="98"/>
      <c r="H171" s="18" t="e">
        <f>[1]!OBCALL("calibrationProduct-"&amp;ROW(),C$9,"getCalibrationProductForSymbol",[1]!OBMAKE("","String",B171))</f>
        <v>#N/A</v>
      </c>
      <c r="I171" s="102" t="e">
        <f>([1]!OBGET([1]!OBCALL("",$H171,"getValue",E171))-[1]!OBGET([1]!OBCALL("",$H171,"getValue",E$27)))/$C$16</f>
        <v>#N/A</v>
      </c>
      <c r="K171" s="103" t="str">
        <f t="shared" si="8"/>
        <v>forward-EUR-3M-USD-OIS-9Y</v>
      </c>
      <c r="L171" s="103" t="e">
        <f t="shared" si="9"/>
        <v>#N/A</v>
      </c>
      <c r="N171" s="87"/>
      <c r="IW171" s="18"/>
      <c r="IX171" s="18"/>
    </row>
    <row r="172" spans="2:258" ht="13.2" customHeight="1" x14ac:dyDescent="0.25">
      <c r="B172" s="41" t="s">
        <v>363</v>
      </c>
      <c r="C172" s="98" t="e">
        <f>([1]!OBGET([1]!OBCALL("",$B$24,"getValue",E172))-C$27)/C$16</f>
        <v>#N/A</v>
      </c>
      <c r="D172" s="18" t="e">
        <f>[1]!OBCALL("calibratedCurves-"&amp;B172,$C$9,"getCloneShifted",[1]!OBMAKE("","String",B172),[1]!OBMAKE("","double",$C$16))</f>
        <v>#N/A</v>
      </c>
      <c r="E172" s="18" t="e">
        <f>[1]!OBCALL("calibratedModel-"&amp;ROW(),D172,"getModel")</f>
        <v>#N/A</v>
      </c>
      <c r="G172" s="98"/>
      <c r="H172" s="18" t="e">
        <f>[1]!OBCALL("calibrationProduct-"&amp;ROW(),C$9,"getCalibrationProductForSymbol",[1]!OBMAKE("","String",B172))</f>
        <v>#N/A</v>
      </c>
      <c r="I172" s="102" t="e">
        <f>([1]!OBGET([1]!OBCALL("",$H172,"getValue",E172))-[1]!OBGET([1]!OBCALL("",$H172,"getValue",E$27)))/$C$16</f>
        <v>#N/A</v>
      </c>
      <c r="K172" s="103" t="str">
        <f t="shared" si="8"/>
        <v>forward-EUR-3M-USD-OIS-10Y</v>
      </c>
      <c r="L172" s="103" t="e">
        <f t="shared" si="9"/>
        <v>#N/A</v>
      </c>
      <c r="N172" s="87"/>
      <c r="IW172" s="18"/>
      <c r="IX172" s="18"/>
    </row>
    <row r="173" spans="2:258" ht="13.2" customHeight="1" x14ac:dyDescent="0.25">
      <c r="B173" s="41" t="s">
        <v>364</v>
      </c>
      <c r="C173" s="98" t="e">
        <f>([1]!OBGET([1]!OBCALL("",$B$24,"getValue",E173))-C$27)/C$16</f>
        <v>#N/A</v>
      </c>
      <c r="D173" s="18" t="e">
        <f>[1]!OBCALL("calibratedCurves-"&amp;B173,$C$9,"getCloneShifted",[1]!OBMAKE("","String",B173),[1]!OBMAKE("","double",$C$16))</f>
        <v>#N/A</v>
      </c>
      <c r="E173" s="18" t="e">
        <f>[1]!OBCALL("calibratedModel-"&amp;ROW(),D173,"getModel")</f>
        <v>#N/A</v>
      </c>
      <c r="G173" s="98"/>
      <c r="H173" s="18" t="e">
        <f>[1]!OBCALL("calibrationProduct-"&amp;ROW(),C$9,"getCalibrationProductForSymbol",[1]!OBMAKE("","String",B173))</f>
        <v>#N/A</v>
      </c>
      <c r="I173" s="102" t="e">
        <f>([1]!OBGET([1]!OBCALL("",$H173,"getValue",E173))-[1]!OBGET([1]!OBCALL("",$H173,"getValue",E$27)))/$C$16</f>
        <v>#N/A</v>
      </c>
      <c r="K173" s="103" t="str">
        <f t="shared" si="8"/>
        <v>forward-EUR-3M-USD-OIS-12Y</v>
      </c>
      <c r="L173" s="103" t="e">
        <f t="shared" si="9"/>
        <v>#N/A</v>
      </c>
      <c r="N173" s="87"/>
      <c r="IW173" s="18"/>
      <c r="IX173" s="18"/>
    </row>
    <row r="174" spans="2:258" ht="13.2" customHeight="1" x14ac:dyDescent="0.25">
      <c r="B174" s="41" t="s">
        <v>365</v>
      </c>
      <c r="C174" s="98" t="e">
        <f>([1]!OBGET([1]!OBCALL("",$B$24,"getValue",E174))-C$27)/C$16</f>
        <v>#N/A</v>
      </c>
      <c r="D174" s="18" t="e">
        <f>[1]!OBCALL("calibratedCurves-"&amp;B174,$C$9,"getCloneShifted",[1]!OBMAKE("","String",B174),[1]!OBMAKE("","double",$C$16))</f>
        <v>#N/A</v>
      </c>
      <c r="E174" s="18" t="e">
        <f>[1]!OBCALL("calibratedModel-"&amp;ROW(),D174,"getModel")</f>
        <v>#N/A</v>
      </c>
      <c r="G174" s="98"/>
      <c r="H174" s="18" t="e">
        <f>[1]!OBCALL("calibrationProduct-"&amp;ROW(),C$9,"getCalibrationProductForSymbol",[1]!OBMAKE("","String",B174))</f>
        <v>#N/A</v>
      </c>
      <c r="I174" s="102" t="e">
        <f>([1]!OBGET([1]!OBCALL("",$H174,"getValue",E174))-[1]!OBGET([1]!OBCALL("",$H174,"getValue",E$27)))/$C$16</f>
        <v>#N/A</v>
      </c>
      <c r="K174" s="103" t="str">
        <f t="shared" si="8"/>
        <v>forward-EUR-3M-USD-OIS-15Y</v>
      </c>
      <c r="L174" s="103" t="e">
        <f t="shared" si="9"/>
        <v>#N/A</v>
      </c>
      <c r="N174" s="87"/>
      <c r="IW174" s="18"/>
      <c r="IX174" s="18"/>
    </row>
    <row r="175" spans="2:258" ht="13.2" customHeight="1" x14ac:dyDescent="0.25">
      <c r="B175" s="41" t="s">
        <v>366</v>
      </c>
      <c r="C175" s="98" t="e">
        <f>([1]!OBGET([1]!OBCALL("",$B$24,"getValue",E175))-C$27)/C$16</f>
        <v>#N/A</v>
      </c>
      <c r="D175" s="18" t="e">
        <f>[1]!OBCALL("calibratedCurves-"&amp;B175,$C$9,"getCloneShifted",[1]!OBMAKE("","String",B175),[1]!OBMAKE("","double",$C$16))</f>
        <v>#N/A</v>
      </c>
      <c r="E175" s="18" t="e">
        <f>[1]!OBCALL("calibratedModel-"&amp;ROW(),D175,"getModel")</f>
        <v>#N/A</v>
      </c>
      <c r="G175" s="98"/>
      <c r="H175" s="18" t="e">
        <f>[1]!OBCALL("calibrationProduct-"&amp;ROW(),C$9,"getCalibrationProductForSymbol",[1]!OBMAKE("","String",B175))</f>
        <v>#N/A</v>
      </c>
      <c r="I175" s="102" t="e">
        <f>([1]!OBGET([1]!OBCALL("",$H175,"getValue",E175))-[1]!OBGET([1]!OBCALL("",$H175,"getValue",E$27)))/$C$16</f>
        <v>#N/A</v>
      </c>
      <c r="K175" s="103" t="str">
        <f t="shared" si="8"/>
        <v>forward-EUR-3M-USD-OIS-20Y</v>
      </c>
      <c r="L175" s="103" t="e">
        <f t="shared" si="9"/>
        <v>#N/A</v>
      </c>
      <c r="N175" s="87"/>
      <c r="IW175" s="18"/>
      <c r="IX175" s="18"/>
    </row>
    <row r="176" spans="2:258" ht="13.2" customHeight="1" x14ac:dyDescent="0.25">
      <c r="B176" s="41" t="s">
        <v>367</v>
      </c>
      <c r="C176" s="98" t="e">
        <f>([1]!OBGET([1]!OBCALL("",$B$24,"getValue",E176))-C$27)/C$16</f>
        <v>#N/A</v>
      </c>
      <c r="D176" s="18" t="e">
        <f>[1]!OBCALL("calibratedCurves-"&amp;B176,$C$9,"getCloneShifted",[1]!OBMAKE("","String",B176),[1]!OBMAKE("","double",$C$16))</f>
        <v>#N/A</v>
      </c>
      <c r="E176" s="18" t="e">
        <f>[1]!OBCALL("calibratedModel-"&amp;ROW(),D176,"getModel")</f>
        <v>#N/A</v>
      </c>
      <c r="G176" s="98"/>
      <c r="H176" s="18" t="e">
        <f>[1]!OBCALL("calibrationProduct-"&amp;ROW(),C$9,"getCalibrationProductForSymbol",[1]!OBMAKE("","String",B176))</f>
        <v>#N/A</v>
      </c>
      <c r="I176" s="102" t="e">
        <f>([1]!OBGET([1]!OBCALL("",$H176,"getValue",E176))-[1]!OBGET([1]!OBCALL("",$H176,"getValue",E$27)))/$C$16</f>
        <v>#N/A</v>
      </c>
      <c r="K176" s="103" t="str">
        <f t="shared" si="8"/>
        <v>forward-EUR-3M-USD-OIS-25Y</v>
      </c>
      <c r="L176" s="103" t="e">
        <f t="shared" si="9"/>
        <v>#N/A</v>
      </c>
      <c r="N176" s="87"/>
      <c r="IW176" s="18"/>
      <c r="IX176" s="18"/>
    </row>
    <row r="177" spans="2:258" ht="13.2" customHeight="1" x14ac:dyDescent="0.25">
      <c r="B177" s="41" t="s">
        <v>368</v>
      </c>
      <c r="C177" s="98" t="e">
        <f>([1]!OBGET([1]!OBCALL("",$B$24,"getValue",E177))-C$27)/C$16</f>
        <v>#N/A</v>
      </c>
      <c r="D177" s="18" t="e">
        <f>[1]!OBCALL("calibratedCurves-"&amp;B177,$C$9,"getCloneShifted",[1]!OBMAKE("","String",B177),[1]!OBMAKE("","double",$C$16))</f>
        <v>#N/A</v>
      </c>
      <c r="E177" s="18" t="e">
        <f>[1]!OBCALL("calibratedModel-"&amp;ROW(),D177,"getModel")</f>
        <v>#N/A</v>
      </c>
      <c r="G177" s="98"/>
      <c r="H177" s="18" t="e">
        <f>[1]!OBCALL("calibrationProduct-"&amp;ROW(),C$9,"getCalibrationProductForSymbol",[1]!OBMAKE("","String",B177))</f>
        <v>#N/A</v>
      </c>
      <c r="I177" s="102" t="e">
        <f>([1]!OBGET([1]!OBCALL("",$H177,"getValue",E177))-[1]!OBGET([1]!OBCALL("",$H177,"getValue",E$27)))/$C$16</f>
        <v>#N/A</v>
      </c>
      <c r="K177" s="103" t="str">
        <f t="shared" si="8"/>
        <v>forward-EUR-3M-USD-OIS-30Y</v>
      </c>
      <c r="L177" s="103" t="e">
        <f t="shared" si="9"/>
        <v>#N/A</v>
      </c>
      <c r="N177" s="87"/>
      <c r="IW177" s="18"/>
      <c r="IX177" s="18"/>
    </row>
    <row r="178" spans="2:258" ht="13.2" customHeight="1" x14ac:dyDescent="0.25">
      <c r="B178" s="41" t="s">
        <v>369</v>
      </c>
      <c r="C178" s="98" t="e">
        <f>([1]!OBGET([1]!OBCALL("",$B$24,"getValue",E178))-C$27)/C$16</f>
        <v>#N/A</v>
      </c>
      <c r="D178" s="18" t="e">
        <f>[1]!OBCALL("calibratedCurves-"&amp;B178,$C$9,"getCloneShifted",[1]!OBMAKE("","String",B178),[1]!OBMAKE("","double",$C$16))</f>
        <v>#N/A</v>
      </c>
      <c r="E178" s="18" t="e">
        <f>[1]!OBCALL("calibratedModel-"&amp;ROW(),D178,"getModel")</f>
        <v>#N/A</v>
      </c>
      <c r="G178" s="98"/>
      <c r="H178" s="18" t="e">
        <f>[1]!OBCALL("calibrationProduct-"&amp;ROW(),C$9,"getCalibrationProductForSymbol",[1]!OBMAKE("","String",B178))</f>
        <v>#N/A</v>
      </c>
      <c r="I178" s="102" t="e">
        <f>([1]!OBGET([1]!OBCALL("",$H178,"getValue",E178))-[1]!OBGET([1]!OBCALL("",$H178,"getValue",E$27)))/$C$16</f>
        <v>#N/A</v>
      </c>
      <c r="K178" s="103" t="str">
        <f t="shared" si="8"/>
        <v>forward-EUR-3M-USD-OIS-40Y</v>
      </c>
      <c r="L178" s="103" t="e">
        <f t="shared" si="9"/>
        <v>#N/A</v>
      </c>
      <c r="N178" s="87"/>
      <c r="IW178" s="18"/>
      <c r="IX178" s="18"/>
    </row>
    <row r="179" spans="2:258" ht="13.2" customHeight="1" x14ac:dyDescent="0.25">
      <c r="B179" s="41" t="s">
        <v>370</v>
      </c>
      <c r="C179" s="98" t="e">
        <f>([1]!OBGET([1]!OBCALL("",$B$24,"getValue",E179))-C$27)/C$16</f>
        <v>#N/A</v>
      </c>
      <c r="D179" s="18" t="e">
        <f>[1]!OBCALL("calibratedCurves-"&amp;B179,$C$9,"getCloneShifted",[1]!OBMAKE("","String",B179),[1]!OBMAKE("","double",$C$16))</f>
        <v>#N/A</v>
      </c>
      <c r="E179" s="18" t="e">
        <f>[1]!OBCALL("calibratedModel-"&amp;ROW(),D179,"getModel")</f>
        <v>#N/A</v>
      </c>
      <c r="G179" s="98"/>
      <c r="H179" s="18" t="e">
        <f>[1]!OBCALL("calibrationProduct-"&amp;ROW(),C$9,"getCalibrationProductForSymbol",[1]!OBMAKE("","String",B179))</f>
        <v>#N/A</v>
      </c>
      <c r="I179" s="102" t="e">
        <f>([1]!OBGET([1]!OBCALL("",$H179,"getValue",E179))-[1]!OBGET([1]!OBCALL("",$H179,"getValue",E$27)))/$C$16</f>
        <v>#N/A</v>
      </c>
      <c r="K179" s="103" t="str">
        <f t="shared" si="8"/>
        <v>forward-EUR-3M-USD-OIS-50Y</v>
      </c>
      <c r="L179" s="103" t="e">
        <f t="shared" si="9"/>
        <v>#N/A</v>
      </c>
      <c r="N179" s="87"/>
      <c r="IW179" s="18"/>
      <c r="IX179" s="18"/>
    </row>
    <row r="180" spans="2:258" ht="13.2" customHeight="1" x14ac:dyDescent="0.25">
      <c r="B180" s="41" t="s">
        <v>371</v>
      </c>
      <c r="C180" s="98" t="e">
        <f>([1]!OBGET([1]!OBCALL("",$B$24,"getValue",E180))-C$27)/C$16</f>
        <v>#N/A</v>
      </c>
      <c r="D180" s="18" t="e">
        <f>[1]!OBCALL("calibratedCurves-"&amp;B180,$C$9,"getCloneShifted",[1]!OBMAKE("","String",B180),[1]!OBMAKE("","double",$C$16))</f>
        <v>#N/A</v>
      </c>
      <c r="E180" s="18" t="e">
        <f>[1]!OBCALL("calibratedModel-"&amp;ROW(),D180,"getModel")</f>
        <v>#N/A</v>
      </c>
      <c r="G180" s="98"/>
      <c r="H180" s="18" t="e">
        <f>[1]!OBCALL("calibrationProduct-"&amp;ROW(),C$9,"getCalibrationProductForSymbol",[1]!OBMAKE("","String",B180))</f>
        <v>#N/A</v>
      </c>
      <c r="I180" s="102" t="e">
        <f>([1]!OBGET([1]!OBCALL("",$H180,"getValue",E180))-[1]!OBGET([1]!OBCALL("",$H180,"getValue",E$27)))/$C$16</f>
        <v>#N/A</v>
      </c>
      <c r="K180" s="103" t="str">
        <f t="shared" si="8"/>
        <v>discount-EUR-USD-OIS-2-1Y</v>
      </c>
      <c r="L180" s="103" t="e">
        <f t="shared" si="9"/>
        <v>#N/A</v>
      </c>
      <c r="N180" s="87"/>
      <c r="IW180" s="18"/>
      <c r="IX180" s="18"/>
    </row>
    <row r="181" spans="2:258" ht="13.2" customHeight="1" x14ac:dyDescent="0.25">
      <c r="B181" s="41" t="s">
        <v>372</v>
      </c>
      <c r="C181" s="98" t="e">
        <f>([1]!OBGET([1]!OBCALL("",$B$24,"getValue",E181))-C$27)/C$16</f>
        <v>#N/A</v>
      </c>
      <c r="D181" s="18" t="e">
        <f>[1]!OBCALL("calibratedCurves-"&amp;B181,$C$9,"getCloneShifted",[1]!OBMAKE("","String",B181),[1]!OBMAKE("","double",$C$16))</f>
        <v>#N/A</v>
      </c>
      <c r="E181" s="18" t="e">
        <f>[1]!OBCALL("calibratedModel-"&amp;ROW(),D181,"getModel")</f>
        <v>#N/A</v>
      </c>
      <c r="G181" s="98"/>
      <c r="H181" s="18" t="e">
        <f>[1]!OBCALL("calibrationProduct-"&amp;ROW(),C$9,"getCalibrationProductForSymbol",[1]!OBMAKE("","String",B181))</f>
        <v>#N/A</v>
      </c>
      <c r="I181" s="102" t="e">
        <f>([1]!OBGET([1]!OBCALL("",$H181,"getValue",E181))-[1]!OBGET([1]!OBCALL("",$H181,"getValue",E$27)))/$C$16</f>
        <v>#N/A</v>
      </c>
      <c r="K181" s="103" t="str">
        <f t="shared" si="8"/>
        <v>discount-EUR-USD-OIS-2-2Y</v>
      </c>
      <c r="L181" s="103" t="e">
        <f t="shared" si="9"/>
        <v>#N/A</v>
      </c>
      <c r="N181" s="87"/>
      <c r="IW181" s="18"/>
      <c r="IX181" s="18"/>
    </row>
    <row r="182" spans="2:258" ht="13.2" customHeight="1" x14ac:dyDescent="0.25">
      <c r="B182" s="41" t="s">
        <v>373</v>
      </c>
      <c r="C182" s="98" t="e">
        <f>([1]!OBGET([1]!OBCALL("",$B$24,"getValue",E182))-C$27)/C$16</f>
        <v>#N/A</v>
      </c>
      <c r="D182" s="18" t="e">
        <f>[1]!OBCALL("calibratedCurves-"&amp;B182,$C$9,"getCloneShifted",[1]!OBMAKE("","String",B182),[1]!OBMAKE("","double",$C$16))</f>
        <v>#N/A</v>
      </c>
      <c r="E182" s="18" t="e">
        <f>[1]!OBCALL("calibratedModel-"&amp;ROW(),D182,"getModel")</f>
        <v>#N/A</v>
      </c>
      <c r="G182" s="98"/>
      <c r="H182" s="18" t="e">
        <f>[1]!OBCALL("calibrationProduct-"&amp;ROW(),C$9,"getCalibrationProductForSymbol",[1]!OBMAKE("","String",B182))</f>
        <v>#N/A</v>
      </c>
      <c r="I182" s="102" t="e">
        <f>([1]!OBGET([1]!OBCALL("",$H182,"getValue",E182))-[1]!OBGET([1]!OBCALL("",$H182,"getValue",E$27)))/$C$16</f>
        <v>#N/A</v>
      </c>
      <c r="K182" s="103" t="str">
        <f t="shared" si="8"/>
        <v>discount-EUR-USD-OIS-2-3Y</v>
      </c>
      <c r="L182" s="103" t="e">
        <f t="shared" si="9"/>
        <v>#N/A</v>
      </c>
      <c r="N182" s="87"/>
      <c r="IW182" s="18"/>
      <c r="IX182" s="18"/>
    </row>
    <row r="183" spans="2:258" ht="13.2" customHeight="1" x14ac:dyDescent="0.25">
      <c r="B183" s="41" t="s">
        <v>374</v>
      </c>
      <c r="C183" s="98" t="e">
        <f>([1]!OBGET([1]!OBCALL("",$B$24,"getValue",E183))-C$27)/C$16</f>
        <v>#N/A</v>
      </c>
      <c r="D183" s="18" t="e">
        <f>[1]!OBCALL("calibratedCurves-"&amp;B183,$C$9,"getCloneShifted",[1]!OBMAKE("","String",B183),[1]!OBMAKE("","double",$C$16))</f>
        <v>#N/A</v>
      </c>
      <c r="E183" s="18" t="e">
        <f>[1]!OBCALL("calibratedModel-"&amp;ROW(),D183,"getModel")</f>
        <v>#N/A</v>
      </c>
      <c r="G183" s="98"/>
      <c r="H183" s="18" t="e">
        <f>[1]!OBCALL("calibrationProduct-"&amp;ROW(),C$9,"getCalibrationProductForSymbol",[1]!OBMAKE("","String",B183))</f>
        <v>#N/A</v>
      </c>
      <c r="I183" s="102" t="e">
        <f>([1]!OBGET([1]!OBCALL("",$H183,"getValue",E183))-[1]!OBGET([1]!OBCALL("",$H183,"getValue",E$27)))/$C$16</f>
        <v>#N/A</v>
      </c>
      <c r="K183" s="103" t="str">
        <f t="shared" si="8"/>
        <v>discount-EUR-USD-OIS-2-4Y</v>
      </c>
      <c r="L183" s="103" t="e">
        <f t="shared" si="9"/>
        <v>#N/A</v>
      </c>
      <c r="N183" s="87"/>
      <c r="IW183" s="18"/>
      <c r="IX183" s="18"/>
    </row>
    <row r="184" spans="2:258" ht="13.2" customHeight="1" x14ac:dyDescent="0.25">
      <c r="B184" s="41" t="s">
        <v>375</v>
      </c>
      <c r="C184" s="98" t="e">
        <f>([1]!OBGET([1]!OBCALL("",$B$24,"getValue",E184))-C$27)/C$16</f>
        <v>#N/A</v>
      </c>
      <c r="D184" s="18" t="e">
        <f>[1]!OBCALL("calibratedCurves-"&amp;B184,$C$9,"getCloneShifted",[1]!OBMAKE("","String",B184),[1]!OBMAKE("","double",$C$16))</f>
        <v>#N/A</v>
      </c>
      <c r="E184" s="18" t="e">
        <f>[1]!OBCALL("calibratedModel-"&amp;ROW(),D184,"getModel")</f>
        <v>#N/A</v>
      </c>
      <c r="G184" s="98"/>
      <c r="H184" s="18" t="e">
        <f>[1]!OBCALL("calibrationProduct-"&amp;ROW(),C$9,"getCalibrationProductForSymbol",[1]!OBMAKE("","String",B184))</f>
        <v>#N/A</v>
      </c>
      <c r="I184" s="102" t="e">
        <f>([1]!OBGET([1]!OBCALL("",$H184,"getValue",E184))-[1]!OBGET([1]!OBCALL("",$H184,"getValue",E$27)))/$C$16</f>
        <v>#N/A</v>
      </c>
      <c r="K184" s="103" t="str">
        <f t="shared" si="8"/>
        <v>discount-EUR-USD-OIS-2-5Y</v>
      </c>
      <c r="L184" s="103" t="e">
        <f t="shared" si="9"/>
        <v>#N/A</v>
      </c>
      <c r="N184" s="87"/>
      <c r="IW184" s="18"/>
      <c r="IX184" s="18"/>
    </row>
    <row r="185" spans="2:258" ht="13.2" customHeight="1" x14ac:dyDescent="0.25">
      <c r="B185" s="41" t="s">
        <v>376</v>
      </c>
      <c r="C185" s="98" t="e">
        <f>([1]!OBGET([1]!OBCALL("",$B$24,"getValue",E185))-C$27)/C$16</f>
        <v>#N/A</v>
      </c>
      <c r="D185" s="18" t="e">
        <f>[1]!OBCALL("calibratedCurves-"&amp;B185,$C$9,"getCloneShifted",[1]!OBMAKE("","String",B185),[1]!OBMAKE("","double",$C$16))</f>
        <v>#N/A</v>
      </c>
      <c r="E185" s="18" t="e">
        <f>[1]!OBCALL("calibratedModel-"&amp;ROW(),D185,"getModel")</f>
        <v>#N/A</v>
      </c>
      <c r="G185" s="98"/>
      <c r="H185" s="18" t="e">
        <f>[1]!OBCALL("calibrationProduct-"&amp;ROW(),C$9,"getCalibrationProductForSymbol",[1]!OBMAKE("","String",B185))</f>
        <v>#N/A</v>
      </c>
      <c r="I185" s="102" t="e">
        <f>([1]!OBGET([1]!OBCALL("",$H185,"getValue",E185))-[1]!OBGET([1]!OBCALL("",$H185,"getValue",E$27)))/$C$16</f>
        <v>#N/A</v>
      </c>
      <c r="K185" s="103" t="str">
        <f t="shared" si="8"/>
        <v>discount-EUR-USD-OIS-2-7Y</v>
      </c>
      <c r="L185" s="103" t="e">
        <f t="shared" si="9"/>
        <v>#N/A</v>
      </c>
      <c r="N185" s="87"/>
      <c r="IW185" s="18"/>
      <c r="IX185" s="18"/>
    </row>
    <row r="186" spans="2:258" ht="13.2" customHeight="1" x14ac:dyDescent="0.25">
      <c r="B186" s="41" t="s">
        <v>377</v>
      </c>
      <c r="C186" s="98" t="e">
        <f>([1]!OBGET([1]!OBCALL("",$B$24,"getValue",E186))-C$27)/C$16</f>
        <v>#N/A</v>
      </c>
      <c r="D186" s="18" t="e">
        <f>[1]!OBCALL("calibratedCurves-"&amp;B186,$C$9,"getCloneShifted",[1]!OBMAKE("","String",B186),[1]!OBMAKE("","double",$C$16))</f>
        <v>#N/A</v>
      </c>
      <c r="E186" s="18" t="e">
        <f>[1]!OBCALL("calibratedModel-"&amp;ROW(),D186,"getModel")</f>
        <v>#N/A</v>
      </c>
      <c r="G186" s="98"/>
      <c r="H186" s="18" t="e">
        <f>[1]!OBCALL("calibrationProduct-"&amp;ROW(),C$9,"getCalibrationProductForSymbol",[1]!OBMAKE("","String",B186))</f>
        <v>#N/A</v>
      </c>
      <c r="I186" s="102" t="e">
        <f>([1]!OBGET([1]!OBCALL("",$H186,"getValue",E186))-[1]!OBGET([1]!OBCALL("",$H186,"getValue",E$27)))/$C$16</f>
        <v>#N/A</v>
      </c>
      <c r="K186" s="103" t="str">
        <f t="shared" si="8"/>
        <v>discount-EUR-USD-OIS-2-10Y</v>
      </c>
      <c r="L186" s="103" t="e">
        <f t="shared" si="9"/>
        <v>#N/A</v>
      </c>
      <c r="N186" s="87"/>
      <c r="IW186" s="18"/>
      <c r="IX186" s="18"/>
    </row>
    <row r="187" spans="2:258" ht="13.2" customHeight="1" x14ac:dyDescent="0.25">
      <c r="B187" s="41" t="s">
        <v>378</v>
      </c>
      <c r="C187" s="98" t="e">
        <f>([1]!OBGET([1]!OBCALL("",$B$24,"getValue",E187))-C$27)/C$16</f>
        <v>#N/A</v>
      </c>
      <c r="D187" s="18" t="e">
        <f>[1]!OBCALL("calibratedCurves-"&amp;B187,$C$9,"getCloneShifted",[1]!OBMAKE("","String",B187),[1]!OBMAKE("","double",$C$16))</f>
        <v>#N/A</v>
      </c>
      <c r="E187" s="18" t="e">
        <f>[1]!OBCALL("calibratedModel-"&amp;ROW(),D187,"getModel")</f>
        <v>#N/A</v>
      </c>
      <c r="G187" s="98"/>
      <c r="H187" s="18" t="e">
        <f>[1]!OBCALL("calibrationProduct-"&amp;ROW(),C$9,"getCalibrationProductForSymbol",[1]!OBMAKE("","String",B187))</f>
        <v>#N/A</v>
      </c>
      <c r="I187" s="102" t="e">
        <f>([1]!OBGET([1]!OBCALL("",$H187,"getValue",E187))-[1]!OBGET([1]!OBCALL("",$H187,"getValue",E$27)))/$C$16</f>
        <v>#N/A</v>
      </c>
      <c r="K187" s="103" t="str">
        <f t="shared" si="8"/>
        <v>discount-EUR-USD-OIS-2-15Y</v>
      </c>
      <c r="L187" s="103" t="e">
        <f t="shared" si="9"/>
        <v>#N/A</v>
      </c>
      <c r="N187" s="87"/>
      <c r="IW187" s="18"/>
      <c r="IX187" s="18"/>
    </row>
    <row r="188" spans="2:258" ht="13.2" customHeight="1" x14ac:dyDescent="0.25">
      <c r="B188" s="41" t="s">
        <v>379</v>
      </c>
      <c r="C188" s="98" t="e">
        <f>([1]!OBGET([1]!OBCALL("",$B$24,"getValue",E188))-C$27)/C$16</f>
        <v>#N/A</v>
      </c>
      <c r="D188" s="18" t="e">
        <f>[1]!OBCALL("calibratedCurves-"&amp;B188,$C$9,"getCloneShifted",[1]!OBMAKE("","String",B188),[1]!OBMAKE("","double",$C$16))</f>
        <v>#N/A</v>
      </c>
      <c r="E188" s="18" t="e">
        <f>[1]!OBCALL("calibratedModel-"&amp;ROW(),D188,"getModel")</f>
        <v>#N/A</v>
      </c>
      <c r="G188" s="98"/>
      <c r="H188" s="18" t="e">
        <f>[1]!OBCALL("calibrationProduct-"&amp;ROW(),C$9,"getCalibrationProductForSymbol",[1]!OBMAKE("","String",B188))</f>
        <v>#N/A</v>
      </c>
      <c r="I188" s="102" t="e">
        <f>([1]!OBGET([1]!OBCALL("",$H188,"getValue",E188))-[1]!OBGET([1]!OBCALL("",$H188,"getValue",E$27)))/$C$16</f>
        <v>#N/A</v>
      </c>
      <c r="K188" s="103" t="str">
        <f t="shared" ref="K188:K203" si="10">B188</f>
        <v>discount-EUR-USD-OIS-2-20Y</v>
      </c>
      <c r="L188" s="103" t="e">
        <f t="shared" ref="L188:L203" si="11">C188/I188</f>
        <v>#N/A</v>
      </c>
      <c r="N188" s="87"/>
      <c r="IW188" s="18"/>
      <c r="IX188" s="18"/>
    </row>
    <row r="189" spans="2:258" ht="13.2" customHeight="1" x14ac:dyDescent="0.25">
      <c r="B189" s="41" t="s">
        <v>380</v>
      </c>
      <c r="C189" s="98" t="e">
        <f>([1]!OBGET([1]!OBCALL("",$B$24,"getValue",E189))-C$27)/C$16</f>
        <v>#N/A</v>
      </c>
      <c r="D189" s="18" t="e">
        <f>[1]!OBCALL("calibratedCurves-"&amp;B189,$C$9,"getCloneShifted",[1]!OBMAKE("","String",B189),[1]!OBMAKE("","double",$C$16))</f>
        <v>#N/A</v>
      </c>
      <c r="E189" s="18" t="e">
        <f>[1]!OBCALL("calibratedModel-"&amp;ROW(),D189,"getModel")</f>
        <v>#N/A</v>
      </c>
      <c r="G189" s="98"/>
      <c r="H189" s="18" t="e">
        <f>[1]!OBCALL("calibrationProduct-"&amp;ROW(),C$9,"getCalibrationProductForSymbol",[1]!OBMAKE("","String",B189))</f>
        <v>#N/A</v>
      </c>
      <c r="I189" s="102" t="e">
        <f>([1]!OBGET([1]!OBCALL("",$H189,"getValue",E189))-[1]!OBGET([1]!OBCALL("",$H189,"getValue",E$27)))/$C$16</f>
        <v>#N/A</v>
      </c>
      <c r="K189" s="103" t="str">
        <f t="shared" si="10"/>
        <v>discount-EUR-USD-OIS-2-30Y</v>
      </c>
      <c r="L189" s="103" t="e">
        <f t="shared" si="11"/>
        <v>#N/A</v>
      </c>
      <c r="N189" s="87"/>
      <c r="IW189" s="18"/>
      <c r="IX189" s="18"/>
    </row>
    <row r="190" spans="2:258" ht="13.2" customHeight="1" x14ac:dyDescent="0.25">
      <c r="B190" s="41" t="s">
        <v>381</v>
      </c>
      <c r="C190" s="98" t="e">
        <f>([1]!OBGET([1]!OBCALL("",$B$24,"getValue",E190))-C$27)/C$16</f>
        <v>#N/A</v>
      </c>
      <c r="D190" s="18" t="e">
        <f>[1]!OBCALL("calibratedCurves-"&amp;B190,$C$9,"getCloneShifted",[1]!OBMAKE("","String",B190),[1]!OBMAKE("","double",$C$16))</f>
        <v>#N/A</v>
      </c>
      <c r="E190" s="18" t="e">
        <f>[1]!OBCALL("calibratedModel-"&amp;ROW(),D190,"getModel")</f>
        <v>#N/A</v>
      </c>
      <c r="G190" s="98"/>
      <c r="H190" s="18" t="e">
        <f>[1]!OBCALL("calibrationProduct-"&amp;ROW(),C$9,"getCalibrationProductForSymbol",[1]!OBMAKE("","String",B190))</f>
        <v>#N/A</v>
      </c>
      <c r="I190" s="102" t="e">
        <f>([1]!OBGET([1]!OBCALL("",$H190,"getValue",E190))-[1]!OBGET([1]!OBCALL("",$H190,"getValue",E$27)))/$C$16</f>
        <v>#N/A</v>
      </c>
      <c r="K190" s="103" t="str">
        <f t="shared" si="10"/>
        <v>discount-EUR-USD-OIS-2-40Y</v>
      </c>
      <c r="L190" s="103" t="e">
        <f t="shared" si="11"/>
        <v>#N/A</v>
      </c>
      <c r="N190" s="87"/>
      <c r="IW190" s="18"/>
      <c r="IX190" s="18"/>
    </row>
    <row r="191" spans="2:258" ht="13.2" customHeight="1" x14ac:dyDescent="0.25">
      <c r="B191" s="41" t="s">
        <v>382</v>
      </c>
      <c r="C191" s="98" t="e">
        <f>([1]!OBGET([1]!OBCALL("",$B$24,"getValue",E191))-C$27)/C$16</f>
        <v>#N/A</v>
      </c>
      <c r="D191" s="18" t="e">
        <f>[1]!OBCALL("calibratedCurves-"&amp;B191,$C$9,"getCloneShifted",[1]!OBMAKE("","String",B191),[1]!OBMAKE("","double",$C$16))</f>
        <v>#N/A</v>
      </c>
      <c r="E191" s="18" t="e">
        <f>[1]!OBCALL("calibratedModel-"&amp;ROW(),D191,"getModel")</f>
        <v>#N/A</v>
      </c>
      <c r="G191" s="98"/>
      <c r="H191" s="18" t="e">
        <f>[1]!OBCALL("calibrationProduct-"&amp;ROW(),C$9,"getCalibrationProductForSymbol",[1]!OBMAKE("","String",B191))</f>
        <v>#N/A</v>
      </c>
      <c r="I191" s="102" t="e">
        <f>([1]!OBGET([1]!OBCALL("",$H191,"getValue",E191))-[1]!OBGET([1]!OBCALL("",$H191,"getValue",E$27)))/$C$16</f>
        <v>#N/A</v>
      </c>
      <c r="K191" s="103" t="str">
        <f t="shared" si="10"/>
        <v>discount-EUR-USD-OIS-2-50Y</v>
      </c>
      <c r="L191" s="103" t="e">
        <f t="shared" si="11"/>
        <v>#N/A</v>
      </c>
      <c r="N191" s="87"/>
      <c r="IW191" s="18"/>
      <c r="IX191" s="18"/>
    </row>
    <row r="192" spans="2:258" ht="13.2" customHeight="1" x14ac:dyDescent="0.25">
      <c r="B192" s="41" t="s">
        <v>383</v>
      </c>
      <c r="C192" s="98" t="e">
        <f>([1]!OBGET([1]!OBCALL("",$B$24,"getValue",E192))-C$27)/C$16</f>
        <v>#N/A</v>
      </c>
      <c r="D192" s="18" t="e">
        <f>[1]!OBCALL("calibratedCurves-"&amp;B192,$C$9,"getCloneShifted",[1]!OBMAKE("","String",B192),[1]!OBMAKE("","double",$C$16))</f>
        <v>#N/A</v>
      </c>
      <c r="E192" s="18" t="e">
        <f>[1]!OBCALL("calibratedModel-"&amp;ROW(),D192,"getModel")</f>
        <v>#N/A</v>
      </c>
      <c r="G192" s="98"/>
      <c r="H192" s="18" t="e">
        <f>[1]!OBCALL("calibrationProduct-"&amp;ROW(),C$9,"getCalibrationProductForSymbol",[1]!OBMAKE("","String",B192))</f>
        <v>#N/A</v>
      </c>
      <c r="I192" s="102" t="e">
        <f>([1]!OBGET([1]!OBCALL("",$H192,"getValue",E192))-[1]!OBGET([1]!OBCALL("",$H192,"getValue",E$27)))/$C$16</f>
        <v>#N/A</v>
      </c>
      <c r="K192" s="103" t="str">
        <f t="shared" si="10"/>
        <v>discount-EUR-FND-1Y</v>
      </c>
      <c r="L192" s="103" t="e">
        <f t="shared" si="11"/>
        <v>#N/A</v>
      </c>
      <c r="N192" s="87"/>
      <c r="IW192" s="18"/>
      <c r="IX192" s="18"/>
    </row>
    <row r="193" spans="2:258" ht="13.2" customHeight="1" x14ac:dyDescent="0.25">
      <c r="B193" s="41" t="s">
        <v>384</v>
      </c>
      <c r="C193" s="98" t="e">
        <f>([1]!OBGET([1]!OBCALL("",$B$24,"getValue",E193))-C$27)/C$16</f>
        <v>#N/A</v>
      </c>
      <c r="D193" s="18" t="e">
        <f>[1]!OBCALL("calibratedCurves-"&amp;B193,$C$9,"getCloneShifted",[1]!OBMAKE("","String",B193),[1]!OBMAKE("","double",$C$16))</f>
        <v>#N/A</v>
      </c>
      <c r="E193" s="18" t="e">
        <f>[1]!OBCALL("calibratedModel-"&amp;ROW(),D193,"getModel")</f>
        <v>#N/A</v>
      </c>
      <c r="G193" s="98"/>
      <c r="H193" s="18" t="e">
        <f>[1]!OBCALL("calibrationProduct-"&amp;ROW(),C$9,"getCalibrationProductForSymbol",[1]!OBMAKE("","String",B193))</f>
        <v>#N/A</v>
      </c>
      <c r="I193" s="102" t="e">
        <f>([1]!OBGET([1]!OBCALL("",$H193,"getValue",E193))-[1]!OBGET([1]!OBCALL("",$H193,"getValue",E$27)))/$C$16</f>
        <v>#N/A</v>
      </c>
      <c r="K193" s="103" t="str">
        <f t="shared" si="10"/>
        <v>discount-EUR-FND-2Y</v>
      </c>
      <c r="L193" s="103" t="e">
        <f t="shared" si="11"/>
        <v>#N/A</v>
      </c>
      <c r="N193" s="87"/>
      <c r="IW193" s="18"/>
      <c r="IX193" s="18"/>
    </row>
    <row r="194" spans="2:258" ht="13.2" customHeight="1" x14ac:dyDescent="0.25">
      <c r="B194" s="41" t="s">
        <v>385</v>
      </c>
      <c r="C194" s="98" t="e">
        <f>([1]!OBGET([1]!OBCALL("",$B$24,"getValue",E194))-C$27)/C$16</f>
        <v>#N/A</v>
      </c>
      <c r="D194" s="18" t="e">
        <f>[1]!OBCALL("calibratedCurves-"&amp;B194,$C$9,"getCloneShifted",[1]!OBMAKE("","String",B194),[1]!OBMAKE("","double",$C$16))</f>
        <v>#N/A</v>
      </c>
      <c r="E194" s="18" t="e">
        <f>[1]!OBCALL("calibratedModel-"&amp;ROW(),D194,"getModel")</f>
        <v>#N/A</v>
      </c>
      <c r="G194" s="98"/>
      <c r="H194" s="18" t="e">
        <f>[1]!OBCALL("calibrationProduct-"&amp;ROW(),C$9,"getCalibrationProductForSymbol",[1]!OBMAKE("","String",B194))</f>
        <v>#N/A</v>
      </c>
      <c r="I194" s="102" t="e">
        <f>([1]!OBGET([1]!OBCALL("",$H194,"getValue",E194))-[1]!OBGET([1]!OBCALL("",$H194,"getValue",E$27)))/$C$16</f>
        <v>#N/A</v>
      </c>
      <c r="K194" s="103" t="str">
        <f t="shared" si="10"/>
        <v>discount-EUR-FND-3Y</v>
      </c>
      <c r="L194" s="103" t="e">
        <f t="shared" si="11"/>
        <v>#N/A</v>
      </c>
      <c r="N194" s="87"/>
      <c r="IW194" s="18"/>
      <c r="IX194" s="18"/>
    </row>
    <row r="195" spans="2:258" ht="13.2" customHeight="1" x14ac:dyDescent="0.25">
      <c r="B195" s="41" t="s">
        <v>386</v>
      </c>
      <c r="C195" s="98" t="e">
        <f>([1]!OBGET([1]!OBCALL("",$B$24,"getValue",E195))-C$27)/C$16</f>
        <v>#N/A</v>
      </c>
      <c r="D195" s="18" t="e">
        <f>[1]!OBCALL("calibratedCurves-"&amp;B195,$C$9,"getCloneShifted",[1]!OBMAKE("","String",B195),[1]!OBMAKE("","double",$C$16))</f>
        <v>#N/A</v>
      </c>
      <c r="E195" s="18" t="e">
        <f>[1]!OBCALL("calibratedModel-"&amp;ROW(),D195,"getModel")</f>
        <v>#N/A</v>
      </c>
      <c r="G195" s="98"/>
      <c r="H195" s="18" t="e">
        <f>[1]!OBCALL("calibrationProduct-"&amp;ROW(),C$9,"getCalibrationProductForSymbol",[1]!OBMAKE("","String",B195))</f>
        <v>#N/A</v>
      </c>
      <c r="I195" s="102" t="e">
        <f>([1]!OBGET([1]!OBCALL("",$H195,"getValue",E195))-[1]!OBGET([1]!OBCALL("",$H195,"getValue",E$27)))/$C$16</f>
        <v>#N/A</v>
      </c>
      <c r="K195" s="103" t="str">
        <f t="shared" si="10"/>
        <v>discount-EUR-FND-4Y</v>
      </c>
      <c r="L195" s="103" t="e">
        <f t="shared" si="11"/>
        <v>#N/A</v>
      </c>
      <c r="N195" s="87"/>
      <c r="IW195" s="18"/>
      <c r="IX195" s="18"/>
    </row>
    <row r="196" spans="2:258" ht="13.2" customHeight="1" x14ac:dyDescent="0.25">
      <c r="B196" s="41" t="s">
        <v>387</v>
      </c>
      <c r="C196" s="98" t="e">
        <f>([1]!OBGET([1]!OBCALL("",$B$24,"getValue",E196))-C$27)/C$16</f>
        <v>#N/A</v>
      </c>
      <c r="D196" s="18" t="e">
        <f>[1]!OBCALL("calibratedCurves-"&amp;B196,$C$9,"getCloneShifted",[1]!OBMAKE("","String",B196),[1]!OBMAKE("","double",$C$16))</f>
        <v>#N/A</v>
      </c>
      <c r="E196" s="18" t="e">
        <f>[1]!OBCALL("calibratedModel-"&amp;ROW(),D196,"getModel")</f>
        <v>#N/A</v>
      </c>
      <c r="G196" s="98"/>
      <c r="H196" s="18" t="e">
        <f>[1]!OBCALL("calibrationProduct-"&amp;ROW(),C$9,"getCalibrationProductForSymbol",[1]!OBMAKE("","String",B196))</f>
        <v>#N/A</v>
      </c>
      <c r="I196" s="102" t="e">
        <f>([1]!OBGET([1]!OBCALL("",$H196,"getValue",E196))-[1]!OBGET([1]!OBCALL("",$H196,"getValue",E$27)))/$C$16</f>
        <v>#N/A</v>
      </c>
      <c r="K196" s="103" t="str">
        <f t="shared" si="10"/>
        <v>discount-EUR-FND-5Y</v>
      </c>
      <c r="L196" s="103" t="e">
        <f t="shared" si="11"/>
        <v>#N/A</v>
      </c>
      <c r="N196" s="87"/>
      <c r="IW196" s="18"/>
      <c r="IX196" s="18"/>
    </row>
    <row r="197" spans="2:258" ht="13.2" customHeight="1" x14ac:dyDescent="0.25">
      <c r="B197" s="41" t="s">
        <v>388</v>
      </c>
      <c r="C197" s="98" t="e">
        <f>([1]!OBGET([1]!OBCALL("",$B$24,"getValue",E197))-C$27)/C$16</f>
        <v>#N/A</v>
      </c>
      <c r="D197" s="18" t="e">
        <f>[1]!OBCALL("calibratedCurves-"&amp;B197,$C$9,"getCloneShifted",[1]!OBMAKE("","String",B197),[1]!OBMAKE("","double",$C$16))</f>
        <v>#N/A</v>
      </c>
      <c r="E197" s="18" t="e">
        <f>[1]!OBCALL("calibratedModel-"&amp;ROW(),D197,"getModel")</f>
        <v>#N/A</v>
      </c>
      <c r="G197" s="98"/>
      <c r="H197" s="18" t="e">
        <f>[1]!OBCALL("calibrationProduct-"&amp;ROW(),C$9,"getCalibrationProductForSymbol",[1]!OBMAKE("","String",B197))</f>
        <v>#N/A</v>
      </c>
      <c r="I197" s="102" t="e">
        <f>([1]!OBGET([1]!OBCALL("",$H197,"getValue",E197))-[1]!OBGET([1]!OBCALL("",$H197,"getValue",E$27)))/$C$16</f>
        <v>#N/A</v>
      </c>
      <c r="K197" s="103" t="str">
        <f t="shared" si="10"/>
        <v>discount-EUR-FND-7Y</v>
      </c>
      <c r="L197" s="103" t="e">
        <f t="shared" si="11"/>
        <v>#N/A</v>
      </c>
      <c r="N197" s="87"/>
      <c r="IW197" s="18"/>
      <c r="IX197" s="18"/>
    </row>
    <row r="198" spans="2:258" ht="13.2" customHeight="1" x14ac:dyDescent="0.25">
      <c r="B198" s="41" t="s">
        <v>191</v>
      </c>
      <c r="C198" s="98" t="e">
        <f>([1]!OBGET([1]!OBCALL("",$B$24,"getValue",E198))-C$27)/C$16</f>
        <v>#N/A</v>
      </c>
      <c r="D198" s="18" t="e">
        <f>[1]!OBCALL("calibratedCurves-"&amp;B198,$C$9,"getCloneShifted",[1]!OBMAKE("","String",B198),[1]!OBMAKE("","double",$C$16))</f>
        <v>#N/A</v>
      </c>
      <c r="E198" s="18" t="e">
        <f>[1]!OBCALL("calibratedModel-"&amp;ROW(),D198,"getModel")</f>
        <v>#N/A</v>
      </c>
      <c r="G198" s="98"/>
      <c r="H198" s="18" t="e">
        <f>[1]!OBCALL("calibrationProduct-"&amp;ROW(),C$9,"getCalibrationProductForSymbol",[1]!OBMAKE("","String",B198))</f>
        <v>#N/A</v>
      </c>
      <c r="I198" s="102" t="e">
        <f>([1]!OBGET([1]!OBCALL("",$H198,"getValue",E198))-[1]!OBGET([1]!OBCALL("",$H198,"getValue",E$27)))/$C$16</f>
        <v>#N/A</v>
      </c>
      <c r="K198" s="103" t="str">
        <f t="shared" si="10"/>
        <v>discount-EUR-FND-10Y</v>
      </c>
      <c r="L198" s="103" t="e">
        <f t="shared" si="11"/>
        <v>#N/A</v>
      </c>
      <c r="N198" s="87"/>
      <c r="IW198" s="18"/>
      <c r="IX198" s="18"/>
    </row>
    <row r="199" spans="2:258" ht="13.2" customHeight="1" x14ac:dyDescent="0.25">
      <c r="B199" s="41" t="s">
        <v>389</v>
      </c>
      <c r="C199" s="98" t="e">
        <f>([1]!OBGET([1]!OBCALL("",$B$24,"getValue",E199))-C$27)/C$16</f>
        <v>#N/A</v>
      </c>
      <c r="D199" s="18" t="e">
        <f>[1]!OBCALL("calibratedCurves-"&amp;B199,$C$9,"getCloneShifted",[1]!OBMAKE("","String",B199),[1]!OBMAKE("","double",$C$16))</f>
        <v>#N/A</v>
      </c>
      <c r="E199" s="18" t="e">
        <f>[1]!OBCALL("calibratedModel-"&amp;ROW(),D199,"getModel")</f>
        <v>#N/A</v>
      </c>
      <c r="G199" s="98"/>
      <c r="H199" s="18" t="e">
        <f>[1]!OBCALL("calibrationProduct-"&amp;ROW(),C$9,"getCalibrationProductForSymbol",[1]!OBMAKE("","String",B199))</f>
        <v>#N/A</v>
      </c>
      <c r="I199" s="102" t="e">
        <f>([1]!OBGET([1]!OBCALL("",$H199,"getValue",E199))-[1]!OBGET([1]!OBCALL("",$H199,"getValue",E$27)))/$C$16</f>
        <v>#N/A</v>
      </c>
      <c r="K199" s="103" t="str">
        <f t="shared" si="10"/>
        <v>discount-EUR-FND-15Y</v>
      </c>
      <c r="L199" s="103" t="e">
        <f t="shared" si="11"/>
        <v>#N/A</v>
      </c>
      <c r="N199" s="87"/>
      <c r="IW199" s="18"/>
      <c r="IX199" s="18"/>
    </row>
    <row r="200" spans="2:258" ht="13.2" customHeight="1" x14ac:dyDescent="0.25">
      <c r="B200" s="41" t="s">
        <v>390</v>
      </c>
      <c r="C200" s="98" t="e">
        <f>([1]!OBGET([1]!OBCALL("",$B$24,"getValue",E200))-C$27)/C$16</f>
        <v>#N/A</v>
      </c>
      <c r="D200" s="18" t="e">
        <f>[1]!OBCALL("calibratedCurves-"&amp;B200,$C$9,"getCloneShifted",[1]!OBMAKE("","String",B200),[1]!OBMAKE("","double",$C$16))</f>
        <v>#N/A</v>
      </c>
      <c r="E200" s="18" t="e">
        <f>[1]!OBCALL("calibratedModel-"&amp;ROW(),D200,"getModel")</f>
        <v>#N/A</v>
      </c>
      <c r="G200" s="98"/>
      <c r="H200" s="18" t="e">
        <f>[1]!OBCALL("calibrationProduct-"&amp;ROW(),C$9,"getCalibrationProductForSymbol",[1]!OBMAKE("","String",B200))</f>
        <v>#N/A</v>
      </c>
      <c r="I200" s="102" t="e">
        <f>([1]!OBGET([1]!OBCALL("",$H200,"getValue",E200))-[1]!OBGET([1]!OBCALL("",$H200,"getValue",E$27)))/$C$16</f>
        <v>#N/A</v>
      </c>
      <c r="K200" s="103" t="str">
        <f t="shared" si="10"/>
        <v>discount-EUR-FND-20Y</v>
      </c>
      <c r="L200" s="103" t="e">
        <f t="shared" si="11"/>
        <v>#N/A</v>
      </c>
      <c r="N200" s="87"/>
      <c r="IW200" s="18"/>
      <c r="IX200" s="18"/>
    </row>
    <row r="201" spans="2:258" ht="13.2" customHeight="1" x14ac:dyDescent="0.25">
      <c r="B201" s="41" t="s">
        <v>391</v>
      </c>
      <c r="C201" s="98" t="e">
        <f>([1]!OBGET([1]!OBCALL("",$B$24,"getValue",E201))-C$27)/C$16</f>
        <v>#N/A</v>
      </c>
      <c r="D201" s="18" t="e">
        <f>[1]!OBCALL("calibratedCurves-"&amp;B201,$C$9,"getCloneShifted",[1]!OBMAKE("","String",B201),[1]!OBMAKE("","double",$C$16))</f>
        <v>#N/A</v>
      </c>
      <c r="E201" s="18" t="e">
        <f>[1]!OBCALL("calibratedModel-"&amp;ROW(),D201,"getModel")</f>
        <v>#N/A</v>
      </c>
      <c r="G201" s="98"/>
      <c r="H201" s="18" t="e">
        <f>[1]!OBCALL("calibrationProduct-"&amp;ROW(),C$9,"getCalibrationProductForSymbol",[1]!OBMAKE("","String",B201))</f>
        <v>#N/A</v>
      </c>
      <c r="I201" s="102" t="e">
        <f>([1]!OBGET([1]!OBCALL("",$H201,"getValue",E201))-[1]!OBGET([1]!OBCALL("",$H201,"getValue",E$27)))/$C$16</f>
        <v>#N/A</v>
      </c>
      <c r="K201" s="103" t="str">
        <f t="shared" si="10"/>
        <v>discount-EUR-FND-30Y</v>
      </c>
      <c r="L201" s="103" t="e">
        <f t="shared" si="11"/>
        <v>#N/A</v>
      </c>
      <c r="N201" s="87"/>
      <c r="IW201" s="18"/>
      <c r="IX201" s="18"/>
    </row>
    <row r="202" spans="2:258" ht="13.2" customHeight="1" x14ac:dyDescent="0.25">
      <c r="B202" s="41" t="s">
        <v>392</v>
      </c>
      <c r="C202" s="98" t="e">
        <f>([1]!OBGET([1]!OBCALL("",$B$24,"getValue",E202))-C$27)/C$16</f>
        <v>#N/A</v>
      </c>
      <c r="D202" s="18" t="e">
        <f>[1]!OBCALL("calibratedCurves-"&amp;B202,$C$9,"getCloneShifted",[1]!OBMAKE("","String",B202),[1]!OBMAKE("","double",$C$16))</f>
        <v>#N/A</v>
      </c>
      <c r="E202" s="18" t="e">
        <f>[1]!OBCALL("calibratedModel-"&amp;ROW(),D202,"getModel")</f>
        <v>#N/A</v>
      </c>
      <c r="G202" s="98"/>
      <c r="H202" s="18" t="e">
        <f>[1]!OBCALL("calibrationProduct-"&amp;ROW(),C$9,"getCalibrationProductForSymbol",[1]!OBMAKE("","String",B202))</f>
        <v>#N/A</v>
      </c>
      <c r="I202" s="102" t="e">
        <f>([1]!OBGET([1]!OBCALL("",$H202,"getValue",E202))-[1]!OBGET([1]!OBCALL("",$H202,"getValue",E$27)))/$C$16</f>
        <v>#N/A</v>
      </c>
      <c r="K202" s="103" t="str">
        <f t="shared" si="10"/>
        <v>discount-EUR-FND-40Y</v>
      </c>
      <c r="L202" s="103" t="e">
        <f t="shared" si="11"/>
        <v>#N/A</v>
      </c>
      <c r="N202" s="87"/>
      <c r="IW202" s="18"/>
      <c r="IX202" s="18"/>
    </row>
    <row r="203" spans="2:258" ht="13.2" customHeight="1" x14ac:dyDescent="0.25">
      <c r="B203" s="41" t="s">
        <v>393</v>
      </c>
      <c r="C203" s="98" t="e">
        <f>([1]!OBGET([1]!OBCALL("",$B$24,"getValue",E203))-C$27)/C$16</f>
        <v>#N/A</v>
      </c>
      <c r="D203" s="18" t="e">
        <f>[1]!OBCALL("calibratedCurves-"&amp;B203,$C$9,"getCloneShifted",[1]!OBMAKE("","String",B203),[1]!OBMAKE("","double",$C$16))</f>
        <v>#N/A</v>
      </c>
      <c r="E203" s="18" t="e">
        <f>[1]!OBCALL("calibratedModel-"&amp;ROW(),D203,"getModel")</f>
        <v>#N/A</v>
      </c>
      <c r="G203" s="98"/>
      <c r="H203" s="18" t="e">
        <f>[1]!OBCALL("calibrationProduct-"&amp;ROW(),C$9,"getCalibrationProductForSymbol",[1]!OBMAKE("","String",B203))</f>
        <v>#N/A</v>
      </c>
      <c r="I203" s="102" t="e">
        <f>([1]!OBGET([1]!OBCALL("",$H203,"getValue",E203))-[1]!OBGET([1]!OBCALL("",$H203,"getValue",E$27)))/$C$16</f>
        <v>#N/A</v>
      </c>
      <c r="K203" s="103" t="str">
        <f t="shared" si="10"/>
        <v>discount-EUR-FND-50Y</v>
      </c>
      <c r="L203" s="103" t="e">
        <f t="shared" si="11"/>
        <v>#N/A</v>
      </c>
      <c r="N203" s="87"/>
      <c r="IW203" s="18"/>
      <c r="IX203" s="18"/>
    </row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Load Libs</vt:lpstr>
      <vt:lpstr>Curves Definition</vt:lpstr>
      <vt:lpstr>Calibration</vt:lpstr>
      <vt:lpstr>Curves View</vt:lpstr>
      <vt:lpstr>Valuation</vt:lpstr>
      <vt:lpstr>Sensitivities</vt:lpstr>
      <vt:lpstr>Sensitivity Vector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dc:creator/>
  <cp:keywords>Rate Curve Tenor Basis Spread Cross Currency Spread</cp:keywords>
  <dc:description/>
  <cp:lastModifiedBy>fries</cp:lastModifiedBy>
  <cp:revision>467</cp:revision>
  <dcterms:created xsi:type="dcterms:W3CDTF">2012-11-30T18:44:25Z</dcterms:created>
  <dcterms:modified xsi:type="dcterms:W3CDTF">2020-03-08T11:17:36Z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