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124A46B0-7DA8-44A9-9373-E336C8621627}" xr6:coauthVersionLast="47" xr6:coauthVersionMax="47" xr10:uidLastSave="{00000000-0000-0000-0000-000000000000}"/>
  <bookViews>
    <workbookView xWindow="-120" yWindow="-120" windowWidth="29040" windowHeight="15720" xr2:uid="{058CE8CB-B84A-45C3-AD00-7C7068A42E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S6" i="1"/>
  <c r="S5" i="1"/>
  <c r="S4" i="1"/>
  <c r="R5" i="1"/>
  <c r="R6" i="1"/>
  <c r="R7" i="1"/>
  <c r="R4" i="1"/>
  <c r="K5" i="1"/>
  <c r="K6" i="1"/>
  <c r="K7" i="1"/>
  <c r="K4" i="1"/>
  <c r="Q7" i="1"/>
  <c r="AI7" i="1"/>
  <c r="M7" i="1" s="1"/>
  <c r="AE7" i="1"/>
  <c r="AO7" i="1" s="1"/>
  <c r="Q6" i="1"/>
  <c r="AE6" i="1"/>
  <c r="AO6" i="1" s="1"/>
  <c r="Q5" i="1"/>
  <c r="AE5" i="1"/>
  <c r="AI5" i="1" s="1"/>
  <c r="J5" i="1"/>
  <c r="Q4" i="1"/>
  <c r="O7" i="1" l="1"/>
  <c r="N7" i="1"/>
  <c r="T7" i="1"/>
  <c r="AP7" i="1" s="1"/>
  <c r="P7" i="1" s="1"/>
  <c r="AJ7" i="1"/>
  <c r="AO5" i="1"/>
  <c r="AX7" i="1"/>
  <c r="AY7" i="1" s="1"/>
  <c r="AI6" i="1"/>
  <c r="AJ6" i="1" s="1"/>
  <c r="M5" i="1"/>
  <c r="AX5" i="1"/>
  <c r="AY5" i="1" s="1"/>
  <c r="AJ5" i="1"/>
  <c r="J4" i="1"/>
  <c r="AE4" i="1"/>
  <c r="AI4" i="1" s="1"/>
  <c r="AM7" i="1" l="1"/>
  <c r="AQ7" i="1" s="1"/>
  <c r="AS7" i="1" s="1"/>
  <c r="AV7" i="1" s="1"/>
  <c r="M6" i="1"/>
  <c r="AX6" i="1"/>
  <c r="AY6" i="1" s="1"/>
  <c r="N5" i="1"/>
  <c r="O5" i="1"/>
  <c r="T5" i="1"/>
  <c r="AP5" i="1" s="1"/>
  <c r="AM5" i="1" s="1"/>
  <c r="AQ5" i="1" s="1"/>
  <c r="AS5" i="1" s="1"/>
  <c r="AV5" i="1" s="1"/>
  <c r="O6" i="1"/>
  <c r="N6" i="1"/>
  <c r="T6" i="1"/>
  <c r="AP6" i="1" s="1"/>
  <c r="AJ4" i="1"/>
  <c r="AX4" i="1"/>
  <c r="AO4" i="1"/>
  <c r="M4" i="1"/>
  <c r="AM6" i="1" l="1"/>
  <c r="AQ6" i="1" s="1"/>
  <c r="AS6" i="1" s="1"/>
  <c r="AV6" i="1" s="1"/>
  <c r="P5" i="1"/>
  <c r="P6" i="1"/>
  <c r="AY4" i="1"/>
  <c r="T4" i="1"/>
  <c r="AP4" i="1" s="1"/>
  <c r="O4" i="1"/>
  <c r="N4" i="1"/>
  <c r="AM4" i="1" l="1"/>
  <c r="AQ4" i="1" s="1"/>
  <c r="AS4" i="1" s="1"/>
  <c r="AV4" i="1" s="1"/>
  <c r="P4" i="1"/>
</calcChain>
</file>

<file path=xl/sharedStrings.xml><?xml version="1.0" encoding="utf-8"?>
<sst xmlns="http://schemas.openxmlformats.org/spreadsheetml/2006/main" count="91" uniqueCount="77">
  <si>
    <t>Product Code</t>
  </si>
  <si>
    <t>Specification</t>
  </si>
  <si>
    <t>Origin</t>
  </si>
  <si>
    <t>Product Name</t>
  </si>
  <si>
    <t>HS Code</t>
  </si>
  <si>
    <t>Alternate Name</t>
  </si>
  <si>
    <t>Container Size</t>
  </si>
  <si>
    <t>Sale pack per carton</t>
  </si>
  <si>
    <t>Sale Packing</t>
  </si>
  <si>
    <t>CBM Per Carton</t>
  </si>
  <si>
    <t>FOB price</t>
  </si>
  <si>
    <t>Freight Value to Consider</t>
  </si>
  <si>
    <t>CBM Value to Consider</t>
  </si>
  <si>
    <t>Standard Ocean Freight</t>
  </si>
  <si>
    <t>CIF Value</t>
  </si>
  <si>
    <t>Import Duty %</t>
  </si>
  <si>
    <t>TC% To Consider</t>
  </si>
  <si>
    <t>Transfer Charges</t>
  </si>
  <si>
    <t>Additional IVA</t>
  </si>
  <si>
    <t>Total Purchase price in $ and Euro</t>
  </si>
  <si>
    <t>Total purchase price in (KZA)</t>
  </si>
  <si>
    <t>Final selling price Decided in the meeting-PL1</t>
  </si>
  <si>
    <t>IVA</t>
  </si>
  <si>
    <t>Existing G.P Ratio</t>
  </si>
  <si>
    <t>License Invoice %</t>
  </si>
  <si>
    <t>License Invoice Value</t>
  </si>
  <si>
    <t>Estimated Sales</t>
  </si>
  <si>
    <t>FOB Value</t>
  </si>
  <si>
    <t>Total Sales Amount</t>
  </si>
  <si>
    <t>Total Purchase Amount</t>
  </si>
  <si>
    <t>Amount to be transferred</t>
  </si>
  <si>
    <t>Amount that can be brought from bank</t>
  </si>
  <si>
    <t>Duty Amount_Bank</t>
  </si>
  <si>
    <t>Total Freight Amount-KNZ</t>
  </si>
  <si>
    <t>CAPAMOX500MG10X10</t>
  </si>
  <si>
    <t>Capsules</t>
  </si>
  <si>
    <t>China</t>
  </si>
  <si>
    <t>Amoxicilina 500 mg Capsulas</t>
  </si>
  <si>
    <t>Amoxycillin 500 mg Capsules</t>
  </si>
  <si>
    <t>10X10</t>
  </si>
  <si>
    <t>CBM per sale Pack</t>
  </si>
  <si>
    <t>Back End Calculation</t>
  </si>
  <si>
    <t>CBM in One Cont</t>
  </si>
  <si>
    <t>Unit Per Qty CBM</t>
  </si>
  <si>
    <t>Clearing Value to be Considered</t>
  </si>
  <si>
    <t>Total Duty</t>
  </si>
  <si>
    <t>Duty</t>
  </si>
  <si>
    <t>License %</t>
  </si>
  <si>
    <t>Duty Exp w/o IVA</t>
  </si>
  <si>
    <t>Duty Exp</t>
  </si>
  <si>
    <t>Transfer charges</t>
  </si>
  <si>
    <t>Sale price</t>
  </si>
  <si>
    <t>IVA Payable</t>
  </si>
  <si>
    <t>IVA Credit</t>
  </si>
  <si>
    <t xml:space="preserve">Standard Container Clearing per Unit in </t>
  </si>
  <si>
    <t>License Value CIF</t>
  </si>
  <si>
    <t>Exchange Conversion Rate</t>
  </si>
  <si>
    <t>add this field</t>
  </si>
  <si>
    <t xml:space="preserve">Duty per Unit in </t>
  </si>
  <si>
    <t>SUGSCALPVEI23G1X100</t>
  </si>
  <si>
    <t>Borboleta 23 G</t>
  </si>
  <si>
    <t>1X100</t>
  </si>
  <si>
    <t>DROPMULTIVITA30ML1X1</t>
  </si>
  <si>
    <t>Multi Vitamina Gotas 30ml</t>
  </si>
  <si>
    <t>Tablet</t>
  </si>
  <si>
    <t>1X1</t>
  </si>
  <si>
    <t>INTRO24CERTO1X50</t>
  </si>
  <si>
    <t>Introcan Certo G 24 - Cx 50 Unid -B BRAUN</t>
  </si>
  <si>
    <t>Portugul</t>
  </si>
  <si>
    <t>1X50</t>
  </si>
  <si>
    <t>IVA0</t>
  </si>
  <si>
    <t>IVA14</t>
  </si>
  <si>
    <t>IVA5</t>
  </si>
  <si>
    <t>IVA Type</t>
  </si>
  <si>
    <t>Need to add field</t>
  </si>
  <si>
    <t xml:space="preserve">Need to add this field </t>
  </si>
  <si>
    <t xml:space="preserve">SAP Filed 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</si>
</sst>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0_);_(* \(#,##0.0000\);_(* &quot;-&quot;??_);_(@_)"/>
    <numFmt numFmtId="165" formatCode="0.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/>
    <xf numFmtId="43" fontId="0" fillId="0" borderId="1" xfId="1" applyFont="1" applyBorder="1"/>
    <xf numFmtId="164" fontId="0" fillId="0" borderId="1" xfId="1" applyNumberFormat="1" applyFont="1" applyBorder="1"/>
    <xf numFmtId="43" fontId="0" fillId="0" borderId="1" xfId="0" applyNumberFormat="1" applyBorder="1"/>
    <xf numFmtId="0" fontId="0" fillId="0" borderId="1" xfId="0" applyBorder="1"/>
    <xf numFmtId="4" fontId="0" fillId="0" borderId="1" xfId="0" applyNumberFormat="1" applyBorder="1"/>
    <xf numFmtId="165" fontId="0" fillId="2" borderId="1" xfId="0" applyNumberFormat="1" applyFill="1" applyBorder="1"/>
    <xf numFmtId="165" fontId="0" fillId="2" borderId="1" xfId="1" applyNumberFormat="1" applyFont="1" applyFill="1" applyBorder="1"/>
    <xf numFmtId="0" fontId="0" fillId="3" borderId="1" xfId="0" applyFill="1" applyBorder="1" applyAlignment="1">
      <alignment horizontal="center" vertical="center" wrapText="1"/>
    </xf>
    <xf numFmtId="3" fontId="0" fillId="0" borderId="1" xfId="0" applyNumberFormat="1" applyBorder="1"/>
    <xf numFmtId="0" fontId="0" fillId="0" borderId="1" xfId="0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9C4DF-70A6-4F56-B0FA-2B69843A6C42}">
  <dimension ref="A2:BG18"/>
  <sheetViews>
    <sheetView tabSelected="1" topLeftCell="AE1" workbookViewId="0">
      <selection activeCell="AQ4" sqref="AQ4"/>
    </sheetView>
  </sheetViews>
  <sheetFormatPr defaultRowHeight="15" x14ac:dyDescent="0.25"/>
  <cols>
    <col min="1" max="7" width="0" hidden="1" customWidth="1"/>
    <col min="20" max="20" width="14" bestFit="1" customWidth="1"/>
    <col min="21" max="21" width="23.7109375" bestFit="1" customWidth="1"/>
    <col min="22" max="22" width="14" bestFit="1" customWidth="1"/>
    <col min="23" max="23" width="8.42578125" bestFit="1" customWidth="1"/>
    <col min="24" max="24" width="38.42578125" bestFit="1" customWidth="1"/>
    <col min="25" max="25" width="9" bestFit="1" customWidth="1"/>
    <col min="26" max="26" width="38.42578125" bestFit="1" customWidth="1"/>
    <col min="27" max="51" width="12.7109375" customWidth="1"/>
    <col min="52" max="54" width="12.7109375" hidden="1" customWidth="1"/>
    <col min="55" max="55" width="13.85546875" hidden="1" customWidth="1"/>
    <col min="56" max="56" width="14.5703125" hidden="1" customWidth="1"/>
    <col min="57" max="57" width="12.7109375" hidden="1" customWidth="1"/>
    <col min="58" max="59" width="10.140625" hidden="1" customWidth="1"/>
  </cols>
  <sheetData>
    <row r="2" spans="1:59" x14ac:dyDescent="0.25">
      <c r="T2" t="s">
        <v>76</v>
      </c>
      <c r="AE2" t="s">
        <v>41</v>
      </c>
      <c r="AN2" t="s">
        <v>74</v>
      </c>
      <c r="AO2" t="s">
        <v>75</v>
      </c>
      <c r="AR2" t="s">
        <v>57</v>
      </c>
    </row>
    <row r="3" spans="1:59" ht="75" x14ac:dyDescent="0.25">
      <c r="A3" s="2" t="s">
        <v>6</v>
      </c>
      <c r="B3" s="2" t="s">
        <v>42</v>
      </c>
      <c r="C3" s="2" t="s">
        <v>7</v>
      </c>
      <c r="D3" s="2" t="s">
        <v>43</v>
      </c>
      <c r="E3" s="2" t="s">
        <v>40</v>
      </c>
      <c r="F3" s="2" t="s">
        <v>11</v>
      </c>
      <c r="G3" s="2" t="s">
        <v>44</v>
      </c>
      <c r="H3" s="13" t="s">
        <v>73</v>
      </c>
      <c r="I3" s="13" t="s">
        <v>45</v>
      </c>
      <c r="J3" s="13" t="s">
        <v>46</v>
      </c>
      <c r="K3" s="13" t="s">
        <v>22</v>
      </c>
      <c r="L3" s="13" t="s">
        <v>47</v>
      </c>
      <c r="M3" s="13" t="s">
        <v>55</v>
      </c>
      <c r="N3" s="13" t="s">
        <v>48</v>
      </c>
      <c r="O3" s="13" t="s">
        <v>49</v>
      </c>
      <c r="P3" s="13" t="s">
        <v>50</v>
      </c>
      <c r="Q3" s="13" t="s">
        <v>51</v>
      </c>
      <c r="R3" s="13" t="s">
        <v>52</v>
      </c>
      <c r="S3" s="13" t="s">
        <v>53</v>
      </c>
      <c r="T3" s="13" t="s">
        <v>18</v>
      </c>
      <c r="U3" s="11" t="s">
        <v>0</v>
      </c>
      <c r="V3" s="11" t="s">
        <v>1</v>
      </c>
      <c r="W3" s="11" t="s">
        <v>2</v>
      </c>
      <c r="X3" s="11" t="s">
        <v>3</v>
      </c>
      <c r="Y3" s="11" t="s">
        <v>4</v>
      </c>
      <c r="Z3" s="11" t="s">
        <v>5</v>
      </c>
      <c r="AA3" s="11" t="s">
        <v>6</v>
      </c>
      <c r="AB3" s="11" t="s">
        <v>7</v>
      </c>
      <c r="AC3" s="11" t="s">
        <v>8</v>
      </c>
      <c r="AD3" s="11" t="s">
        <v>9</v>
      </c>
      <c r="AE3" s="11" t="s">
        <v>40</v>
      </c>
      <c r="AF3" s="11" t="s">
        <v>10</v>
      </c>
      <c r="AG3" s="11" t="s">
        <v>11</v>
      </c>
      <c r="AH3" s="11" t="s">
        <v>12</v>
      </c>
      <c r="AI3" s="11" t="s">
        <v>13</v>
      </c>
      <c r="AJ3" s="11" t="s">
        <v>14</v>
      </c>
      <c r="AK3" s="11" t="s">
        <v>15</v>
      </c>
      <c r="AL3" s="11" t="s">
        <v>16</v>
      </c>
      <c r="AM3" s="11" t="s">
        <v>17</v>
      </c>
      <c r="AN3" s="11" t="s">
        <v>44</v>
      </c>
      <c r="AO3" s="11" t="s">
        <v>54</v>
      </c>
      <c r="AP3" s="11" t="s">
        <v>18</v>
      </c>
      <c r="AQ3" s="11" t="s">
        <v>19</v>
      </c>
      <c r="AR3" s="11" t="s">
        <v>56</v>
      </c>
      <c r="AS3" s="11" t="s">
        <v>20</v>
      </c>
      <c r="AT3" s="11" t="s">
        <v>21</v>
      </c>
      <c r="AU3" s="11" t="s">
        <v>22</v>
      </c>
      <c r="AV3" s="11" t="s">
        <v>23</v>
      </c>
      <c r="AW3" s="11" t="s">
        <v>24</v>
      </c>
      <c r="AX3" s="11" t="s">
        <v>25</v>
      </c>
      <c r="AY3" s="11" t="s">
        <v>58</v>
      </c>
      <c r="AZ3" s="2" t="s">
        <v>26</v>
      </c>
      <c r="BA3" s="2" t="s">
        <v>27</v>
      </c>
      <c r="BB3" s="2" t="s">
        <v>28</v>
      </c>
      <c r="BC3" s="2" t="s">
        <v>29</v>
      </c>
      <c r="BD3" s="2" t="s">
        <v>30</v>
      </c>
      <c r="BE3" s="2" t="s">
        <v>31</v>
      </c>
      <c r="BF3" s="2" t="s">
        <v>32</v>
      </c>
      <c r="BG3" s="2" t="s">
        <v>33</v>
      </c>
    </row>
    <row r="4" spans="1:59" x14ac:dyDescent="0.25">
      <c r="H4" s="7" t="s">
        <v>70</v>
      </c>
      <c r="I4" s="7">
        <v>2</v>
      </c>
      <c r="J4" s="4">
        <f>+(I4-K4)/(100+K4)*100</f>
        <v>2</v>
      </c>
      <c r="K4" s="7">
        <f>_xlfn.NUMBERVALUE(+MID(H4,4,LEN(H4)))</f>
        <v>0</v>
      </c>
      <c r="L4" s="7">
        <v>250</v>
      </c>
      <c r="M4" s="7">
        <f>+AF4*L4%+AI4</f>
        <v>5.3120000000000003</v>
      </c>
      <c r="N4" s="5">
        <f>+M4*J4%</f>
        <v>0.10624</v>
      </c>
      <c r="O4" s="5">
        <f>+M4*I4%</f>
        <v>0.10624</v>
      </c>
      <c r="P4" s="6">
        <f>((+Q4/AR4*0.9)-(M4+O4+AO4+AP4))*2%</f>
        <v>-6.0203261538461526E-2</v>
      </c>
      <c r="Q4" s="8">
        <f>+AT4</f>
        <v>1400</v>
      </c>
      <c r="R4" s="4">
        <f>+Q4/(100+K4)*K4</f>
        <v>0</v>
      </c>
      <c r="S4" s="6">
        <f>+(M4*(100+K4)/100)*K4/100*AN4</f>
        <v>0</v>
      </c>
      <c r="T4" s="6">
        <f>+R4-S4</f>
        <v>0</v>
      </c>
      <c r="U4" s="7" t="s">
        <v>34</v>
      </c>
      <c r="V4" s="7" t="s">
        <v>35</v>
      </c>
      <c r="W4" s="7" t="s">
        <v>36</v>
      </c>
      <c r="X4" s="7" t="s">
        <v>37</v>
      </c>
      <c r="Y4" s="7">
        <v>30042000</v>
      </c>
      <c r="Z4" s="7" t="s">
        <v>38</v>
      </c>
      <c r="AA4" s="7">
        <v>40</v>
      </c>
      <c r="AB4" s="7">
        <v>100</v>
      </c>
      <c r="AC4" s="7" t="s">
        <v>39</v>
      </c>
      <c r="AD4" s="7">
        <v>6.2880000000000005E-2</v>
      </c>
      <c r="AE4" s="9">
        <f>+AD4/AB4</f>
        <v>6.2880000000000011E-4</v>
      </c>
      <c r="AF4" s="7">
        <v>2.1</v>
      </c>
      <c r="AG4" s="8">
        <v>6403</v>
      </c>
      <c r="AH4" s="4">
        <v>65.12</v>
      </c>
      <c r="AI4" s="7">
        <f>ROUND(+IFERROR(AG4*AE4/AH4,0),3)</f>
        <v>6.2E-2</v>
      </c>
      <c r="AJ4" s="7">
        <f>+AI4+AF4</f>
        <v>2.1619999999999999</v>
      </c>
      <c r="AK4" s="7">
        <v>2</v>
      </c>
      <c r="AL4" s="4">
        <v>0</v>
      </c>
      <c r="AM4" s="4">
        <f>((AT4/AR4*0.9)-(AX4+AY4+AO4+AP4))*2%</f>
        <v>-6.0198461538461534E-2</v>
      </c>
      <c r="AN4" s="7">
        <v>1550</v>
      </c>
      <c r="AO4" s="7">
        <f>ROUND(IFERROR(+AN4*AE4/AH4,0),3)</f>
        <v>1.4999999999999999E-2</v>
      </c>
      <c r="AP4" s="4">
        <f>+T4/AR4</f>
        <v>0</v>
      </c>
      <c r="AQ4" s="6">
        <f>+AJ4+AO4+AY4+AM4+AP4</f>
        <v>2.2228015384615385</v>
      </c>
      <c r="AR4" s="7">
        <v>520</v>
      </c>
      <c r="AS4" s="8">
        <f>+AQ4*AR4</f>
        <v>1155.8568</v>
      </c>
      <c r="AT4" s="4">
        <v>1400</v>
      </c>
      <c r="AU4" s="7">
        <v>0</v>
      </c>
      <c r="AV4" s="12">
        <f>+(AT4-AS4)/AT4*100</f>
        <v>17.438800000000001</v>
      </c>
      <c r="AW4" s="7">
        <v>250</v>
      </c>
      <c r="AX4" s="4">
        <f>+AF4*AW4%+AI4</f>
        <v>5.3120000000000003</v>
      </c>
      <c r="AY4" s="7">
        <f>ROUND(+AX4*AK4%,3)</f>
        <v>0.106</v>
      </c>
      <c r="AZ4" s="1">
        <v>8386.0300000000007</v>
      </c>
      <c r="BA4" s="1">
        <v>9339941.2479999997</v>
      </c>
      <c r="BB4" s="1">
        <v>11740442</v>
      </c>
      <c r="BC4" s="1">
        <v>373438888.95200002</v>
      </c>
      <c r="BD4" s="1">
        <v>-284951526.792</v>
      </c>
      <c r="BE4" s="1">
        <v>22945436.32</v>
      </c>
      <c r="BF4" s="1">
        <v>458910.73200000002</v>
      </c>
      <c r="BG4" s="1">
        <v>269611.2</v>
      </c>
    </row>
    <row r="5" spans="1:59" x14ac:dyDescent="0.25">
      <c r="H5" s="7" t="s">
        <v>70</v>
      </c>
      <c r="I5" s="7">
        <v>2</v>
      </c>
      <c r="J5" s="4">
        <f>+(I5-K5)/(100+K5)*100</f>
        <v>2</v>
      </c>
      <c r="K5" s="7">
        <f t="shared" ref="K5:K7" si="0">_xlfn.NUMBERVALUE(+MID(H5,4,LEN(H5)))</f>
        <v>0</v>
      </c>
      <c r="L5" s="7">
        <v>250</v>
      </c>
      <c r="M5" s="7">
        <f>+AF5*L5%+AI5</f>
        <v>5.81</v>
      </c>
      <c r="N5" s="5">
        <f>+M5*J5%</f>
        <v>0.1162</v>
      </c>
      <c r="O5" s="5">
        <f>+M5*I5%</f>
        <v>0.1162</v>
      </c>
      <c r="P5" s="6">
        <f>((+Q5/AR5*0.9)-(M5+O5+AO5+AP5))*2%</f>
        <v>-2.9423999999999992E-2</v>
      </c>
      <c r="Q5" s="8">
        <f>+AT5</f>
        <v>2600</v>
      </c>
      <c r="R5" s="4">
        <f t="shared" ref="R5:R7" si="1">+Q5/(100+K5)*K5</f>
        <v>0</v>
      </c>
      <c r="S5" s="6">
        <f>+(M5*(100+K5)/100)*K5/100*AN5</f>
        <v>0</v>
      </c>
      <c r="T5" s="6">
        <f>+R5-S5</f>
        <v>0</v>
      </c>
      <c r="U5" s="7" t="s">
        <v>59</v>
      </c>
      <c r="V5" s="7" t="s">
        <v>35</v>
      </c>
      <c r="W5" s="7" t="s">
        <v>36</v>
      </c>
      <c r="X5" s="7" t="s">
        <v>60</v>
      </c>
      <c r="Y5" s="7">
        <v>90183900</v>
      </c>
      <c r="Z5" s="7" t="s">
        <v>60</v>
      </c>
      <c r="AA5" s="7">
        <v>40</v>
      </c>
      <c r="AB5" s="7">
        <v>50</v>
      </c>
      <c r="AC5" s="7" t="s">
        <v>61</v>
      </c>
      <c r="AD5" s="4">
        <v>9.4296875000000002E-2</v>
      </c>
      <c r="AE5" s="10">
        <f>+AD5/AB5</f>
        <v>1.8859375E-3</v>
      </c>
      <c r="AF5" s="7">
        <v>2.25</v>
      </c>
      <c r="AG5" s="8">
        <v>6403</v>
      </c>
      <c r="AH5" s="4">
        <v>65.12</v>
      </c>
      <c r="AI5" s="7">
        <f>ROUND(+IFERROR(AG5*AE5/AH5,0),3)</f>
        <v>0.185</v>
      </c>
      <c r="AJ5" s="7">
        <f>+AI5+AF5</f>
        <v>2.4350000000000001</v>
      </c>
      <c r="AK5" s="7">
        <v>2</v>
      </c>
      <c r="AL5" s="4">
        <v>0</v>
      </c>
      <c r="AM5" s="4">
        <f>((AT5/AR5*0.9)-(AX5+AY5+AO5+AP5))*2%</f>
        <v>-2.9419999999999984E-2</v>
      </c>
      <c r="AN5" s="7">
        <v>1550</v>
      </c>
      <c r="AO5" s="7">
        <f>ROUND(IFERROR(+AN5*AE5/AH5,0),3)</f>
        <v>4.4999999999999998E-2</v>
      </c>
      <c r="AP5" s="4">
        <f>+T5/AR5</f>
        <v>0</v>
      </c>
      <c r="AQ5" s="6">
        <f>+AJ5+AO5+AY5+AM5+AP5</f>
        <v>2.5665800000000001</v>
      </c>
      <c r="AR5" s="7">
        <v>520</v>
      </c>
      <c r="AS5" s="8">
        <f>+AQ5*AR5</f>
        <v>1334.6215999999999</v>
      </c>
      <c r="AT5" s="4">
        <v>2600</v>
      </c>
      <c r="AU5" s="7">
        <v>0</v>
      </c>
      <c r="AV5" s="12">
        <f>+(AT5-AS5)/AT5*100</f>
        <v>48.668399999999998</v>
      </c>
      <c r="AW5" s="7">
        <v>250</v>
      </c>
      <c r="AX5" s="4">
        <f>+AF5*AW5%+AI5</f>
        <v>5.81</v>
      </c>
      <c r="AY5" s="7">
        <f>ROUND(+AX5*AK5%,3)</f>
        <v>0.11600000000000001</v>
      </c>
    </row>
    <row r="6" spans="1:59" x14ac:dyDescent="0.25">
      <c r="H6" s="7" t="s">
        <v>71</v>
      </c>
      <c r="I6" s="7">
        <v>16.28</v>
      </c>
      <c r="J6" s="7">
        <v>2</v>
      </c>
      <c r="K6" s="7">
        <f t="shared" si="0"/>
        <v>14</v>
      </c>
      <c r="L6" s="7">
        <v>35</v>
      </c>
      <c r="M6" s="7">
        <f>+AF6*L6%+AI6</f>
        <v>7.775E-2</v>
      </c>
      <c r="N6" s="5">
        <f>+M6*J6%</f>
        <v>1.555E-3</v>
      </c>
      <c r="O6" s="5">
        <f>+M6*I6%</f>
        <v>1.2657699999999999E-2</v>
      </c>
      <c r="P6" s="6">
        <f>((+Q6/AR6*0.9)-(M6+O6+AO6+AP6))*2%</f>
        <v>7.4605142287449411E-3</v>
      </c>
      <c r="Q6" s="8">
        <f>+AT6</f>
        <v>288</v>
      </c>
      <c r="R6" s="4">
        <f t="shared" si="1"/>
        <v>35.368421052631575</v>
      </c>
      <c r="S6" s="6">
        <f>+(M6*(100+K6)/100)*K6/100*AN6</f>
        <v>19.233795000000001</v>
      </c>
      <c r="T6" s="6">
        <f>+R6-S6</f>
        <v>16.134626052631575</v>
      </c>
      <c r="U6" s="7" t="s">
        <v>62</v>
      </c>
      <c r="V6" s="7" t="s">
        <v>64</v>
      </c>
      <c r="W6" s="7" t="s">
        <v>36</v>
      </c>
      <c r="X6" s="7" t="s">
        <v>63</v>
      </c>
      <c r="Y6" s="7">
        <v>29362900</v>
      </c>
      <c r="Z6" s="7" t="s">
        <v>63</v>
      </c>
      <c r="AA6" s="7">
        <v>40</v>
      </c>
      <c r="AB6" s="7">
        <v>200</v>
      </c>
      <c r="AC6" s="7" t="s">
        <v>65</v>
      </c>
      <c r="AD6" s="7">
        <v>3.4000000000000002E-2</v>
      </c>
      <c r="AE6" s="10">
        <f>+AD6/AB6</f>
        <v>1.7000000000000001E-4</v>
      </c>
      <c r="AF6" s="7">
        <v>0.14499999999999999</v>
      </c>
      <c r="AG6" s="4">
        <v>9644</v>
      </c>
      <c r="AH6" s="4">
        <v>60</v>
      </c>
      <c r="AI6" s="7">
        <f>ROUND(+IFERROR(AG6*AE6/AH6,0),3)</f>
        <v>2.7E-2</v>
      </c>
      <c r="AJ6" s="7">
        <f>+AI6+AF6</f>
        <v>0.17199999999999999</v>
      </c>
      <c r="AK6" s="7">
        <v>16.28</v>
      </c>
      <c r="AL6" s="4">
        <v>0</v>
      </c>
      <c r="AM6" s="4">
        <f>((AT6/AR6*0.9)-(AX6+AY6+AO6+AP6))*2%</f>
        <v>7.4536682287449406E-3</v>
      </c>
      <c r="AN6" s="7">
        <v>1550</v>
      </c>
      <c r="AO6" s="7">
        <f>ROUND(IFERROR(+AN6*AE6/AH6,0),3)</f>
        <v>4.0000000000000001E-3</v>
      </c>
      <c r="AP6" s="4">
        <f>+T6/AR6</f>
        <v>3.1028127024291488E-2</v>
      </c>
      <c r="AQ6" s="6">
        <f>+AJ6+AO6+AY6+AM6+AP6</f>
        <v>0.22748179525303641</v>
      </c>
      <c r="AR6" s="7">
        <v>520</v>
      </c>
      <c r="AS6" s="8">
        <f>+AQ6*AR6</f>
        <v>118.29053353157893</v>
      </c>
      <c r="AT6" s="4">
        <v>288</v>
      </c>
      <c r="AU6" s="7">
        <v>14</v>
      </c>
      <c r="AV6" s="12">
        <f>+(AT6-AS6)/AT6*100</f>
        <v>58.926898079312863</v>
      </c>
      <c r="AW6" s="7">
        <v>35</v>
      </c>
      <c r="AX6" s="4">
        <f>+AF6*AW6%+AI6</f>
        <v>7.775E-2</v>
      </c>
      <c r="AY6" s="7">
        <f>ROUND(+AX6*AK6%,3)</f>
        <v>1.2999999999999999E-2</v>
      </c>
    </row>
    <row r="7" spans="1:59" x14ac:dyDescent="0.25">
      <c r="H7" s="7" t="s">
        <v>72</v>
      </c>
      <c r="I7">
        <v>7.1</v>
      </c>
      <c r="J7">
        <v>2</v>
      </c>
      <c r="K7" s="7">
        <f t="shared" si="0"/>
        <v>5</v>
      </c>
      <c r="L7">
        <v>50</v>
      </c>
      <c r="M7" s="7">
        <f>+AF7*L7%+AI7</f>
        <v>10.766999999999999</v>
      </c>
      <c r="N7" s="5">
        <f>+M7*J7%</f>
        <v>0.21534</v>
      </c>
      <c r="O7" s="5">
        <f>+M7*I7%</f>
        <v>0.76445699999999994</v>
      </c>
      <c r="P7" s="6">
        <f>((+Q7/AR7*0.9)-(M7+O7+AO7+AP7))*2%</f>
        <v>0.28956743596371881</v>
      </c>
      <c r="Q7" s="8">
        <f>+AT7</f>
        <v>16111</v>
      </c>
      <c r="R7" s="4">
        <f t="shared" si="1"/>
        <v>767.19047619047615</v>
      </c>
      <c r="S7" s="6">
        <f>+(M7*(100+K7)/100)*K7/100*AN7</f>
        <v>678.32099999999991</v>
      </c>
      <c r="T7" s="6">
        <f>+R7-S7</f>
        <v>88.869476190476234</v>
      </c>
      <c r="U7" s="7" t="s">
        <v>66</v>
      </c>
      <c r="V7" s="7"/>
      <c r="W7" s="7" t="s">
        <v>68</v>
      </c>
      <c r="X7" s="7" t="s">
        <v>67</v>
      </c>
      <c r="Y7" s="7">
        <v>90183200</v>
      </c>
      <c r="Z7" s="7" t="s">
        <v>67</v>
      </c>
      <c r="AA7" s="7">
        <v>20</v>
      </c>
      <c r="AB7" s="7">
        <v>4</v>
      </c>
      <c r="AC7" s="7" t="s">
        <v>69</v>
      </c>
      <c r="AD7" s="7">
        <v>3.458E-2</v>
      </c>
      <c r="AE7" s="10">
        <f>+AD7/AB7</f>
        <v>8.6449999999999999E-3</v>
      </c>
      <c r="AF7" s="7">
        <v>19</v>
      </c>
      <c r="AG7" s="7">
        <v>3957</v>
      </c>
      <c r="AH7" s="4">
        <v>27</v>
      </c>
      <c r="AI7" s="7">
        <f>ROUND(+IFERROR(AG7*AE7/AH7,0),3)</f>
        <v>1.2669999999999999</v>
      </c>
      <c r="AJ7" s="7">
        <f>+AI7+AF7</f>
        <v>20.266999999999999</v>
      </c>
      <c r="AK7" s="7">
        <v>7.1</v>
      </c>
      <c r="AL7" s="4">
        <v>0</v>
      </c>
      <c r="AM7" s="4">
        <f>((AT7/AR7*0.9)-(AX7+AY7+AO7+AP7))*2%</f>
        <v>0.28957657596371883</v>
      </c>
      <c r="AN7" s="7">
        <v>1200</v>
      </c>
      <c r="AO7" s="7">
        <f>ROUND(IFERROR(+AN7*AE7/AH7,0),3)</f>
        <v>0.38400000000000001</v>
      </c>
      <c r="AP7" s="4">
        <f>+T7/AR7</f>
        <v>0.16276460840746562</v>
      </c>
      <c r="AQ7" s="6">
        <f>+AJ7+AO7+AY7+AM7+AP7</f>
        <v>21.867341184371181</v>
      </c>
      <c r="AR7" s="7">
        <v>546</v>
      </c>
      <c r="AS7" s="8">
        <f>+AQ7*AR7</f>
        <v>11939.568286666665</v>
      </c>
      <c r="AT7" s="7">
        <v>16111</v>
      </c>
      <c r="AU7" s="7">
        <v>5</v>
      </c>
      <c r="AV7" s="12">
        <f>+(AT7-AS7)/AT7*100</f>
        <v>25.891823681542643</v>
      </c>
      <c r="AW7" s="7">
        <v>50</v>
      </c>
      <c r="AX7" s="4">
        <f>+AF7*AW7%+AI7</f>
        <v>10.766999999999999</v>
      </c>
      <c r="AY7" s="7">
        <f>ROUND(+AX7*AK7%,3)</f>
        <v>0.76400000000000001</v>
      </c>
    </row>
    <row r="18" spans="22:23" x14ac:dyDescent="0.25">
      <c r="V18" s="3"/>
      <c r="W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2023-02-09T13:15:38Z</dcterms:created>
  <dcterms:modified xsi:type="dcterms:W3CDTF">2023-02-11T08:22:39Z</dcterms:modified>
</cp:coreProperties>
</file>