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lom-app\docs\экономика\"/>
    </mc:Choice>
  </mc:AlternateContent>
  <xr:revisionPtr revIDLastSave="0" documentId="13_ncr:1_{79ECF7F5-83B2-4792-9E72-54E989FC2C77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п 2.2" sheetId="1" r:id="rId1"/>
    <sheet name="п2.2.2" sheetId="8" r:id="rId2"/>
    <sheet name="п2.4" sheetId="3" r:id="rId3"/>
    <sheet name="п2.5" sheetId="4" r:id="rId4"/>
    <sheet name="п2.8" sheetId="5" r:id="rId5"/>
    <sheet name="п2.8.2" sheetId="7" r:id="rId6"/>
    <sheet name="v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Q2" i="5"/>
  <c r="K31" i="3"/>
  <c r="R4" i="3"/>
  <c r="K6" i="3" s="1"/>
  <c r="L13" i="8"/>
  <c r="L14" i="8"/>
  <c r="H14" i="8"/>
  <c r="I14" i="8"/>
  <c r="J14" i="8"/>
  <c r="K14" i="8"/>
  <c r="G14" i="8"/>
  <c r="H13" i="8"/>
  <c r="I13" i="8"/>
  <c r="J13" i="8"/>
  <c r="K13" i="8"/>
  <c r="G13" i="8"/>
  <c r="L12" i="8"/>
  <c r="J20" i="1"/>
  <c r="F20" i="1"/>
  <c r="G20" i="1"/>
  <c r="H20" i="1"/>
  <c r="I20" i="1"/>
  <c r="E20" i="1"/>
  <c r="M15" i="1"/>
  <c r="F19" i="1"/>
  <c r="G19" i="1"/>
  <c r="H19" i="1"/>
  <c r="I19" i="1"/>
  <c r="E19" i="1"/>
  <c r="C17" i="5"/>
  <c r="C20" i="5" s="1"/>
  <c r="H5" i="7"/>
  <c r="H6" i="7"/>
  <c r="H7" i="7"/>
  <c r="H8" i="7"/>
  <c r="H4" i="7"/>
  <c r="E5" i="7"/>
  <c r="E6" i="7"/>
  <c r="E7" i="7"/>
  <c r="E8" i="7"/>
  <c r="E4" i="7"/>
  <c r="L10" i="5"/>
  <c r="L12" i="5" s="1"/>
  <c r="K10" i="5"/>
  <c r="K12" i="5" s="1"/>
  <c r="J10" i="5"/>
  <c r="J12" i="5" s="1"/>
  <c r="K9" i="5"/>
  <c r="J9" i="5"/>
  <c r="I9" i="5"/>
  <c r="L9" i="5"/>
  <c r="L7" i="5"/>
  <c r="K7" i="5"/>
  <c r="J7" i="5"/>
  <c r="Q4" i="5"/>
  <c r="I8" i="5" s="1"/>
  <c r="I7" i="5" s="1"/>
  <c r="H6" i="5"/>
  <c r="H4" i="5" s="1"/>
  <c r="H5" i="5"/>
  <c r="K22" i="3"/>
  <c r="K17" i="3"/>
  <c r="K16" i="3"/>
  <c r="K13" i="3"/>
  <c r="K10" i="3" s="1"/>
  <c r="K9" i="3" s="1"/>
  <c r="K19" i="3"/>
  <c r="K18" i="3"/>
  <c r="K14" i="3"/>
  <c r="K10" i="4"/>
  <c r="K11" i="1"/>
  <c r="I11" i="1"/>
  <c r="C6" i="7" l="1"/>
  <c r="C8" i="7"/>
  <c r="C7" i="7"/>
  <c r="C19" i="5"/>
  <c r="K4" i="4"/>
  <c r="K23" i="3"/>
  <c r="K11" i="4" s="1"/>
  <c r="K24" i="3"/>
  <c r="K13" i="4" s="1"/>
  <c r="H12" i="5"/>
  <c r="H13" i="5"/>
  <c r="H10" i="5"/>
  <c r="C4" i="7" s="1"/>
  <c r="I13" i="5"/>
  <c r="J13" i="5" s="1"/>
  <c r="C18" i="5"/>
  <c r="J19" i="1"/>
  <c r="I10" i="5"/>
  <c r="K7" i="4"/>
  <c r="K7" i="3"/>
  <c r="I7" i="7" l="1"/>
  <c r="I6" i="7"/>
  <c r="I8" i="7"/>
  <c r="I12" i="5"/>
  <c r="C21" i="5" s="1"/>
  <c r="C5" i="7"/>
  <c r="K13" i="5"/>
  <c r="L13" i="5" s="1"/>
  <c r="C22" i="5"/>
  <c r="I4" i="7"/>
  <c r="K8" i="3"/>
  <c r="K6" i="4" s="1"/>
  <c r="K5" i="4"/>
  <c r="K5" i="3"/>
  <c r="K25" i="3" s="1"/>
  <c r="K26" i="3" s="1"/>
  <c r="E9" i="7" l="1"/>
  <c r="I5" i="7"/>
  <c r="H9" i="7" s="1"/>
  <c r="K28" i="3"/>
  <c r="K29" i="3" s="1"/>
  <c r="K27" i="3"/>
  <c r="K3" i="4"/>
  <c r="K12" i="4" s="1"/>
  <c r="K14" i="4" s="1"/>
  <c r="P3" i="7" l="1"/>
  <c r="K30" i="3"/>
  <c r="K15" i="4"/>
  <c r="K17" i="4" s="1"/>
  <c r="K16" i="4" l="1"/>
  <c r="K18" i="4" s="1"/>
  <c r="K19" i="4" s="1"/>
  <c r="K20" i="4" s="1"/>
</calcChain>
</file>

<file path=xl/sharedStrings.xml><?xml version="1.0" encoding="utf-8"?>
<sst xmlns="http://schemas.openxmlformats.org/spreadsheetml/2006/main" count="296" uniqueCount="212">
  <si>
    <t>Таблица 5. Перечень и объем функции программного обеспечения</t>
  </si>
  <si>
    <t>Код функций</t>
  </si>
  <si>
    <t>Наименование (содержание) функций</t>
  </si>
  <si>
    <t>Объем функции строк исходного кода (LOC)</t>
  </si>
  <si>
    <t>по каталогу (Vо)</t>
  </si>
  <si>
    <t>уточненный (Vy)</t>
  </si>
  <si>
    <t>Java</t>
  </si>
  <si>
    <t>Контроль, предварительна обработка и ввод информации</t>
  </si>
  <si>
    <t>Формирование базы данных</t>
  </si>
  <si>
    <t>Манипулирование данными</t>
  </si>
  <si>
    <t>Формирование файла</t>
  </si>
  <si>
    <t>Управление вводом-выводом</t>
  </si>
  <si>
    <t>Проведение тестовых испытаний прикладных программ в интерактивном режиме</t>
  </si>
  <si>
    <t>8630 макс</t>
  </si>
  <si>
    <t>Итого</t>
  </si>
  <si>
    <t>Статья затрат</t>
  </si>
  <si>
    <t>Стоимость машино-часа</t>
  </si>
  <si>
    <t>Затраты на заработную плату обслуживающего персонала</t>
  </si>
  <si>
    <t>Годовые затраты на аренду помещения</t>
  </si>
  <si>
    <t>Сумма годовых амортизационных отчислений</t>
  </si>
  <si>
    <t>Стоимость электроэнергии, потребляемой за год</t>
  </si>
  <si>
    <t>Действительный годовой фонд времени работы ПЭВМ</t>
  </si>
  <si>
    <t>Затраты на материалы</t>
  </si>
  <si>
    <t>Затраты на текущий и профилактический ремонт</t>
  </si>
  <si>
    <t>Прочие затраты, связанные с эксплуатацией ЭВМ</t>
  </si>
  <si>
    <t>Машинное время ЭВМ</t>
  </si>
  <si>
    <t>Затраты на оплату труда разработчиков (Зтр)</t>
  </si>
  <si>
    <t>Затраты машинного времени (Змв)</t>
  </si>
  <si>
    <t>Затраты на изготовление эталонного экземпляра (Зэт)</t>
  </si>
  <si>
    <t>Затраты на технологию (Зтех)</t>
  </si>
  <si>
    <t>Затраты на материалы (Змат)</t>
  </si>
  <si>
    <t>Общепроизводственные затраты (Зобщ.пр)</t>
  </si>
  <si>
    <t>Непроизводственные (коммерческие) затраты (Знепр)</t>
  </si>
  <si>
    <t>Суммарные затраты на разработку ПО (Зр)</t>
  </si>
  <si>
    <t>Номер</t>
  </si>
  <si>
    <t>1.1</t>
  </si>
  <si>
    <t>1.2</t>
  </si>
  <si>
    <t>1.3</t>
  </si>
  <si>
    <t>2</t>
  </si>
  <si>
    <t>2.1</t>
  </si>
  <si>
    <t>То</t>
  </si>
  <si>
    <t>Ср-час</t>
  </si>
  <si>
    <t>Формула</t>
  </si>
  <si>
    <t>Кув</t>
  </si>
  <si>
    <t>Основная заработная плата разработчиков (ЗПосн)</t>
  </si>
  <si>
    <t>Ндоп</t>
  </si>
  <si>
    <t>Нзп</t>
  </si>
  <si>
    <t>%</t>
  </si>
  <si>
    <t>Дополнительная заработная плата разработчиков (ЗПдоп)</t>
  </si>
  <si>
    <t>Отчисления от основной и дополнительной заработной платы (ОТЧсн)</t>
  </si>
  <si>
    <t>Qэвм</t>
  </si>
  <si>
    <t>Зтр</t>
  </si>
  <si>
    <t>ОТЧсн</t>
  </si>
  <si>
    <t>Змв</t>
  </si>
  <si>
    <t>Сар</t>
  </si>
  <si>
    <t>S</t>
  </si>
  <si>
    <t>Зар</t>
  </si>
  <si>
    <t>Fэвм</t>
  </si>
  <si>
    <t>33 стр23</t>
  </si>
  <si>
    <t>31 cтр21</t>
  </si>
  <si>
    <t>30 стр20</t>
  </si>
  <si>
    <t>26 стр20</t>
  </si>
  <si>
    <t>24 стр20</t>
  </si>
  <si>
    <t>23 стр19</t>
  </si>
  <si>
    <t>22 cтр19</t>
  </si>
  <si>
    <t>18 cтр17</t>
  </si>
  <si>
    <t>17 стр17</t>
  </si>
  <si>
    <t>Кк</t>
  </si>
  <si>
    <t>2.2</t>
  </si>
  <si>
    <t>3</t>
  </si>
  <si>
    <t>4</t>
  </si>
  <si>
    <t>5</t>
  </si>
  <si>
    <t>6</t>
  </si>
  <si>
    <t>7</t>
  </si>
  <si>
    <t>8</t>
  </si>
  <si>
    <t>Ксм</t>
  </si>
  <si>
    <t>Fсм</t>
  </si>
  <si>
    <t>Затраты на оплату труда разработчиков</t>
  </si>
  <si>
    <t>Основная заработная плата разработчиков</t>
  </si>
  <si>
    <t>Дополнительная заработная плата разработчиков</t>
  </si>
  <si>
    <t>Отчисления от основной и дополнительной заработной платы</t>
  </si>
  <si>
    <t>Затраты машинного времени</t>
  </si>
  <si>
    <t>Затраты на изготовление эталонного экземпляра</t>
  </si>
  <si>
    <t>Затраты на технологию</t>
  </si>
  <si>
    <t>Общепроизводственные затраты</t>
  </si>
  <si>
    <t>Производственная себестоимость</t>
  </si>
  <si>
    <t>Непроизводственные (коммерческие) затраты</t>
  </si>
  <si>
    <t>Полная себестоимость (суммарные затраты на разработку ПО)</t>
  </si>
  <si>
    <t>Прибыль от реализации ПО</t>
  </si>
  <si>
    <t>Отпускная цена ПО без НДС</t>
  </si>
  <si>
    <t>Налог на добавленную стоимость</t>
  </si>
  <si>
    <t>Отпускная цена ПО с НДС</t>
  </si>
  <si>
    <t>Торговая наценка</t>
  </si>
  <si>
    <t>Розничная цена ПО</t>
  </si>
  <si>
    <t>Наименование статьи расходов</t>
  </si>
  <si>
    <t>Зм.в</t>
  </si>
  <si>
    <t>Зэт</t>
  </si>
  <si>
    <t>Зтех</t>
  </si>
  <si>
    <t>Змат</t>
  </si>
  <si>
    <t>Зобщ.пр</t>
  </si>
  <si>
    <t>Знепр</t>
  </si>
  <si>
    <t>Зр</t>
  </si>
  <si>
    <t>Пр</t>
  </si>
  <si>
    <t>Цотп</t>
  </si>
  <si>
    <t>Рндс</t>
  </si>
  <si>
    <t>Цотп.ндс</t>
  </si>
  <si>
    <t>Тн</t>
  </si>
  <si>
    <t>Црозн</t>
  </si>
  <si>
    <t>Значение</t>
  </si>
  <si>
    <t>-</t>
  </si>
  <si>
    <t>НДС</t>
  </si>
  <si>
    <t>Ур</t>
  </si>
  <si>
    <t>Нтн</t>
  </si>
  <si>
    <t>Мои</t>
  </si>
  <si>
    <t>Не мои</t>
  </si>
  <si>
    <t>Кн</t>
  </si>
  <si>
    <t>0.63</t>
  </si>
  <si>
    <t>Кт</t>
  </si>
  <si>
    <t>0.77</t>
  </si>
  <si>
    <t>Кур</t>
  </si>
  <si>
    <t>0.6</t>
  </si>
  <si>
    <t>0.65</t>
  </si>
  <si>
    <t>Кс</t>
  </si>
  <si>
    <t>1.07</t>
  </si>
  <si>
    <t>1.19</t>
  </si>
  <si>
    <t>413</t>
  </si>
  <si>
    <t>To</t>
  </si>
  <si>
    <t>162</t>
  </si>
  <si>
    <t>Коб</t>
  </si>
  <si>
    <t>1605</t>
  </si>
  <si>
    <t>К</t>
  </si>
  <si>
    <t>2300,5</t>
  </si>
  <si>
    <t>П. 2.2</t>
  </si>
  <si>
    <t>П. 2.4</t>
  </si>
  <si>
    <t>Тарифная ставки</t>
  </si>
  <si>
    <t>Разряд разработчика</t>
  </si>
  <si>
    <t>Затраты на приобретение единицы ЭВМ, руб.</t>
  </si>
  <si>
    <t>Cэл</t>
  </si>
  <si>
    <t>Ннепр</t>
  </si>
  <si>
    <t>Норматив общепроизводственных затрат</t>
  </si>
  <si>
    <t>Кдоп</t>
  </si>
  <si>
    <t>А</t>
  </si>
  <si>
    <t>Мсум</t>
  </si>
  <si>
    <t>+</t>
  </si>
  <si>
    <t>% + (12-13)</t>
  </si>
  <si>
    <t>Км.з</t>
  </si>
  <si>
    <t>Кт.р</t>
  </si>
  <si>
    <t>Кп.р</t>
  </si>
  <si>
    <t>tр.п</t>
  </si>
  <si>
    <t>а+(30-65)</t>
  </si>
  <si>
    <t>tв.н</t>
  </si>
  <si>
    <t>а+(5-30)</t>
  </si>
  <si>
    <t>Кт.з</t>
  </si>
  <si>
    <t>а+(0,1-1,3)</t>
  </si>
  <si>
    <t>Тн процент</t>
  </si>
  <si>
    <t>% (10-20)</t>
  </si>
  <si>
    <t xml:space="preserve">а+(0,98-0,9) </t>
  </si>
  <si>
    <t>Показатель</t>
  </si>
  <si>
    <t>Годы реализации проекта</t>
  </si>
  <si>
    <t>Отток денежных средств</t>
  </si>
  <si>
    <t>Капитальные вложения</t>
  </si>
  <si>
    <t xml:space="preserve">Затраты на разработку ПО </t>
  </si>
  <si>
    <t>Приток денежных средств</t>
  </si>
  <si>
    <t>Экономический эффект от производства нового ПО</t>
  </si>
  <si>
    <t>Чистый экономический эффект</t>
  </si>
  <si>
    <t>Чистый поток денежных средств</t>
  </si>
  <si>
    <t>Коэффициент дисконтирования (при r = 10 %)</t>
  </si>
  <si>
    <t xml:space="preserve">Текущая стоимость потока </t>
  </si>
  <si>
    <t>Накопленная стоимость потока</t>
  </si>
  <si>
    <t>№</t>
  </si>
  <si>
    <t>1</t>
  </si>
  <si>
    <t>ЭП</t>
  </si>
  <si>
    <t>Р</t>
  </si>
  <si>
    <t>Тпр</t>
  </si>
  <si>
    <t>ГЭЭ</t>
  </si>
  <si>
    <t>Ст.конкурента</t>
  </si>
  <si>
    <t>За год</t>
  </si>
  <si>
    <t>Год</t>
  </si>
  <si>
    <t>Ден. Потоки</t>
  </si>
  <si>
    <t xml:space="preserve">при r = </t>
  </si>
  <si>
    <t>Kt</t>
  </si>
  <si>
    <t>текущий поток</t>
  </si>
  <si>
    <t xml:space="preserve">ЧДД = </t>
  </si>
  <si>
    <t>ИР</t>
  </si>
  <si>
    <t>Tдин</t>
  </si>
  <si>
    <t>Приведенная стоимость = Денежный поток / (1 + ВНД)^период</t>
  </si>
  <si>
    <t>ВНД изначальная</t>
  </si>
  <si>
    <t>ВНД конечная</t>
  </si>
  <si>
    <t>ЗПосн</t>
  </si>
  <si>
    <t>ЗПдоп</t>
  </si>
  <si>
    <t>224</t>
  </si>
  <si>
    <t>290</t>
  </si>
  <si>
    <t>2150</t>
  </si>
  <si>
    <t>Оборудование без выплат</t>
  </si>
  <si>
    <t>Показатели</t>
  </si>
  <si>
    <t>ТЗ</t>
  </si>
  <si>
    <t>ТП</t>
  </si>
  <si>
    <t>РП</t>
  </si>
  <si>
    <t>ВН</t>
  </si>
  <si>
    <t>Стадии разработки</t>
  </si>
  <si>
    <t>Общий объем ПО (Vo), количество  строк LOC</t>
  </si>
  <si>
    <t>Общий уточненный объем ПО (Vy),количество строк LOC</t>
  </si>
  <si>
    <t>Категория сложности разрабатываемого ПО</t>
  </si>
  <si>
    <t>Нормативная трудоемкость разработки ПО (Тн), чел.-дн.</t>
  </si>
  <si>
    <t>Коэффициент повышения сложности  ПО (Кс)</t>
  </si>
  <si>
    <t>Коэффициент, учитывающий новизнуПО (Кн)</t>
  </si>
  <si>
    <t>Коэффициент, учитывающий степень использования стандартных модулей(Кт)</t>
  </si>
  <si>
    <t>Коэффициент, учитывающий средства разработки ПО (Ку.р)</t>
  </si>
  <si>
    <t>Коэффициенты удельных весов трудоемкости стадий разработки ПО
(Кт.з, Кэ.п, Кт.п, Кр.п, Кв.н)</t>
  </si>
  <si>
    <t>Распределение нормативной трудоемкости ПО по стадиям, чел.-дн.</t>
  </si>
  <si>
    <t>Распределение скорректированной (с учетом Кс, Кн, Кт, Ку.р) трудоемкости ПО по стадиям, чел.-дн.</t>
  </si>
  <si>
    <t>Общая трудоемкость разработки ПО (То), чел.-дн.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</si>
</sst>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0" xfId="0"/>
    <xf numFmtId="0" fontId="0" fillId="0" borderId="3" xfId="0" applyBorder="1" applyAlignment="1"/>
    <xf numFmtId="0" fontId="0" fillId="0" borderId="1" xfId="0" applyFill="1" applyBorder="1"/>
    <xf numFmtId="0" fontId="0" fillId="0" borderId="17" xfId="0" applyBorder="1"/>
    <xf numFmtId="0" fontId="0" fillId="0" borderId="16" xfId="0" applyBorder="1"/>
    <xf numFmtId="0" fontId="0" fillId="0" borderId="10" xfId="0" applyBorder="1"/>
    <xf numFmtId="49" fontId="0" fillId="0" borderId="0" xfId="0" applyNumberFormat="1" applyBorder="1"/>
    <xf numFmtId="0" fontId="0" fillId="0" borderId="6" xfId="0" applyBorder="1"/>
    <xf numFmtId="0" fontId="0" fillId="0" borderId="15" xfId="0" applyBorder="1"/>
    <xf numFmtId="49" fontId="0" fillId="0" borderId="0" xfId="0" applyNumberFormat="1" applyFill="1" applyBorder="1"/>
    <xf numFmtId="0" fontId="0" fillId="0" borderId="0" xfId="0" applyFill="1" applyBorder="1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Fill="1" applyBorder="1"/>
    <xf numFmtId="0" fontId="0" fillId="0" borderId="0" xfId="0"/>
    <xf numFmtId="0" fontId="0" fillId="0" borderId="4" xfId="0" applyBorder="1"/>
    <xf numFmtId="0" fontId="0" fillId="0" borderId="13" xfId="0" applyBorder="1"/>
    <xf numFmtId="0" fontId="0" fillId="0" borderId="0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1" fillId="0" borderId="2" xfId="0" applyFont="1" applyBorder="1" applyAlignment="1"/>
    <xf numFmtId="0" fontId="0" fillId="0" borderId="3" xfId="0" applyBorder="1" applyAlignment="1"/>
    <xf numFmtId="0" fontId="0" fillId="0" borderId="2" xfId="0" applyBorder="1" applyAlignment="1">
      <alignment wrapText="1"/>
    </xf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13" xfId="0" applyNumberFormat="1" applyFill="1" applyBorder="1"/>
    <xf numFmtId="0" fontId="0" fillId="2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opLeftCell="A10" workbookViewId="0">
      <selection activeCell="J25" sqref="J25"/>
    </sheetView>
  </sheetViews>
  <sheetFormatPr defaultRowHeight="15" x14ac:dyDescent="0.25"/>
  <sheetData>
    <row r="1" spans="1:17" x14ac:dyDescent="0.25">
      <c r="A1" s="1"/>
      <c r="B1" s="1"/>
      <c r="C1" s="1"/>
      <c r="D1" s="1"/>
      <c r="E1" s="1"/>
      <c r="F1" s="1"/>
      <c r="G1" s="1"/>
    </row>
    <row r="2" spans="1:17" x14ac:dyDescent="0.25">
      <c r="A2" s="45" t="s">
        <v>0</v>
      </c>
      <c r="B2" s="45"/>
      <c r="C2" s="45"/>
      <c r="D2" s="45"/>
      <c r="E2" s="45"/>
      <c r="F2" s="45"/>
      <c r="G2" s="45"/>
    </row>
    <row r="3" spans="1:17" ht="15.75" customHeight="1" x14ac:dyDescent="0.25">
      <c r="A3" s="49" t="s">
        <v>1</v>
      </c>
      <c r="B3" s="50"/>
      <c r="C3" s="51"/>
      <c r="D3" s="54" t="s">
        <v>2</v>
      </c>
      <c r="E3" s="55"/>
      <c r="F3" s="55"/>
      <c r="G3" s="55"/>
      <c r="H3" s="56"/>
      <c r="I3" s="40" t="s">
        <v>3</v>
      </c>
      <c r="J3" s="40"/>
      <c r="K3" s="40"/>
      <c r="L3" s="40"/>
      <c r="M3" s="40"/>
      <c r="N3" t="s">
        <v>6</v>
      </c>
    </row>
    <row r="4" spans="1:17" x14ac:dyDescent="0.25">
      <c r="A4" s="52"/>
      <c r="B4" s="45"/>
      <c r="C4" s="53"/>
      <c r="D4" s="57"/>
      <c r="E4" s="58"/>
      <c r="F4" s="58"/>
      <c r="G4" s="58"/>
      <c r="H4" s="59"/>
      <c r="I4" s="40" t="s">
        <v>4</v>
      </c>
      <c r="J4" s="40"/>
      <c r="K4" s="40" t="s">
        <v>5</v>
      </c>
      <c r="L4" s="40"/>
      <c r="M4" s="40"/>
      <c r="N4" t="s">
        <v>13</v>
      </c>
    </row>
    <row r="5" spans="1:17" ht="44.25" customHeight="1" x14ac:dyDescent="0.25">
      <c r="A5" s="41">
        <v>102</v>
      </c>
      <c r="B5" s="43"/>
      <c r="C5" s="42"/>
      <c r="D5" s="46" t="s">
        <v>7</v>
      </c>
      <c r="E5" s="43"/>
      <c r="F5" s="43"/>
      <c r="G5" s="43"/>
      <c r="H5" s="42"/>
      <c r="I5" s="41">
        <v>490</v>
      </c>
      <c r="J5" s="42"/>
      <c r="K5" s="41">
        <v>180</v>
      </c>
      <c r="L5" s="43"/>
      <c r="M5" s="42"/>
    </row>
    <row r="6" spans="1:17" ht="35.25" customHeight="1" x14ac:dyDescent="0.25">
      <c r="A6" s="41">
        <v>109</v>
      </c>
      <c r="B6" s="43"/>
      <c r="C6" s="42"/>
      <c r="D6" s="46" t="s">
        <v>11</v>
      </c>
      <c r="E6" s="43"/>
      <c r="F6" s="43"/>
      <c r="G6" s="43"/>
      <c r="H6" s="42"/>
      <c r="I6" s="41">
        <v>1970</v>
      </c>
      <c r="J6" s="42"/>
      <c r="K6" s="41">
        <v>920</v>
      </c>
      <c r="L6" s="43"/>
      <c r="M6" s="42"/>
    </row>
    <row r="7" spans="1:17" x14ac:dyDescent="0.25">
      <c r="A7" s="41">
        <v>206</v>
      </c>
      <c r="B7" s="43"/>
      <c r="C7" s="42"/>
      <c r="D7" s="41" t="s">
        <v>9</v>
      </c>
      <c r="E7" s="43"/>
      <c r="F7" s="43"/>
      <c r="G7" s="43"/>
      <c r="H7" s="42"/>
      <c r="I7" s="41">
        <v>7860</v>
      </c>
      <c r="J7" s="42"/>
      <c r="K7" s="41">
        <v>2840</v>
      </c>
      <c r="L7" s="43"/>
      <c r="M7" s="42"/>
    </row>
    <row r="8" spans="1:17" x14ac:dyDescent="0.25">
      <c r="A8" s="41">
        <v>305</v>
      </c>
      <c r="B8" s="43"/>
      <c r="C8" s="42"/>
      <c r="D8" s="41" t="s">
        <v>10</v>
      </c>
      <c r="E8" s="43"/>
      <c r="F8" s="43"/>
      <c r="G8" s="43"/>
      <c r="H8" s="42"/>
      <c r="I8" s="41">
        <v>2130</v>
      </c>
      <c r="J8" s="42"/>
      <c r="K8" s="41">
        <v>680</v>
      </c>
      <c r="L8" s="43"/>
      <c r="M8" s="42"/>
    </row>
    <row r="9" spans="1:17" ht="21" customHeight="1" x14ac:dyDescent="0.25">
      <c r="A9" s="41">
        <v>202</v>
      </c>
      <c r="B9" s="43"/>
      <c r="C9" s="42"/>
      <c r="D9" s="41" t="s">
        <v>8</v>
      </c>
      <c r="E9" s="43"/>
      <c r="F9" s="43"/>
      <c r="G9" s="43"/>
      <c r="H9" s="42"/>
      <c r="I9" s="41">
        <v>1980</v>
      </c>
      <c r="J9" s="42"/>
      <c r="K9" s="41">
        <v>1150</v>
      </c>
      <c r="L9" s="43"/>
      <c r="M9" s="42"/>
    </row>
    <row r="10" spans="1:17" ht="55.5" customHeight="1" x14ac:dyDescent="0.25">
      <c r="A10" s="41">
        <v>601</v>
      </c>
      <c r="B10" s="43"/>
      <c r="C10" s="42"/>
      <c r="D10" s="46" t="s">
        <v>12</v>
      </c>
      <c r="E10" s="43"/>
      <c r="F10" s="43"/>
      <c r="G10" s="43"/>
      <c r="H10" s="42"/>
      <c r="I10" s="41">
        <v>3780</v>
      </c>
      <c r="J10" s="42"/>
      <c r="K10" s="41">
        <v>1130</v>
      </c>
      <c r="L10" s="43"/>
      <c r="M10" s="42"/>
    </row>
    <row r="11" spans="1:17" x14ac:dyDescent="0.25">
      <c r="A11" s="41"/>
      <c r="B11" s="43"/>
      <c r="C11" s="42"/>
      <c r="D11" s="41"/>
      <c r="E11" s="43"/>
      <c r="F11" s="43"/>
      <c r="G11" s="43"/>
      <c r="H11" s="42"/>
      <c r="I11" s="41">
        <f>SUM(I5:J10)</f>
        <v>18210</v>
      </c>
      <c r="J11" s="42"/>
      <c r="K11" s="41">
        <f>SUM(K5:M10)</f>
        <v>6900</v>
      </c>
      <c r="L11" s="43"/>
      <c r="M11" s="42"/>
    </row>
    <row r="12" spans="1:17" x14ac:dyDescent="0.25">
      <c r="A12" s="47"/>
      <c r="B12" s="44"/>
      <c r="C12" s="48"/>
      <c r="D12" s="47"/>
      <c r="E12" s="44"/>
      <c r="F12" s="44"/>
      <c r="G12" s="44"/>
      <c r="H12" s="44"/>
      <c r="I12" s="44"/>
      <c r="J12" s="44"/>
      <c r="K12" s="44"/>
      <c r="L12" s="44"/>
      <c r="M12" s="44"/>
      <c r="N12" s="4"/>
    </row>
    <row r="13" spans="1:17" ht="15.75" thickBot="1" x14ac:dyDescent="0.3">
      <c r="K13" s="4"/>
      <c r="L13" s="25">
        <v>290</v>
      </c>
      <c r="M13" s="4"/>
    </row>
    <row r="14" spans="1:17" ht="19.5" thickBot="1" x14ac:dyDescent="0.3">
      <c r="D14">
        <v>9</v>
      </c>
      <c r="E14" s="33">
        <v>0.08</v>
      </c>
      <c r="F14" s="34">
        <v>0.19</v>
      </c>
      <c r="G14" s="34">
        <v>0.28000000000000003</v>
      </c>
      <c r="H14" s="34">
        <v>0.34</v>
      </c>
      <c r="I14" s="34">
        <v>0.11</v>
      </c>
    </row>
    <row r="15" spans="1:17" ht="15.75" x14ac:dyDescent="0.25">
      <c r="B15">
        <v>0.65</v>
      </c>
      <c r="D15">
        <v>5</v>
      </c>
      <c r="E15" s="30">
        <v>1.07</v>
      </c>
      <c r="F15" s="30">
        <v>1.07</v>
      </c>
      <c r="G15" s="30">
        <v>1.07</v>
      </c>
      <c r="H15" s="30">
        <v>1.07</v>
      </c>
      <c r="I15" s="30">
        <v>1.07</v>
      </c>
      <c r="M15">
        <f>335*0.11*1.07*0.63*1.3</f>
        <v>32.292760500000007</v>
      </c>
    </row>
    <row r="16" spans="1:17" ht="18.75" x14ac:dyDescent="0.25">
      <c r="D16">
        <v>6</v>
      </c>
      <c r="E16" s="30">
        <v>0.63</v>
      </c>
      <c r="F16" s="30">
        <v>0.63</v>
      </c>
      <c r="G16" s="30">
        <v>0.63</v>
      </c>
      <c r="H16" s="30">
        <v>0.63</v>
      </c>
      <c r="I16" s="30">
        <v>0.63</v>
      </c>
      <c r="M16" s="36"/>
      <c r="N16" s="36"/>
      <c r="O16" s="36"/>
      <c r="P16" s="36"/>
      <c r="Q16" s="36"/>
    </row>
    <row r="17" spans="4:10" ht="15.75" x14ac:dyDescent="0.25">
      <c r="D17">
        <v>7</v>
      </c>
      <c r="E17" s="31">
        <v>1</v>
      </c>
      <c r="F17" s="31">
        <v>1</v>
      </c>
      <c r="G17" s="31">
        <v>1</v>
      </c>
      <c r="H17" s="30">
        <v>0.65</v>
      </c>
      <c r="I17" s="31">
        <v>1</v>
      </c>
    </row>
    <row r="18" spans="4:10" ht="15.75" x14ac:dyDescent="0.25">
      <c r="D18">
        <v>8</v>
      </c>
      <c r="E18" s="30">
        <v>1.3</v>
      </c>
      <c r="F18" s="30">
        <v>1.3</v>
      </c>
      <c r="G18" s="30">
        <v>1.3</v>
      </c>
      <c r="H18" s="30">
        <v>1.3</v>
      </c>
      <c r="I18" s="30">
        <v>1.3</v>
      </c>
    </row>
    <row r="19" spans="4:10" ht="15.75" x14ac:dyDescent="0.25">
      <c r="D19">
        <v>10</v>
      </c>
      <c r="E19" s="32">
        <f xml:space="preserve"> $L$13 *E14</f>
        <v>23.2</v>
      </c>
      <c r="F19" s="32">
        <f t="shared" ref="F19:I19" si="0" xml:space="preserve"> $L$13 *F14</f>
        <v>55.1</v>
      </c>
      <c r="G19" s="32">
        <f t="shared" si="0"/>
        <v>81.2</v>
      </c>
      <c r="H19" s="32">
        <f t="shared" si="0"/>
        <v>98.600000000000009</v>
      </c>
      <c r="I19" s="32">
        <f t="shared" si="0"/>
        <v>31.9</v>
      </c>
      <c r="J19" s="35">
        <f>SUM(E19:I19)</f>
        <v>290</v>
      </c>
    </row>
    <row r="20" spans="4:10" x14ac:dyDescent="0.25">
      <c r="D20">
        <v>11</v>
      </c>
      <c r="E20" s="23">
        <f xml:space="preserve"> $J$19 *E14*E15*E16*E17*E18</f>
        <v>20.330856000000004</v>
      </c>
      <c r="F20" s="23">
        <f t="shared" ref="F20:I20" si="1" xml:space="preserve"> $J$19 *F14*F15*F16*F17*F18</f>
        <v>48.285783000000009</v>
      </c>
      <c r="G20" s="23">
        <f t="shared" si="1"/>
        <v>71.157996000000011</v>
      </c>
      <c r="H20" s="23">
        <f t="shared" si="1"/>
        <v>56.163989700000009</v>
      </c>
      <c r="I20" s="23">
        <f t="shared" si="1"/>
        <v>27.954927000000005</v>
      </c>
      <c r="J20" s="39">
        <f>SUM(E20:I20)</f>
        <v>223.89355170000005</v>
      </c>
    </row>
    <row r="21" spans="4:10" ht="18.75" x14ac:dyDescent="0.25">
      <c r="E21" s="37"/>
      <c r="F21" s="37"/>
      <c r="G21" s="37"/>
      <c r="H21" s="37"/>
      <c r="I21" s="37"/>
    </row>
    <row r="22" spans="4:10" x14ac:dyDescent="0.25">
      <c r="E22" s="23"/>
      <c r="F22" s="27"/>
      <c r="G22" s="27"/>
      <c r="H22" s="27"/>
      <c r="I22" s="27"/>
      <c r="J22" s="39"/>
    </row>
    <row r="23" spans="4:10" x14ac:dyDescent="0.25">
      <c r="E23" s="23"/>
      <c r="F23" s="23"/>
      <c r="G23" s="23"/>
      <c r="H23" s="23"/>
      <c r="I23" s="23"/>
    </row>
  </sheetData>
  <mergeCells count="38">
    <mergeCell ref="I6:J6"/>
    <mergeCell ref="K6:M6"/>
    <mergeCell ref="A12:C12"/>
    <mergeCell ref="A3:C4"/>
    <mergeCell ref="D3:H4"/>
    <mergeCell ref="A9:C9"/>
    <mergeCell ref="A10:C10"/>
    <mergeCell ref="A11:C11"/>
    <mergeCell ref="D10:H10"/>
    <mergeCell ref="D11:H11"/>
    <mergeCell ref="D12:H12"/>
    <mergeCell ref="D9:H9"/>
    <mergeCell ref="K7:M7"/>
    <mergeCell ref="K8:M8"/>
    <mergeCell ref="K9:M9"/>
    <mergeCell ref="K10:M10"/>
    <mergeCell ref="A2:G2"/>
    <mergeCell ref="A6:C6"/>
    <mergeCell ref="A5:C5"/>
    <mergeCell ref="A7:C7"/>
    <mergeCell ref="A8:C8"/>
    <mergeCell ref="D5:H5"/>
    <mergeCell ref="D7:H7"/>
    <mergeCell ref="D8:H8"/>
    <mergeCell ref="D6:H6"/>
    <mergeCell ref="K11:M11"/>
    <mergeCell ref="K12:M12"/>
    <mergeCell ref="I7:J7"/>
    <mergeCell ref="I8:J8"/>
    <mergeCell ref="I9:J9"/>
    <mergeCell ref="I10:J10"/>
    <mergeCell ref="I11:J11"/>
    <mergeCell ref="I12:J12"/>
    <mergeCell ref="I3:M3"/>
    <mergeCell ref="I4:J4"/>
    <mergeCell ref="K4:M4"/>
    <mergeCell ref="I5:J5"/>
    <mergeCell ref="K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9CEC-E7CB-4D19-B7D0-323E9BA0CE3E}">
  <dimension ref="B2:Q74"/>
  <sheetViews>
    <sheetView workbookViewId="0">
      <selection activeCell="L16" sqref="L16"/>
    </sheetView>
  </sheetViews>
  <sheetFormatPr defaultRowHeight="15" x14ac:dyDescent="0.25"/>
  <cols>
    <col min="6" max="6" width="27.140625" customWidth="1"/>
  </cols>
  <sheetData>
    <row r="2" spans="2:17" x14ac:dyDescent="0.25">
      <c r="B2" s="81" t="s">
        <v>169</v>
      </c>
      <c r="C2" s="49" t="s">
        <v>194</v>
      </c>
      <c r="D2" s="50"/>
      <c r="E2" s="50"/>
      <c r="F2" s="51"/>
      <c r="G2" s="60" t="s">
        <v>199</v>
      </c>
      <c r="H2" s="72"/>
      <c r="I2" s="72"/>
      <c r="J2" s="72"/>
      <c r="K2" s="61"/>
      <c r="L2" s="81" t="s">
        <v>14</v>
      </c>
      <c r="O2" s="60" t="s">
        <v>122</v>
      </c>
      <c r="P2" s="61"/>
      <c r="Q2" s="27">
        <v>1.07</v>
      </c>
    </row>
    <row r="3" spans="2:17" x14ac:dyDescent="0.25">
      <c r="B3" s="82"/>
      <c r="C3" s="52"/>
      <c r="D3" s="45"/>
      <c r="E3" s="45"/>
      <c r="F3" s="53"/>
      <c r="G3" s="27" t="s">
        <v>195</v>
      </c>
      <c r="H3" s="27" t="s">
        <v>171</v>
      </c>
      <c r="I3" s="27" t="s">
        <v>196</v>
      </c>
      <c r="J3" s="28" t="s">
        <v>197</v>
      </c>
      <c r="K3" s="28" t="s">
        <v>198</v>
      </c>
      <c r="L3" s="82"/>
      <c r="O3" s="60" t="s">
        <v>119</v>
      </c>
      <c r="P3" s="61"/>
      <c r="Q3" s="27">
        <v>0.65</v>
      </c>
    </row>
    <row r="4" spans="2:17" x14ac:dyDescent="0.25">
      <c r="B4" s="27">
        <v>1</v>
      </c>
      <c r="C4" s="60" t="s">
        <v>200</v>
      </c>
      <c r="D4" s="72"/>
      <c r="E4" s="72"/>
      <c r="F4" s="61"/>
      <c r="G4" s="27"/>
      <c r="H4" s="27"/>
      <c r="I4" s="27"/>
      <c r="J4" s="27"/>
      <c r="K4" s="27"/>
      <c r="L4" s="27">
        <v>18210</v>
      </c>
      <c r="O4" s="60" t="s">
        <v>117</v>
      </c>
      <c r="P4" s="61"/>
      <c r="Q4" s="27">
        <v>0.65</v>
      </c>
    </row>
    <row r="5" spans="2:17" x14ac:dyDescent="0.25">
      <c r="B5" s="27">
        <v>2</v>
      </c>
      <c r="C5" s="60" t="s">
        <v>201</v>
      </c>
      <c r="D5" s="72"/>
      <c r="E5" s="72"/>
      <c r="F5" s="61"/>
      <c r="G5" s="27"/>
      <c r="H5" s="27"/>
      <c r="I5" s="27"/>
      <c r="J5" s="27"/>
      <c r="K5" s="27"/>
      <c r="L5" s="27">
        <v>6900</v>
      </c>
      <c r="O5" s="60"/>
      <c r="P5" s="61"/>
      <c r="Q5" s="27"/>
    </row>
    <row r="6" spans="2:17" x14ac:dyDescent="0.25">
      <c r="B6" s="27">
        <v>3</v>
      </c>
      <c r="C6" s="60" t="s">
        <v>202</v>
      </c>
      <c r="D6" s="72"/>
      <c r="E6" s="72"/>
      <c r="F6" s="61"/>
      <c r="G6" s="27"/>
      <c r="H6" s="27"/>
      <c r="I6" s="27"/>
      <c r="J6" s="27"/>
      <c r="K6" s="27"/>
      <c r="L6" s="27">
        <v>3</v>
      </c>
      <c r="O6" s="60"/>
      <c r="P6" s="61"/>
      <c r="Q6" s="27"/>
    </row>
    <row r="7" spans="2:17" x14ac:dyDescent="0.25">
      <c r="B7" s="27">
        <v>4</v>
      </c>
      <c r="C7" s="60" t="s">
        <v>203</v>
      </c>
      <c r="D7" s="72"/>
      <c r="E7" s="72"/>
      <c r="F7" s="61"/>
      <c r="G7" s="27"/>
      <c r="H7" s="27"/>
      <c r="I7" s="27"/>
      <c r="J7" s="27"/>
      <c r="K7" s="27"/>
      <c r="L7" s="27">
        <v>290</v>
      </c>
      <c r="O7" s="60"/>
      <c r="P7" s="61"/>
      <c r="Q7" s="27"/>
    </row>
    <row r="8" spans="2:17" x14ac:dyDescent="0.25">
      <c r="B8" s="27">
        <v>5</v>
      </c>
      <c r="C8" s="60" t="s">
        <v>204</v>
      </c>
      <c r="D8" s="72"/>
      <c r="E8" s="72"/>
      <c r="F8" s="61"/>
      <c r="G8" s="27">
        <v>1.07</v>
      </c>
      <c r="H8" s="27">
        <v>1.07</v>
      </c>
      <c r="I8" s="27">
        <v>1.07</v>
      </c>
      <c r="J8" s="27">
        <v>1.07</v>
      </c>
      <c r="K8" s="27">
        <v>1.07</v>
      </c>
      <c r="L8" s="27"/>
      <c r="O8" s="60"/>
      <c r="P8" s="61"/>
      <c r="Q8" s="27"/>
    </row>
    <row r="9" spans="2:17" x14ac:dyDescent="0.25">
      <c r="B9" s="27">
        <v>6</v>
      </c>
      <c r="C9" s="60" t="s">
        <v>205</v>
      </c>
      <c r="D9" s="72"/>
      <c r="E9" s="72"/>
      <c r="F9" s="61"/>
      <c r="G9" s="27">
        <v>0.63</v>
      </c>
      <c r="H9" s="27">
        <v>0.63</v>
      </c>
      <c r="I9" s="27">
        <v>0.63</v>
      </c>
      <c r="J9" s="27">
        <v>0.63</v>
      </c>
      <c r="K9" s="27">
        <v>0.63</v>
      </c>
      <c r="L9" s="27"/>
      <c r="O9" s="60"/>
      <c r="P9" s="61"/>
      <c r="Q9" s="27"/>
    </row>
    <row r="10" spans="2:17" x14ac:dyDescent="0.25">
      <c r="B10" s="27">
        <v>7</v>
      </c>
      <c r="C10" s="60" t="s">
        <v>206</v>
      </c>
      <c r="D10" s="72"/>
      <c r="E10" s="72"/>
      <c r="F10" s="61"/>
      <c r="G10" s="27">
        <v>1</v>
      </c>
      <c r="H10" s="27">
        <v>1</v>
      </c>
      <c r="I10" s="27">
        <v>1</v>
      </c>
      <c r="J10" s="27">
        <v>0.65</v>
      </c>
      <c r="K10" s="27">
        <v>1</v>
      </c>
      <c r="L10" s="27"/>
      <c r="O10" s="60"/>
      <c r="P10" s="61"/>
      <c r="Q10" s="27"/>
    </row>
    <row r="11" spans="2:17" x14ac:dyDescent="0.25">
      <c r="B11" s="27">
        <v>8</v>
      </c>
      <c r="C11" s="60" t="s">
        <v>207</v>
      </c>
      <c r="D11" s="72"/>
      <c r="E11" s="72"/>
      <c r="F11" s="61"/>
      <c r="G11" s="27">
        <v>0.65</v>
      </c>
      <c r="H11" s="27">
        <v>0.65</v>
      </c>
      <c r="I11" s="27">
        <v>0.65</v>
      </c>
      <c r="J11" s="27">
        <v>0.65</v>
      </c>
      <c r="K11" s="27">
        <v>0.65</v>
      </c>
      <c r="L11" s="27"/>
      <c r="O11" s="60"/>
      <c r="P11" s="61"/>
      <c r="Q11" s="27"/>
    </row>
    <row r="12" spans="2:17" x14ac:dyDescent="0.25">
      <c r="B12" s="27">
        <v>9</v>
      </c>
      <c r="C12" s="97" t="s">
        <v>208</v>
      </c>
      <c r="D12" s="72"/>
      <c r="E12" s="72"/>
      <c r="F12" s="61"/>
      <c r="G12" s="27">
        <v>0.08</v>
      </c>
      <c r="H12" s="27">
        <v>0.19</v>
      </c>
      <c r="I12" s="27">
        <v>0.28000000000000003</v>
      </c>
      <c r="J12" s="27">
        <v>0.34</v>
      </c>
      <c r="K12" s="27">
        <v>0.11</v>
      </c>
      <c r="L12" s="27">
        <f>SUM(G12:K12)</f>
        <v>1.0000000000000002</v>
      </c>
      <c r="O12" s="60"/>
      <c r="P12" s="61"/>
      <c r="Q12" s="27"/>
    </row>
    <row r="13" spans="2:17" x14ac:dyDescent="0.25">
      <c r="B13" s="27">
        <v>10</v>
      </c>
      <c r="C13" s="60" t="s">
        <v>209</v>
      </c>
      <c r="D13" s="72"/>
      <c r="E13" s="72"/>
      <c r="F13" s="61"/>
      <c r="G13" s="27">
        <f xml:space="preserve"> $L$7*G12</f>
        <v>23.2</v>
      </c>
      <c r="H13" s="27">
        <f t="shared" ref="H13:K13" si="0" xml:space="preserve"> $L$7*H12</f>
        <v>55.1</v>
      </c>
      <c r="I13" s="27">
        <f t="shared" si="0"/>
        <v>81.2</v>
      </c>
      <c r="J13" s="27">
        <f t="shared" si="0"/>
        <v>98.600000000000009</v>
      </c>
      <c r="K13" s="27">
        <f t="shared" si="0"/>
        <v>31.9</v>
      </c>
      <c r="L13" s="27">
        <f>SUM(G13:K13)</f>
        <v>290</v>
      </c>
      <c r="O13" s="60"/>
      <c r="P13" s="61"/>
      <c r="Q13" s="27"/>
    </row>
    <row r="14" spans="2:17" x14ac:dyDescent="0.25">
      <c r="B14" s="27">
        <v>11</v>
      </c>
      <c r="C14" s="60" t="s">
        <v>210</v>
      </c>
      <c r="D14" s="72"/>
      <c r="E14" s="72"/>
      <c r="F14" s="61"/>
      <c r="G14" s="27">
        <f xml:space="preserve"> G8*G9*G10*G11*G13</f>
        <v>10.165428</v>
      </c>
      <c r="H14" s="27">
        <f t="shared" ref="H14:K14" si="1" xml:space="preserve"> H8*H9*H10*H11*H13</f>
        <v>24.142891500000001</v>
      </c>
      <c r="I14" s="27">
        <f t="shared" si="1"/>
        <v>35.578998000000006</v>
      </c>
      <c r="J14" s="27">
        <f t="shared" si="1"/>
        <v>28.081994850000005</v>
      </c>
      <c r="K14" s="27">
        <f t="shared" si="1"/>
        <v>13.977463500000001</v>
      </c>
      <c r="L14" s="27">
        <f>SUM(G14:K14)</f>
        <v>111.94677585000001</v>
      </c>
      <c r="O14" s="60"/>
      <c r="P14" s="61"/>
      <c r="Q14" s="27"/>
    </row>
    <row r="15" spans="2:17" x14ac:dyDescent="0.25">
      <c r="B15" s="27">
        <v>12</v>
      </c>
      <c r="C15" s="60" t="s">
        <v>211</v>
      </c>
      <c r="D15" s="72"/>
      <c r="E15" s="72"/>
      <c r="F15" s="61"/>
      <c r="G15" s="27"/>
      <c r="H15" s="27"/>
      <c r="I15" s="27"/>
      <c r="J15" s="27"/>
      <c r="K15" s="27"/>
      <c r="L15" s="27">
        <v>112</v>
      </c>
      <c r="O15" s="60"/>
      <c r="P15" s="61"/>
      <c r="Q15" s="27"/>
    </row>
    <row r="16" spans="2:17" x14ac:dyDescent="0.25">
      <c r="B16" s="27"/>
      <c r="C16" s="60"/>
      <c r="D16" s="72"/>
      <c r="E16" s="72"/>
      <c r="F16" s="61"/>
      <c r="G16" s="27"/>
      <c r="H16" s="27"/>
      <c r="I16" s="27"/>
      <c r="J16" s="27"/>
      <c r="K16" s="27"/>
      <c r="L16" s="26"/>
    </row>
    <row r="17" spans="2:13" x14ac:dyDescent="0.25">
      <c r="B17" s="29"/>
      <c r="C17" s="74"/>
      <c r="D17" s="74"/>
      <c r="E17" s="74"/>
      <c r="F17" s="74"/>
      <c r="G17" s="29"/>
      <c r="H17" s="29"/>
      <c r="I17" s="29"/>
      <c r="J17" s="29"/>
      <c r="K17" s="29"/>
      <c r="L17" s="29"/>
      <c r="M17" s="29"/>
    </row>
    <row r="18" spans="2:13" x14ac:dyDescent="0.25">
      <c r="B18" s="29"/>
      <c r="C18" s="74"/>
      <c r="D18" s="74"/>
      <c r="E18" s="74"/>
      <c r="F18" s="74"/>
      <c r="G18" s="29"/>
      <c r="H18" s="29"/>
      <c r="I18" s="29"/>
      <c r="J18" s="29"/>
      <c r="K18" s="29"/>
      <c r="L18" s="29"/>
    </row>
    <row r="19" spans="2:13" x14ac:dyDescent="0.25">
      <c r="B19" s="29"/>
      <c r="C19" s="74"/>
      <c r="D19" s="74"/>
      <c r="E19" s="74"/>
      <c r="F19" s="74"/>
      <c r="G19" s="29"/>
      <c r="H19" s="29"/>
      <c r="I19" s="29"/>
      <c r="J19" s="29"/>
      <c r="K19" s="29"/>
      <c r="L19" s="29"/>
    </row>
    <row r="20" spans="2:13" x14ac:dyDescent="0.25">
      <c r="B20" s="29"/>
      <c r="C20" s="74"/>
      <c r="D20" s="74"/>
      <c r="E20" s="74"/>
      <c r="F20" s="74"/>
      <c r="G20" s="29"/>
      <c r="H20" s="29"/>
      <c r="I20" s="29"/>
      <c r="J20" s="29"/>
      <c r="K20" s="29"/>
      <c r="L20" s="29"/>
    </row>
    <row r="21" spans="2:13" x14ac:dyDescent="0.25">
      <c r="B21" s="29"/>
      <c r="C21" s="74"/>
      <c r="D21" s="74"/>
      <c r="E21" s="74"/>
      <c r="F21" s="74"/>
      <c r="G21" s="29"/>
      <c r="H21" s="29"/>
      <c r="I21" s="29"/>
      <c r="J21" s="29"/>
      <c r="K21" s="29"/>
      <c r="L21" s="29"/>
    </row>
    <row r="22" spans="2:13" x14ac:dyDescent="0.25">
      <c r="B22" s="29"/>
      <c r="C22" s="74"/>
      <c r="D22" s="74"/>
      <c r="E22" s="74"/>
      <c r="F22" s="74"/>
      <c r="G22" s="29"/>
      <c r="H22" s="29"/>
      <c r="I22" s="29"/>
      <c r="J22" s="29"/>
      <c r="K22" s="29"/>
      <c r="L22" s="29"/>
    </row>
    <row r="23" spans="2:13" x14ac:dyDescent="0.25">
      <c r="B23" s="29"/>
      <c r="C23" s="74"/>
      <c r="D23" s="74"/>
      <c r="E23" s="74"/>
      <c r="F23" s="74"/>
      <c r="G23" s="29"/>
      <c r="H23" s="29"/>
      <c r="I23" s="29"/>
      <c r="J23" s="29"/>
      <c r="K23" s="29"/>
      <c r="L23" s="29"/>
    </row>
    <row r="24" spans="2:13" x14ac:dyDescent="0.25">
      <c r="B24" s="29"/>
      <c r="C24" s="74"/>
      <c r="D24" s="74"/>
      <c r="E24" s="74"/>
      <c r="F24" s="74"/>
      <c r="G24" s="29"/>
      <c r="H24" s="29"/>
      <c r="I24" s="29"/>
      <c r="J24" s="29"/>
      <c r="K24" s="29"/>
    </row>
    <row r="25" spans="2:13" x14ac:dyDescent="0.25">
      <c r="B25" s="29"/>
      <c r="C25" s="74"/>
      <c r="D25" s="74"/>
      <c r="E25" s="74"/>
      <c r="F25" s="74"/>
      <c r="G25" s="29"/>
      <c r="H25" s="29"/>
      <c r="I25" s="29"/>
      <c r="J25" s="29"/>
      <c r="K25" s="29"/>
    </row>
    <row r="26" spans="2:13" x14ac:dyDescent="0.25">
      <c r="B26" s="29"/>
      <c r="C26" s="74"/>
      <c r="D26" s="74"/>
      <c r="E26" s="74"/>
      <c r="F26" s="74"/>
      <c r="G26" s="29"/>
      <c r="H26" s="29"/>
      <c r="I26" s="29"/>
      <c r="J26" s="29"/>
      <c r="K26" s="29"/>
    </row>
    <row r="27" spans="2:13" x14ac:dyDescent="0.25">
      <c r="B27" s="29"/>
      <c r="C27" s="74"/>
      <c r="D27" s="74"/>
      <c r="E27" s="74"/>
      <c r="F27" s="74"/>
      <c r="G27" s="29"/>
      <c r="H27" s="29"/>
      <c r="I27" s="29"/>
      <c r="J27" s="29"/>
      <c r="K27" s="29"/>
    </row>
    <row r="28" spans="2:13" x14ac:dyDescent="0.25">
      <c r="B28" s="29"/>
      <c r="C28" s="74"/>
      <c r="D28" s="74"/>
      <c r="E28" s="74"/>
      <c r="F28" s="74"/>
      <c r="G28" s="29"/>
      <c r="H28" s="29"/>
      <c r="I28" s="29"/>
      <c r="J28" s="29"/>
      <c r="K28" s="29"/>
    </row>
    <row r="29" spans="2:13" x14ac:dyDescent="0.25">
      <c r="B29" s="29"/>
      <c r="C29" s="74"/>
      <c r="D29" s="74"/>
      <c r="E29" s="74"/>
      <c r="F29" s="74"/>
      <c r="G29" s="29"/>
      <c r="H29" s="29"/>
      <c r="I29" s="29"/>
      <c r="J29" s="29"/>
      <c r="K29" s="29"/>
    </row>
    <row r="30" spans="2:13" x14ac:dyDescent="0.25">
      <c r="B30" s="29"/>
      <c r="C30" s="74"/>
      <c r="D30" s="74"/>
      <c r="E30" s="74"/>
      <c r="F30" s="74"/>
      <c r="G30" s="29"/>
      <c r="H30" s="29"/>
      <c r="I30" s="29"/>
      <c r="J30" s="29"/>
      <c r="K30" s="29"/>
    </row>
    <row r="31" spans="2:13" x14ac:dyDescent="0.25">
      <c r="B31" s="29"/>
      <c r="C31" s="74"/>
      <c r="D31" s="74"/>
      <c r="E31" s="74"/>
      <c r="F31" s="74"/>
      <c r="G31" s="29"/>
      <c r="H31" s="29"/>
      <c r="I31" s="29"/>
      <c r="J31" s="29"/>
      <c r="K31" s="29"/>
    </row>
    <row r="32" spans="2:13" x14ac:dyDescent="0.25">
      <c r="B32" s="29"/>
      <c r="C32" s="74"/>
      <c r="D32" s="74"/>
      <c r="E32" s="74"/>
      <c r="F32" s="74"/>
      <c r="G32" s="29"/>
      <c r="H32" s="29"/>
      <c r="I32" s="29"/>
      <c r="J32" s="29"/>
      <c r="K32" s="29"/>
    </row>
    <row r="33" spans="2:11" x14ac:dyDescent="0.25">
      <c r="B33" s="29"/>
      <c r="C33" s="74"/>
      <c r="D33" s="74"/>
      <c r="E33" s="74"/>
      <c r="F33" s="74"/>
      <c r="G33" s="29"/>
      <c r="H33" s="29"/>
      <c r="I33" s="29"/>
      <c r="J33" s="29"/>
      <c r="K33" s="29"/>
    </row>
    <row r="34" spans="2:11" x14ac:dyDescent="0.25">
      <c r="B34" s="29"/>
      <c r="C34" s="74"/>
      <c r="D34" s="74"/>
      <c r="E34" s="74"/>
      <c r="F34" s="74"/>
      <c r="G34" s="29"/>
      <c r="H34" s="29"/>
      <c r="I34" s="29"/>
      <c r="J34" s="29"/>
      <c r="K34" s="29"/>
    </row>
    <row r="35" spans="2:11" x14ac:dyDescent="0.25">
      <c r="B35" s="29"/>
      <c r="C35" s="74"/>
      <c r="D35" s="74"/>
      <c r="E35" s="74"/>
      <c r="F35" s="74"/>
      <c r="G35" s="29"/>
      <c r="H35" s="29"/>
      <c r="I35" s="29"/>
      <c r="J35" s="29"/>
      <c r="K35" s="29"/>
    </row>
    <row r="36" spans="2:11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2:11" x14ac:dyDescent="0.25"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2:11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2:11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2:11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2:11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2:11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2:11" x14ac:dyDescent="0.25"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2:11" x14ac:dyDescent="0.25"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2:11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2:11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2:11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2:11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2:10" x14ac:dyDescent="0.25">
      <c r="B49" s="29"/>
      <c r="C49" s="29"/>
      <c r="D49" s="29"/>
      <c r="E49" s="29"/>
      <c r="F49" s="29"/>
      <c r="G49" s="29"/>
      <c r="H49" s="29"/>
      <c r="I49" s="29"/>
    </row>
    <row r="50" spans="2:10" x14ac:dyDescent="0.25">
      <c r="B50" s="29"/>
      <c r="C50" s="29"/>
      <c r="D50" s="29"/>
      <c r="E50" s="29"/>
      <c r="F50" s="29"/>
      <c r="G50" s="29"/>
      <c r="H50" s="29"/>
      <c r="I50" s="29"/>
    </row>
    <row r="51" spans="2:10" x14ac:dyDescent="0.25">
      <c r="B51" s="29"/>
      <c r="C51" s="29"/>
      <c r="D51" s="29"/>
      <c r="E51" s="29"/>
      <c r="F51" s="29"/>
      <c r="G51" s="29"/>
      <c r="H51" s="29"/>
      <c r="I51" s="29"/>
    </row>
    <row r="52" spans="2:10" x14ac:dyDescent="0.25">
      <c r="B52" s="29"/>
      <c r="C52" s="29"/>
      <c r="D52" s="29"/>
      <c r="E52" s="29"/>
      <c r="F52" s="29"/>
      <c r="G52" s="29"/>
      <c r="H52" s="29"/>
      <c r="I52" s="29"/>
    </row>
    <row r="53" spans="2:10" x14ac:dyDescent="0.25">
      <c r="B53" s="29"/>
      <c r="C53" s="29"/>
      <c r="D53" s="29"/>
      <c r="E53" s="29"/>
      <c r="F53" s="29"/>
      <c r="G53" s="29"/>
      <c r="H53" s="29"/>
      <c r="I53" s="29"/>
    </row>
    <row r="54" spans="2:10" x14ac:dyDescent="0.25">
      <c r="B54" s="29"/>
      <c r="C54" s="29"/>
      <c r="D54" s="29"/>
      <c r="E54" s="29"/>
      <c r="F54" s="29"/>
      <c r="G54" s="29"/>
      <c r="H54" s="29"/>
      <c r="I54" s="29"/>
    </row>
    <row r="55" spans="2:10" x14ac:dyDescent="0.25">
      <c r="B55" s="29"/>
      <c r="C55" s="29"/>
      <c r="D55" s="29"/>
      <c r="E55" s="29"/>
      <c r="F55" s="29"/>
      <c r="G55" s="29"/>
      <c r="H55" s="29"/>
      <c r="I55" s="29"/>
    </row>
    <row r="56" spans="2:10" x14ac:dyDescent="0.25">
      <c r="B56" s="29"/>
      <c r="C56" s="29"/>
      <c r="D56" s="29"/>
      <c r="E56" s="29"/>
      <c r="F56" s="29"/>
      <c r="G56" s="29"/>
      <c r="H56" s="29"/>
      <c r="I56" s="29"/>
    </row>
    <row r="57" spans="2:10" x14ac:dyDescent="0.25">
      <c r="B57" s="29"/>
      <c r="C57" s="29"/>
      <c r="D57" s="29"/>
      <c r="E57" s="29"/>
      <c r="F57" s="29"/>
      <c r="G57" s="29"/>
      <c r="H57" s="29"/>
      <c r="I57" s="29"/>
    </row>
    <row r="58" spans="2:10" x14ac:dyDescent="0.25">
      <c r="B58" s="29"/>
      <c r="C58" s="29"/>
      <c r="D58" s="29"/>
      <c r="E58" s="29"/>
      <c r="F58" s="29"/>
      <c r="G58" s="29"/>
      <c r="H58" s="29"/>
      <c r="I58" s="29"/>
    </row>
    <row r="59" spans="2:10" x14ac:dyDescent="0.25">
      <c r="B59" s="29"/>
      <c r="C59" s="29"/>
      <c r="D59" s="29"/>
      <c r="E59" s="29"/>
      <c r="F59" s="29"/>
      <c r="G59" s="29"/>
      <c r="H59" s="29"/>
      <c r="I59" s="29"/>
    </row>
    <row r="60" spans="2:10" x14ac:dyDescent="0.25">
      <c r="B60" s="29"/>
      <c r="C60" s="29"/>
      <c r="D60" s="29"/>
      <c r="E60" s="29"/>
      <c r="F60" s="29"/>
      <c r="G60" s="29"/>
      <c r="H60" s="29"/>
      <c r="I60" s="29"/>
    </row>
    <row r="61" spans="2:10" x14ac:dyDescent="0.25">
      <c r="B61" s="29"/>
      <c r="C61" s="29"/>
      <c r="D61" s="29"/>
      <c r="E61" s="29"/>
      <c r="F61" s="29"/>
      <c r="G61" s="29"/>
      <c r="H61" s="29"/>
      <c r="I61" s="29"/>
      <c r="J61" s="29"/>
    </row>
    <row r="62" spans="2:10" x14ac:dyDescent="0.25">
      <c r="B62" s="29"/>
      <c r="C62" s="29"/>
      <c r="D62" s="29"/>
      <c r="E62" s="29"/>
      <c r="F62" s="29"/>
      <c r="G62" s="29"/>
      <c r="H62" s="29"/>
      <c r="I62" s="29"/>
      <c r="J62" s="29"/>
    </row>
    <row r="63" spans="2:10" x14ac:dyDescent="0.25">
      <c r="B63" s="29"/>
      <c r="C63" s="29"/>
      <c r="D63" s="29"/>
      <c r="E63" s="29"/>
      <c r="F63" s="29"/>
      <c r="G63" s="29"/>
      <c r="H63" s="29"/>
      <c r="I63" s="29"/>
      <c r="J63" s="29"/>
    </row>
    <row r="64" spans="2:10" x14ac:dyDescent="0.25">
      <c r="B64" s="29"/>
      <c r="C64" s="29"/>
      <c r="D64" s="29"/>
      <c r="E64" s="29"/>
      <c r="F64" s="29"/>
      <c r="G64" s="29"/>
      <c r="H64" s="29"/>
      <c r="I64" s="29"/>
      <c r="J64" s="29"/>
    </row>
    <row r="65" spans="2:10" x14ac:dyDescent="0.25">
      <c r="B65" s="29"/>
      <c r="C65" s="29"/>
      <c r="D65" s="29"/>
      <c r="E65" s="29"/>
      <c r="F65" s="29"/>
      <c r="G65" s="29"/>
      <c r="H65" s="29"/>
      <c r="I65" s="29"/>
      <c r="J65" s="29"/>
    </row>
    <row r="66" spans="2:10" x14ac:dyDescent="0.25">
      <c r="B66" s="29"/>
      <c r="C66" s="29"/>
      <c r="D66" s="29"/>
      <c r="E66" s="29"/>
      <c r="F66" s="29"/>
      <c r="G66" s="29"/>
      <c r="H66" s="29"/>
      <c r="I66" s="29"/>
      <c r="J66" s="29"/>
    </row>
    <row r="67" spans="2:10" x14ac:dyDescent="0.25">
      <c r="B67" s="29"/>
      <c r="C67" s="29"/>
      <c r="D67" s="29"/>
      <c r="E67" s="29"/>
      <c r="F67" s="29"/>
      <c r="G67" s="29"/>
      <c r="H67" s="29"/>
      <c r="I67" s="29"/>
      <c r="J67" s="29"/>
    </row>
    <row r="68" spans="2:10" x14ac:dyDescent="0.25">
      <c r="B68" s="29"/>
      <c r="C68" s="29"/>
      <c r="D68" s="29"/>
      <c r="E68" s="29"/>
      <c r="F68" s="29"/>
      <c r="G68" s="29"/>
      <c r="H68" s="29"/>
      <c r="I68" s="29"/>
      <c r="J68" s="29"/>
    </row>
    <row r="69" spans="2:10" x14ac:dyDescent="0.25">
      <c r="B69" s="29"/>
      <c r="C69" s="29"/>
      <c r="D69" s="29"/>
      <c r="E69" s="29"/>
      <c r="F69" s="29"/>
      <c r="G69" s="29"/>
      <c r="H69" s="29"/>
      <c r="I69" s="29"/>
      <c r="J69" s="29"/>
    </row>
    <row r="70" spans="2:10" x14ac:dyDescent="0.25">
      <c r="B70" s="29"/>
      <c r="C70" s="29"/>
      <c r="D70" s="29"/>
      <c r="E70" s="29"/>
      <c r="F70" s="29"/>
      <c r="G70" s="29"/>
      <c r="H70" s="29"/>
      <c r="I70" s="29"/>
      <c r="J70" s="29"/>
    </row>
    <row r="71" spans="2:10" x14ac:dyDescent="0.25">
      <c r="B71" s="29"/>
      <c r="C71" s="29"/>
      <c r="D71" s="29"/>
      <c r="E71" s="29"/>
      <c r="F71" s="29"/>
      <c r="G71" s="29"/>
      <c r="H71" s="29"/>
      <c r="I71" s="29"/>
      <c r="J71" s="29"/>
    </row>
    <row r="72" spans="2:10" x14ac:dyDescent="0.25">
      <c r="B72" s="29"/>
      <c r="C72" s="29"/>
      <c r="D72" s="29"/>
      <c r="E72" s="29"/>
      <c r="F72" s="29"/>
      <c r="G72" s="29"/>
      <c r="H72" s="29"/>
      <c r="I72" s="29"/>
      <c r="J72" s="29"/>
    </row>
    <row r="73" spans="2:10" x14ac:dyDescent="0.25">
      <c r="B73" s="29"/>
      <c r="C73" s="29"/>
      <c r="D73" s="29"/>
      <c r="E73" s="29"/>
      <c r="F73" s="29"/>
      <c r="G73" s="29"/>
      <c r="H73" s="29"/>
      <c r="I73" s="29"/>
      <c r="J73" s="29"/>
    </row>
    <row r="74" spans="2:10" x14ac:dyDescent="0.25">
      <c r="B74" s="29"/>
      <c r="C74" s="29"/>
      <c r="D74" s="29"/>
      <c r="E74" s="29"/>
      <c r="F74" s="29"/>
      <c r="G74" s="29"/>
      <c r="H74" s="29"/>
      <c r="I74" s="29"/>
      <c r="J74" s="29"/>
    </row>
  </sheetData>
  <mergeCells count="50">
    <mergeCell ref="O13:P13"/>
    <mergeCell ref="O14:P14"/>
    <mergeCell ref="O15:P15"/>
    <mergeCell ref="L2:L3"/>
    <mergeCell ref="O7:P7"/>
    <mergeCell ref="O8:P8"/>
    <mergeCell ref="O9:P9"/>
    <mergeCell ref="O10:P10"/>
    <mergeCell ref="O11:P11"/>
    <mergeCell ref="O12:P12"/>
    <mergeCell ref="B2:B3"/>
    <mergeCell ref="O2:P2"/>
    <mergeCell ref="O3:P3"/>
    <mergeCell ref="O4:P4"/>
    <mergeCell ref="O5:P5"/>
    <mergeCell ref="O6:P6"/>
    <mergeCell ref="C32:F32"/>
    <mergeCell ref="C33:F33"/>
    <mergeCell ref="C34:F34"/>
    <mergeCell ref="C35:F35"/>
    <mergeCell ref="C2:F3"/>
    <mergeCell ref="G2:K2"/>
    <mergeCell ref="C26:F26"/>
    <mergeCell ref="C27:F27"/>
    <mergeCell ref="C28:F28"/>
    <mergeCell ref="C29:F29"/>
    <mergeCell ref="C30:F30"/>
    <mergeCell ref="C31:F31"/>
    <mergeCell ref="C20:F20"/>
    <mergeCell ref="C21:F21"/>
    <mergeCell ref="C22:F22"/>
    <mergeCell ref="C23:F23"/>
    <mergeCell ref="C24:F24"/>
    <mergeCell ref="C25:F25"/>
    <mergeCell ref="C14:F14"/>
    <mergeCell ref="C15:F15"/>
    <mergeCell ref="C16:F16"/>
    <mergeCell ref="C17:F17"/>
    <mergeCell ref="C18:F18"/>
    <mergeCell ref="C19:F19"/>
    <mergeCell ref="C8:F8"/>
    <mergeCell ref="C9:F9"/>
    <mergeCell ref="C10:F10"/>
    <mergeCell ref="C11:F11"/>
    <mergeCell ref="C12:F12"/>
    <mergeCell ref="C13:F13"/>
    <mergeCell ref="C4:F4"/>
    <mergeCell ref="C5:F5"/>
    <mergeCell ref="C6:F6"/>
    <mergeCell ref="C7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AC12-7EB9-43C2-9DA6-624A8B599F74}">
  <dimension ref="B3:S42"/>
  <sheetViews>
    <sheetView topLeftCell="A7" zoomScale="85" zoomScaleNormal="85" workbookViewId="0">
      <selection activeCell="O29" sqref="O29"/>
    </sheetView>
  </sheetViews>
  <sheetFormatPr defaultRowHeight="15" x14ac:dyDescent="0.25"/>
  <cols>
    <col min="4" max="4" width="9.140625" customWidth="1"/>
    <col min="9" max="9" width="10.5703125" customWidth="1"/>
    <col min="17" max="17" width="12" customWidth="1"/>
    <col min="19" max="19" width="15.140625" customWidth="1"/>
  </cols>
  <sheetData>
    <row r="3" spans="2:19" x14ac:dyDescent="0.25">
      <c r="G3">
        <v>825.83</v>
      </c>
    </row>
    <row r="4" spans="2:19" x14ac:dyDescent="0.25">
      <c r="B4" s="5" t="s">
        <v>34</v>
      </c>
      <c r="C4" s="62" t="s">
        <v>15</v>
      </c>
      <c r="D4" s="63"/>
      <c r="E4" s="63"/>
      <c r="F4" s="63"/>
      <c r="G4" s="63"/>
      <c r="H4" s="63"/>
      <c r="I4" s="64"/>
      <c r="J4" s="2"/>
      <c r="K4" s="62" t="s">
        <v>14</v>
      </c>
      <c r="L4" s="64"/>
      <c r="M4" s="68" t="s">
        <v>42</v>
      </c>
      <c r="N4" s="69"/>
      <c r="P4" s="60" t="s">
        <v>40</v>
      </c>
      <c r="Q4" s="61"/>
      <c r="R4" s="2">
        <f>'п2.2.2'!L15</f>
        <v>112</v>
      </c>
    </row>
    <row r="5" spans="2:19" x14ac:dyDescent="0.25">
      <c r="B5" s="6">
        <v>1</v>
      </c>
      <c r="C5" s="65" t="s">
        <v>26</v>
      </c>
      <c r="D5" s="65"/>
      <c r="E5" s="65"/>
      <c r="F5" s="65"/>
      <c r="G5" s="65"/>
      <c r="H5" s="65"/>
      <c r="I5" s="65"/>
      <c r="J5" s="2" t="s">
        <v>51</v>
      </c>
      <c r="K5" s="60">
        <f>K6+K7+K8</f>
        <v>11059.287321599999</v>
      </c>
      <c r="L5" s="61"/>
      <c r="M5" s="60" t="s">
        <v>66</v>
      </c>
      <c r="N5" s="61"/>
      <c r="P5" s="60" t="s">
        <v>41</v>
      </c>
      <c r="Q5" s="61"/>
      <c r="R5" s="2">
        <v>4.43</v>
      </c>
    </row>
    <row r="6" spans="2:19" x14ac:dyDescent="0.25">
      <c r="B6" s="6" t="s">
        <v>35</v>
      </c>
      <c r="C6" s="65" t="s">
        <v>44</v>
      </c>
      <c r="D6" s="65"/>
      <c r="E6" s="65"/>
      <c r="F6" s="65"/>
      <c r="G6" s="65"/>
      <c r="H6" s="65"/>
      <c r="I6" s="65"/>
      <c r="J6" s="2" t="s">
        <v>188</v>
      </c>
      <c r="K6" s="60">
        <f>R5*R4*R6 * R16</f>
        <v>7144.7039999999997</v>
      </c>
      <c r="L6" s="61"/>
      <c r="M6" s="60" t="s">
        <v>65</v>
      </c>
      <c r="N6" s="61"/>
      <c r="P6" s="60" t="s">
        <v>43</v>
      </c>
      <c r="Q6" s="61"/>
      <c r="R6" s="2">
        <v>1.8</v>
      </c>
    </row>
    <row r="7" spans="2:19" x14ac:dyDescent="0.25">
      <c r="B7" s="6" t="s">
        <v>36</v>
      </c>
      <c r="C7" s="65" t="s">
        <v>48</v>
      </c>
      <c r="D7" s="65"/>
      <c r="E7" s="65"/>
      <c r="F7" s="65"/>
      <c r="G7" s="65"/>
      <c r="H7" s="65"/>
      <c r="I7" s="65"/>
      <c r="J7" s="2" t="s">
        <v>189</v>
      </c>
      <c r="K7" s="60">
        <f>K6*R7/100</f>
        <v>1071.7056</v>
      </c>
      <c r="L7" s="61"/>
      <c r="M7" s="60" t="s">
        <v>64</v>
      </c>
      <c r="N7" s="61"/>
      <c r="P7" s="60" t="s">
        <v>45</v>
      </c>
      <c r="Q7" s="61"/>
      <c r="R7" s="2">
        <v>15</v>
      </c>
      <c r="S7" t="s">
        <v>47</v>
      </c>
    </row>
    <row r="8" spans="2:19" x14ac:dyDescent="0.25">
      <c r="B8" s="6" t="s">
        <v>37</v>
      </c>
      <c r="C8" s="65" t="s">
        <v>49</v>
      </c>
      <c r="D8" s="65"/>
      <c r="E8" s="65"/>
      <c r="F8" s="65"/>
      <c r="G8" s="65"/>
      <c r="H8" s="65"/>
      <c r="I8" s="65"/>
      <c r="J8" s="2" t="s">
        <v>52</v>
      </c>
      <c r="K8" s="60">
        <f>(K6+K7)*R8/100</f>
        <v>2842.8777215999999</v>
      </c>
      <c r="L8" s="61"/>
      <c r="M8" s="60" t="s">
        <v>63</v>
      </c>
      <c r="N8" s="61"/>
      <c r="P8" s="60" t="s">
        <v>46</v>
      </c>
      <c r="Q8" s="61"/>
      <c r="R8" s="2">
        <v>34.6</v>
      </c>
      <c r="S8" t="s">
        <v>47</v>
      </c>
    </row>
    <row r="9" spans="2:19" x14ac:dyDescent="0.25">
      <c r="B9" s="6" t="s">
        <v>38</v>
      </c>
      <c r="C9" s="65" t="s">
        <v>27</v>
      </c>
      <c r="D9" s="65"/>
      <c r="E9" s="65"/>
      <c r="F9" s="65"/>
      <c r="G9" s="65"/>
      <c r="H9" s="65"/>
      <c r="I9" s="65"/>
      <c r="J9" s="2" t="s">
        <v>53</v>
      </c>
      <c r="K9" s="60">
        <f>K10*K19*1</f>
        <v>162.1081896695855</v>
      </c>
      <c r="L9" s="61"/>
      <c r="M9" s="60" t="s">
        <v>62</v>
      </c>
      <c r="N9" s="61"/>
      <c r="P9" s="60" t="s">
        <v>50</v>
      </c>
      <c r="Q9" s="61"/>
      <c r="R9" s="2">
        <v>1</v>
      </c>
    </row>
    <row r="10" spans="2:19" x14ac:dyDescent="0.25">
      <c r="B10" s="6" t="s">
        <v>39</v>
      </c>
      <c r="C10" s="65" t="s">
        <v>16</v>
      </c>
      <c r="D10" s="65"/>
      <c r="E10" s="65"/>
      <c r="F10" s="65"/>
      <c r="G10" s="65"/>
      <c r="H10" s="65"/>
      <c r="I10" s="65"/>
      <c r="J10" s="2"/>
      <c r="K10" s="66">
        <f xml:space="preserve"> (K11+K12+K13+K14+K16+K17+K18)/K15</f>
        <v>0.36842770379451251</v>
      </c>
      <c r="L10" s="67"/>
      <c r="M10" s="60"/>
      <c r="N10" s="61"/>
      <c r="P10" s="60" t="s">
        <v>54</v>
      </c>
      <c r="Q10" s="61"/>
      <c r="R10" s="2">
        <v>15</v>
      </c>
    </row>
    <row r="11" spans="2:19" x14ac:dyDescent="0.25">
      <c r="B11" s="6"/>
      <c r="C11" s="65" t="s">
        <v>17</v>
      </c>
      <c r="D11" s="65"/>
      <c r="E11" s="65"/>
      <c r="F11" s="65"/>
      <c r="G11" s="65"/>
      <c r="H11" s="65"/>
      <c r="I11" s="65"/>
      <c r="J11" s="2"/>
      <c r="K11" s="60">
        <v>0</v>
      </c>
      <c r="L11" s="61"/>
      <c r="M11" s="60" t="s">
        <v>61</v>
      </c>
      <c r="N11" s="61"/>
      <c r="P11" s="60" t="s">
        <v>55</v>
      </c>
      <c r="Q11" s="61"/>
      <c r="R11" s="2">
        <v>20</v>
      </c>
    </row>
    <row r="12" spans="2:19" x14ac:dyDescent="0.25">
      <c r="B12" s="6"/>
      <c r="C12" s="65" t="s">
        <v>18</v>
      </c>
      <c r="D12" s="65"/>
      <c r="E12" s="65"/>
      <c r="F12" s="65"/>
      <c r="G12" s="65"/>
      <c r="H12" s="65"/>
      <c r="I12" s="65"/>
      <c r="J12" s="2" t="s">
        <v>56</v>
      </c>
      <c r="K12" s="60">
        <v>0</v>
      </c>
      <c r="L12" s="61"/>
      <c r="M12" s="60" t="s">
        <v>60</v>
      </c>
      <c r="N12" s="61"/>
      <c r="P12" s="60" t="s">
        <v>67</v>
      </c>
      <c r="Q12" s="61"/>
      <c r="R12" s="2">
        <v>2.08</v>
      </c>
    </row>
    <row r="13" spans="2:19" x14ac:dyDescent="0.25">
      <c r="B13" s="6"/>
      <c r="C13" s="65" t="s">
        <v>19</v>
      </c>
      <c r="D13" s="65"/>
      <c r="E13" s="65"/>
      <c r="F13" s="65"/>
      <c r="G13" s="65"/>
      <c r="H13" s="65"/>
      <c r="I13" s="65"/>
      <c r="J13" s="2"/>
      <c r="K13" s="66">
        <f>var!E10*(1+'п2.4'!R20/100)*1*0.125</f>
        <v>324.94562499999995</v>
      </c>
      <c r="L13" s="67"/>
      <c r="M13" s="60" t="s">
        <v>59</v>
      </c>
      <c r="N13" s="61"/>
      <c r="P13" s="60" t="s">
        <v>75</v>
      </c>
      <c r="Q13" s="61"/>
      <c r="R13" s="2">
        <v>1</v>
      </c>
    </row>
    <row r="14" spans="2:19" x14ac:dyDescent="0.25">
      <c r="B14" s="6"/>
      <c r="C14" s="65" t="s">
        <v>20</v>
      </c>
      <c r="D14" s="65"/>
      <c r="E14" s="65"/>
      <c r="F14" s="65"/>
      <c r="G14" s="65"/>
      <c r="H14" s="65"/>
      <c r="I14" s="65"/>
      <c r="J14" s="2"/>
      <c r="K14" s="60">
        <f>R22*K15*R17*R21</f>
        <v>20.218881600000003</v>
      </c>
      <c r="L14" s="61"/>
      <c r="M14" s="60"/>
      <c r="N14" s="61"/>
      <c r="P14" s="60" t="s">
        <v>76</v>
      </c>
      <c r="Q14" s="61"/>
      <c r="R14" s="2">
        <v>8</v>
      </c>
    </row>
    <row r="15" spans="2:19" x14ac:dyDescent="0.25">
      <c r="B15" s="6"/>
      <c r="C15" s="65" t="s">
        <v>21</v>
      </c>
      <c r="D15" s="65"/>
      <c r="E15" s="65"/>
      <c r="F15" s="65"/>
      <c r="G15" s="65"/>
      <c r="H15" s="65"/>
      <c r="I15" s="65"/>
      <c r="J15" s="2" t="s">
        <v>57</v>
      </c>
      <c r="K15" s="60">
        <v>1713</v>
      </c>
      <c r="L15" s="61"/>
      <c r="M15" s="60" t="s">
        <v>58</v>
      </c>
      <c r="N15" s="61"/>
      <c r="P15" s="60" t="s">
        <v>134</v>
      </c>
      <c r="Q15" s="61"/>
      <c r="R15" s="2">
        <v>228</v>
      </c>
    </row>
    <row r="16" spans="2:19" x14ac:dyDescent="0.25">
      <c r="B16" s="6"/>
      <c r="C16" s="65" t="s">
        <v>22</v>
      </c>
      <c r="D16" s="65"/>
      <c r="E16" s="65"/>
      <c r="F16" s="65"/>
      <c r="G16" s="65"/>
      <c r="H16" s="65"/>
      <c r="I16" s="65"/>
      <c r="J16" s="2">
        <v>25.996500000000001</v>
      </c>
      <c r="K16" s="66">
        <f>var!E10*(1+'п2.4'!R20/100)*'п2.4'!R23</f>
        <v>25.995649999999998</v>
      </c>
      <c r="L16" s="67"/>
      <c r="M16" s="60"/>
      <c r="N16" s="61"/>
      <c r="P16" s="60" t="s">
        <v>135</v>
      </c>
      <c r="Q16" s="61"/>
      <c r="R16" s="2">
        <v>8</v>
      </c>
    </row>
    <row r="17" spans="2:19" x14ac:dyDescent="0.25">
      <c r="B17" s="6"/>
      <c r="C17" s="65" t="s">
        <v>23</v>
      </c>
      <c r="D17" s="65"/>
      <c r="E17" s="65"/>
      <c r="F17" s="65"/>
      <c r="G17" s="65"/>
      <c r="H17" s="65"/>
      <c r="I17" s="65"/>
      <c r="J17" s="2"/>
      <c r="K17" s="66">
        <f>var!E10*(1+'п2.4'!R20/100)*R24</f>
        <v>129.97824999999997</v>
      </c>
      <c r="L17" s="67"/>
      <c r="M17" s="60"/>
      <c r="N17" s="61"/>
      <c r="P17" s="60" t="s">
        <v>137</v>
      </c>
      <c r="Q17" s="61"/>
      <c r="R17" s="2">
        <v>0.24590000000000001</v>
      </c>
    </row>
    <row r="18" spans="2:19" x14ac:dyDescent="0.25">
      <c r="B18" s="6"/>
      <c r="C18" s="65" t="s">
        <v>24</v>
      </c>
      <c r="D18" s="65"/>
      <c r="E18" s="65"/>
      <c r="F18" s="65"/>
      <c r="G18" s="65"/>
      <c r="H18" s="65"/>
      <c r="I18" s="65"/>
      <c r="J18" s="2"/>
      <c r="K18" s="66">
        <f>var!E10*(1+'п2.4'!R20/100)*R25</f>
        <v>129.97824999999997</v>
      </c>
      <c r="L18" s="67"/>
      <c r="M18" s="60"/>
      <c r="N18" s="61"/>
      <c r="P18" s="60" t="s">
        <v>138</v>
      </c>
      <c r="Q18" s="61"/>
      <c r="R18" s="2">
        <v>10</v>
      </c>
      <c r="S18" t="s">
        <v>47</v>
      </c>
    </row>
    <row r="19" spans="2:19" x14ac:dyDescent="0.25">
      <c r="B19" s="6" t="s">
        <v>68</v>
      </c>
      <c r="C19" s="65" t="s">
        <v>25</v>
      </c>
      <c r="D19" s="65"/>
      <c r="E19" s="65"/>
      <c r="F19" s="65"/>
      <c r="G19" s="65"/>
      <c r="H19" s="65"/>
      <c r="I19" s="65"/>
      <c r="J19" s="2"/>
      <c r="K19" s="60">
        <f>(R26+R27)*8*1</f>
        <v>440</v>
      </c>
      <c r="L19" s="61"/>
      <c r="M19" s="60"/>
      <c r="N19" s="61"/>
      <c r="P19" s="60" t="s">
        <v>139</v>
      </c>
      <c r="Q19" s="61"/>
      <c r="R19" s="2">
        <v>50</v>
      </c>
      <c r="S19" t="s">
        <v>47</v>
      </c>
    </row>
    <row r="20" spans="2:19" x14ac:dyDescent="0.25">
      <c r="B20" s="6" t="s">
        <v>69</v>
      </c>
      <c r="C20" s="65" t="s">
        <v>28</v>
      </c>
      <c r="D20" s="65"/>
      <c r="E20" s="65"/>
      <c r="F20" s="65"/>
      <c r="G20" s="65"/>
      <c r="H20" s="65"/>
      <c r="I20" s="65"/>
      <c r="J20" s="2" t="s">
        <v>96</v>
      </c>
      <c r="K20" s="60">
        <v>0</v>
      </c>
      <c r="L20" s="61"/>
      <c r="M20" s="60"/>
      <c r="N20" s="61"/>
      <c r="P20" s="60" t="s">
        <v>140</v>
      </c>
      <c r="Q20" s="61"/>
      <c r="R20" s="2">
        <v>13</v>
      </c>
      <c r="S20" t="s">
        <v>144</v>
      </c>
    </row>
    <row r="21" spans="2:19" x14ac:dyDescent="0.25">
      <c r="B21" s="6" t="s">
        <v>70</v>
      </c>
      <c r="C21" s="65" t="s">
        <v>29</v>
      </c>
      <c r="D21" s="65"/>
      <c r="E21" s="65"/>
      <c r="F21" s="65"/>
      <c r="G21" s="65"/>
      <c r="H21" s="65"/>
      <c r="I21" s="65"/>
      <c r="J21" s="2" t="s">
        <v>97</v>
      </c>
      <c r="K21" s="60">
        <v>0</v>
      </c>
      <c r="L21" s="61"/>
      <c r="M21" s="60"/>
      <c r="N21" s="61"/>
      <c r="P21" s="60" t="s">
        <v>141</v>
      </c>
      <c r="Q21" s="61"/>
      <c r="R21" s="2">
        <v>0.96</v>
      </c>
      <c r="S21" t="s">
        <v>156</v>
      </c>
    </row>
    <row r="22" spans="2:19" x14ac:dyDescent="0.25">
      <c r="B22" s="6" t="s">
        <v>71</v>
      </c>
      <c r="C22" s="65" t="s">
        <v>30</v>
      </c>
      <c r="D22" s="65"/>
      <c r="E22" s="65"/>
      <c r="F22" s="65"/>
      <c r="G22" s="65"/>
      <c r="H22" s="65"/>
      <c r="I22" s="65"/>
      <c r="J22" s="2" t="s">
        <v>98</v>
      </c>
      <c r="K22" s="60">
        <f xml:space="preserve"> (20*1*(1+R28)-0)+(22*1*(1+R28)-0)</f>
        <v>52.5</v>
      </c>
      <c r="L22" s="61"/>
      <c r="M22" s="60"/>
      <c r="N22" s="61"/>
      <c r="P22" s="60" t="s">
        <v>142</v>
      </c>
      <c r="Q22" s="61"/>
      <c r="R22" s="2">
        <v>0.05</v>
      </c>
      <c r="S22" t="s">
        <v>143</v>
      </c>
    </row>
    <row r="23" spans="2:19" x14ac:dyDescent="0.25">
      <c r="B23" s="6" t="s">
        <v>72</v>
      </c>
      <c r="C23" s="65" t="s">
        <v>31</v>
      </c>
      <c r="D23" s="65"/>
      <c r="E23" s="65"/>
      <c r="F23" s="65"/>
      <c r="G23" s="65"/>
      <c r="H23" s="65"/>
      <c r="I23" s="65"/>
      <c r="J23" s="2" t="s">
        <v>99</v>
      </c>
      <c r="K23" s="60">
        <f xml:space="preserve"> K6 * R19 / 100</f>
        <v>3572.3520000000003</v>
      </c>
      <c r="L23" s="61"/>
      <c r="M23" s="60"/>
      <c r="N23" s="61"/>
      <c r="P23" s="60" t="s">
        <v>145</v>
      </c>
      <c r="Q23" s="61"/>
      <c r="R23" s="2">
        <v>0.01</v>
      </c>
    </row>
    <row r="24" spans="2:19" x14ac:dyDescent="0.25">
      <c r="B24" s="6" t="s">
        <v>73</v>
      </c>
      <c r="C24" s="65" t="s">
        <v>32</v>
      </c>
      <c r="D24" s="65"/>
      <c r="E24" s="65"/>
      <c r="F24" s="65"/>
      <c r="G24" s="65"/>
      <c r="H24" s="65"/>
      <c r="I24" s="65"/>
      <c r="J24" s="2" t="s">
        <v>100</v>
      </c>
      <c r="K24" s="60">
        <f xml:space="preserve"> K6 * R18 / 100</f>
        <v>714.47039999999993</v>
      </c>
      <c r="L24" s="61"/>
      <c r="M24" s="60"/>
      <c r="N24" s="61"/>
      <c r="P24" s="60" t="s">
        <v>146</v>
      </c>
      <c r="Q24" s="61"/>
      <c r="R24" s="2">
        <v>0.05</v>
      </c>
    </row>
    <row r="25" spans="2:19" x14ac:dyDescent="0.25">
      <c r="B25" s="6" t="s">
        <v>74</v>
      </c>
      <c r="C25" s="65" t="s">
        <v>33</v>
      </c>
      <c r="D25" s="65"/>
      <c r="E25" s="65"/>
      <c r="F25" s="65"/>
      <c r="G25" s="65"/>
      <c r="H25" s="65"/>
      <c r="I25" s="65"/>
      <c r="J25" s="2" t="s">
        <v>101</v>
      </c>
      <c r="K25" s="60">
        <f>K5+K9+K20+K21+K22+K23+K24</f>
        <v>15560.717911269585</v>
      </c>
      <c r="L25" s="61"/>
      <c r="M25" s="60"/>
      <c r="N25" s="61"/>
      <c r="P25" s="60" t="s">
        <v>147</v>
      </c>
      <c r="Q25" s="61"/>
      <c r="R25" s="2">
        <v>0.05</v>
      </c>
    </row>
    <row r="26" spans="2:19" x14ac:dyDescent="0.25">
      <c r="B26" s="7">
        <v>9</v>
      </c>
      <c r="C26" s="65" t="s">
        <v>88</v>
      </c>
      <c r="D26" s="65"/>
      <c r="E26" s="65"/>
      <c r="F26" s="65"/>
      <c r="G26" s="65"/>
      <c r="H26" s="65"/>
      <c r="I26" s="65"/>
      <c r="J26" s="14" t="s">
        <v>102</v>
      </c>
      <c r="K26" s="60">
        <f>K25*R29/100</f>
        <v>4668.2153733808755</v>
      </c>
      <c r="L26" s="61"/>
      <c r="M26" s="60"/>
      <c r="N26" s="61"/>
      <c r="P26" s="60" t="s">
        <v>148</v>
      </c>
      <c r="Q26" s="61"/>
      <c r="R26" s="7">
        <v>45</v>
      </c>
      <c r="S26" t="s">
        <v>149</v>
      </c>
    </row>
    <row r="27" spans="2:19" x14ac:dyDescent="0.25">
      <c r="B27" s="7">
        <v>10</v>
      </c>
      <c r="C27" s="70" t="s">
        <v>89</v>
      </c>
      <c r="D27" s="70"/>
      <c r="E27" s="70"/>
      <c r="F27" s="70"/>
      <c r="G27" s="70"/>
      <c r="H27" s="70"/>
      <c r="I27" s="70"/>
      <c r="J27" s="14" t="s">
        <v>103</v>
      </c>
      <c r="K27" s="60">
        <f xml:space="preserve"> K25+K26</f>
        <v>20228.933284650462</v>
      </c>
      <c r="L27" s="61"/>
      <c r="M27" s="60"/>
      <c r="N27" s="61"/>
      <c r="P27" s="60" t="s">
        <v>150</v>
      </c>
      <c r="Q27" s="61"/>
      <c r="R27" s="7">
        <v>10</v>
      </c>
      <c r="S27" t="s">
        <v>151</v>
      </c>
    </row>
    <row r="28" spans="2:19" x14ac:dyDescent="0.25">
      <c r="B28" s="7">
        <v>11</v>
      </c>
      <c r="C28" s="70" t="s">
        <v>90</v>
      </c>
      <c r="D28" s="70"/>
      <c r="E28" s="70"/>
      <c r="F28" s="70"/>
      <c r="G28" s="70"/>
      <c r="H28" s="70"/>
      <c r="I28" s="70"/>
      <c r="J28" s="14" t="s">
        <v>104</v>
      </c>
      <c r="K28" s="60">
        <f xml:space="preserve"> (K25+K26)*R30/100</f>
        <v>4045.7866569300927</v>
      </c>
      <c r="L28" s="61"/>
      <c r="M28" s="60"/>
      <c r="N28" s="61"/>
      <c r="P28" s="60" t="s">
        <v>152</v>
      </c>
      <c r="Q28" s="61"/>
      <c r="R28" s="7">
        <v>0.25</v>
      </c>
      <c r="S28" t="s">
        <v>153</v>
      </c>
    </row>
    <row r="29" spans="2:19" x14ac:dyDescent="0.25">
      <c r="B29" s="7">
        <v>12</v>
      </c>
      <c r="C29" s="70" t="s">
        <v>91</v>
      </c>
      <c r="D29" s="70"/>
      <c r="E29" s="70"/>
      <c r="F29" s="70"/>
      <c r="G29" s="70"/>
      <c r="H29" s="70"/>
      <c r="I29" s="70"/>
      <c r="J29" s="14" t="s">
        <v>105</v>
      </c>
      <c r="K29" s="60">
        <f xml:space="preserve"> K25+K26+K28</f>
        <v>24274.719941580555</v>
      </c>
      <c r="L29" s="61"/>
      <c r="M29" s="60"/>
      <c r="N29" s="61"/>
      <c r="P29" s="60" t="s">
        <v>111</v>
      </c>
      <c r="Q29" s="61"/>
      <c r="R29" s="7">
        <v>30</v>
      </c>
      <c r="S29" t="s">
        <v>47</v>
      </c>
    </row>
    <row r="30" spans="2:19" x14ac:dyDescent="0.25">
      <c r="B30" s="7">
        <v>13</v>
      </c>
      <c r="C30" s="70" t="s">
        <v>92</v>
      </c>
      <c r="D30" s="70"/>
      <c r="E30" s="70"/>
      <c r="F30" s="70"/>
      <c r="G30" s="70"/>
      <c r="H30" s="70"/>
      <c r="I30" s="70"/>
      <c r="J30" s="14" t="s">
        <v>106</v>
      </c>
      <c r="K30" s="60">
        <f xml:space="preserve"> K29 * R31 / 100</f>
        <v>3641.2079912370832</v>
      </c>
      <c r="L30" s="61"/>
      <c r="M30" s="60"/>
      <c r="N30" s="61"/>
      <c r="P30" s="60" t="s">
        <v>110</v>
      </c>
      <c r="Q30" s="61"/>
      <c r="R30" s="7">
        <v>20</v>
      </c>
      <c r="S30" t="s">
        <v>47</v>
      </c>
    </row>
    <row r="31" spans="2:19" x14ac:dyDescent="0.25">
      <c r="B31" s="7">
        <v>14</v>
      </c>
      <c r="C31" s="70" t="s">
        <v>93</v>
      </c>
      <c r="D31" s="70"/>
      <c r="E31" s="70"/>
      <c r="F31" s="70"/>
      <c r="G31" s="70"/>
      <c r="H31" s="70"/>
      <c r="I31" s="70"/>
      <c r="J31" s="14" t="s">
        <v>107</v>
      </c>
      <c r="K31" s="60">
        <f xml:space="preserve"> K29 + K30</f>
        <v>27915.927932817638</v>
      </c>
      <c r="L31" s="61"/>
      <c r="M31" s="60"/>
      <c r="N31" s="61"/>
      <c r="P31" s="60" t="s">
        <v>154</v>
      </c>
      <c r="Q31" s="61"/>
      <c r="R31" s="7">
        <v>15</v>
      </c>
      <c r="S31" t="s">
        <v>155</v>
      </c>
    </row>
    <row r="32" spans="2:19" x14ac:dyDescent="0.25">
      <c r="C32" s="71"/>
      <c r="D32" s="71"/>
      <c r="E32" s="71"/>
      <c r="F32" s="71"/>
      <c r="G32" s="71"/>
      <c r="H32" s="71"/>
      <c r="I32" s="71"/>
      <c r="P32" s="60"/>
      <c r="Q32" s="61"/>
      <c r="R32" s="7"/>
    </row>
    <row r="33" spans="3:18" x14ac:dyDescent="0.25">
      <c r="C33" s="71"/>
      <c r="D33" s="71"/>
      <c r="E33" s="71"/>
      <c r="F33" s="71"/>
      <c r="G33" s="71"/>
      <c r="H33" s="71"/>
      <c r="I33" s="71"/>
      <c r="P33" s="60"/>
      <c r="Q33" s="61"/>
      <c r="R33" s="7"/>
    </row>
    <row r="34" spans="3:18" x14ac:dyDescent="0.25">
      <c r="C34" s="71"/>
      <c r="D34" s="71"/>
      <c r="E34" s="71"/>
      <c r="F34" s="71"/>
      <c r="G34" s="71"/>
      <c r="H34" s="71"/>
      <c r="I34" s="71"/>
      <c r="P34" s="60"/>
      <c r="Q34" s="61"/>
      <c r="R34" s="7"/>
    </row>
    <row r="35" spans="3:18" x14ac:dyDescent="0.25">
      <c r="C35" s="71"/>
      <c r="D35" s="71"/>
      <c r="E35" s="71"/>
      <c r="F35" s="71"/>
      <c r="G35" s="71"/>
      <c r="H35" s="71"/>
      <c r="I35" s="71"/>
      <c r="P35" s="60"/>
      <c r="Q35" s="61"/>
      <c r="R35" s="7"/>
    </row>
    <row r="36" spans="3:18" x14ac:dyDescent="0.25">
      <c r="C36" s="71"/>
      <c r="D36" s="71"/>
      <c r="E36" s="71"/>
      <c r="F36" s="71"/>
      <c r="G36" s="71"/>
      <c r="H36" s="71"/>
      <c r="I36" s="71"/>
      <c r="P36" s="60"/>
      <c r="Q36" s="61"/>
      <c r="R36" s="7"/>
    </row>
    <row r="37" spans="3:18" x14ac:dyDescent="0.25">
      <c r="P37" s="60"/>
      <c r="Q37" s="61"/>
      <c r="R37" s="7"/>
    </row>
    <row r="38" spans="3:18" x14ac:dyDescent="0.25">
      <c r="P38" s="60"/>
      <c r="Q38" s="61"/>
      <c r="R38" s="7"/>
    </row>
    <row r="39" spans="3:18" x14ac:dyDescent="0.25">
      <c r="P39" s="60"/>
      <c r="Q39" s="61"/>
      <c r="R39" s="7"/>
    </row>
    <row r="40" spans="3:18" x14ac:dyDescent="0.25">
      <c r="P40" s="60"/>
      <c r="Q40" s="61"/>
      <c r="R40" s="7"/>
    </row>
    <row r="41" spans="3:18" x14ac:dyDescent="0.25">
      <c r="P41" s="60"/>
      <c r="Q41" s="61"/>
      <c r="R41" s="7"/>
    </row>
    <row r="42" spans="3:18" x14ac:dyDescent="0.25">
      <c r="P42" s="60"/>
      <c r="Q42" s="61"/>
      <c r="R42" s="7"/>
    </row>
  </sheetData>
  <mergeCells count="128">
    <mergeCell ref="K29:L29"/>
    <mergeCell ref="K30:L30"/>
    <mergeCell ref="K31:L31"/>
    <mergeCell ref="M26:N26"/>
    <mergeCell ref="M27:N27"/>
    <mergeCell ref="M28:N28"/>
    <mergeCell ref="M29:N29"/>
    <mergeCell ref="M30:N30"/>
    <mergeCell ref="M31:N31"/>
    <mergeCell ref="P41:Q41"/>
    <mergeCell ref="P42:Q42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36:I36"/>
    <mergeCell ref="K26:L26"/>
    <mergeCell ref="K27:L27"/>
    <mergeCell ref="K28:L28"/>
    <mergeCell ref="P36:Q36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P25:Q25"/>
    <mergeCell ref="P19:Q19"/>
    <mergeCell ref="P20:Q20"/>
    <mergeCell ref="P21:Q21"/>
    <mergeCell ref="P22:Q22"/>
    <mergeCell ref="P23:Q23"/>
    <mergeCell ref="P24:Q24"/>
    <mergeCell ref="P13:Q13"/>
    <mergeCell ref="P14:Q14"/>
    <mergeCell ref="P15:Q15"/>
    <mergeCell ref="P16:Q16"/>
    <mergeCell ref="P17:Q17"/>
    <mergeCell ref="P18:Q18"/>
    <mergeCell ref="K25:L25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K19:L19"/>
    <mergeCell ref="K20:L20"/>
    <mergeCell ref="K21:L21"/>
    <mergeCell ref="K22:L22"/>
    <mergeCell ref="K23:L23"/>
    <mergeCell ref="K24:L24"/>
    <mergeCell ref="K13:L13"/>
    <mergeCell ref="K14:L14"/>
    <mergeCell ref="K15:L15"/>
    <mergeCell ref="K16:L16"/>
    <mergeCell ref="K17:L17"/>
    <mergeCell ref="K18:L18"/>
    <mergeCell ref="M25:N25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M19:N19"/>
    <mergeCell ref="M20:N20"/>
    <mergeCell ref="M21:N21"/>
    <mergeCell ref="M22:N22"/>
    <mergeCell ref="M23:N23"/>
    <mergeCell ref="M24:N24"/>
    <mergeCell ref="M18:N18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C4:I4"/>
    <mergeCell ref="C24:I24"/>
    <mergeCell ref="C25:I25"/>
    <mergeCell ref="C12:I12"/>
    <mergeCell ref="C13:I13"/>
    <mergeCell ref="C14:I14"/>
    <mergeCell ref="C15:I15"/>
    <mergeCell ref="C16:I16"/>
    <mergeCell ref="C17:I17"/>
    <mergeCell ref="C5:I5"/>
    <mergeCell ref="C6:I6"/>
    <mergeCell ref="C7:I7"/>
    <mergeCell ref="C8:I8"/>
    <mergeCell ref="C9:I9"/>
    <mergeCell ref="C10:I10"/>
    <mergeCell ref="C11:I11"/>
    <mergeCell ref="C20:I20"/>
    <mergeCell ref="C21:I21"/>
    <mergeCell ref="C22:I22"/>
    <mergeCell ref="C23:I23"/>
    <mergeCell ref="C18:I18"/>
    <mergeCell ref="C19:I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5A22-639F-409F-922D-E2CD3222834F}">
  <dimension ref="B2:S20"/>
  <sheetViews>
    <sheetView topLeftCell="B1" zoomScale="86" workbookViewId="0">
      <selection activeCell="I24" sqref="I24"/>
    </sheetView>
  </sheetViews>
  <sheetFormatPr defaultRowHeight="15" x14ac:dyDescent="0.25"/>
  <sheetData>
    <row r="2" spans="2:19" x14ac:dyDescent="0.25">
      <c r="B2" s="3"/>
      <c r="C2" s="68" t="s">
        <v>94</v>
      </c>
      <c r="D2" s="72"/>
      <c r="E2" s="72"/>
      <c r="F2" s="72"/>
      <c r="G2" s="72"/>
      <c r="H2" s="72"/>
      <c r="I2" s="61"/>
      <c r="J2" s="3"/>
      <c r="K2" s="68" t="s">
        <v>108</v>
      </c>
      <c r="L2" s="61"/>
      <c r="Q2" s="3" t="s">
        <v>110</v>
      </c>
      <c r="R2" s="3">
        <v>20</v>
      </c>
      <c r="S2" t="s">
        <v>47</v>
      </c>
    </row>
    <row r="3" spans="2:19" x14ac:dyDescent="0.25">
      <c r="B3" s="6">
        <v>1</v>
      </c>
      <c r="C3" s="65" t="s">
        <v>77</v>
      </c>
      <c r="D3" s="65"/>
      <c r="E3" s="65"/>
      <c r="F3" s="65"/>
      <c r="G3" s="65"/>
      <c r="H3" s="65"/>
      <c r="I3" s="65"/>
      <c r="J3" s="3" t="s">
        <v>51</v>
      </c>
      <c r="K3" s="60">
        <f>'п2.4'!K5</f>
        <v>11059.287321599999</v>
      </c>
      <c r="L3" s="61"/>
      <c r="Q3" s="3" t="s">
        <v>111</v>
      </c>
      <c r="R3" s="3">
        <v>30</v>
      </c>
      <c r="S3" t="s">
        <v>47</v>
      </c>
    </row>
    <row r="4" spans="2:19" x14ac:dyDescent="0.25">
      <c r="B4" s="6" t="s">
        <v>35</v>
      </c>
      <c r="C4" s="65" t="s">
        <v>78</v>
      </c>
      <c r="D4" s="65"/>
      <c r="E4" s="65"/>
      <c r="F4" s="65"/>
      <c r="G4" s="65"/>
      <c r="H4" s="65"/>
      <c r="I4" s="65"/>
      <c r="J4" s="3"/>
      <c r="K4" s="60">
        <f>'п2.4'!K6</f>
        <v>7144.7039999999997</v>
      </c>
      <c r="L4" s="61"/>
      <c r="Q4" s="3" t="s">
        <v>112</v>
      </c>
      <c r="R4" s="3">
        <v>10</v>
      </c>
      <c r="S4" t="s">
        <v>47</v>
      </c>
    </row>
    <row r="5" spans="2:19" x14ac:dyDescent="0.25">
      <c r="B5" s="6" t="s">
        <v>36</v>
      </c>
      <c r="C5" s="65" t="s">
        <v>79</v>
      </c>
      <c r="D5" s="65"/>
      <c r="E5" s="65"/>
      <c r="F5" s="65"/>
      <c r="G5" s="65"/>
      <c r="H5" s="65"/>
      <c r="I5" s="65"/>
      <c r="J5" s="3"/>
      <c r="K5" s="60">
        <f>'п2.4'!K7</f>
        <v>1071.7056</v>
      </c>
      <c r="L5" s="61"/>
      <c r="Q5" s="3"/>
      <c r="R5" s="3"/>
    </row>
    <row r="6" spans="2:19" x14ac:dyDescent="0.25">
      <c r="B6" s="6" t="s">
        <v>37</v>
      </c>
      <c r="C6" s="65" t="s">
        <v>80</v>
      </c>
      <c r="D6" s="65"/>
      <c r="E6" s="65"/>
      <c r="F6" s="65"/>
      <c r="G6" s="65"/>
      <c r="H6" s="65"/>
      <c r="I6" s="65"/>
      <c r="J6" s="3"/>
      <c r="K6" s="60">
        <f>'п2.4'!K8</f>
        <v>2842.8777215999999</v>
      </c>
      <c r="L6" s="61"/>
      <c r="Q6" s="3"/>
      <c r="R6" s="3"/>
    </row>
    <row r="7" spans="2:19" x14ac:dyDescent="0.25">
      <c r="B7" s="6">
        <v>2</v>
      </c>
      <c r="C7" s="65" t="s">
        <v>81</v>
      </c>
      <c r="D7" s="65"/>
      <c r="E7" s="65"/>
      <c r="F7" s="65"/>
      <c r="G7" s="65"/>
      <c r="H7" s="65"/>
      <c r="I7" s="65"/>
      <c r="J7" s="3" t="s">
        <v>95</v>
      </c>
      <c r="K7" s="60">
        <f>'п2.4'!K9</f>
        <v>162.1081896695855</v>
      </c>
      <c r="L7" s="61"/>
      <c r="Q7" s="3"/>
      <c r="R7" s="3"/>
    </row>
    <row r="8" spans="2:19" x14ac:dyDescent="0.25">
      <c r="B8" s="6">
        <v>3</v>
      </c>
      <c r="C8" s="65" t="s">
        <v>82</v>
      </c>
      <c r="D8" s="65"/>
      <c r="E8" s="65"/>
      <c r="F8" s="65"/>
      <c r="G8" s="65"/>
      <c r="H8" s="65"/>
      <c r="I8" s="65"/>
      <c r="J8" s="3" t="s">
        <v>96</v>
      </c>
      <c r="K8" s="60" t="s">
        <v>109</v>
      </c>
      <c r="L8" s="61"/>
      <c r="Q8" s="3"/>
      <c r="R8" s="3"/>
    </row>
    <row r="9" spans="2:19" x14ac:dyDescent="0.25">
      <c r="B9" s="6">
        <v>4</v>
      </c>
      <c r="C9" s="65" t="s">
        <v>83</v>
      </c>
      <c r="D9" s="65"/>
      <c r="E9" s="65"/>
      <c r="F9" s="65"/>
      <c r="G9" s="65"/>
      <c r="H9" s="65"/>
      <c r="I9" s="65"/>
      <c r="J9" s="3" t="s">
        <v>97</v>
      </c>
      <c r="K9" s="60" t="s">
        <v>109</v>
      </c>
      <c r="L9" s="61"/>
      <c r="Q9" s="3"/>
      <c r="R9" s="3"/>
    </row>
    <row r="10" spans="2:19" x14ac:dyDescent="0.25">
      <c r="B10" s="6">
        <v>5</v>
      </c>
      <c r="C10" s="65" t="s">
        <v>22</v>
      </c>
      <c r="D10" s="65"/>
      <c r="E10" s="65"/>
      <c r="F10" s="65"/>
      <c r="G10" s="65"/>
      <c r="H10" s="65"/>
      <c r="I10" s="65"/>
      <c r="J10" s="3" t="s">
        <v>98</v>
      </c>
      <c r="K10" s="60">
        <f>'п2.4'!K22</f>
        <v>52.5</v>
      </c>
      <c r="L10" s="61"/>
      <c r="Q10" s="3"/>
      <c r="R10" s="3"/>
    </row>
    <row r="11" spans="2:19" x14ac:dyDescent="0.25">
      <c r="B11" s="6">
        <v>6</v>
      </c>
      <c r="C11" s="65" t="s">
        <v>84</v>
      </c>
      <c r="D11" s="65"/>
      <c r="E11" s="65"/>
      <c r="F11" s="65"/>
      <c r="G11" s="65"/>
      <c r="H11" s="65"/>
      <c r="I11" s="65"/>
      <c r="J11" s="3" t="s">
        <v>99</v>
      </c>
      <c r="K11" s="60">
        <f>'п2.4'!K23</f>
        <v>3572.3520000000003</v>
      </c>
      <c r="L11" s="61"/>
      <c r="Q11" s="3"/>
      <c r="R11" s="3"/>
    </row>
    <row r="12" spans="2:19" x14ac:dyDescent="0.25">
      <c r="B12" s="6">
        <v>7</v>
      </c>
      <c r="C12" s="65" t="s">
        <v>85</v>
      </c>
      <c r="D12" s="65"/>
      <c r="E12" s="65"/>
      <c r="F12" s="65"/>
      <c r="G12" s="65"/>
      <c r="H12" s="65"/>
      <c r="I12" s="65"/>
      <c r="J12" s="3"/>
      <c r="K12" s="60">
        <f>K3+K7+K10+K11</f>
        <v>14846.247511269585</v>
      </c>
      <c r="L12" s="61"/>
      <c r="Q12" s="3"/>
      <c r="R12" s="3"/>
    </row>
    <row r="13" spans="2:19" x14ac:dyDescent="0.25">
      <c r="B13" s="6">
        <v>8</v>
      </c>
      <c r="C13" s="65" t="s">
        <v>86</v>
      </c>
      <c r="D13" s="65"/>
      <c r="E13" s="65"/>
      <c r="F13" s="65"/>
      <c r="G13" s="65"/>
      <c r="H13" s="65"/>
      <c r="I13" s="65"/>
      <c r="J13" s="3" t="s">
        <v>100</v>
      </c>
      <c r="K13" s="60">
        <f>'п2.4'!K24</f>
        <v>714.47039999999993</v>
      </c>
      <c r="L13" s="61"/>
      <c r="Q13" s="3"/>
      <c r="R13" s="3"/>
    </row>
    <row r="14" spans="2:19" x14ac:dyDescent="0.25">
      <c r="B14" s="6">
        <v>9</v>
      </c>
      <c r="C14" s="65" t="s">
        <v>87</v>
      </c>
      <c r="D14" s="65"/>
      <c r="E14" s="65"/>
      <c r="F14" s="65"/>
      <c r="G14" s="65"/>
      <c r="H14" s="65"/>
      <c r="I14" s="65"/>
      <c r="J14" s="3" t="s">
        <v>101</v>
      </c>
      <c r="K14" s="60">
        <f>K12+K13</f>
        <v>15560.717911269585</v>
      </c>
      <c r="L14" s="61"/>
      <c r="Q14" s="3"/>
      <c r="R14" s="3"/>
    </row>
    <row r="15" spans="2:19" x14ac:dyDescent="0.25">
      <c r="B15" s="6">
        <v>10</v>
      </c>
      <c r="C15" s="65" t="s">
        <v>88</v>
      </c>
      <c r="D15" s="65"/>
      <c r="E15" s="65"/>
      <c r="F15" s="65"/>
      <c r="G15" s="65"/>
      <c r="H15" s="65"/>
      <c r="I15" s="65"/>
      <c r="J15" s="3" t="s">
        <v>102</v>
      </c>
      <c r="K15" s="60">
        <f>(K14*R3)/100</f>
        <v>4668.2153733808755</v>
      </c>
      <c r="L15" s="61"/>
      <c r="Q15" s="3"/>
      <c r="R15" s="3"/>
    </row>
    <row r="16" spans="2:19" x14ac:dyDescent="0.25">
      <c r="B16" s="6">
        <v>11</v>
      </c>
      <c r="C16" s="65" t="s">
        <v>89</v>
      </c>
      <c r="D16" s="65"/>
      <c r="E16" s="65"/>
      <c r="F16" s="65"/>
      <c r="G16" s="65"/>
      <c r="H16" s="65"/>
      <c r="I16" s="65"/>
      <c r="J16" s="3" t="s">
        <v>103</v>
      </c>
      <c r="K16" s="60">
        <f>K14+K15</f>
        <v>20228.933284650462</v>
      </c>
      <c r="L16" s="61"/>
      <c r="Q16" s="3"/>
      <c r="R16" s="3"/>
    </row>
    <row r="17" spans="2:18" x14ac:dyDescent="0.25">
      <c r="B17" s="6">
        <v>12</v>
      </c>
      <c r="C17" s="65" t="s">
        <v>90</v>
      </c>
      <c r="D17" s="65"/>
      <c r="E17" s="65"/>
      <c r="F17" s="65"/>
      <c r="G17" s="65"/>
      <c r="H17" s="65"/>
      <c r="I17" s="65"/>
      <c r="J17" s="3" t="s">
        <v>104</v>
      </c>
      <c r="K17" s="60">
        <f>(K15+K14)*R2/100</f>
        <v>4045.7866569300927</v>
      </c>
      <c r="L17" s="61"/>
      <c r="Q17" s="3"/>
      <c r="R17" s="3"/>
    </row>
    <row r="18" spans="2:18" x14ac:dyDescent="0.25">
      <c r="B18" s="98">
        <v>13</v>
      </c>
      <c r="C18" s="99" t="s">
        <v>91</v>
      </c>
      <c r="D18" s="99"/>
      <c r="E18" s="99"/>
      <c r="F18" s="99"/>
      <c r="G18" s="99"/>
      <c r="H18" s="99"/>
      <c r="I18" s="99"/>
      <c r="J18" s="100" t="s">
        <v>105</v>
      </c>
      <c r="K18" s="101">
        <f>K17+K16</f>
        <v>24274.719941580555</v>
      </c>
      <c r="L18" s="102"/>
      <c r="Q18" s="3"/>
      <c r="R18" s="3"/>
    </row>
    <row r="19" spans="2:18" x14ac:dyDescent="0.25">
      <c r="B19" s="98">
        <v>14</v>
      </c>
      <c r="C19" s="99" t="s">
        <v>92</v>
      </c>
      <c r="D19" s="99"/>
      <c r="E19" s="99"/>
      <c r="F19" s="99"/>
      <c r="G19" s="99"/>
      <c r="H19" s="99"/>
      <c r="I19" s="99"/>
      <c r="J19" s="100" t="s">
        <v>106</v>
      </c>
      <c r="K19" s="101">
        <f>K18*R4/100</f>
        <v>2427.4719941580556</v>
      </c>
      <c r="L19" s="102"/>
      <c r="Q19" s="3"/>
      <c r="R19" s="3"/>
    </row>
    <row r="20" spans="2:18" x14ac:dyDescent="0.25">
      <c r="B20" s="103">
        <v>15</v>
      </c>
      <c r="C20" s="104" t="s">
        <v>93</v>
      </c>
      <c r="D20" s="104"/>
      <c r="E20" s="104"/>
      <c r="F20" s="104"/>
      <c r="G20" s="104"/>
      <c r="H20" s="104"/>
      <c r="I20" s="104"/>
      <c r="J20" s="100" t="s">
        <v>107</v>
      </c>
      <c r="K20" s="101">
        <f>K19+K18</f>
        <v>26702.19193573861</v>
      </c>
      <c r="L20" s="102"/>
      <c r="Q20" s="3"/>
      <c r="R20" s="3"/>
    </row>
  </sheetData>
  <mergeCells count="38">
    <mergeCell ref="C20:I20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7:I7"/>
    <mergeCell ref="C8:I8"/>
    <mergeCell ref="K7:L7"/>
    <mergeCell ref="K8:L8"/>
    <mergeCell ref="K9:L9"/>
    <mergeCell ref="K6:L6"/>
    <mergeCell ref="C3:I3"/>
    <mergeCell ref="C4:I4"/>
    <mergeCell ref="C5:I5"/>
    <mergeCell ref="C6:I6"/>
    <mergeCell ref="C2:I2"/>
    <mergeCell ref="K2:L2"/>
    <mergeCell ref="K3:L3"/>
    <mergeCell ref="K4:L4"/>
    <mergeCell ref="K5:L5"/>
    <mergeCell ref="K10:L10"/>
    <mergeCell ref="K11:L11"/>
    <mergeCell ref="K19:L19"/>
    <mergeCell ref="K20:L20"/>
    <mergeCell ref="K13:L13"/>
    <mergeCell ref="K14:L14"/>
    <mergeCell ref="K15:L15"/>
    <mergeCell ref="K16:L16"/>
    <mergeCell ref="K17:L17"/>
    <mergeCell ref="K18:L18"/>
    <mergeCell ref="K12:L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821B-1924-4431-8971-EBBF600D7F23}">
  <dimension ref="B1:R34"/>
  <sheetViews>
    <sheetView tabSelected="1" zoomScale="85" zoomScaleNormal="85" workbookViewId="0">
      <selection activeCell="H6" sqref="H6"/>
    </sheetView>
  </sheetViews>
  <sheetFormatPr defaultRowHeight="15" x14ac:dyDescent="0.25"/>
  <cols>
    <col min="2" max="2" width="9.140625" customWidth="1"/>
    <col min="6" max="6" width="22.85546875" customWidth="1"/>
    <col min="14" max="14" width="0.140625" customWidth="1"/>
    <col min="17" max="17" width="18.140625" customWidth="1"/>
  </cols>
  <sheetData>
    <row r="1" spans="2:18" x14ac:dyDescent="0.25">
      <c r="M1" s="71"/>
      <c r="N1" s="71"/>
      <c r="R1" s="4"/>
    </row>
    <row r="2" spans="2:18" x14ac:dyDescent="0.25">
      <c r="B2" s="81" t="s">
        <v>169</v>
      </c>
      <c r="C2" s="75" t="s">
        <v>157</v>
      </c>
      <c r="D2" s="76"/>
      <c r="E2" s="76"/>
      <c r="F2" s="77"/>
      <c r="G2" s="81"/>
      <c r="H2" s="60" t="s">
        <v>158</v>
      </c>
      <c r="I2" s="72"/>
      <c r="J2" s="72"/>
      <c r="K2" s="72"/>
      <c r="L2" s="61"/>
      <c r="M2" s="71"/>
      <c r="N2" s="71"/>
      <c r="O2" s="60" t="s">
        <v>107</v>
      </c>
      <c r="P2" s="61"/>
      <c r="Q2" s="8">
        <f>'п2.4'!K31</f>
        <v>27915.927932817638</v>
      </c>
      <c r="R2" s="4"/>
    </row>
    <row r="3" spans="2:18" x14ac:dyDescent="0.25">
      <c r="B3" s="82"/>
      <c r="C3" s="78"/>
      <c r="D3" s="79"/>
      <c r="E3" s="79"/>
      <c r="F3" s="80"/>
      <c r="G3" s="82"/>
      <c r="H3" s="8">
        <v>0</v>
      </c>
      <c r="I3" s="8">
        <v>1</v>
      </c>
      <c r="J3" s="8">
        <v>2</v>
      </c>
      <c r="K3" s="8">
        <v>3</v>
      </c>
      <c r="L3" s="8">
        <v>4</v>
      </c>
      <c r="M3" s="71"/>
      <c r="N3" s="71"/>
      <c r="O3" s="60" t="s">
        <v>130</v>
      </c>
      <c r="P3" s="61"/>
      <c r="Q3" s="9">
        <v>2300.5</v>
      </c>
      <c r="R3" s="20"/>
    </row>
    <row r="4" spans="2:18" x14ac:dyDescent="0.25">
      <c r="B4" s="6" t="s">
        <v>170</v>
      </c>
      <c r="C4" s="88" t="s">
        <v>159</v>
      </c>
      <c r="D4" s="89"/>
      <c r="E4" s="89"/>
      <c r="F4" s="90"/>
      <c r="G4" s="8"/>
      <c r="H4" s="10">
        <f>H5+H6</f>
        <v>30216.427932817638</v>
      </c>
      <c r="I4" s="8" t="s">
        <v>109</v>
      </c>
      <c r="J4" s="8" t="s">
        <v>109</v>
      </c>
      <c r="K4" s="8" t="s">
        <v>109</v>
      </c>
      <c r="L4" s="8" t="s">
        <v>109</v>
      </c>
      <c r="M4" s="71"/>
      <c r="N4" s="71"/>
      <c r="O4" s="60" t="s">
        <v>171</v>
      </c>
      <c r="P4" s="61"/>
      <c r="Q4" s="9">
        <f>Q5-Q2</f>
        <v>15084.072067182362</v>
      </c>
      <c r="R4" s="20"/>
    </row>
    <row r="5" spans="2:18" x14ac:dyDescent="0.25">
      <c r="B5" s="6" t="s">
        <v>35</v>
      </c>
      <c r="C5" s="60" t="s">
        <v>160</v>
      </c>
      <c r="D5" s="72"/>
      <c r="E5" s="72"/>
      <c r="F5" s="61"/>
      <c r="G5" s="8"/>
      <c r="H5" s="10">
        <f>Q3</f>
        <v>2300.5</v>
      </c>
      <c r="I5" s="8" t="s">
        <v>109</v>
      </c>
      <c r="J5" s="8" t="s">
        <v>109</v>
      </c>
      <c r="K5" s="8" t="s">
        <v>109</v>
      </c>
      <c r="L5" s="8" t="s">
        <v>109</v>
      </c>
      <c r="M5" s="71"/>
      <c r="N5" s="71"/>
      <c r="O5" s="60" t="s">
        <v>175</v>
      </c>
      <c r="P5" s="61"/>
      <c r="Q5" s="8">
        <v>43000</v>
      </c>
      <c r="R5" s="4"/>
    </row>
    <row r="6" spans="2:18" x14ac:dyDescent="0.25">
      <c r="B6" s="6" t="s">
        <v>36</v>
      </c>
      <c r="C6" s="83" t="s">
        <v>161</v>
      </c>
      <c r="D6" s="84"/>
      <c r="E6" s="84"/>
      <c r="F6" s="85"/>
      <c r="G6" s="15"/>
      <c r="H6" s="12">
        <f>Q2</f>
        <v>27915.927932817638</v>
      </c>
      <c r="I6" s="8" t="s">
        <v>109</v>
      </c>
      <c r="J6" s="8" t="s">
        <v>109</v>
      </c>
      <c r="K6" s="8" t="s">
        <v>109</v>
      </c>
      <c r="L6" s="8" t="s">
        <v>109</v>
      </c>
      <c r="M6" s="71"/>
      <c r="N6" s="71"/>
      <c r="O6" s="60" t="s">
        <v>176</v>
      </c>
      <c r="P6" s="61"/>
      <c r="Q6" s="8">
        <v>5630</v>
      </c>
      <c r="R6" s="4"/>
    </row>
    <row r="7" spans="2:18" x14ac:dyDescent="0.25">
      <c r="B7" s="6" t="s">
        <v>38</v>
      </c>
      <c r="C7" s="86" t="s">
        <v>162</v>
      </c>
      <c r="D7" s="74"/>
      <c r="E7" s="74"/>
      <c r="F7" s="87"/>
      <c r="G7" s="8"/>
      <c r="H7" s="10" t="s">
        <v>109</v>
      </c>
      <c r="I7" s="8">
        <f>I8+Q6</f>
        <v>20714.072067182362</v>
      </c>
      <c r="J7" s="8">
        <f>Q6</f>
        <v>5630</v>
      </c>
      <c r="K7" s="8">
        <f>Q6</f>
        <v>5630</v>
      </c>
      <c r="L7" s="8">
        <f>Q6</f>
        <v>5630</v>
      </c>
      <c r="M7" s="71"/>
      <c r="N7" s="71"/>
      <c r="O7" s="60"/>
      <c r="P7" s="61"/>
      <c r="Q7" s="8"/>
      <c r="R7" s="4"/>
    </row>
    <row r="8" spans="2:18" x14ac:dyDescent="0.25">
      <c r="B8" s="6" t="s">
        <v>39</v>
      </c>
      <c r="C8" s="60" t="s">
        <v>163</v>
      </c>
      <c r="D8" s="72"/>
      <c r="E8" s="72"/>
      <c r="F8" s="61"/>
      <c r="G8" s="8"/>
      <c r="H8" s="10" t="s">
        <v>109</v>
      </c>
      <c r="I8" s="8">
        <f>Q4</f>
        <v>15084.072067182362</v>
      </c>
      <c r="J8" s="8" t="s">
        <v>109</v>
      </c>
      <c r="K8" s="8" t="s">
        <v>109</v>
      </c>
      <c r="L8" s="8" t="s">
        <v>109</v>
      </c>
      <c r="M8" s="71"/>
      <c r="N8" s="71"/>
      <c r="O8" s="60"/>
      <c r="P8" s="61"/>
      <c r="Q8" s="8"/>
      <c r="R8" s="4"/>
    </row>
    <row r="9" spans="2:18" x14ac:dyDescent="0.25">
      <c r="B9" s="6" t="s">
        <v>69</v>
      </c>
      <c r="C9" s="60" t="s">
        <v>164</v>
      </c>
      <c r="D9" s="72"/>
      <c r="E9" s="72"/>
      <c r="F9" s="61"/>
      <c r="G9" s="11"/>
      <c r="H9" s="17" t="s">
        <v>109</v>
      </c>
      <c r="I9" s="8">
        <f xml:space="preserve"> Q6</f>
        <v>5630</v>
      </c>
      <c r="J9" s="8">
        <f>Q6</f>
        <v>5630</v>
      </c>
      <c r="K9" s="8">
        <f>Q6</f>
        <v>5630</v>
      </c>
      <c r="L9" s="8">
        <f xml:space="preserve"> Q6</f>
        <v>5630</v>
      </c>
      <c r="M9" s="71"/>
      <c r="N9" s="71"/>
      <c r="O9" s="60"/>
      <c r="P9" s="61"/>
      <c r="Q9" s="9"/>
      <c r="R9" s="20"/>
    </row>
    <row r="10" spans="2:18" x14ac:dyDescent="0.25">
      <c r="B10" s="6" t="s">
        <v>70</v>
      </c>
      <c r="C10" s="83" t="s">
        <v>165</v>
      </c>
      <c r="D10" s="84"/>
      <c r="E10" s="84"/>
      <c r="F10" s="85"/>
      <c r="G10" s="15"/>
      <c r="H10" s="16">
        <f>-H4</f>
        <v>-30216.427932817638</v>
      </c>
      <c r="I10" s="8">
        <f>I7</f>
        <v>20714.072067182362</v>
      </c>
      <c r="J10" s="8">
        <f>Q6</f>
        <v>5630</v>
      </c>
      <c r="K10" s="8">
        <f>Q6</f>
        <v>5630</v>
      </c>
      <c r="L10" s="8">
        <f>Q6</f>
        <v>5630</v>
      </c>
      <c r="M10" s="71"/>
      <c r="N10" s="71"/>
      <c r="O10" s="60"/>
      <c r="P10" s="61"/>
      <c r="Q10" s="9"/>
      <c r="R10" s="20"/>
    </row>
    <row r="11" spans="2:18" x14ac:dyDescent="0.25">
      <c r="B11" s="6" t="s">
        <v>71</v>
      </c>
      <c r="C11" s="86" t="s">
        <v>166</v>
      </c>
      <c r="D11" s="74"/>
      <c r="E11" s="74"/>
      <c r="F11" s="87"/>
      <c r="G11" s="8"/>
      <c r="H11" s="10">
        <v>1</v>
      </c>
      <c r="I11" s="8">
        <v>0.91</v>
      </c>
      <c r="J11" s="8">
        <v>0.83</v>
      </c>
      <c r="K11" s="8">
        <v>0.75</v>
      </c>
      <c r="L11" s="8">
        <v>0.68</v>
      </c>
      <c r="M11" s="71"/>
      <c r="N11" s="71"/>
      <c r="O11" s="60"/>
      <c r="P11" s="61"/>
      <c r="Q11" s="9"/>
      <c r="R11" s="20"/>
    </row>
    <row r="12" spans="2:18" x14ac:dyDescent="0.25">
      <c r="B12" s="6" t="s">
        <v>72</v>
      </c>
      <c r="C12" s="60" t="s">
        <v>167</v>
      </c>
      <c r="D12" s="72"/>
      <c r="E12" s="72"/>
      <c r="F12" s="61"/>
      <c r="G12" s="11"/>
      <c r="H12" s="17">
        <f>-H4</f>
        <v>-30216.427932817638</v>
      </c>
      <c r="I12" s="8">
        <f>I10/(1+0.1)^I3</f>
        <v>18830.974606529417</v>
      </c>
      <c r="J12" s="8">
        <f t="shared" ref="J12:L12" si="0">J10/(1+0.1)^J3</f>
        <v>4652.8925619834699</v>
      </c>
      <c r="K12" s="8">
        <f t="shared" si="0"/>
        <v>4229.9023290758814</v>
      </c>
      <c r="L12" s="8">
        <f t="shared" si="0"/>
        <v>3845.3657537053468</v>
      </c>
      <c r="M12" s="71"/>
      <c r="N12" s="71"/>
      <c r="O12" s="60"/>
      <c r="P12" s="61"/>
      <c r="Q12" s="9"/>
      <c r="R12" s="20"/>
    </row>
    <row r="13" spans="2:18" x14ac:dyDescent="0.25">
      <c r="B13" s="6" t="s">
        <v>73</v>
      </c>
      <c r="C13" s="83" t="s">
        <v>168</v>
      </c>
      <c r="D13" s="84"/>
      <c r="E13" s="84"/>
      <c r="F13" s="85"/>
      <c r="G13" s="15"/>
      <c r="H13" s="8">
        <f>-H4</f>
        <v>-30216.427932817638</v>
      </c>
      <c r="I13" s="8">
        <f>H13+(I7/(1+0.1)^I3)</f>
        <v>-11385.453326288221</v>
      </c>
      <c r="J13" s="8">
        <f t="shared" ref="J13:L13" si="1">I13+(J7/(1+0.1)^J3)</f>
        <v>-6732.5607643047515</v>
      </c>
      <c r="K13" s="8">
        <f t="shared" si="1"/>
        <v>-2502.6584352288701</v>
      </c>
      <c r="L13" s="8">
        <f t="shared" si="1"/>
        <v>1342.7073184764768</v>
      </c>
      <c r="M13" s="71"/>
      <c r="N13" s="71"/>
      <c r="O13" s="60"/>
      <c r="P13" s="61"/>
      <c r="Q13" s="9"/>
      <c r="R13" s="20"/>
    </row>
    <row r="14" spans="2:18" x14ac:dyDescent="0.25">
      <c r="B14" s="18"/>
      <c r="C14" s="74"/>
      <c r="D14" s="74"/>
      <c r="E14" s="74"/>
      <c r="F14" s="74"/>
      <c r="G14" s="19"/>
      <c r="H14" s="4"/>
      <c r="I14" s="4"/>
      <c r="J14" s="4"/>
      <c r="K14" s="4"/>
      <c r="M14" s="71"/>
      <c r="N14" s="71"/>
      <c r="O14" s="60"/>
      <c r="P14" s="61"/>
      <c r="Q14" s="9"/>
      <c r="R14" s="20"/>
    </row>
    <row r="15" spans="2:18" x14ac:dyDescent="0.25">
      <c r="B15" s="18"/>
      <c r="C15" s="74"/>
      <c r="D15" s="74"/>
      <c r="E15" s="74"/>
      <c r="F15" s="74"/>
      <c r="G15" s="4"/>
      <c r="H15" s="4"/>
      <c r="I15" s="4"/>
      <c r="J15" s="4"/>
      <c r="K15" s="4"/>
      <c r="M15" s="71"/>
      <c r="N15" s="71"/>
      <c r="O15" s="60"/>
      <c r="P15" s="61"/>
      <c r="Q15" s="9"/>
      <c r="R15" s="20"/>
    </row>
    <row r="16" spans="2:18" x14ac:dyDescent="0.25">
      <c r="B16" s="18"/>
      <c r="C16" s="74"/>
      <c r="D16" s="74"/>
      <c r="E16" s="74"/>
      <c r="F16" s="74"/>
      <c r="G16" s="4"/>
      <c r="H16" s="4"/>
      <c r="I16" s="4"/>
      <c r="J16" s="4"/>
      <c r="K16" s="4"/>
      <c r="M16" s="71"/>
      <c r="N16" s="71"/>
      <c r="O16" s="60"/>
      <c r="P16" s="61"/>
      <c r="Q16" s="9"/>
      <c r="R16" s="20"/>
    </row>
    <row r="17" spans="2:18" x14ac:dyDescent="0.25">
      <c r="B17" s="18" t="s">
        <v>171</v>
      </c>
      <c r="C17" s="74">
        <f xml:space="preserve"> Q5-Q2</f>
        <v>15084.072067182362</v>
      </c>
      <c r="D17" s="74"/>
      <c r="E17" s="74"/>
      <c r="F17" s="74"/>
      <c r="G17" s="4"/>
      <c r="H17" s="4"/>
      <c r="I17" s="4"/>
      <c r="J17" s="4"/>
      <c r="K17" s="4"/>
      <c r="M17" s="71"/>
      <c r="N17" s="71"/>
      <c r="O17" s="60"/>
      <c r="P17" s="61"/>
      <c r="Q17" s="9"/>
      <c r="R17" s="20"/>
    </row>
    <row r="18" spans="2:18" x14ac:dyDescent="0.25">
      <c r="B18" s="18" t="s">
        <v>172</v>
      </c>
      <c r="C18" s="74">
        <f xml:space="preserve"> C17 / Q2</f>
        <v>0.54033926808679367</v>
      </c>
      <c r="D18" s="74"/>
      <c r="E18" s="74"/>
      <c r="F18" s="74"/>
      <c r="G18" s="4"/>
      <c r="H18" s="4"/>
      <c r="I18" s="4"/>
      <c r="J18" s="4"/>
      <c r="K18" s="4"/>
      <c r="M18" s="71"/>
      <c r="N18" s="71"/>
      <c r="O18" s="60"/>
      <c r="P18" s="61"/>
      <c r="Q18" s="9"/>
      <c r="R18" s="20"/>
    </row>
    <row r="19" spans="2:18" x14ac:dyDescent="0.25">
      <c r="B19" s="18" t="s">
        <v>173</v>
      </c>
      <c r="C19" s="74">
        <f xml:space="preserve"> Q2 / C17</f>
        <v>1.8506891115664239</v>
      </c>
      <c r="D19" s="74"/>
      <c r="E19" s="74"/>
      <c r="F19" s="74"/>
      <c r="G19" s="4"/>
      <c r="H19" s="4"/>
      <c r="I19" s="4"/>
      <c r="J19" s="4"/>
      <c r="K19" s="4"/>
      <c r="M19" s="71"/>
      <c r="N19" s="71"/>
    </row>
    <row r="20" spans="2:18" x14ac:dyDescent="0.25">
      <c r="B20" s="18" t="s">
        <v>174</v>
      </c>
      <c r="C20" s="74">
        <f xml:space="preserve"> C17-0.34*Q2</f>
        <v>5592.6565700243646</v>
      </c>
      <c r="D20" s="74"/>
      <c r="E20" s="74"/>
      <c r="F20" s="74"/>
      <c r="G20" s="4"/>
      <c r="H20" s="4"/>
      <c r="I20" s="4"/>
      <c r="J20" s="4"/>
      <c r="K20" s="4"/>
      <c r="M20" s="71"/>
      <c r="N20" s="71"/>
    </row>
    <row r="21" spans="2:18" x14ac:dyDescent="0.25">
      <c r="B21" s="18" t="s">
        <v>183</v>
      </c>
      <c r="C21" s="74">
        <f>(I12+J12+K12+L12)/H4</f>
        <v>1.0444363351439758</v>
      </c>
      <c r="D21" s="74"/>
      <c r="E21" s="74"/>
      <c r="F21" s="74"/>
      <c r="G21" s="4"/>
      <c r="H21" s="4"/>
      <c r="I21" s="4"/>
      <c r="J21" s="4"/>
      <c r="K21" s="4"/>
    </row>
    <row r="22" spans="2:18" x14ac:dyDescent="0.25">
      <c r="B22" s="21" t="s">
        <v>184</v>
      </c>
      <c r="C22" s="74">
        <f xml:space="preserve"> 2 + ((-1 * J13) / K12)</f>
        <v>3.5916586815789744</v>
      </c>
      <c r="D22" s="74"/>
      <c r="E22" s="74"/>
      <c r="F22" s="74"/>
      <c r="G22" s="4"/>
      <c r="H22" s="4"/>
      <c r="I22" s="4"/>
      <c r="J22" s="4"/>
      <c r="K22" s="4"/>
    </row>
    <row r="23" spans="2:18" x14ac:dyDescent="0.25">
      <c r="C23" s="71"/>
      <c r="D23" s="71"/>
      <c r="E23" s="71"/>
      <c r="F23" s="71"/>
    </row>
    <row r="24" spans="2:18" x14ac:dyDescent="0.25">
      <c r="C24" s="71"/>
      <c r="D24" s="71"/>
      <c r="E24" s="71"/>
      <c r="F24" s="71"/>
    </row>
    <row r="25" spans="2:18" x14ac:dyDescent="0.25">
      <c r="C25" s="71"/>
      <c r="D25" s="71"/>
      <c r="E25" s="71"/>
      <c r="F25" s="71"/>
    </row>
    <row r="26" spans="2:18" x14ac:dyDescent="0.25">
      <c r="C26" s="71"/>
      <c r="D26" s="71"/>
      <c r="E26" s="71"/>
      <c r="F26" s="71"/>
    </row>
    <row r="27" spans="2:18" x14ac:dyDescent="0.25">
      <c r="C27" s="71"/>
      <c r="D27" s="71"/>
      <c r="E27" s="71"/>
      <c r="F27" s="71"/>
    </row>
    <row r="28" spans="2:18" x14ac:dyDescent="0.25">
      <c r="C28" s="71"/>
      <c r="D28" s="71"/>
      <c r="E28" s="71"/>
      <c r="F28" s="71"/>
    </row>
    <row r="29" spans="2:18" x14ac:dyDescent="0.25">
      <c r="C29" s="71"/>
      <c r="D29" s="71"/>
      <c r="E29" s="71"/>
      <c r="F29" s="71"/>
    </row>
    <row r="30" spans="2:18" x14ac:dyDescent="0.25">
      <c r="C30" s="71"/>
      <c r="D30" s="71"/>
      <c r="E30" s="71"/>
      <c r="F30" s="71"/>
    </row>
    <row r="31" spans="2:18" x14ac:dyDescent="0.25">
      <c r="C31" s="71"/>
      <c r="D31" s="71"/>
      <c r="E31" s="71"/>
      <c r="F31" s="71"/>
    </row>
    <row r="32" spans="2:18" x14ac:dyDescent="0.25">
      <c r="C32" s="71"/>
      <c r="D32" s="71"/>
      <c r="E32" s="71"/>
      <c r="F32" s="71"/>
    </row>
    <row r="33" spans="3:6" x14ac:dyDescent="0.25">
      <c r="C33" s="71"/>
      <c r="D33" s="71"/>
      <c r="E33" s="71"/>
      <c r="F33" s="71"/>
    </row>
    <row r="34" spans="3:6" x14ac:dyDescent="0.25">
      <c r="C34" s="71"/>
      <c r="D34" s="71"/>
      <c r="E34" s="71"/>
      <c r="F34" s="71"/>
    </row>
  </sheetData>
  <mergeCells count="72">
    <mergeCell ref="M1:N1"/>
    <mergeCell ref="M2:N2"/>
    <mergeCell ref="M3:N3"/>
    <mergeCell ref="M4:N4"/>
    <mergeCell ref="M5:N5"/>
    <mergeCell ref="B2:B3"/>
    <mergeCell ref="C4:F4"/>
    <mergeCell ref="M19:N19"/>
    <mergeCell ref="M20:N20"/>
    <mergeCell ref="M13:N13"/>
    <mergeCell ref="M14:N14"/>
    <mergeCell ref="M15:N15"/>
    <mergeCell ref="M16:N16"/>
    <mergeCell ref="M17:N17"/>
    <mergeCell ref="M18:N18"/>
    <mergeCell ref="M12:N12"/>
    <mergeCell ref="M6:N6"/>
    <mergeCell ref="M7:N7"/>
    <mergeCell ref="M8:N8"/>
    <mergeCell ref="M9:N9"/>
    <mergeCell ref="M10:N10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20:F20"/>
    <mergeCell ref="C21:F21"/>
    <mergeCell ref="C15:F15"/>
    <mergeCell ref="C16:F16"/>
    <mergeCell ref="C17:F17"/>
    <mergeCell ref="C18:F18"/>
    <mergeCell ref="C19:F19"/>
    <mergeCell ref="C2:F3"/>
    <mergeCell ref="G2:G3"/>
    <mergeCell ref="O2:P2"/>
    <mergeCell ref="O3:P3"/>
    <mergeCell ref="O4:P4"/>
    <mergeCell ref="O15:P15"/>
    <mergeCell ref="O16:P16"/>
    <mergeCell ref="O17:P17"/>
    <mergeCell ref="O18:P18"/>
    <mergeCell ref="H2:L2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M11:N11"/>
    <mergeCell ref="C22:F22"/>
    <mergeCell ref="C23:F23"/>
    <mergeCell ref="C24:F24"/>
    <mergeCell ref="C25:F25"/>
    <mergeCell ref="C26:F26"/>
    <mergeCell ref="C32:F32"/>
    <mergeCell ref="C33:F33"/>
    <mergeCell ref="C34:F34"/>
    <mergeCell ref="C27:F27"/>
    <mergeCell ref="C28:F28"/>
    <mergeCell ref="C29:F29"/>
    <mergeCell ref="C30:F30"/>
    <mergeCell ref="C31:F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81FA-E89B-4269-B52C-D025B6C8C075}">
  <dimension ref="B1:Q19"/>
  <sheetViews>
    <sheetView workbookViewId="0">
      <selection activeCell="I4" sqref="I4:J7"/>
    </sheetView>
  </sheetViews>
  <sheetFormatPr defaultRowHeight="15" x14ac:dyDescent="0.25"/>
  <sheetData>
    <row r="1" spans="2:17" x14ac:dyDescent="0.25">
      <c r="K1" s="4"/>
    </row>
    <row r="2" spans="2:17" x14ac:dyDescent="0.25">
      <c r="B2" s="94" t="s">
        <v>177</v>
      </c>
      <c r="C2" s="88" t="s">
        <v>178</v>
      </c>
      <c r="D2" s="90"/>
      <c r="E2" s="91" t="s">
        <v>179</v>
      </c>
      <c r="F2" s="92"/>
      <c r="G2" s="10">
        <v>12.5</v>
      </c>
      <c r="H2" s="91" t="s">
        <v>179</v>
      </c>
      <c r="I2" s="92"/>
      <c r="J2" s="10">
        <v>13</v>
      </c>
      <c r="K2" s="4"/>
      <c r="N2" s="60" t="s">
        <v>186</v>
      </c>
      <c r="O2" s="61"/>
      <c r="P2" s="8">
        <v>12.7</v>
      </c>
      <c r="Q2" t="s">
        <v>47</v>
      </c>
    </row>
    <row r="3" spans="2:17" x14ac:dyDescent="0.25">
      <c r="B3" s="73"/>
      <c r="C3" s="83"/>
      <c r="D3" s="85"/>
      <c r="E3" s="8" t="s">
        <v>180</v>
      </c>
      <c r="F3" s="60" t="s">
        <v>181</v>
      </c>
      <c r="G3" s="61"/>
      <c r="H3" s="8" t="s">
        <v>180</v>
      </c>
      <c r="I3" s="60" t="s">
        <v>181</v>
      </c>
      <c r="J3" s="61"/>
      <c r="K3" s="4"/>
      <c r="N3" s="60" t="s">
        <v>187</v>
      </c>
      <c r="O3" s="61"/>
      <c r="P3" s="8">
        <f xml:space="preserve"> P2 + (E9 / (E9+(-1) *H9))</f>
        <v>13.182896008917217</v>
      </c>
    </row>
    <row r="4" spans="2:17" x14ac:dyDescent="0.25">
      <c r="B4" s="8">
        <v>0</v>
      </c>
      <c r="C4" s="60">
        <f>'п2.8'!H10</f>
        <v>-30216.427932817638</v>
      </c>
      <c r="D4" s="61"/>
      <c r="E4" s="8">
        <f>1/(1+$G$2/100)^K4</f>
        <v>1</v>
      </c>
      <c r="F4" s="60">
        <f>C4/(1+$G$2/100)^K4</f>
        <v>-30216.427932817638</v>
      </c>
      <c r="G4" s="61"/>
      <c r="H4" s="8">
        <f>1/(1+$J$2/100)^K4</f>
        <v>1</v>
      </c>
      <c r="I4" s="60">
        <f>C4/(1+$J$2/100)^K4</f>
        <v>-30216.427932817638</v>
      </c>
      <c r="J4" s="61"/>
      <c r="K4" s="4">
        <v>0</v>
      </c>
      <c r="N4" s="60"/>
      <c r="O4" s="61"/>
      <c r="P4" s="8"/>
    </row>
    <row r="5" spans="2:17" x14ac:dyDescent="0.25">
      <c r="B5" s="8">
        <v>1</v>
      </c>
      <c r="C5" s="60">
        <f>'п2.8'!I10</f>
        <v>20714.072067182362</v>
      </c>
      <c r="D5" s="61"/>
      <c r="E5" s="8">
        <f t="shared" ref="E5:E8" si="0">1/(1+$G$2/100)^K5</f>
        <v>0.88888888888888884</v>
      </c>
      <c r="F5" s="60">
        <f t="shared" ref="F5:F8" si="1">C5/(1+$G$2/100)^K5</f>
        <v>18412.508504162099</v>
      </c>
      <c r="G5" s="61"/>
      <c r="H5" s="8">
        <f t="shared" ref="H5:H8" si="2">1/(1+$J$2/100)^K5</f>
        <v>0.88495575221238942</v>
      </c>
      <c r="I5" s="60">
        <f t="shared" ref="I5:I8" si="3">C5/(1+$J$2/100)^K5</f>
        <v>18331.037227595014</v>
      </c>
      <c r="J5" s="61"/>
      <c r="K5" s="22">
        <v>1</v>
      </c>
      <c r="N5" s="60"/>
      <c r="O5" s="61"/>
      <c r="P5" s="8"/>
    </row>
    <row r="6" spans="2:17" x14ac:dyDescent="0.25">
      <c r="B6" s="8">
        <v>2</v>
      </c>
      <c r="C6" s="60">
        <f>'п2.8'!J10</f>
        <v>5630</v>
      </c>
      <c r="D6" s="61"/>
      <c r="E6" s="8">
        <f t="shared" si="0"/>
        <v>0.79012345679012341</v>
      </c>
      <c r="F6" s="60">
        <f t="shared" si="1"/>
        <v>4448.3950617283954</v>
      </c>
      <c r="G6" s="61"/>
      <c r="H6" s="8">
        <f t="shared" si="2"/>
        <v>0.78314668337379612</v>
      </c>
      <c r="I6" s="60">
        <f t="shared" si="3"/>
        <v>4409.115827394472</v>
      </c>
      <c r="J6" s="61"/>
      <c r="K6" s="22">
        <v>2</v>
      </c>
      <c r="N6" s="60"/>
      <c r="O6" s="61"/>
      <c r="P6" s="8"/>
    </row>
    <row r="7" spans="2:17" x14ac:dyDescent="0.25">
      <c r="B7" s="8">
        <v>3</v>
      </c>
      <c r="C7" s="60">
        <f>'п2.8'!K10</f>
        <v>5630</v>
      </c>
      <c r="D7" s="61"/>
      <c r="E7" s="8">
        <f t="shared" si="0"/>
        <v>0.7023319615912208</v>
      </c>
      <c r="F7" s="60">
        <f t="shared" si="1"/>
        <v>3954.1289437585733</v>
      </c>
      <c r="G7" s="61"/>
      <c r="H7" s="8">
        <f t="shared" si="2"/>
        <v>0.69305016227769578</v>
      </c>
      <c r="I7" s="60">
        <f t="shared" si="3"/>
        <v>3901.8724136234273</v>
      </c>
      <c r="J7" s="61"/>
      <c r="K7" s="22">
        <v>3</v>
      </c>
      <c r="N7" s="60"/>
      <c r="O7" s="61"/>
      <c r="P7" s="8"/>
    </row>
    <row r="8" spans="2:17" x14ac:dyDescent="0.25">
      <c r="B8" s="8">
        <v>4</v>
      </c>
      <c r="C8" s="60">
        <f>'п2.8'!L10</f>
        <v>5630</v>
      </c>
      <c r="D8" s="61"/>
      <c r="E8" s="8">
        <f t="shared" si="0"/>
        <v>0.62429507696997411</v>
      </c>
      <c r="F8" s="60">
        <f t="shared" si="1"/>
        <v>3514.7812833409539</v>
      </c>
      <c r="G8" s="61"/>
      <c r="H8" s="8">
        <f t="shared" si="2"/>
        <v>0.61331872767937679</v>
      </c>
      <c r="I8" s="60">
        <f t="shared" si="3"/>
        <v>3452.9844368348918</v>
      </c>
      <c r="J8" s="61"/>
      <c r="K8" s="22">
        <v>4</v>
      </c>
      <c r="N8" s="60"/>
      <c r="O8" s="61"/>
      <c r="P8" s="8"/>
    </row>
    <row r="9" spans="2:17" x14ac:dyDescent="0.25">
      <c r="B9" s="91" t="s">
        <v>182</v>
      </c>
      <c r="C9" s="92"/>
      <c r="D9" s="93"/>
      <c r="E9" s="60">
        <f>SUM(F4:G8)</f>
        <v>113.38586017238322</v>
      </c>
      <c r="F9" s="72"/>
      <c r="G9" s="61"/>
      <c r="H9" s="60">
        <f>SUM(I4:J8)</f>
        <v>-121.418027369833</v>
      </c>
      <c r="I9" s="72"/>
      <c r="J9" s="61"/>
      <c r="K9" s="4"/>
      <c r="N9" s="60"/>
      <c r="O9" s="61"/>
      <c r="P9" s="8"/>
    </row>
    <row r="10" spans="2:17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N10" s="60"/>
      <c r="O10" s="61"/>
      <c r="P10" s="8"/>
    </row>
    <row r="11" spans="2:17" x14ac:dyDescent="0.25">
      <c r="B11" s="22"/>
      <c r="C11" s="4"/>
      <c r="D11" s="4"/>
      <c r="E11" s="4"/>
      <c r="F11" s="4"/>
      <c r="G11" s="4"/>
      <c r="H11" s="4"/>
      <c r="I11" s="4"/>
      <c r="J11" s="4"/>
      <c r="K11" s="4"/>
      <c r="N11" s="60"/>
      <c r="O11" s="61"/>
      <c r="P11" s="8"/>
    </row>
    <row r="12" spans="2:17" x14ac:dyDescent="0.25">
      <c r="B12" s="22"/>
      <c r="C12" s="4"/>
      <c r="D12" s="4"/>
      <c r="E12" s="4"/>
      <c r="F12" s="4"/>
      <c r="G12" s="4"/>
      <c r="H12" s="4"/>
      <c r="I12" s="4"/>
      <c r="J12" s="4"/>
      <c r="K12" s="4"/>
    </row>
    <row r="13" spans="2:17" x14ac:dyDescent="0.25">
      <c r="B13" s="22"/>
      <c r="C13" s="4"/>
      <c r="D13" s="4"/>
      <c r="E13" s="4"/>
      <c r="F13" s="4"/>
      <c r="G13" s="4"/>
      <c r="H13" s="4"/>
      <c r="I13" s="4"/>
      <c r="J13" s="4"/>
      <c r="K13" s="4"/>
    </row>
    <row r="14" spans="2:17" x14ac:dyDescent="0.25">
      <c r="B14" s="22"/>
      <c r="C14" s="4"/>
      <c r="D14" s="4"/>
      <c r="E14" s="4"/>
      <c r="F14" s="4"/>
      <c r="G14" s="4"/>
      <c r="H14" s="4"/>
      <c r="I14" s="4"/>
      <c r="J14" s="4"/>
      <c r="K14" s="4"/>
    </row>
    <row r="15" spans="2:17" x14ac:dyDescent="0.25">
      <c r="B15" s="74" t="s">
        <v>185</v>
      </c>
      <c r="C15" s="74"/>
      <c r="D15" s="74"/>
      <c r="E15" s="74"/>
      <c r="F15" s="74"/>
      <c r="G15" s="74"/>
      <c r="H15" s="74"/>
      <c r="I15" s="74"/>
      <c r="J15" s="74"/>
      <c r="K15" s="4"/>
      <c r="L15" s="12"/>
    </row>
    <row r="16" spans="2:17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12"/>
      <c r="M16" s="12"/>
      <c r="N16" s="12"/>
    </row>
    <row r="17" spans="7:14" x14ac:dyDescent="0.25">
      <c r="G17" s="12"/>
      <c r="K17" s="4"/>
      <c r="L17" s="12"/>
      <c r="M17" s="12"/>
      <c r="N17" s="12"/>
    </row>
    <row r="18" spans="7:14" x14ac:dyDescent="0.25">
      <c r="G18" s="12"/>
      <c r="K18" s="4"/>
      <c r="L18" s="12"/>
      <c r="M18" s="12"/>
      <c r="N18" s="12"/>
    </row>
    <row r="19" spans="7:14" x14ac:dyDescent="0.25">
      <c r="K19" s="4"/>
      <c r="L19" s="12"/>
    </row>
  </sheetData>
  <mergeCells count="35">
    <mergeCell ref="B2:B3"/>
    <mergeCell ref="C2:D3"/>
    <mergeCell ref="F3:G3"/>
    <mergeCell ref="I3:J3"/>
    <mergeCell ref="E2:F2"/>
    <mergeCell ref="H2:I2"/>
    <mergeCell ref="N2:O2"/>
    <mergeCell ref="N3:O3"/>
    <mergeCell ref="N4:O4"/>
    <mergeCell ref="N5:O5"/>
    <mergeCell ref="N6:O6"/>
    <mergeCell ref="N9:O9"/>
    <mergeCell ref="N10:O10"/>
    <mergeCell ref="N11:O11"/>
    <mergeCell ref="C4:D4"/>
    <mergeCell ref="C5:D5"/>
    <mergeCell ref="C6:D6"/>
    <mergeCell ref="C7:D7"/>
    <mergeCell ref="C8:D8"/>
    <mergeCell ref="F4:G4"/>
    <mergeCell ref="F5:G5"/>
    <mergeCell ref="E9:G9"/>
    <mergeCell ref="H9:J9"/>
    <mergeCell ref="B9:D9"/>
    <mergeCell ref="N7:O7"/>
    <mergeCell ref="N8:O8"/>
    <mergeCell ref="B15:J15"/>
    <mergeCell ref="F6:G6"/>
    <mergeCell ref="F7:G7"/>
    <mergeCell ref="F8:G8"/>
    <mergeCell ref="I4:J4"/>
    <mergeCell ref="I5:J5"/>
    <mergeCell ref="I6:J6"/>
    <mergeCell ref="I7:J7"/>
    <mergeCell ref="I8:J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9529-0931-4301-9C5B-677BF3D635A6}">
  <dimension ref="B2:Q18"/>
  <sheetViews>
    <sheetView workbookViewId="0">
      <selection activeCell="E19" sqref="E19"/>
    </sheetView>
  </sheetViews>
  <sheetFormatPr defaultRowHeight="15" x14ac:dyDescent="0.25"/>
  <cols>
    <col min="8" max="8" width="34.5703125" customWidth="1"/>
  </cols>
  <sheetData>
    <row r="2" spans="2:17" x14ac:dyDescent="0.25">
      <c r="B2" s="95" t="s">
        <v>132</v>
      </c>
      <c r="C2" s="96"/>
      <c r="D2" s="13" t="s">
        <v>114</v>
      </c>
      <c r="E2" s="7" t="s">
        <v>113</v>
      </c>
      <c r="G2" s="95" t="s">
        <v>133</v>
      </c>
      <c r="H2" s="96"/>
      <c r="I2" s="13" t="s">
        <v>114</v>
      </c>
      <c r="J2" s="7" t="s">
        <v>113</v>
      </c>
    </row>
    <row r="3" spans="2:17" x14ac:dyDescent="0.25">
      <c r="B3" s="60" t="s">
        <v>115</v>
      </c>
      <c r="C3" s="61"/>
      <c r="D3" s="6" t="s">
        <v>116</v>
      </c>
      <c r="E3" s="6" t="s">
        <v>116</v>
      </c>
      <c r="G3" s="60" t="s">
        <v>136</v>
      </c>
      <c r="H3" s="61"/>
      <c r="I3" s="6" t="s">
        <v>129</v>
      </c>
      <c r="J3" s="6" t="s">
        <v>131</v>
      </c>
    </row>
    <row r="4" spans="2:17" x14ac:dyDescent="0.25">
      <c r="B4" s="60" t="s">
        <v>117</v>
      </c>
      <c r="C4" s="61"/>
      <c r="D4" s="6" t="s">
        <v>118</v>
      </c>
      <c r="E4" s="6" t="s">
        <v>121</v>
      </c>
      <c r="G4" s="60"/>
      <c r="H4" s="61"/>
      <c r="I4" s="6"/>
      <c r="J4" s="6"/>
      <c r="N4" s="24"/>
      <c r="O4" s="24"/>
      <c r="Q4" s="38"/>
    </row>
    <row r="5" spans="2:17" x14ac:dyDescent="0.25">
      <c r="B5" s="60" t="s">
        <v>119</v>
      </c>
      <c r="C5" s="61"/>
      <c r="D5" s="6" t="s">
        <v>120</v>
      </c>
      <c r="E5" s="6" t="s">
        <v>37</v>
      </c>
      <c r="G5" s="60"/>
      <c r="H5" s="61"/>
      <c r="I5" s="6"/>
      <c r="J5" s="6"/>
    </row>
    <row r="6" spans="2:17" x14ac:dyDescent="0.25">
      <c r="B6" s="60" t="s">
        <v>122</v>
      </c>
      <c r="C6" s="61"/>
      <c r="D6" s="6" t="s">
        <v>124</v>
      </c>
      <c r="E6" s="6" t="s">
        <v>123</v>
      </c>
      <c r="G6" s="60"/>
      <c r="H6" s="61"/>
      <c r="I6" s="6"/>
      <c r="J6" s="6"/>
    </row>
    <row r="7" spans="2:17" x14ac:dyDescent="0.25">
      <c r="B7" s="60" t="s">
        <v>106</v>
      </c>
      <c r="C7" s="61"/>
      <c r="D7" s="6" t="s">
        <v>125</v>
      </c>
      <c r="E7" s="6" t="s">
        <v>191</v>
      </c>
      <c r="G7" s="60"/>
      <c r="H7" s="61"/>
      <c r="I7" s="6"/>
      <c r="J7" s="6"/>
    </row>
    <row r="8" spans="2:17" x14ac:dyDescent="0.25">
      <c r="B8" s="60" t="s">
        <v>126</v>
      </c>
      <c r="C8" s="61"/>
      <c r="D8" s="6" t="s">
        <v>127</v>
      </c>
      <c r="E8" s="6" t="s">
        <v>190</v>
      </c>
      <c r="G8" s="60"/>
      <c r="H8" s="61"/>
      <c r="I8" s="6"/>
      <c r="J8" s="6"/>
    </row>
    <row r="9" spans="2:17" x14ac:dyDescent="0.25">
      <c r="B9" s="60" t="s">
        <v>128</v>
      </c>
      <c r="C9" s="61"/>
      <c r="D9" s="6" t="s">
        <v>129</v>
      </c>
      <c r="E9" s="6" t="s">
        <v>131</v>
      </c>
      <c r="G9" s="60"/>
      <c r="H9" s="61"/>
      <c r="I9" s="6"/>
      <c r="J9" s="6"/>
    </row>
    <row r="10" spans="2:17" x14ac:dyDescent="0.25">
      <c r="B10" s="60" t="s">
        <v>130</v>
      </c>
      <c r="C10" s="61"/>
      <c r="D10" s="6" t="s">
        <v>129</v>
      </c>
      <c r="E10" s="6" t="s">
        <v>131</v>
      </c>
      <c r="G10" s="60"/>
      <c r="H10" s="61"/>
      <c r="I10" s="6"/>
      <c r="J10" s="6"/>
    </row>
    <row r="11" spans="2:17" x14ac:dyDescent="0.25">
      <c r="B11" s="60" t="s">
        <v>193</v>
      </c>
      <c r="C11" s="61"/>
      <c r="D11" s="6"/>
      <c r="E11" s="6" t="s">
        <v>192</v>
      </c>
      <c r="F11" t="s">
        <v>109</v>
      </c>
      <c r="G11" s="60"/>
      <c r="H11" s="61"/>
      <c r="I11" s="6"/>
      <c r="J11" s="6"/>
    </row>
    <row r="12" spans="2:17" x14ac:dyDescent="0.25">
      <c r="B12" s="60"/>
      <c r="C12" s="61"/>
      <c r="D12" s="6"/>
      <c r="E12" s="6"/>
      <c r="G12" s="60"/>
      <c r="H12" s="61"/>
      <c r="I12" s="6"/>
      <c r="J12" s="6"/>
    </row>
    <row r="13" spans="2:17" x14ac:dyDescent="0.25">
      <c r="B13" s="60"/>
      <c r="C13" s="61"/>
      <c r="D13" s="6"/>
      <c r="E13" s="6"/>
      <c r="G13" s="60"/>
      <c r="H13" s="61"/>
      <c r="I13" s="6"/>
      <c r="J13" s="6"/>
    </row>
    <row r="14" spans="2:17" x14ac:dyDescent="0.25">
      <c r="B14" s="60"/>
      <c r="C14" s="61"/>
      <c r="D14" s="6"/>
      <c r="E14" s="6"/>
      <c r="G14" s="60"/>
      <c r="H14" s="61"/>
      <c r="I14" s="6"/>
      <c r="J14" s="6"/>
    </row>
    <row r="15" spans="2:17" x14ac:dyDescent="0.25">
      <c r="B15" s="60"/>
      <c r="C15" s="61"/>
      <c r="D15" s="6"/>
      <c r="E15" s="6"/>
      <c r="G15" s="60"/>
      <c r="H15" s="61"/>
      <c r="I15" s="6"/>
      <c r="J15" s="6"/>
    </row>
    <row r="16" spans="2:17" x14ac:dyDescent="0.25">
      <c r="B16" s="60"/>
      <c r="C16" s="61"/>
      <c r="D16" s="6"/>
      <c r="E16" s="6"/>
      <c r="G16" s="60"/>
      <c r="H16" s="61"/>
      <c r="I16" s="6"/>
      <c r="J16" s="6"/>
    </row>
    <row r="17" spans="2:10" x14ac:dyDescent="0.25">
      <c r="B17" s="60"/>
      <c r="C17" s="61"/>
      <c r="D17" s="6"/>
      <c r="E17" s="6"/>
      <c r="G17" s="60"/>
      <c r="H17" s="61"/>
      <c r="I17" s="6"/>
      <c r="J17" s="6"/>
    </row>
    <row r="18" spans="2:10" x14ac:dyDescent="0.25">
      <c r="B18" s="60"/>
      <c r="C18" s="61"/>
      <c r="D18" s="6"/>
      <c r="E18" s="6"/>
      <c r="G18" s="60"/>
      <c r="H18" s="61"/>
      <c r="I18" s="6"/>
      <c r="J18" s="6"/>
    </row>
  </sheetData>
  <mergeCells count="34">
    <mergeCell ref="G14:H14"/>
    <mergeCell ref="G15:H15"/>
    <mergeCell ref="G16:H16"/>
    <mergeCell ref="G17:H17"/>
    <mergeCell ref="G18:H18"/>
    <mergeCell ref="G8:H8"/>
    <mergeCell ref="G9:H9"/>
    <mergeCell ref="G10:H10"/>
    <mergeCell ref="G11:H11"/>
    <mergeCell ref="G12:H12"/>
    <mergeCell ref="G13:H13"/>
    <mergeCell ref="B16:C16"/>
    <mergeCell ref="B17:C17"/>
    <mergeCell ref="B18:C18"/>
    <mergeCell ref="B2:C2"/>
    <mergeCell ref="G2:H2"/>
    <mergeCell ref="G3:H3"/>
    <mergeCell ref="G4:H4"/>
    <mergeCell ref="G5:H5"/>
    <mergeCell ref="G6:H6"/>
    <mergeCell ref="G7:H7"/>
    <mergeCell ref="B10:C10"/>
    <mergeCell ref="B11:C11"/>
    <mergeCell ref="B12:C12"/>
    <mergeCell ref="B13:C13"/>
    <mergeCell ref="B14:C14"/>
    <mergeCell ref="B15:C15"/>
    <mergeCell ref="B3:C3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 2.2</vt:lpstr>
      <vt:lpstr>п2.2.2</vt:lpstr>
      <vt:lpstr>п2.4</vt:lpstr>
      <vt:lpstr>п2.5</vt:lpstr>
      <vt:lpstr>п2.8</vt:lpstr>
      <vt:lpstr>п2.8.2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Пархоменко</dc:creator>
  <cp:lastModifiedBy>Павел Пархоменко</cp:lastModifiedBy>
  <dcterms:created xsi:type="dcterms:W3CDTF">2015-06-05T18:17:20Z</dcterms:created>
  <dcterms:modified xsi:type="dcterms:W3CDTF">2023-06-05T15:21:05Z</dcterms:modified>
</cp:coreProperties>
</file>