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esktop\ИТМО\физон\Лабораторная работа №1\"/>
    </mc:Choice>
  </mc:AlternateContent>
  <xr:revisionPtr revIDLastSave="0" documentId="13_ncr:1_{60C3D6C0-8467-4011-8CF9-1DA681C8492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N30" i="1" s="1"/>
  <c r="I38" i="1"/>
  <c r="O34" i="1" s="1"/>
  <c r="O33" i="1"/>
  <c r="O32" i="1"/>
  <c r="O31" i="1"/>
  <c r="P35" i="1"/>
  <c r="N36" i="1"/>
  <c r="N34" i="1"/>
  <c r="N33" i="1"/>
  <c r="J28" i="1"/>
  <c r="N31" i="1" l="1"/>
  <c r="O30" i="1"/>
  <c r="O35" i="1" s="1"/>
  <c r="R46" i="1" s="1"/>
  <c r="K18" i="1"/>
  <c r="J18" i="1"/>
  <c r="J17" i="1"/>
  <c r="I18" i="1" s="1"/>
  <c r="J14" i="1"/>
  <c r="J13" i="1"/>
  <c r="J15" i="1"/>
  <c r="J16" i="1"/>
  <c r="J12" i="1"/>
  <c r="I17" i="1"/>
  <c r="I13" i="1"/>
  <c r="I14" i="1"/>
  <c r="I15" i="1"/>
  <c r="I16" i="1"/>
  <c r="I12" i="1"/>
  <c r="K14" i="1" l="1"/>
  <c r="K13" i="1"/>
  <c r="K15" i="1"/>
  <c r="K16" i="1"/>
  <c r="K12" i="1"/>
  <c r="K17" i="1" s="1"/>
  <c r="I37" i="1"/>
  <c r="J36" i="1"/>
  <c r="I36" i="1"/>
  <c r="J23" i="1" l="1"/>
  <c r="J24" i="1" l="1"/>
  <c r="I30" i="1" l="1"/>
  <c r="K30" i="1"/>
  <c r="K32" i="1" s="1"/>
  <c r="K33" i="1" s="1"/>
  <c r="K31" i="1"/>
  <c r="L31" i="1"/>
  <c r="L34" i="1" s="1"/>
  <c r="L35" i="1" s="1"/>
  <c r="M31" i="1"/>
  <c r="M34" i="1" s="1"/>
  <c r="M35" i="1" s="1"/>
  <c r="J30" i="1"/>
  <c r="J32" i="1" s="1"/>
  <c r="J33" i="1" s="1"/>
  <c r="H12" i="1"/>
  <c r="G15" i="1"/>
  <c r="G12" i="1"/>
  <c r="K36" i="1" l="1"/>
  <c r="K37" i="1" s="1"/>
  <c r="K34" i="1"/>
  <c r="K35" i="1" s="1"/>
  <c r="P24" i="1"/>
  <c r="I32" i="1"/>
  <c r="I33" i="1" s="1"/>
  <c r="H13" i="1"/>
  <c r="H18" i="1" s="1"/>
  <c r="H14" i="1"/>
  <c r="H15" i="1"/>
  <c r="H16" i="1"/>
  <c r="G16" i="1"/>
  <c r="G14" i="1"/>
  <c r="G13" i="1"/>
  <c r="J31" i="1" l="1"/>
  <c r="I31" i="1"/>
  <c r="L30" i="1"/>
  <c r="L32" i="1" s="1"/>
  <c r="L33" i="1" s="1"/>
  <c r="M30" i="1"/>
  <c r="M32" i="1" s="1"/>
  <c r="M33" i="1" s="1"/>
  <c r="J27" i="1"/>
  <c r="J26" i="1"/>
  <c r="J25" i="1"/>
  <c r="I34" i="1" l="1"/>
  <c r="I35" i="1" s="1"/>
  <c r="P33" i="1"/>
  <c r="Q33" i="1" s="1"/>
  <c r="P34" i="1"/>
  <c r="Q34" i="1" s="1"/>
  <c r="P31" i="1"/>
  <c r="Q31" i="1" s="1"/>
  <c r="J34" i="1"/>
  <c r="J35" i="1" s="1"/>
  <c r="P32" i="1"/>
  <c r="Q32" i="1" s="1"/>
  <c r="M36" i="1"/>
  <c r="L36" i="1"/>
  <c r="P30" i="1" l="1"/>
  <c r="Q30" i="1" s="1"/>
  <c r="J37" i="1"/>
  <c r="L37" i="1"/>
  <c r="M37" i="1"/>
  <c r="N32" i="1" l="1"/>
  <c r="N35" i="1" s="1"/>
  <c r="Q39" i="1" s="1"/>
  <c r="Q38" i="1" s="1"/>
  <c r="P44" i="1" l="1"/>
  <c r="Q44" i="1" s="1"/>
  <c r="P42" i="1"/>
  <c r="Q42" i="1" s="1"/>
  <c r="P45" i="1"/>
  <c r="Q45" i="1" s="1"/>
  <c r="P41" i="1"/>
  <c r="Q41" i="1" s="1"/>
  <c r="Q46" i="1" s="1"/>
  <c r="R47" i="1" s="1"/>
  <c r="R48" i="1" s="1"/>
  <c r="R49" i="1" s="1"/>
  <c r="P43" i="1"/>
  <c r="Q43" i="1" s="1"/>
</calcChain>
</file>

<file path=xl/sharedStrings.xml><?xml version="1.0" encoding="utf-8"?>
<sst xmlns="http://schemas.openxmlformats.org/spreadsheetml/2006/main" count="92" uniqueCount="70">
  <si>
    <t>Таблица 1</t>
  </si>
  <si>
    <t>№</t>
  </si>
  <si>
    <t>Измеренные величины</t>
  </si>
  <si>
    <t>Рассчит. Велич.</t>
  </si>
  <si>
    <t>Таблица 2</t>
  </si>
  <si>
    <t>Упражнение 2</t>
  </si>
  <si>
    <t>Упражнение 1</t>
  </si>
  <si>
    <r>
      <t>h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` (мм)</t>
    </r>
  </si>
  <si>
    <r>
      <t>h</t>
    </r>
    <r>
      <rPr>
        <b/>
        <sz val="8"/>
        <color theme="1"/>
        <rFont val="Calibri"/>
        <family val="2"/>
        <charset val="204"/>
        <scheme val="minor"/>
      </rPr>
      <t xml:space="preserve">0 </t>
    </r>
    <r>
      <rPr>
        <b/>
        <sz val="11"/>
        <color theme="1"/>
        <rFont val="Calibri"/>
        <family val="2"/>
        <charset val="204"/>
        <scheme val="minor"/>
      </rPr>
      <t>(мм)</t>
    </r>
  </si>
  <si>
    <t>(t2^2-t1^2), (с^2)</t>
  </si>
  <si>
    <t>t2, (с)</t>
  </si>
  <si>
    <t>t1, (с)</t>
  </si>
  <si>
    <t>x2, (м)</t>
  </si>
  <si>
    <t>x1, (м)</t>
  </si>
  <si>
    <t>(Y)</t>
  </si>
  <si>
    <t>(X)</t>
  </si>
  <si>
    <t>№ опыта</t>
  </si>
  <si>
    <t>h, (мм)</t>
  </si>
  <si>
    <t>h`, (мм)</t>
  </si>
  <si>
    <t>t1, (c)</t>
  </si>
  <si>
    <t>t2, (c)</t>
  </si>
  <si>
    <t>Таблица 3.1</t>
  </si>
  <si>
    <t>Таблица 3.2</t>
  </si>
  <si>
    <t>Таблица 3.3</t>
  </si>
  <si>
    <t>Таблица 3.4</t>
  </si>
  <si>
    <t>Таблица 3.5</t>
  </si>
  <si>
    <t>Количество пластин</t>
  </si>
  <si>
    <t>sin a</t>
  </si>
  <si>
    <t>a, (м/с^2)</t>
  </si>
  <si>
    <t>x` (мм)</t>
  </si>
  <si>
    <t>x (мм)</t>
  </si>
  <si>
    <r>
      <t>t1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</si>
  <si>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t2</t>
    </r>
    <r>
      <rPr>
        <b/>
        <sz val="8"/>
        <color theme="1"/>
        <rFont val="Calibri"/>
        <family val="2"/>
        <charset val="204"/>
        <scheme val="minor"/>
      </rPr>
      <t>ср</t>
    </r>
  </si>
  <si>
    <t>∆t1сл</t>
  </si>
  <si>
    <t>∆t1</t>
  </si>
  <si>
    <t>∆t2сл</t>
  </si>
  <si>
    <t>Погрешности приборов</t>
  </si>
  <si>
    <t>∆t1=∆t2 (с)</t>
  </si>
  <si>
    <t>(1) для табл. 3.1</t>
  </si>
  <si>
    <t>(2) для табл. 3.2</t>
  </si>
  <si>
    <t>(3) для табл. 3.3</t>
  </si>
  <si>
    <t>(4) для табл. 3.4</t>
  </si>
  <si>
    <t>(5) для табл. 3.5</t>
  </si>
  <si>
    <t>∆t2</t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</si>
  <si>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(1)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</si>
  <si>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(2)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</si>
  <si>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(3)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</si>
  <si>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(4)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</si>
  <si>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(5)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</si>
  <si>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(1)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</si>
  <si>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(2)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</si>
  <si>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(3)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</si>
  <si>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(4)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</si>
  <si>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(5)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</si>
  <si>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</si>
  <si>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∆a</t>
    </r>
    <r>
      <rPr>
        <b/>
        <sz val="8"/>
        <color theme="1"/>
        <rFont val="Calibri"/>
        <family val="2"/>
        <charset val="204"/>
        <scheme val="minor"/>
      </rPr>
      <t>ср</t>
    </r>
  </si>
  <si>
    <t>aср ± ∆aср (2)</t>
  </si>
  <si>
    <t>aср ± ∆aср (3)</t>
  </si>
  <si>
    <t>aср ± ∆aср (4)</t>
  </si>
  <si>
    <t>aср ± ∆aср (5)</t>
  </si>
  <si>
    <t>aср ± ∆aср (1)</t>
  </si>
  <si>
    <t>∆x1=∆x2 (м)</t>
  </si>
  <si>
    <t>(x2-x1), (м)</t>
  </si>
  <si>
    <t xml:space="preserve">A = </t>
  </si>
  <si>
    <t xml:space="preserve">B = </t>
  </si>
  <si>
    <t>A+Bsina</t>
  </si>
  <si>
    <t>^2</t>
  </si>
  <si>
    <t>СКО=</t>
  </si>
  <si>
    <t>дельта B относ</t>
  </si>
  <si>
    <t>B абс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</si>
</sst>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"/>
    <numFmt numFmtId="166" formatCode="0.000000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5" fillId="0" borderId="0" xfId="0" applyFont="1" applyAlignment="1">
      <alignment horizontal="center"/>
    </xf>
    <xf numFmtId="164" fontId="6" fillId="0" borderId="1" xfId="0" applyNumberFormat="1" applyFont="1" applyBorder="1"/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8" xfId="0" applyNumberFormat="1" applyFill="1" applyBorder="1"/>
    <xf numFmtId="164" fontId="0" fillId="3" borderId="14" xfId="0" applyNumberFormat="1" applyFont="1" applyFill="1" applyBorder="1"/>
    <xf numFmtId="164" fontId="0" fillId="3" borderId="15" xfId="0" applyNumberFormat="1" applyFont="1" applyFill="1" applyBorder="1"/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0" fillId="3" borderId="16" xfId="0" applyNumberFormat="1" applyFont="1" applyFill="1" applyBorder="1"/>
    <xf numFmtId="165" fontId="0" fillId="3" borderId="0" xfId="0" applyNumberFormat="1" applyFont="1" applyFill="1" applyBorder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Лист1!$H$12:$H$16</c:f>
              <c:numCache>
                <c:formatCode>General</c:formatCode>
                <c:ptCount val="5"/>
                <c:pt idx="0">
                  <c:v>2.3650000000000002</c:v>
                </c:pt>
                <c:pt idx="1">
                  <c:v>3.5250000000000004</c:v>
                </c:pt>
                <c:pt idx="2">
                  <c:v>5.2</c:v>
                </c:pt>
                <c:pt idx="3">
                  <c:v>7.54</c:v>
                </c:pt>
                <c:pt idx="4">
                  <c:v>9.7650000000000006</c:v>
                </c:pt>
              </c:numCache>
            </c:numRef>
          </c:xVal>
          <c:yVal>
            <c:numRef>
              <c:f>Лист1!$G$12:$G$16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5F4-85FA-448E7A98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17728"/>
        <c:axId val="857967248"/>
      </c:scatterChart>
      <c:valAx>
        <c:axId val="854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967248"/>
        <c:crosses val="autoZero"/>
        <c:crossBetween val="midCat"/>
      </c:valAx>
      <c:valAx>
        <c:axId val="8579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Лист1!$J$23:$J$27</c:f>
              <c:numCache>
                <c:formatCode>General</c:formatCode>
                <c:ptCount val="5"/>
                <c:pt idx="0">
                  <c:v>1.0256410256410256E-2</c:v>
                </c:pt>
                <c:pt idx="1">
                  <c:v>2.0512820512820513E-2</c:v>
                </c:pt>
                <c:pt idx="2">
                  <c:v>3.3333333333333333E-2</c:v>
                </c:pt>
                <c:pt idx="3">
                  <c:v>4.230769230769231E-2</c:v>
                </c:pt>
                <c:pt idx="4">
                  <c:v>5.5128205128205127E-2</c:v>
                </c:pt>
              </c:numCache>
            </c:numRef>
          </c:xVal>
          <c:yVal>
            <c:numRef>
              <c:f>Лист1!$N$23:$N$27</c:f>
              <c:numCache>
                <c:formatCode>General</c:formatCode>
                <c:ptCount val="5"/>
                <c:pt idx="0">
                  <c:v>0.117283950617284</c:v>
                </c:pt>
                <c:pt idx="1">
                  <c:v>0.23488107600257099</c:v>
                </c:pt>
                <c:pt idx="2">
                  <c:v>0.30172139998729602</c:v>
                </c:pt>
                <c:pt idx="3">
                  <c:v>0.40319157966216801</c:v>
                </c:pt>
                <c:pt idx="4">
                  <c:v>0.55823245974850144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3-48BC-A1C2-5D9B5D7D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49296"/>
        <c:axId val="857980640"/>
      </c:scatterChart>
      <c:valAx>
        <c:axId val="771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980640"/>
        <c:crosses val="autoZero"/>
        <c:crossBetween val="midCat"/>
      </c:valAx>
      <c:valAx>
        <c:axId val="857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5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541295</xdr:colOff>
      <xdr:row>3</xdr:row>
      <xdr:rowOff>87556</xdr:rowOff>
    </xdr:from>
    <xdr:to>
      <xdr:col>18</xdr:col>
      <xdr:colOff>75801</xdr:colOff>
      <xdr:row>16</xdr:row>
      <xdr:rowOff>156320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72A9F8-0D61-4966-991B-B35DA1CF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251626</xdr:colOff>
      <xdr:row>45</xdr:row>
      <xdr:rowOff>41130</xdr:rowOff>
    </xdr:from>
    <xdr:to>
      <xdr:col>13</xdr:col>
      <xdr:colOff>661201</xdr:colOff>
      <xdr:row>68</xdr:row>
      <xdr:rowOff>40045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8DE6A3B-AFED-4B4E-8095-DD73D408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63"/>
  <sheetViews>
    <sheetView tabSelected="1" topLeftCell="H24" zoomScale="111" zoomScaleNormal="100" workbookViewId="0">
      <selection activeCell="J38" sqref="J38"/>
    </sheetView>
  </sheetViews>
  <sheetFormatPr defaultRowHeight="14.5" x14ac:dyDescent="0.35"/>
  <cols>
    <col min="3" max="3" width="9" bestFit="1" customWidth="1"/>
    <col min="4" max="5" width="9.26953125" bestFit="1" customWidth="1"/>
    <col min="7" max="8" width="16.7265625" customWidth="1"/>
    <col min="9" max="9" width="19.7265625" customWidth="1"/>
    <col min="10" max="13" width="15.7265625" customWidth="1"/>
    <col min="14" max="15" width="14.36328125" bestFit="1" customWidth="1"/>
    <col min="17" max="17" width="12.26953125" bestFit="1" customWidth="1"/>
  </cols>
  <sheetData>
    <row r="3" spans="1:11" s="31" customFormat="1" ht="18.5" x14ac:dyDescent="0.45">
      <c r="A3" s="31" t="s">
        <v>6</v>
      </c>
    </row>
    <row r="5" spans="1:11" x14ac:dyDescent="0.35">
      <c r="B5" s="27" t="s">
        <v>0</v>
      </c>
      <c r="C5" s="27"/>
      <c r="D5" s="27"/>
      <c r="E5" s="27"/>
      <c r="G5" s="27" t="s">
        <v>36</v>
      </c>
      <c r="H5" s="27"/>
    </row>
    <row r="6" spans="1:11" x14ac:dyDescent="0.35">
      <c r="B6" s="3" t="s">
        <v>30</v>
      </c>
      <c r="C6" s="3" t="s">
        <v>29</v>
      </c>
      <c r="D6" s="3" t="s">
        <v>8</v>
      </c>
      <c r="E6" s="3" t="s">
        <v>7</v>
      </c>
      <c r="G6" s="16" t="s">
        <v>61</v>
      </c>
      <c r="H6" s="16" t="s">
        <v>37</v>
      </c>
    </row>
    <row r="7" spans="1:11" x14ac:dyDescent="0.35">
      <c r="B7" s="9">
        <v>220</v>
      </c>
      <c r="C7" s="9">
        <v>1000</v>
      </c>
      <c r="D7" s="7">
        <v>203</v>
      </c>
      <c r="E7" s="7">
        <v>202</v>
      </c>
      <c r="G7" s="15">
        <v>5.0000000000000001E-3</v>
      </c>
      <c r="H7" s="15">
        <v>0.1</v>
      </c>
    </row>
    <row r="8" spans="1:11" x14ac:dyDescent="0.35">
      <c r="B8" s="8">
        <v>0.22</v>
      </c>
      <c r="C8" s="8">
        <v>1</v>
      </c>
    </row>
    <row r="9" spans="1:11" x14ac:dyDescent="0.35">
      <c r="B9" s="27" t="s">
        <v>4</v>
      </c>
      <c r="C9" s="27"/>
      <c r="D9" s="27"/>
      <c r="E9" s="27"/>
      <c r="F9" s="27"/>
      <c r="G9" s="27"/>
      <c r="H9" s="27"/>
    </row>
    <row r="10" spans="1:11" x14ac:dyDescent="0.35">
      <c r="B10" s="35" t="s">
        <v>1</v>
      </c>
      <c r="C10" s="32" t="s">
        <v>2</v>
      </c>
      <c r="D10" s="33"/>
      <c r="E10" s="33"/>
      <c r="F10" s="34"/>
      <c r="G10" s="32" t="s">
        <v>3</v>
      </c>
      <c r="H10" s="34"/>
    </row>
    <row r="11" spans="1:11" x14ac:dyDescent="0.35">
      <c r="B11" s="36"/>
      <c r="C11" s="2" t="s">
        <v>13</v>
      </c>
      <c r="D11" s="2" t="s">
        <v>12</v>
      </c>
      <c r="E11" s="2" t="s">
        <v>11</v>
      </c>
      <c r="F11" s="2" t="s">
        <v>10</v>
      </c>
      <c r="G11" s="2" t="s">
        <v>62</v>
      </c>
      <c r="H11" s="2" t="s">
        <v>9</v>
      </c>
    </row>
    <row r="12" spans="1:11" x14ac:dyDescent="0.35">
      <c r="B12" s="2">
        <v>1</v>
      </c>
      <c r="C12" s="5">
        <v>0.15</v>
      </c>
      <c r="D12" s="5">
        <v>0.4</v>
      </c>
      <c r="E12" s="5">
        <v>1.6</v>
      </c>
      <c r="F12" s="5">
        <v>2.7</v>
      </c>
      <c r="G12" s="24">
        <f>(D12-C12)</f>
        <v>0.25</v>
      </c>
      <c r="H12" s="4">
        <f>(F12^2-E12^2)/2</f>
        <v>2.3650000000000002</v>
      </c>
      <c r="I12">
        <f>G12*H12</f>
        <v>0.59125000000000005</v>
      </c>
      <c r="J12">
        <f>H12*H12</f>
        <v>5.5932250000000012</v>
      </c>
      <c r="K12">
        <f>(G12 - H12*$I$18)^2</f>
        <v>2.1953139517767096E-4</v>
      </c>
    </row>
    <row r="13" spans="1:11" x14ac:dyDescent="0.35">
      <c r="B13" s="2">
        <v>2</v>
      </c>
      <c r="C13" s="5">
        <v>0.15</v>
      </c>
      <c r="D13" s="5">
        <v>0.5</v>
      </c>
      <c r="E13" s="5">
        <v>1.6</v>
      </c>
      <c r="F13" s="5">
        <v>3.1</v>
      </c>
      <c r="G13" s="24">
        <f>(D13-C13)</f>
        <v>0.35</v>
      </c>
      <c r="H13" s="4">
        <f t="shared" ref="H13:H16" si="0">(F13^2-E13^2)/2</f>
        <v>3.5250000000000004</v>
      </c>
      <c r="I13">
        <f t="shared" ref="I13:I16" si="1">G13*H13</f>
        <v>1.2337500000000001</v>
      </c>
      <c r="J13">
        <f>H13*H13</f>
        <v>12.425625000000002</v>
      </c>
      <c r="K13">
        <f t="shared" ref="K13:K16" si="2">(G13 - H13*$I$18)^2</f>
        <v>2.8905449380614746E-7</v>
      </c>
    </row>
    <row r="14" spans="1:11" x14ac:dyDescent="0.35">
      <c r="B14" s="2">
        <v>3</v>
      </c>
      <c r="C14" s="5">
        <v>0.15</v>
      </c>
      <c r="D14" s="5">
        <v>0.7</v>
      </c>
      <c r="E14" s="5">
        <v>1.6</v>
      </c>
      <c r="F14" s="5">
        <v>3.6</v>
      </c>
      <c r="G14" s="24">
        <f>(D14-C14)</f>
        <v>0.54999999999999993</v>
      </c>
      <c r="H14" s="4">
        <f t="shared" si="0"/>
        <v>5.2</v>
      </c>
      <c r="I14">
        <f t="shared" si="1"/>
        <v>2.86</v>
      </c>
      <c r="J14">
        <f>H14*H14</f>
        <v>27.040000000000003</v>
      </c>
      <c r="K14">
        <f t="shared" si="2"/>
        <v>1.0820699761463482E-3</v>
      </c>
    </row>
    <row r="15" spans="1:11" x14ac:dyDescent="0.35">
      <c r="B15" s="2">
        <v>4</v>
      </c>
      <c r="C15" s="5">
        <v>0.15</v>
      </c>
      <c r="D15" s="5">
        <v>0.9</v>
      </c>
      <c r="E15" s="5">
        <v>1.6</v>
      </c>
      <c r="F15" s="5">
        <v>4.2</v>
      </c>
      <c r="G15" s="24">
        <f>(D15-C15)</f>
        <v>0.75</v>
      </c>
      <c r="H15" s="4">
        <f t="shared" si="0"/>
        <v>7.54</v>
      </c>
      <c r="I15">
        <f t="shared" si="1"/>
        <v>5.6550000000000002</v>
      </c>
      <c r="J15">
        <f t="shared" ref="J15:J16" si="3">H15*H15</f>
        <v>56.851599999999998</v>
      </c>
      <c r="K15">
        <f t="shared" si="2"/>
        <v>3.9008811455952401E-8</v>
      </c>
    </row>
    <row r="16" spans="1:11" x14ac:dyDescent="0.35">
      <c r="B16" s="2">
        <v>5</v>
      </c>
      <c r="C16" s="5">
        <v>0.15</v>
      </c>
      <c r="D16" s="5">
        <v>1.1000000000000001</v>
      </c>
      <c r="E16" s="5">
        <v>1.6</v>
      </c>
      <c r="F16" s="5">
        <v>4.7</v>
      </c>
      <c r="G16" s="24">
        <f t="shared" ref="G16" si="4">(D16-C16)</f>
        <v>0.95000000000000007</v>
      </c>
      <c r="H16" s="4">
        <f t="shared" si="0"/>
        <v>9.7650000000000006</v>
      </c>
      <c r="I16">
        <f t="shared" si="1"/>
        <v>9.2767500000000016</v>
      </c>
      <c r="J16">
        <f t="shared" si="3"/>
        <v>95.355225000000004</v>
      </c>
      <c r="K16">
        <f t="shared" si="2"/>
        <v>4.4368533083865083E-4</v>
      </c>
    </row>
    <row r="17" spans="1:17" x14ac:dyDescent="0.35">
      <c r="G17" s="6" t="s">
        <v>14</v>
      </c>
      <c r="H17" s="6" t="s">
        <v>15</v>
      </c>
      <c r="I17">
        <f>SUM(I12:I16)</f>
        <v>19.616750000000003</v>
      </c>
      <c r="J17">
        <f>SUM(J12:J16)</f>
        <v>197.26567499999999</v>
      </c>
      <c r="K17">
        <f>SUM(K12:K16)</f>
        <v>1.745614765467932E-3</v>
      </c>
    </row>
    <row r="18" spans="1:17" x14ac:dyDescent="0.35">
      <c r="H18" s="26">
        <f>AVERAGE(H12:H16)</f>
        <v>5.6790000000000003</v>
      </c>
      <c r="I18">
        <f>I17/J17</f>
        <v>9.9443301527242414E-2</v>
      </c>
      <c r="J18">
        <f>J17*4</f>
        <v>789.06269999999995</v>
      </c>
      <c r="K18">
        <f>SQRT(K17/J18)</f>
        <v>1.4873680433888923E-3</v>
      </c>
    </row>
    <row r="19" spans="1:17" s="31" customFormat="1" ht="18.5" x14ac:dyDescent="0.45">
      <c r="A19" s="31" t="s">
        <v>5</v>
      </c>
    </row>
    <row r="21" spans="1:17" x14ac:dyDescent="0.35">
      <c r="B21" s="27" t="s">
        <v>21</v>
      </c>
      <c r="C21" s="27"/>
      <c r="D21" s="27"/>
      <c r="E21" s="27"/>
      <c r="F21" s="27"/>
    </row>
    <row r="22" spans="1:17" ht="15" thickBot="1" x14ac:dyDescent="0.4">
      <c r="B22" s="2" t="s">
        <v>17</v>
      </c>
      <c r="C22" s="2" t="s">
        <v>18</v>
      </c>
      <c r="D22" s="2" t="s">
        <v>16</v>
      </c>
      <c r="E22" s="2" t="s">
        <v>19</v>
      </c>
      <c r="F22" s="2" t="s">
        <v>20</v>
      </c>
      <c r="I22" s="2" t="s">
        <v>26</v>
      </c>
      <c r="J22" s="2" t="s">
        <v>27</v>
      </c>
      <c r="K22" s="2" t="s">
        <v>19</v>
      </c>
      <c r="L22" s="2" t="s">
        <v>20</v>
      </c>
      <c r="M22" s="2" t="s">
        <v>28</v>
      </c>
    </row>
    <row r="23" spans="1:17" ht="15" thickBot="1" x14ac:dyDescent="0.4">
      <c r="B23" s="28">
        <v>194</v>
      </c>
      <c r="C23" s="28">
        <v>201</v>
      </c>
      <c r="D23" s="2">
        <v>1</v>
      </c>
      <c r="E23" s="5">
        <v>1.6</v>
      </c>
      <c r="F23" s="5">
        <v>4.7</v>
      </c>
      <c r="I23" s="2">
        <v>1</v>
      </c>
      <c r="J23" s="4">
        <f>($D$7-B23-($E$7-C23))/($C$7-$B$7)</f>
        <v>1.0256410256410256E-2</v>
      </c>
      <c r="K23" s="17" t="s">
        <v>44</v>
      </c>
      <c r="L23" s="17" t="s">
        <v>49</v>
      </c>
      <c r="M23" s="18" t="s">
        <v>60</v>
      </c>
      <c r="N23">
        <v>0.117283950617284</v>
      </c>
    </row>
    <row r="24" spans="1:17" ht="15" thickBot="1" x14ac:dyDescent="0.4">
      <c r="B24" s="29"/>
      <c r="C24" s="29"/>
      <c r="D24" s="2">
        <v>2</v>
      </c>
      <c r="E24" s="5">
        <v>1.4</v>
      </c>
      <c r="F24" s="5">
        <v>4.7</v>
      </c>
      <c r="I24" s="2">
        <v>2</v>
      </c>
      <c r="J24" s="4">
        <f>($D$7-B32-($E$7-C32))/($C$7-$B$7)</f>
        <v>2.0512820512820513E-2</v>
      </c>
      <c r="K24" s="17" t="s">
        <v>45</v>
      </c>
      <c r="L24" s="17" t="s">
        <v>50</v>
      </c>
      <c r="M24" s="18" t="s">
        <v>56</v>
      </c>
      <c r="N24">
        <v>0.23488107600257099</v>
      </c>
      <c r="P24">
        <f>(E23-I30)^2</f>
        <v>1.0000000000000018E-2</v>
      </c>
    </row>
    <row r="25" spans="1:17" ht="15" thickBot="1" x14ac:dyDescent="0.4">
      <c r="B25" s="29"/>
      <c r="C25" s="29"/>
      <c r="D25" s="2">
        <v>3</v>
      </c>
      <c r="E25" s="5">
        <v>1.7</v>
      </c>
      <c r="F25" s="5">
        <v>4.7</v>
      </c>
      <c r="I25" s="2">
        <v>3</v>
      </c>
      <c r="J25" s="4">
        <f>($D$7-B41-($E$7-C41))/($C$7-$B$7)</f>
        <v>3.3333333333333333E-2</v>
      </c>
      <c r="K25" s="17" t="s">
        <v>46</v>
      </c>
      <c r="L25" s="17" t="s">
        <v>51</v>
      </c>
      <c r="M25" s="18" t="s">
        <v>57</v>
      </c>
      <c r="N25">
        <v>0.30172139998729602</v>
      </c>
    </row>
    <row r="26" spans="1:17" ht="15" thickBot="1" x14ac:dyDescent="0.4">
      <c r="B26" s="29"/>
      <c r="C26" s="29"/>
      <c r="D26" s="2">
        <v>4</v>
      </c>
      <c r="E26" s="5">
        <v>1.4</v>
      </c>
      <c r="F26" s="5">
        <v>4.7</v>
      </c>
      <c r="I26" s="2">
        <v>4</v>
      </c>
      <c r="J26" s="4">
        <f>($D$7-B50-($E$7-C50))/($C$7-$B$7)</f>
        <v>4.230769230769231E-2</v>
      </c>
      <c r="K26" s="17" t="s">
        <v>47</v>
      </c>
      <c r="L26" s="17" t="s">
        <v>52</v>
      </c>
      <c r="M26" s="18" t="s">
        <v>58</v>
      </c>
      <c r="N26">
        <v>0.40319157966216801</v>
      </c>
    </row>
    <row r="27" spans="1:17" x14ac:dyDescent="0.35">
      <c r="B27" s="30"/>
      <c r="C27" s="30"/>
      <c r="D27" s="2">
        <v>5</v>
      </c>
      <c r="E27" s="5">
        <v>1.4</v>
      </c>
      <c r="F27" s="5">
        <v>4.7</v>
      </c>
      <c r="I27" s="2">
        <v>5</v>
      </c>
      <c r="J27" s="4">
        <f>($D$7-B59-($E$7-C59))/($C$7-$B$7)</f>
        <v>5.5128205128205127E-2</v>
      </c>
      <c r="K27" s="17" t="s">
        <v>48</v>
      </c>
      <c r="L27" s="17" t="s">
        <v>53</v>
      </c>
      <c r="M27" s="18" t="s">
        <v>59</v>
      </c>
      <c r="N27">
        <v>0.55823245974850144</v>
      </c>
    </row>
    <row r="28" spans="1:17" x14ac:dyDescent="0.35">
      <c r="J28">
        <f>AVERAGE(J23:J27)</f>
        <v>3.2307692307692301E-2</v>
      </c>
    </row>
    <row r="29" spans="1:17" ht="15" thickBot="1" x14ac:dyDescent="0.4">
      <c r="H29" s="10"/>
      <c r="I29" s="1" t="s">
        <v>38</v>
      </c>
      <c r="J29" s="11" t="s">
        <v>39</v>
      </c>
      <c r="K29" s="11" t="s">
        <v>40</v>
      </c>
      <c r="L29" s="11" t="s">
        <v>41</v>
      </c>
      <c r="M29" s="11" t="s">
        <v>42</v>
      </c>
    </row>
    <row r="30" spans="1:17" ht="15" thickBot="1" x14ac:dyDescent="0.4">
      <c r="B30" s="27" t="s">
        <v>22</v>
      </c>
      <c r="C30" s="27"/>
      <c r="D30" s="27"/>
      <c r="E30" s="27"/>
      <c r="F30" s="27"/>
      <c r="H30" s="13" t="s">
        <v>31</v>
      </c>
      <c r="I30" s="19">
        <f>AVERAGE(E23:E27)</f>
        <v>1.5</v>
      </c>
      <c r="J30" s="19">
        <f>AVERAGE(E32:E36)</f>
        <v>1.1000000000000001</v>
      </c>
      <c r="K30" s="19">
        <f>AVERAGE(E41:E45)</f>
        <v>0.9</v>
      </c>
      <c r="L30" s="19">
        <f>AVERAGE(E50:E54)</f>
        <v>0.78</v>
      </c>
      <c r="M30" s="20">
        <f>AVERAGE(E59:E63)</f>
        <v>0.7</v>
      </c>
      <c r="N30">
        <f>(J23 - $I$38)*(I36 - $J$38)</f>
        <v>4.8966230103776919E-3</v>
      </c>
      <c r="O30">
        <f>(J23 - $I$38)^2</f>
        <v>4.8625904010519375E-4</v>
      </c>
      <c r="P30">
        <f>I36 - (-0.076 + 12 * J23)</f>
        <v>4.8689205955334963E-2</v>
      </c>
      <c r="Q30">
        <f>P30^2</f>
        <v>2.3706387765610256E-3</v>
      </c>
    </row>
    <row r="31" spans="1:17" ht="15" thickBot="1" x14ac:dyDescent="0.4">
      <c r="B31" s="2" t="s">
        <v>17</v>
      </c>
      <c r="C31" s="2" t="s">
        <v>18</v>
      </c>
      <c r="D31" s="2" t="s">
        <v>16</v>
      </c>
      <c r="E31" s="2" t="s">
        <v>19</v>
      </c>
      <c r="F31" s="2" t="s">
        <v>20</v>
      </c>
      <c r="H31" s="13" t="s">
        <v>32</v>
      </c>
      <c r="I31" s="19">
        <f>AVERAGE(F23:F27)</f>
        <v>4.7</v>
      </c>
      <c r="J31" s="19">
        <f>AVERAGE(F32:F36)</f>
        <v>3.2</v>
      </c>
      <c r="K31" s="19">
        <f>AVERAGE(F41:F45)</f>
        <v>2.6</v>
      </c>
      <c r="L31" s="19">
        <f>AVERAGE(F50:F54)</f>
        <v>2.2600000000000002</v>
      </c>
      <c r="M31" s="20">
        <f>AVERAGE(F59:F63)</f>
        <v>2</v>
      </c>
      <c r="N31">
        <f>(J24 - $I$38)*(J36 - $J$38)</f>
        <v>1.2669171798819873E-3</v>
      </c>
      <c r="O31">
        <f>(J24 - $I$38)^2</f>
        <v>1.3911900065746203E-4</v>
      </c>
      <c r="P31">
        <f>J36 - (-0.076 + 12 * J24)</f>
        <v>4.0255899139620049E-2</v>
      </c>
      <c r="Q31">
        <f t="shared" ref="Q31:Q32" si="5">P31^2</f>
        <v>1.6205374155392623E-3</v>
      </c>
    </row>
    <row r="32" spans="1:17" ht="15" thickBot="1" x14ac:dyDescent="0.4">
      <c r="B32" s="28">
        <v>185</v>
      </c>
      <c r="C32" s="28">
        <v>200</v>
      </c>
      <c r="D32" s="2">
        <v>1</v>
      </c>
      <c r="E32" s="5">
        <v>1.1000000000000001</v>
      </c>
      <c r="F32" s="5">
        <v>3.2</v>
      </c>
      <c r="H32" s="12" t="s">
        <v>33</v>
      </c>
      <c r="I32" s="21">
        <f>SQRT(SUM((E23-I30)^2,(E24-I30)^2,(E25-I30)^2,(E26-I30)^2,(E27-I30)^2)/20)</f>
        <v>6.324555320336761E-2</v>
      </c>
      <c r="J32" s="21">
        <f>SQRT(SUM((E32-J30)^2,(E33-J30)^2,(E34-J30)^2,(E35-J30)^2, (E36-J30)^2)/20)</f>
        <v>0</v>
      </c>
      <c r="K32" s="21">
        <f>SQRT(SUM((E41-K30)^2,(E42-K30)^2,(E43-K30)^2,(E44-K30)^2, (E45-K30)^2)/20)</f>
        <v>0</v>
      </c>
      <c r="L32" s="21">
        <f>SQRT(SUM((E50-L30)^2,(E51-L30)^2,(E52-L30)^2,(E53-L30)^2, (E54-L30)^2)/20)</f>
        <v>2.0000000000000018E-2</v>
      </c>
      <c r="M32" s="21">
        <f>SQRT(SUM((E59-M30)^2,(E60-M30)^2,(E61-M30)^2,(E62-M30)^2, (E63-M30)^2)/20)</f>
        <v>0</v>
      </c>
      <c r="N32">
        <f>(J25 - $I$38)*(K36 - $J$38)</f>
        <v>1.5440433715251169E-6</v>
      </c>
      <c r="O32">
        <f>(J25 - $I$38) * (J25 - $I$38)</f>
        <v>1.0519395134779874E-6</v>
      </c>
      <c r="P32">
        <f>K36 - (-0.076 + 12 * J25)</f>
        <v>-4.6722689075630597E-3</v>
      </c>
      <c r="Q32">
        <f t="shared" si="5"/>
        <v>2.1830096744580506E-5</v>
      </c>
    </row>
    <row r="33" spans="2:18" ht="15" thickBot="1" x14ac:dyDescent="0.4">
      <c r="B33" s="29"/>
      <c r="C33" s="29"/>
      <c r="D33" s="2">
        <v>2</v>
      </c>
      <c r="E33" s="5">
        <v>1.1000000000000001</v>
      </c>
      <c r="F33" s="5">
        <v>3.2</v>
      </c>
      <c r="H33" s="13" t="s">
        <v>34</v>
      </c>
      <c r="I33" s="19">
        <f>SQRT((I32)^2+ (0.6 * $H$7)^2)</f>
        <v>8.717797887081348E-2</v>
      </c>
      <c r="J33" s="19">
        <f>SQRT((J32)^2+ (0.6 * $H$7)^2)</f>
        <v>0.06</v>
      </c>
      <c r="K33" s="19">
        <f>SQRT((K32)^2+ (0.6 * $H$7)^2)</f>
        <v>0.06</v>
      </c>
      <c r="L33" s="19">
        <f>SQRT((L32)^2+ (0.6 * $H$7)^2)</f>
        <v>6.3245553203367597E-2</v>
      </c>
      <c r="M33" s="20">
        <f>SQRT((M32)^2+ (0.6 * $H$7)^2)</f>
        <v>0.06</v>
      </c>
      <c r="N33">
        <f>(J26 - $I$38)*(L36 - $J$38)</f>
        <v>1.0447500849209727E-3</v>
      </c>
      <c r="O33">
        <f>(J26 - $I$38)^2</f>
        <v>1.0000000000000018E-4</v>
      </c>
      <c r="P33">
        <f>L36 - (-0.076 + 12 * J26)</f>
        <v>-9.3950103950105057E-3</v>
      </c>
      <c r="Q33">
        <f>P33^2</f>
        <v>8.8266220322355464E-5</v>
      </c>
    </row>
    <row r="34" spans="2:18" ht="15" thickBot="1" x14ac:dyDescent="0.4">
      <c r="B34" s="29"/>
      <c r="C34" s="29"/>
      <c r="D34" s="2">
        <v>3</v>
      </c>
      <c r="E34" s="5">
        <v>1.1000000000000001</v>
      </c>
      <c r="F34" s="5">
        <v>3.2</v>
      </c>
      <c r="H34" s="12" t="s">
        <v>35</v>
      </c>
      <c r="I34" s="21">
        <f>SQRT(SUM((F23-I31)^2,(F24-I31)^2,(F25-I31)^2,(F26-I31)^2, (F27-I31)^2)/20)</f>
        <v>0</v>
      </c>
      <c r="J34" s="21">
        <f>SQRT(SUM((F32-J31)^2,(F33-J31)^2,(F34-J31)^2,(F35-J31)^2, (F36-J31)^2)/20)</f>
        <v>0</v>
      </c>
      <c r="K34" s="21">
        <f>SQRT(SUM((F41-K31)^2,(F42-K31)^2,(F43-K31)^2,(F44-K31)^2, (F45-K31)^2)/20)</f>
        <v>0</v>
      </c>
      <c r="L34" s="21">
        <f>SQRT(SUM((F50-L31)^2,(F51-L31)^2,(F52-L31)^2,(F53-L31)^2, (F54-L31)^2)/20)</f>
        <v>2.4494897427831695E-2</v>
      </c>
      <c r="M34" s="21">
        <f>SQRT(SUM((F59-M31)^2,(F60-M31)^2,(F61-M31)^2,(F62-M31)^2, (F63-M31)^2)/20)</f>
        <v>0</v>
      </c>
      <c r="N34">
        <f>(J27 - $I$38)*(M36 - $J$38)</f>
        <v>5.1001165315321508E-3</v>
      </c>
      <c r="O34">
        <f>(J27 - $I$38)^2</f>
        <v>5.2077580539119028E-4</v>
      </c>
      <c r="P34">
        <f>M36 - (-0.076 + 12 * J27)</f>
        <v>-4.4227920227920214E-2</v>
      </c>
      <c r="Q34">
        <f>P34^2</f>
        <v>1.956108927687274E-3</v>
      </c>
    </row>
    <row r="35" spans="2:18" ht="15" thickBot="1" x14ac:dyDescent="0.4">
      <c r="B35" s="29"/>
      <c r="C35" s="29"/>
      <c r="D35" s="2">
        <v>4</v>
      </c>
      <c r="E35" s="5">
        <v>1.1000000000000001</v>
      </c>
      <c r="F35" s="5">
        <v>3.2</v>
      </c>
      <c r="H35" s="14" t="s">
        <v>43</v>
      </c>
      <c r="I35" s="22">
        <f>SQRT((I34)^2+ (0.6 * $H$7)^2)</f>
        <v>0.06</v>
      </c>
      <c r="J35" s="22">
        <f>SQRT((J34)^2+ (0.6 * $H$7)^2)</f>
        <v>0.06</v>
      </c>
      <c r="K35" s="22">
        <f>SQRT((K34)^2+ (0.6 * $H$7)^2)</f>
        <v>0.06</v>
      </c>
      <c r="L35" s="22">
        <f>SQRT((L34)^2+ (0.6 * $H$7)^2)</f>
        <v>6.4807406984078567E-2</v>
      </c>
      <c r="M35" s="23">
        <f>SQRT((M34)^2+ (0.6 * $H$7)^2)</f>
        <v>0.06</v>
      </c>
      <c r="N35" s="37">
        <f>SUM(N30:N34)</f>
        <v>1.2309950850084328E-2</v>
      </c>
      <c r="O35" s="38">
        <f>SUM(O30:O34)</f>
        <v>1.2472057856673241E-3</v>
      </c>
      <c r="P35">
        <f>SUM(Q30:Q34)</f>
        <v>6.0573814368544985E-3</v>
      </c>
    </row>
    <row r="36" spans="2:18" ht="15" thickBot="1" x14ac:dyDescent="0.4">
      <c r="B36" s="30"/>
      <c r="C36" s="30"/>
      <c r="D36" s="2">
        <v>5</v>
      </c>
      <c r="E36" s="5">
        <v>1.1000000000000001</v>
      </c>
      <c r="F36" s="5">
        <v>3.2</v>
      </c>
      <c r="H36" s="13" t="s">
        <v>54</v>
      </c>
      <c r="I36" s="19">
        <f>2*($D$16-$C$16)/(I31^2-I30^2)</f>
        <v>9.5766129032258049E-2</v>
      </c>
      <c r="J36" s="19">
        <f>2*($D$16-$C$16)/(J31^2-J30^2)</f>
        <v>0.2104097452934662</v>
      </c>
      <c r="K36" s="19">
        <f>2*($D$16-$C$16)/(K31^2-K30^2)</f>
        <v>0.31932773109243695</v>
      </c>
      <c r="L36" s="19">
        <f t="shared" ref="L36:M36" si="6">2*($D$16-$C$16)/(L31^2-L30^2)</f>
        <v>0.42229729729729715</v>
      </c>
      <c r="M36" s="19">
        <f t="shared" si="6"/>
        <v>0.54131054131054135</v>
      </c>
      <c r="N36" s="25">
        <f>AVERAGE(I36:M36)</f>
        <v>0.31782228880519997</v>
      </c>
    </row>
    <row r="37" spans="2:18" ht="15" thickBot="1" x14ac:dyDescent="0.4">
      <c r="H37" s="13" t="s">
        <v>55</v>
      </c>
      <c r="I37" s="19">
        <f>I36*SQRT(($G$7^2+$G$7^2)/($D$16-$C$16)^2+(4*((I30*I33)^2+(I31*I35)^2)/(I31^2-I30^2)^2))</f>
        <v>3.0843369969826015E-3</v>
      </c>
      <c r="J37" s="19">
        <f t="shared" ref="J37:M37" si="7">J36*SQRT(($G$7^2+$G$7^2)/($D$16-$C$16)^2+(4*((J30*J33)^2+(J31*J35)^2)/(J31^2-J30^2)^2))</f>
        <v>9.5902869185674217E-3</v>
      </c>
      <c r="K37" s="19">
        <f>K36*SQRT(($G$7^2+$G$7^2)/($D$16-$C$16)^2+(4*((K30*K33)^2+(K31*K35)^2)/(K31^2-K30^2)^2))</f>
        <v>1.7878093528757605E-2</v>
      </c>
      <c r="L37" s="19">
        <f t="shared" si="7"/>
        <v>2.918195655370083E-2</v>
      </c>
      <c r="M37" s="19">
        <f t="shared" si="7"/>
        <v>3.942068145458618E-2</v>
      </c>
    </row>
    <row r="38" spans="2:18" x14ac:dyDescent="0.35">
      <c r="I38">
        <f>AVERAGE(J23:J27)</f>
        <v>3.2307692307692301E-2</v>
      </c>
      <c r="J38" s="25">
        <f>AVERAGE(I36:M36)</f>
        <v>0.31782228880519997</v>
      </c>
      <c r="P38" t="s">
        <v>63</v>
      </c>
      <c r="Q38">
        <f>N36 - J28*Q39</f>
        <v>-1.0554048021504947E-3</v>
      </c>
    </row>
    <row r="39" spans="2:18" x14ac:dyDescent="0.35">
      <c r="B39" s="27" t="s">
        <v>23</v>
      </c>
      <c r="C39" s="27"/>
      <c r="D39" s="27"/>
      <c r="E39" s="27"/>
      <c r="F39" s="27"/>
      <c r="P39" t="s">
        <v>64</v>
      </c>
      <c r="Q39">
        <f>N35/O35</f>
        <v>9.8700238497513251</v>
      </c>
    </row>
    <row r="40" spans="2:18" x14ac:dyDescent="0.35">
      <c r="B40" s="2" t="s">
        <v>17</v>
      </c>
      <c r="C40" s="2" t="s">
        <v>18</v>
      </c>
      <c r="D40" s="2" t="s">
        <v>16</v>
      </c>
      <c r="E40" s="2" t="s">
        <v>19</v>
      </c>
      <c r="F40" s="2" t="s">
        <v>20</v>
      </c>
      <c r="P40" t="s">
        <v>65</v>
      </c>
      <c r="Q40" t="s">
        <v>66</v>
      </c>
    </row>
    <row r="41" spans="2:18" x14ac:dyDescent="0.35">
      <c r="B41" s="28">
        <v>175</v>
      </c>
      <c r="C41" s="28">
        <v>200</v>
      </c>
      <c r="D41" s="2">
        <v>1</v>
      </c>
      <c r="E41" s="5">
        <v>0.9</v>
      </c>
      <c r="F41" s="5">
        <v>2.6</v>
      </c>
      <c r="P41">
        <f>I36 - ($Q$38 + $Q$39*J23)</f>
        <v>-4.4094800091947911E-3</v>
      </c>
      <c r="Q41" s="39">
        <f>P41^2</f>
        <v>1.9443513951488495E-5</v>
      </c>
    </row>
    <row r="42" spans="2:18" x14ac:dyDescent="0.35">
      <c r="B42" s="29"/>
      <c r="C42" s="29"/>
      <c r="D42" s="2">
        <v>2</v>
      </c>
      <c r="E42" s="5">
        <v>0.9</v>
      </c>
      <c r="F42" s="5">
        <v>2.6</v>
      </c>
      <c r="P42">
        <f>J36 - ($Q$38 + $Q$39*J24)</f>
        <v>9.0031224084100303E-3</v>
      </c>
      <c r="Q42" s="39">
        <f t="shared" ref="Q42:Q45" si="8">P42^2</f>
        <v>8.1056213100814831E-5</v>
      </c>
    </row>
    <row r="43" spans="2:18" x14ac:dyDescent="0.35">
      <c r="B43" s="29"/>
      <c r="C43" s="29"/>
      <c r="D43" s="2">
        <v>3</v>
      </c>
      <c r="E43" s="5">
        <v>0.9</v>
      </c>
      <c r="F43" s="5">
        <v>2.6</v>
      </c>
      <c r="P43">
        <f>K36 - ($Q$38 + $Q$39*J25)</f>
        <v>-8.6176590971233646E-3</v>
      </c>
      <c r="Q43" s="39">
        <f t="shared" si="8"/>
        <v>7.4264048314233086E-5</v>
      </c>
    </row>
    <row r="44" spans="2:18" x14ac:dyDescent="0.35">
      <c r="B44" s="29"/>
      <c r="C44" s="29"/>
      <c r="D44" s="2">
        <v>4</v>
      </c>
      <c r="E44" s="5">
        <v>0.9</v>
      </c>
      <c r="F44" s="5">
        <v>2.6</v>
      </c>
      <c r="P44">
        <f>L36 - ($Q$38 + $Q$39*J26)</f>
        <v>5.7747699945838726E-3</v>
      </c>
      <c r="Q44" s="39">
        <f t="shared" si="8"/>
        <v>3.334796849034622E-5</v>
      </c>
    </row>
    <row r="45" spans="2:18" x14ac:dyDescent="0.35">
      <c r="B45" s="30"/>
      <c r="C45" s="30"/>
      <c r="D45" s="2">
        <v>5</v>
      </c>
      <c r="E45" s="5">
        <v>0.9</v>
      </c>
      <c r="F45" s="5">
        <v>2.6</v>
      </c>
      <c r="P45">
        <f>M36 - ($Q$38 + $Q$39*J27)</f>
        <v>-1.7507532966760664E-3</v>
      </c>
      <c r="Q45" s="39">
        <f t="shared" si="8"/>
        <v>3.0651371058221144E-6</v>
      </c>
    </row>
    <row r="46" spans="2:18" x14ac:dyDescent="0.35">
      <c r="Q46" s="39">
        <f>SUM(Q41:Q45)</f>
        <v>2.1117688096270476E-4</v>
      </c>
      <c r="R46">
        <f>O35*3</f>
        <v>3.7416173570019723E-3</v>
      </c>
    </row>
    <row r="47" spans="2:18" x14ac:dyDescent="0.35">
      <c r="Q47" t="s">
        <v>67</v>
      </c>
      <c r="R47">
        <f>Q46/R46</f>
        <v>5.6439999287343869E-2</v>
      </c>
    </row>
    <row r="48" spans="2:18" x14ac:dyDescent="0.35">
      <c r="B48" s="27" t="s">
        <v>24</v>
      </c>
      <c r="C48" s="27"/>
      <c r="D48" s="27"/>
      <c r="E48" s="27"/>
      <c r="F48" s="27"/>
      <c r="Q48" t="s">
        <v>68</v>
      </c>
      <c r="R48">
        <f>R47*4.3</f>
        <v>0.24269199693557864</v>
      </c>
    </row>
    <row r="49" spans="2:18" x14ac:dyDescent="0.35">
      <c r="B49" s="2" t="s">
        <v>17</v>
      </c>
      <c r="C49" s="2" t="s">
        <v>18</v>
      </c>
      <c r="D49" s="2" t="s">
        <v>16</v>
      </c>
      <c r="E49" s="2" t="s">
        <v>19</v>
      </c>
      <c r="F49" s="2" t="s">
        <v>20</v>
      </c>
      <c r="Q49" t="s">
        <v>69</v>
      </c>
      <c r="R49">
        <f>R48/Q39</f>
        <v>2.4588795389961823E-2</v>
      </c>
    </row>
    <row r="50" spans="2:18" x14ac:dyDescent="0.35">
      <c r="B50" s="28">
        <v>167</v>
      </c>
      <c r="C50" s="28">
        <v>199</v>
      </c>
      <c r="D50" s="2">
        <v>1</v>
      </c>
      <c r="E50" s="5">
        <v>0.8</v>
      </c>
      <c r="F50" s="5">
        <v>2.2999999999999998</v>
      </c>
    </row>
    <row r="51" spans="2:18" x14ac:dyDescent="0.35">
      <c r="B51" s="29"/>
      <c r="C51" s="29"/>
      <c r="D51" s="2">
        <v>2</v>
      </c>
      <c r="E51" s="5">
        <v>0.8</v>
      </c>
      <c r="F51" s="5">
        <v>2.2999999999999998</v>
      </c>
    </row>
    <row r="52" spans="2:18" x14ac:dyDescent="0.35">
      <c r="B52" s="29"/>
      <c r="C52" s="29"/>
      <c r="D52" s="2">
        <v>3</v>
      </c>
      <c r="E52" s="5">
        <v>0.8</v>
      </c>
      <c r="F52" s="5">
        <v>2.2999999999999998</v>
      </c>
    </row>
    <row r="53" spans="2:18" x14ac:dyDescent="0.35">
      <c r="B53" s="29"/>
      <c r="C53" s="29"/>
      <c r="D53" s="2">
        <v>4</v>
      </c>
      <c r="E53" s="5">
        <v>0.8</v>
      </c>
      <c r="F53" s="5">
        <v>2.2000000000000002</v>
      </c>
    </row>
    <row r="54" spans="2:18" x14ac:dyDescent="0.35">
      <c r="B54" s="30"/>
      <c r="C54" s="30"/>
      <c r="D54" s="2">
        <v>5</v>
      </c>
      <c r="E54" s="5">
        <v>0.7</v>
      </c>
      <c r="F54" s="5">
        <v>2.2000000000000002</v>
      </c>
    </row>
    <row r="57" spans="2:18" x14ac:dyDescent="0.35">
      <c r="B57" s="27" t="s">
        <v>25</v>
      </c>
      <c r="C57" s="27"/>
      <c r="D57" s="27"/>
      <c r="E57" s="27"/>
      <c r="F57" s="27"/>
    </row>
    <row r="58" spans="2:18" x14ac:dyDescent="0.35">
      <c r="B58" s="2" t="s">
        <v>17</v>
      </c>
      <c r="C58" s="2" t="s">
        <v>18</v>
      </c>
      <c r="D58" s="2" t="s">
        <v>16</v>
      </c>
      <c r="E58" s="2" t="s">
        <v>19</v>
      </c>
      <c r="F58" s="2" t="s">
        <v>20</v>
      </c>
    </row>
    <row r="59" spans="2:18" x14ac:dyDescent="0.35">
      <c r="B59" s="28">
        <v>157</v>
      </c>
      <c r="C59" s="28">
        <v>199</v>
      </c>
      <c r="D59" s="2">
        <v>1</v>
      </c>
      <c r="E59" s="5">
        <v>0.7</v>
      </c>
      <c r="F59" s="5">
        <v>2</v>
      </c>
    </row>
    <row r="60" spans="2:18" x14ac:dyDescent="0.35">
      <c r="B60" s="29"/>
      <c r="C60" s="29"/>
      <c r="D60" s="2">
        <v>2</v>
      </c>
      <c r="E60" s="5">
        <v>0.7</v>
      </c>
      <c r="F60" s="5">
        <v>2</v>
      </c>
    </row>
    <row r="61" spans="2:18" x14ac:dyDescent="0.35">
      <c r="B61" s="29"/>
      <c r="C61" s="29"/>
      <c r="D61" s="2">
        <v>3</v>
      </c>
      <c r="E61" s="5">
        <v>0.7</v>
      </c>
      <c r="F61" s="5">
        <v>2</v>
      </c>
    </row>
    <row r="62" spans="2:18" x14ac:dyDescent="0.35">
      <c r="B62" s="29"/>
      <c r="C62" s="29"/>
      <c r="D62" s="2">
        <v>4</v>
      </c>
      <c r="E62" s="5">
        <v>0.7</v>
      </c>
      <c r="F62" s="5">
        <v>2</v>
      </c>
    </row>
    <row r="63" spans="2:18" x14ac:dyDescent="0.35">
      <c r="B63" s="30"/>
      <c r="C63" s="30"/>
      <c r="D63" s="2">
        <v>5</v>
      </c>
      <c r="E63" s="5">
        <v>0.7</v>
      </c>
      <c r="F63" s="5">
        <v>2</v>
      </c>
    </row>
  </sheetData>
  <mergeCells count="23">
    <mergeCell ref="A3:XFD3"/>
    <mergeCell ref="G5:H5"/>
    <mergeCell ref="C10:F10"/>
    <mergeCell ref="G10:H10"/>
    <mergeCell ref="B10:B11"/>
    <mergeCell ref="B5:E5"/>
    <mergeCell ref="B9:H9"/>
    <mergeCell ref="B30:F30"/>
    <mergeCell ref="B32:B36"/>
    <mergeCell ref="C32:C36"/>
    <mergeCell ref="A19:XFD19"/>
    <mergeCell ref="B23:B27"/>
    <mergeCell ref="C23:C27"/>
    <mergeCell ref="B21:F21"/>
    <mergeCell ref="B57:F57"/>
    <mergeCell ref="B59:B63"/>
    <mergeCell ref="C59:C63"/>
    <mergeCell ref="B39:F39"/>
    <mergeCell ref="B41:B45"/>
    <mergeCell ref="C41:C45"/>
    <mergeCell ref="B48:F48"/>
    <mergeCell ref="B50:B54"/>
    <mergeCell ref="C50:C54"/>
  </mergeCells>
  <pageMargins left="0.7" right="0.7" top="0.75" bottom="0.75" header="0.3" footer="0.3"/>
  <pageSetup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Zavodov</dc:creator>
  <cp:lastModifiedBy>Бахаруев Павел</cp:lastModifiedBy>
  <dcterms:created xsi:type="dcterms:W3CDTF">2017-04-12T15:00:28Z</dcterms:created>
  <dcterms:modified xsi:type="dcterms:W3CDTF">2019-12-24T12:13:00Z</dcterms:modified>
</cp:coreProperties>
</file>