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pavel\Desktop\ИТМО\физон\обербек\"/>
    </mc:Choice>
  </mc:AlternateContent>
  <xr:revisionPtr revIDLastSave="0" documentId="13_ncr:1_{44DAE63F-D84F-4FBB-A432-96E0C49B753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ускорения и моменты" sheetId="1" r:id="rId1"/>
    <sheet name="МНК для I и Mтр" sheetId="2" r:id="rId2"/>
    <sheet name="I(R^2) и МНК по I0 и mут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" i="1" l="1"/>
  <c r="M10" i="1"/>
  <c r="M9" i="1"/>
  <c r="J22" i="1" l="1"/>
  <c r="J23" i="1" s="1"/>
  <c r="L23" i="1"/>
  <c r="H22" i="1"/>
  <c r="J6" i="1" l="1"/>
  <c r="J5" i="1"/>
  <c r="J4" i="1"/>
  <c r="J3" i="1"/>
  <c r="C18" i="1" l="1"/>
  <c r="C6" i="1" l="1"/>
  <c r="N4" i="1" s="1"/>
  <c r="N5" i="1" s="1"/>
  <c r="E8" i="3"/>
  <c r="D8" i="3" s="1"/>
  <c r="E7" i="3"/>
  <c r="D7" i="3"/>
  <c r="E6" i="3"/>
  <c r="D6" i="3" s="1"/>
  <c r="E5" i="3"/>
  <c r="D5" i="3" s="1"/>
  <c r="E4" i="3"/>
  <c r="D4" i="3"/>
  <c r="E3" i="3"/>
  <c r="D3" i="3" s="1"/>
  <c r="G18" i="1"/>
  <c r="R16" i="1" s="1"/>
  <c r="F18" i="1"/>
  <c r="Q16" i="1" s="1"/>
  <c r="Q17" i="1" s="1"/>
  <c r="E18" i="1"/>
  <c r="P16" i="1" s="1"/>
  <c r="P17" i="1" s="1"/>
  <c r="D18" i="1"/>
  <c r="O16" i="1" s="1"/>
  <c r="O17" i="1" s="1"/>
  <c r="N16" i="1"/>
  <c r="B18" i="1"/>
  <c r="M16" i="1" s="1"/>
  <c r="M17" i="1" s="1"/>
  <c r="G14" i="1"/>
  <c r="R12" i="1" s="1"/>
  <c r="R13" i="1" s="1"/>
  <c r="F14" i="1"/>
  <c r="Q12" i="1" s="1"/>
  <c r="Q13" i="1" s="1"/>
  <c r="E14" i="1"/>
  <c r="P12" i="1" s="1"/>
  <c r="P13" i="1" s="1"/>
  <c r="D14" i="1"/>
  <c r="O12" i="1" s="1"/>
  <c r="C14" i="1"/>
  <c r="N12" i="1" s="1"/>
  <c r="N13" i="1" s="1"/>
  <c r="B14" i="1"/>
  <c r="M12" i="1" s="1"/>
  <c r="M13" i="1" s="1"/>
  <c r="G10" i="1"/>
  <c r="R8" i="1" s="1"/>
  <c r="R9" i="1" s="1"/>
  <c r="F10" i="1"/>
  <c r="Q8" i="1" s="1"/>
  <c r="Q9" i="1" s="1"/>
  <c r="E10" i="1"/>
  <c r="P8" i="1" s="1"/>
  <c r="D10" i="1"/>
  <c r="O8" i="1" s="1"/>
  <c r="O9" i="1" s="1"/>
  <c r="C10" i="1"/>
  <c r="N8" i="1" s="1"/>
  <c r="N9" i="1" s="1"/>
  <c r="B10" i="1"/>
  <c r="M8" i="1" s="1"/>
  <c r="J9" i="1"/>
  <c r="G6" i="1"/>
  <c r="R4" i="1" s="1"/>
  <c r="R5" i="1" s="1"/>
  <c r="F6" i="1"/>
  <c r="Q4" i="1" s="1"/>
  <c r="Q5" i="1" s="1"/>
  <c r="E6" i="1"/>
  <c r="P4" i="1" s="1"/>
  <c r="P5" i="1" s="1"/>
  <c r="D6" i="1"/>
  <c r="O4" i="1" s="1"/>
  <c r="O5" i="1" s="1"/>
  <c r="B6" i="1"/>
  <c r="A3" i="1"/>
  <c r="R17" i="1" l="1"/>
  <c r="P6" i="1"/>
  <c r="M4" i="1"/>
  <c r="M5" i="1" s="1"/>
  <c r="G4" i="2"/>
  <c r="G11" i="2" s="1"/>
  <c r="C18" i="3"/>
  <c r="D12" i="3"/>
  <c r="C4" i="2"/>
  <c r="C15" i="2" s="1"/>
  <c r="E4" i="2"/>
  <c r="E7" i="2" s="1"/>
  <c r="M6" i="1"/>
  <c r="Q6" i="1"/>
  <c r="N6" i="1"/>
  <c r="R6" i="1"/>
  <c r="P9" i="1"/>
  <c r="F4" i="2" s="1"/>
  <c r="F15" i="2" s="1"/>
  <c r="O13" i="1"/>
  <c r="N17" i="1"/>
  <c r="O6" i="1"/>
  <c r="A7" i="1"/>
  <c r="D4" i="2"/>
  <c r="D7" i="2" s="1"/>
  <c r="H4" i="2"/>
  <c r="H7" i="2" s="1"/>
  <c r="H11" i="2" l="1"/>
  <c r="H19" i="2"/>
  <c r="G15" i="2"/>
  <c r="G7" i="2"/>
  <c r="G19" i="2"/>
  <c r="C7" i="2"/>
  <c r="H23" i="1"/>
  <c r="D19" i="2"/>
  <c r="E15" i="2"/>
  <c r="D11" i="2"/>
  <c r="D15" i="2"/>
  <c r="F19" i="2"/>
  <c r="F7" i="2"/>
  <c r="E19" i="2"/>
  <c r="R10" i="1"/>
  <c r="N10" i="1"/>
  <c r="Q10" i="1"/>
  <c r="P10" i="1"/>
  <c r="A11" i="1"/>
  <c r="O10" i="1"/>
  <c r="F11" i="2"/>
  <c r="H15" i="2"/>
  <c r="C11" i="2"/>
  <c r="C19" i="2"/>
  <c r="E11" i="2"/>
  <c r="I22" i="1" l="1"/>
  <c r="I23" i="1" s="1"/>
  <c r="K23" i="1"/>
  <c r="Q14" i="1"/>
  <c r="P14" i="1"/>
  <c r="A15" i="1"/>
  <c r="O14" i="1"/>
  <c r="R14" i="1"/>
  <c r="N14" i="1"/>
  <c r="P18" i="1" l="1"/>
  <c r="F5" i="2" s="1"/>
  <c r="F16" i="2" s="1"/>
  <c r="F17" i="2" s="1"/>
  <c r="O18" i="1"/>
  <c r="E5" i="2" s="1"/>
  <c r="R18" i="1"/>
  <c r="N18" i="1"/>
  <c r="D5" i="2" s="1"/>
  <c r="Q18" i="1"/>
  <c r="M18" i="1"/>
  <c r="F8" i="2" l="1"/>
  <c r="F9" i="2" s="1"/>
  <c r="F12" i="2"/>
  <c r="F13" i="2" s="1"/>
  <c r="E8" i="2"/>
  <c r="E9" i="2" s="1"/>
  <c r="E12" i="2"/>
  <c r="E13" i="2" s="1"/>
  <c r="E20" i="2"/>
  <c r="E21" i="2" s="1"/>
  <c r="E16" i="2"/>
  <c r="E17" i="2" s="1"/>
  <c r="D8" i="2"/>
  <c r="D9" i="2" s="1"/>
  <c r="D12" i="2"/>
  <c r="D13" i="2" s="1"/>
  <c r="F20" i="2"/>
  <c r="F21" i="2" s="1"/>
  <c r="G5" i="2"/>
  <c r="C5" i="2"/>
  <c r="C20" i="2" s="1"/>
  <c r="C21" i="2" s="1"/>
  <c r="D16" i="2"/>
  <c r="D17" i="2" s="1"/>
  <c r="D20" i="2"/>
  <c r="D21" i="2" s="1"/>
  <c r="H5" i="2"/>
  <c r="H8" i="2" l="1"/>
  <c r="H9" i="2" s="1"/>
  <c r="H12" i="2"/>
  <c r="H13" i="2" s="1"/>
  <c r="H16" i="2"/>
  <c r="H17" i="2" s="1"/>
  <c r="G8" i="2"/>
  <c r="G9" i="2" s="1"/>
  <c r="G12" i="2"/>
  <c r="G13" i="2" s="1"/>
  <c r="G16" i="2"/>
  <c r="G17" i="2" s="1"/>
  <c r="D24" i="2"/>
  <c r="F24" i="2"/>
  <c r="E24" i="2"/>
  <c r="G20" i="2"/>
  <c r="G21" i="2" s="1"/>
  <c r="C8" i="2"/>
  <c r="C9" i="2" s="1"/>
  <c r="C12" i="2"/>
  <c r="C13" i="2" s="1"/>
  <c r="C16" i="2"/>
  <c r="C17" i="2" s="1"/>
  <c r="H20" i="2"/>
  <c r="H21" i="2" s="1"/>
  <c r="C5" i="3" l="1"/>
  <c r="E25" i="2"/>
  <c r="C6" i="3"/>
  <c r="F25" i="2"/>
  <c r="G24" i="2"/>
  <c r="H24" i="2"/>
  <c r="C24" i="2"/>
  <c r="C4" i="3"/>
  <c r="D25" i="2"/>
  <c r="C8" i="3" l="1"/>
  <c r="H25" i="2"/>
  <c r="C3" i="3"/>
  <c r="C25" i="2"/>
  <c r="C7" i="3"/>
  <c r="G25" i="2"/>
  <c r="C12" i="3" l="1"/>
  <c r="F7" i="3" s="1"/>
  <c r="F4" i="3" l="1"/>
  <c r="F5" i="3"/>
  <c r="F6" i="3"/>
  <c r="F3" i="3"/>
  <c r="F8" i="3"/>
  <c r="C15" i="3" l="1"/>
  <c r="G15" i="3" l="1"/>
  <c r="C16" i="3"/>
  <c r="G4" i="3" l="1"/>
  <c r="G6" i="3"/>
  <c r="G5" i="3"/>
  <c r="G8" i="3"/>
  <c r="G3" i="3"/>
  <c r="G7" i="3"/>
  <c r="D16" i="3" l="1"/>
  <c r="E16" i="3" s="1"/>
  <c r="H16" i="3" s="1"/>
  <c r="D15" i="3"/>
  <c r="E15" i="3" s="1"/>
  <c r="H15" i="3" s="1"/>
</calcChain>
</file>

<file path=xl/sharedStrings.xml><?xml version="1.0" encoding="utf-8"?>
<sst xmlns="http://schemas.openxmlformats.org/spreadsheetml/2006/main" count="60" uniqueCount="37">
  <si>
    <t>масса груза, кг</t>
  </si>
  <si>
    <t>риска</t>
  </si>
  <si>
    <t>средние значения</t>
  </si>
  <si>
    <t>Положение утяжелителей, риска</t>
  </si>
  <si>
    <t>I</t>
  </si>
  <si>
    <t>R^2</t>
  </si>
  <si>
    <t>R</t>
  </si>
  <si>
    <t>d</t>
  </si>
  <si>
    <t>риски</t>
  </si>
  <si>
    <t>угловое</t>
  </si>
  <si>
    <t>дельта t1</t>
  </si>
  <si>
    <t>СКО</t>
  </si>
  <si>
    <t>момент</t>
  </si>
  <si>
    <t>дов интервал</t>
  </si>
  <si>
    <t>ai</t>
  </si>
  <si>
    <t>угл-сред</t>
  </si>
  <si>
    <t xml:space="preserve">абсолютная </t>
  </si>
  <si>
    <t>момент-сред</t>
  </si>
  <si>
    <t xml:space="preserve">средние величины
</t>
  </si>
  <si>
    <t>углвовоеi</t>
  </si>
  <si>
    <t>дельта</t>
  </si>
  <si>
    <t>4mут</t>
  </si>
  <si>
    <t>относительная</t>
  </si>
  <si>
    <t>умножить</t>
  </si>
  <si>
    <t>моментi</t>
  </si>
  <si>
    <t>I0</t>
  </si>
  <si>
    <t>D</t>
  </si>
  <si>
    <t>h, м</t>
  </si>
  <si>
    <t>d, м</t>
  </si>
  <si>
    <t xml:space="preserve">Mтр
</t>
  </si>
  <si>
    <t>погрешности первых значений</t>
  </si>
  <si>
    <t xml:space="preserve">
</t>
  </si>
  <si>
    <t xml:space="preserve">a
</t>
  </si>
  <si>
    <t>М</t>
  </si>
  <si>
    <t>g-a</t>
  </si>
  <si>
    <t xml:space="preserve">относ
</t>
  </si>
  <si>
    <t>абсолют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</si>
</sst>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5" xfId="0" applyFont="1" applyBorder="1" applyAlignment="1"/>
    <xf numFmtId="0" fontId="1" fillId="0" borderId="7" xfId="0" applyFont="1" applyBorder="1"/>
    <xf numFmtId="0" fontId="1" fillId="0" borderId="7" xfId="0" applyFont="1" applyBorder="1" applyAlignment="1"/>
    <xf numFmtId="164" fontId="1" fillId="0" borderId="5" xfId="0" applyNumberFormat="1" applyFont="1" applyBorder="1"/>
    <xf numFmtId="0" fontId="1" fillId="0" borderId="5" xfId="0" applyFont="1" applyBorder="1"/>
    <xf numFmtId="0" fontId="1" fillId="0" borderId="0" xfId="0" applyFont="1"/>
    <xf numFmtId="0" fontId="1" fillId="0" borderId="9" xfId="0" applyFont="1" applyBorder="1" applyAlignme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/>
    <xf numFmtId="0" fontId="1" fillId="0" borderId="0" xfId="0" applyFont="1" applyAlignment="1"/>
    <xf numFmtId="0" fontId="1" fillId="0" borderId="15" xfId="0" applyFont="1" applyBorder="1"/>
    <xf numFmtId="10" fontId="1" fillId="0" borderId="7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0" fontId="1" fillId="0" borderId="0" xfId="0" applyNumberFormat="1" applyFont="1"/>
    <xf numFmtId="0" fontId="1" fillId="0" borderId="18" xfId="0" applyFont="1" applyBorder="1" applyAlignment="1"/>
    <xf numFmtId="0" fontId="1" fillId="0" borderId="19" xfId="0" applyFont="1" applyBorder="1"/>
    <xf numFmtId="0" fontId="1" fillId="0" borderId="20" xfId="0" applyFont="1" applyBorder="1"/>
    <xf numFmtId="2" fontId="1" fillId="0" borderId="5" xfId="0" applyNumberFormat="1" applyFont="1" applyBorder="1"/>
    <xf numFmtId="1" fontId="1" fillId="0" borderId="7" xfId="0" applyNumberFormat="1" applyFont="1" applyBorder="1" applyAlignment="1"/>
    <xf numFmtId="2" fontId="0" fillId="2" borderId="21" xfId="0" applyNumberFormat="1" applyFill="1" applyBorder="1"/>
    <xf numFmtId="2" fontId="0" fillId="2" borderId="22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29" xfId="0" applyNumberFormat="1" applyFill="1" applyBorder="1"/>
    <xf numFmtId="0" fontId="1" fillId="0" borderId="1" xfId="0" applyFont="1" applyBorder="1"/>
    <xf numFmtId="0" fontId="2" fillId="0" borderId="8" xfId="0" applyFont="1" applyBorder="1"/>
    <xf numFmtId="0" fontId="2" fillId="0" borderId="6" xfId="0" applyFont="1" applyBorder="1"/>
    <xf numFmtId="0" fontId="1" fillId="0" borderId="2" xfId="0" applyFont="1" applyBorder="1" applyAlignment="1"/>
    <xf numFmtId="0" fontId="2" fillId="0" borderId="4" xfId="0" applyFont="1" applyBorder="1"/>
    <xf numFmtId="0" fontId="2" fillId="0" borderId="3" xfId="0" applyFont="1" applyBorder="1"/>
    <xf numFmtId="0" fontId="1" fillId="0" borderId="1" xfId="0" applyFont="1" applyBorder="1" applyAlignment="1"/>
    <xf numFmtId="0" fontId="1" fillId="0" borderId="13" xfId="0" applyFont="1" applyBorder="1" applyAlignment="1"/>
    <xf numFmtId="0" fontId="2" fillId="0" borderId="1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3"/>
  <sheetViews>
    <sheetView tabSelected="1" topLeftCell="F1" workbookViewId="0">
      <selection activeCell="M15" sqref="M15"/>
    </sheetView>
  </sheetViews>
  <sheetFormatPr defaultColWidth="14.453125" defaultRowHeight="15.75" customHeight="1" x14ac:dyDescent="0.25"/>
  <sheetData>
    <row r="1" spans="1:18" ht="12.5" x14ac:dyDescent="0.25">
      <c r="A1" s="37" t="s">
        <v>0</v>
      </c>
      <c r="B1" s="34" t="s">
        <v>3</v>
      </c>
      <c r="C1" s="35"/>
      <c r="D1" s="35"/>
      <c r="E1" s="35"/>
      <c r="F1" s="35"/>
      <c r="G1" s="36"/>
    </row>
    <row r="2" spans="1:18" ht="13" thickBot="1" x14ac:dyDescent="0.3">
      <c r="A2" s="33"/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I2" s="3" t="s">
        <v>10</v>
      </c>
      <c r="J2" s="2"/>
    </row>
    <row r="3" spans="1:18" ht="12.5" x14ac:dyDescent="0.25">
      <c r="A3" s="31">
        <f>(47+220)/1000</f>
        <v>0.26700000000000002</v>
      </c>
      <c r="B3" s="22">
        <v>4.53</v>
      </c>
      <c r="C3" s="23">
        <v>4.84</v>
      </c>
      <c r="D3" s="23">
        <v>5.5</v>
      </c>
      <c r="E3" s="23">
        <v>7.8</v>
      </c>
      <c r="F3" s="23">
        <v>8.48</v>
      </c>
      <c r="G3" s="24">
        <v>8.98</v>
      </c>
      <c r="I3" s="3" t="s">
        <v>11</v>
      </c>
      <c r="J3" s="2">
        <f>STDEV(B3:B5)/SQRT(3)</f>
        <v>9.8375697089158012E-2</v>
      </c>
      <c r="M3" s="3">
        <v>1</v>
      </c>
      <c r="N3" s="3">
        <v>2</v>
      </c>
      <c r="O3" s="3">
        <v>3</v>
      </c>
      <c r="P3" s="3">
        <v>4</v>
      </c>
      <c r="Q3" s="3">
        <v>5</v>
      </c>
      <c r="R3" s="3">
        <v>6</v>
      </c>
    </row>
    <row r="4" spans="1:18" ht="12.5" x14ac:dyDescent="0.25">
      <c r="A4" s="32"/>
      <c r="B4" s="25">
        <v>4.1900000000000004</v>
      </c>
      <c r="C4" s="26">
        <v>4.5199999999999996</v>
      </c>
      <c r="D4" s="26">
        <v>5.52</v>
      </c>
      <c r="E4" s="26">
        <v>8.3800000000000008</v>
      </c>
      <c r="F4" s="26">
        <v>8.3800000000000008</v>
      </c>
      <c r="G4" s="27">
        <v>9.94</v>
      </c>
      <c r="I4" s="3" t="s">
        <v>13</v>
      </c>
      <c r="J4" s="2">
        <f>4.3*J3</f>
        <v>0.42301549748337941</v>
      </c>
      <c r="L4" s="3" t="s">
        <v>14</v>
      </c>
      <c r="M4" s="2">
        <f t="shared" ref="M4:R4" si="0">2*$J$8/B6^2</f>
        <v>7.3872737207704334E-2</v>
      </c>
      <c r="N4" s="2">
        <f t="shared" si="0"/>
        <v>6.6066787229814378E-2</v>
      </c>
      <c r="O4" s="2">
        <f t="shared" si="0"/>
        <v>4.7307525951557079E-2</v>
      </c>
      <c r="P4" s="2">
        <f t="shared" si="0"/>
        <v>2.1461680085042758E-2</v>
      </c>
      <c r="Q4" s="2">
        <f t="shared" si="0"/>
        <v>1.9286296810597545E-2</v>
      </c>
      <c r="R4" s="2">
        <f t="shared" si="0"/>
        <v>1.5821823166263248E-2</v>
      </c>
    </row>
    <row r="5" spans="1:18" ht="13" thickBot="1" x14ac:dyDescent="0.3">
      <c r="A5" s="32"/>
      <c r="B5" s="28">
        <v>4.34</v>
      </c>
      <c r="C5" s="29">
        <v>4.45</v>
      </c>
      <c r="D5" s="29">
        <v>5.3</v>
      </c>
      <c r="E5" s="29">
        <v>8.0500000000000007</v>
      </c>
      <c r="F5" s="29">
        <v>8.6999999999999993</v>
      </c>
      <c r="G5" s="30">
        <v>9.3000000000000007</v>
      </c>
      <c r="I5" s="3" t="s">
        <v>16</v>
      </c>
      <c r="J5" s="2">
        <f>SQRT(J3^2+(2/3*0.01)^2)</f>
        <v>9.8601329718326913E-2</v>
      </c>
      <c r="L5" s="3" t="s">
        <v>19</v>
      </c>
      <c r="M5" s="3">
        <f t="shared" ref="M5:R5" si="1">2*M4/$J$9</f>
        <v>3.2118581394654058</v>
      </c>
      <c r="N5" s="3">
        <f t="shared" si="1"/>
        <v>2.8724690099919297</v>
      </c>
      <c r="O5" s="3">
        <f t="shared" si="1"/>
        <v>2.0568489544155253</v>
      </c>
      <c r="P5" s="3">
        <f t="shared" si="1"/>
        <v>0.9331165254366417</v>
      </c>
      <c r="Q5" s="3">
        <f t="shared" si="1"/>
        <v>0.83853464393902377</v>
      </c>
      <c r="R5" s="3">
        <f t="shared" si="1"/>
        <v>0.68790535505492389</v>
      </c>
    </row>
    <row r="6" spans="1:18" ht="13" thickBot="1" x14ac:dyDescent="0.3">
      <c r="A6" s="33"/>
      <c r="B6" s="20">
        <f t="shared" ref="B6:G6" si="2">AVERAGE(B3:B5)</f>
        <v>4.3533333333333335</v>
      </c>
      <c r="C6" s="20">
        <f>AVERAGE(C3:C5)</f>
        <v>4.6033333333333326</v>
      </c>
      <c r="D6" s="20">
        <f t="shared" si="2"/>
        <v>5.44</v>
      </c>
      <c r="E6" s="20">
        <f t="shared" si="2"/>
        <v>8.0766666666666662</v>
      </c>
      <c r="F6" s="20">
        <f t="shared" si="2"/>
        <v>8.52</v>
      </c>
      <c r="G6" s="20">
        <f t="shared" si="2"/>
        <v>9.4066666666666681</v>
      </c>
      <c r="I6" s="3" t="s">
        <v>22</v>
      </c>
      <c r="J6" s="13">
        <f>J5/B6</f>
        <v>2.2649616321208325E-2</v>
      </c>
      <c r="L6" s="3" t="s">
        <v>24</v>
      </c>
      <c r="M6" s="2">
        <f t="shared" ref="M6:R6" si="3">$A3*$J$9/2*(9.81-M4)</f>
        <v>5.9789557520807494E-2</v>
      </c>
      <c r="N6" s="2">
        <f t="shared" si="3"/>
        <v>5.983749385962172E-2</v>
      </c>
      <c r="O6" s="2">
        <f t="shared" si="3"/>
        <v>5.9952694483131494E-2</v>
      </c>
      <c r="P6" s="2">
        <f t="shared" si="3"/>
        <v>6.0111413822597763E-2</v>
      </c>
      <c r="Q6" s="2">
        <f t="shared" si="3"/>
        <v>6.0124772851286132E-2</v>
      </c>
      <c r="R6" s="2">
        <f t="shared" si="3"/>
        <v>6.0146048183935985E-2</v>
      </c>
    </row>
    <row r="7" spans="1:18" ht="12.5" x14ac:dyDescent="0.25">
      <c r="A7" s="31">
        <f>A3+0.22</f>
        <v>0.48699999999999999</v>
      </c>
      <c r="B7" s="22">
        <v>3.02</v>
      </c>
      <c r="C7" s="23">
        <v>3.67</v>
      </c>
      <c r="D7" s="23">
        <v>4.53</v>
      </c>
      <c r="E7" s="23">
        <v>5.43</v>
      </c>
      <c r="F7" s="23">
        <v>6.24</v>
      </c>
      <c r="G7" s="24">
        <v>6.57</v>
      </c>
      <c r="M7" s="3">
        <v>1</v>
      </c>
      <c r="N7" s="3">
        <v>2</v>
      </c>
      <c r="O7" s="3">
        <v>3</v>
      </c>
      <c r="P7" s="3">
        <v>4</v>
      </c>
      <c r="Q7" s="3">
        <v>5</v>
      </c>
      <c r="R7" s="3">
        <v>6</v>
      </c>
    </row>
    <row r="8" spans="1:18" ht="12.5" x14ac:dyDescent="0.25">
      <c r="A8" s="32"/>
      <c r="B8" s="25">
        <v>3.15</v>
      </c>
      <c r="C8" s="26">
        <v>3.84</v>
      </c>
      <c r="D8" s="26">
        <v>4.21</v>
      </c>
      <c r="E8" s="26">
        <v>5.51</v>
      </c>
      <c r="F8" s="26">
        <v>6.7</v>
      </c>
      <c r="G8" s="27">
        <v>6.87</v>
      </c>
      <c r="I8" s="3" t="s">
        <v>27</v>
      </c>
      <c r="J8" s="3">
        <v>0.7</v>
      </c>
      <c r="L8" s="3" t="s">
        <v>14</v>
      </c>
      <c r="M8" s="2">
        <f t="shared" ref="M8:R8" si="4">2*$J$8/B10^2</f>
        <v>0.14886578449905483</v>
      </c>
      <c r="N8" s="2">
        <f t="shared" si="4"/>
        <v>9.955555555555555E-2</v>
      </c>
      <c r="O8" s="2">
        <f t="shared" si="4"/>
        <v>7.3872737207704334E-2</v>
      </c>
      <c r="P8" s="2">
        <f t="shared" si="4"/>
        <v>4.7423689261921781E-2</v>
      </c>
      <c r="Q8" s="2">
        <f t="shared" si="4"/>
        <v>3.4322549152069594E-2</v>
      </c>
      <c r="R8" s="2">
        <f t="shared" si="4"/>
        <v>3.1001984126984131E-2</v>
      </c>
    </row>
    <row r="9" spans="1:18" ht="13" thickBot="1" x14ac:dyDescent="0.3">
      <c r="A9" s="32"/>
      <c r="B9" s="28">
        <v>3.03</v>
      </c>
      <c r="C9" s="29">
        <v>3.74</v>
      </c>
      <c r="D9" s="29">
        <v>4.32</v>
      </c>
      <c r="E9" s="29">
        <v>5.36</v>
      </c>
      <c r="F9" s="29">
        <v>6.22</v>
      </c>
      <c r="G9" s="30">
        <v>6.72</v>
      </c>
      <c r="I9" s="3" t="s">
        <v>28</v>
      </c>
      <c r="J9" s="2">
        <f>46/1000</f>
        <v>4.5999999999999999E-2</v>
      </c>
      <c r="L9" s="3" t="s">
        <v>19</v>
      </c>
      <c r="M9" s="3">
        <f>2*M8/$J$9</f>
        <v>6.4724254130023837</v>
      </c>
      <c r="N9" s="3">
        <f t="shared" ref="M9:R9" si="5">2*N8/$J$9</f>
        <v>4.3285024154589369</v>
      </c>
      <c r="O9" s="3">
        <f t="shared" si="5"/>
        <v>3.2118581394654058</v>
      </c>
      <c r="P9" s="3">
        <f t="shared" si="5"/>
        <v>2.061899533127034</v>
      </c>
      <c r="Q9" s="3">
        <f t="shared" si="5"/>
        <v>1.4922847457421562</v>
      </c>
      <c r="R9" s="3">
        <f t="shared" si="5"/>
        <v>1.3479123533471362</v>
      </c>
    </row>
    <row r="10" spans="1:18" ht="13" thickBot="1" x14ac:dyDescent="0.3">
      <c r="A10" s="33"/>
      <c r="B10" s="20">
        <f t="shared" ref="B10:G10" si="6">AVERAGE(B7:B9)</f>
        <v>3.0666666666666664</v>
      </c>
      <c r="C10" s="20">
        <f t="shared" si="6"/>
        <v>3.75</v>
      </c>
      <c r="D10" s="20">
        <f t="shared" si="6"/>
        <v>4.3533333333333335</v>
      </c>
      <c r="E10" s="20">
        <f t="shared" si="6"/>
        <v>5.4333333333333336</v>
      </c>
      <c r="F10" s="20">
        <f t="shared" si="6"/>
        <v>6.3866666666666667</v>
      </c>
      <c r="G10" s="20">
        <f t="shared" si="6"/>
        <v>6.72</v>
      </c>
      <c r="L10" s="3" t="s">
        <v>24</v>
      </c>
      <c r="M10" s="2">
        <f>$A7*$J$9/2*(9.81-M8)</f>
        <v>0.10821436434782608</v>
      </c>
      <c r="N10" s="2">
        <f t="shared" ref="M10:R10" si="7">$A7*$J$9/2*(9.81-N8)</f>
        <v>0.10876668822222221</v>
      </c>
      <c r="O10" s="2">
        <f t="shared" si="7"/>
        <v>0.1090543614705365</v>
      </c>
      <c r="P10" s="2">
        <f t="shared" si="7"/>
        <v>0.1093506172565772</v>
      </c>
      <c r="Q10" s="2">
        <f t="shared" si="7"/>
        <v>0.10949736312694767</v>
      </c>
      <c r="R10" s="2">
        <f t="shared" si="7"/>
        <v>0.10953455677579364</v>
      </c>
    </row>
    <row r="11" spans="1:18" ht="12.5" x14ac:dyDescent="0.25">
      <c r="A11" s="31">
        <f>A7+0.22</f>
        <v>0.70699999999999996</v>
      </c>
      <c r="B11" s="22">
        <v>2.76</v>
      </c>
      <c r="C11" s="23">
        <v>3.29</v>
      </c>
      <c r="D11" s="23">
        <v>3.8</v>
      </c>
      <c r="E11" s="23">
        <v>4.32</v>
      </c>
      <c r="F11" s="23">
        <v>5.04</v>
      </c>
      <c r="G11" s="24">
        <v>5.5</v>
      </c>
      <c r="M11" s="3">
        <v>1</v>
      </c>
      <c r="N11" s="3">
        <v>2</v>
      </c>
      <c r="O11" s="3">
        <v>3</v>
      </c>
      <c r="P11" s="3">
        <v>4</v>
      </c>
      <c r="Q11" s="3">
        <v>5</v>
      </c>
      <c r="R11" s="3">
        <v>6</v>
      </c>
    </row>
    <row r="12" spans="1:18" ht="12.5" x14ac:dyDescent="0.25">
      <c r="A12" s="32"/>
      <c r="B12" s="25">
        <v>2.83</v>
      </c>
      <c r="C12" s="26">
        <v>3.22</v>
      </c>
      <c r="D12" s="26">
        <v>3.81</v>
      </c>
      <c r="E12" s="26">
        <v>4.43</v>
      </c>
      <c r="F12" s="26">
        <v>4.87</v>
      </c>
      <c r="G12" s="27">
        <v>5.83</v>
      </c>
      <c r="L12" s="3" t="s">
        <v>14</v>
      </c>
      <c r="M12" s="2">
        <f t="shared" ref="M12:R12" si="8">2*$J$8/B14^2</f>
        <v>0.18115004399358212</v>
      </c>
      <c r="N12" s="2">
        <f t="shared" si="8"/>
        <v>0.13308982824018273</v>
      </c>
      <c r="O12" s="2">
        <f t="shared" si="8"/>
        <v>9.1263014938886375E-2</v>
      </c>
      <c r="P12" s="2">
        <f t="shared" si="8"/>
        <v>7.3646999410823991E-2</v>
      </c>
      <c r="Q12" s="2">
        <f t="shared" si="8"/>
        <v>5.7291242760728577E-2</v>
      </c>
      <c r="R12" s="2">
        <f t="shared" si="8"/>
        <v>4.4063940274476375E-2</v>
      </c>
    </row>
    <row r="13" spans="1:18" ht="13" thickBot="1" x14ac:dyDescent="0.3">
      <c r="A13" s="32"/>
      <c r="B13" s="28">
        <v>2.75</v>
      </c>
      <c r="C13" s="29">
        <v>3.22</v>
      </c>
      <c r="D13" s="29">
        <v>4.1399999999999997</v>
      </c>
      <c r="E13" s="29">
        <v>4.33</v>
      </c>
      <c r="F13" s="29">
        <v>4.92</v>
      </c>
      <c r="G13" s="30">
        <v>5.58</v>
      </c>
      <c r="L13" s="3" t="s">
        <v>19</v>
      </c>
      <c r="M13" s="3">
        <f t="shared" ref="M13:R13" si="9">2*M12/$J$9</f>
        <v>7.8760888692861792</v>
      </c>
      <c r="N13" s="3">
        <f t="shared" si="9"/>
        <v>5.786514271312293</v>
      </c>
      <c r="O13" s="3">
        <f t="shared" si="9"/>
        <v>3.9679571712559296</v>
      </c>
      <c r="P13" s="3">
        <f t="shared" si="9"/>
        <v>3.2020434526445212</v>
      </c>
      <c r="Q13" s="3">
        <f t="shared" si="9"/>
        <v>2.4909235982925471</v>
      </c>
      <c r="R13" s="3">
        <f t="shared" si="9"/>
        <v>1.9158234901946249</v>
      </c>
    </row>
    <row r="14" spans="1:18" ht="13" thickBot="1" x14ac:dyDescent="0.3">
      <c r="A14" s="33"/>
      <c r="B14" s="20">
        <f t="shared" ref="B14:G14" si="10">AVERAGE(B11:B13)</f>
        <v>2.78</v>
      </c>
      <c r="C14" s="20">
        <f t="shared" si="10"/>
        <v>3.2433333333333336</v>
      </c>
      <c r="D14" s="20">
        <f t="shared" si="10"/>
        <v>3.9166666666666665</v>
      </c>
      <c r="E14" s="20">
        <f t="shared" si="10"/>
        <v>4.3600000000000003</v>
      </c>
      <c r="F14" s="20">
        <f t="shared" si="10"/>
        <v>4.9433333333333334</v>
      </c>
      <c r="G14" s="20">
        <f t="shared" si="10"/>
        <v>5.6366666666666667</v>
      </c>
      <c r="L14" s="3" t="s">
        <v>24</v>
      </c>
      <c r="M14" s="2">
        <f>$A11*$J$9/2*(9.81-M12)</f>
        <v>0.15657472913462034</v>
      </c>
      <c r="N14" s="2">
        <f t="shared" ref="M14:R14" si="11">$A11*$J$9/2*(9.81-N12)</f>
        <v>0.15735623630298637</v>
      </c>
      <c r="O14" s="2">
        <f t="shared" si="11"/>
        <v>0.15803638211407875</v>
      </c>
      <c r="P14" s="2">
        <f t="shared" si="11"/>
        <v>0.15832283614258058</v>
      </c>
      <c r="Q14" s="2">
        <f t="shared" si="11"/>
        <v>0.15858879710146778</v>
      </c>
      <c r="R14" s="2">
        <f t="shared" si="11"/>
        <v>0.15880388626719671</v>
      </c>
    </row>
    <row r="15" spans="1:18" ht="12.5" x14ac:dyDescent="0.25">
      <c r="A15" s="31">
        <f>A11+0.22</f>
        <v>0.92699999999999994</v>
      </c>
      <c r="B15" s="22">
        <v>2.4500000000000002</v>
      </c>
      <c r="C15" s="23">
        <v>2.89</v>
      </c>
      <c r="D15" s="23">
        <v>3.3</v>
      </c>
      <c r="E15" s="23">
        <v>3.86</v>
      </c>
      <c r="F15" s="23">
        <v>4.2699999999999996</v>
      </c>
      <c r="G15" s="24">
        <v>5.12</v>
      </c>
      <c r="M15" s="3">
        <v>1</v>
      </c>
      <c r="N15" s="3">
        <v>2</v>
      </c>
      <c r="O15" s="3">
        <v>3</v>
      </c>
      <c r="P15" s="3">
        <v>4</v>
      </c>
      <c r="Q15" s="3">
        <v>5</v>
      </c>
      <c r="R15" s="3">
        <v>6</v>
      </c>
    </row>
    <row r="16" spans="1:18" ht="12.5" x14ac:dyDescent="0.25">
      <c r="A16" s="32"/>
      <c r="B16" s="25">
        <v>2.25</v>
      </c>
      <c r="C16" s="26">
        <v>2.69</v>
      </c>
      <c r="D16" s="26">
        <v>3.48</v>
      </c>
      <c r="E16" s="26">
        <v>3.61</v>
      </c>
      <c r="F16" s="26">
        <v>4.33</v>
      </c>
      <c r="G16" s="27">
        <v>4.79</v>
      </c>
      <c r="L16" s="3" t="s">
        <v>14</v>
      </c>
      <c r="M16" s="2">
        <f t="shared" ref="M16:R16" si="12">2*$J$8/B18^2</f>
        <v>0.24715768660405329</v>
      </c>
      <c r="N16" s="2">
        <f t="shared" si="12"/>
        <v>0.18071641148840045</v>
      </c>
      <c r="O16" s="2">
        <f t="shared" si="12"/>
        <v>0.1227867924289274</v>
      </c>
      <c r="P16" s="2">
        <f t="shared" si="12"/>
        <v>9.6613616078959394E-2</v>
      </c>
      <c r="Q16" s="2">
        <f t="shared" si="12"/>
        <v>7.6070006139936211E-2</v>
      </c>
      <c r="R16" s="2">
        <f t="shared" si="12"/>
        <v>5.9354198061190411E-2</v>
      </c>
    </row>
    <row r="17" spans="1:18" ht="13" thickBot="1" x14ac:dyDescent="0.3">
      <c r="A17" s="32"/>
      <c r="B17" s="28">
        <v>2.44</v>
      </c>
      <c r="C17" s="29">
        <v>2.77</v>
      </c>
      <c r="D17" s="29">
        <v>3.35</v>
      </c>
      <c r="E17" s="29">
        <v>3.95</v>
      </c>
      <c r="F17" s="29">
        <v>4.2699999999999996</v>
      </c>
      <c r="G17" s="30">
        <v>4.66</v>
      </c>
      <c r="L17" s="3" t="s">
        <v>19</v>
      </c>
      <c r="M17" s="3">
        <f t="shared" ref="M17:R17" si="13">2*M16/$J$9</f>
        <v>10.745986374089274</v>
      </c>
      <c r="N17" s="3">
        <f t="shared" si="13"/>
        <v>7.8572352821043676</v>
      </c>
      <c r="O17" s="3">
        <f t="shared" si="13"/>
        <v>5.338556192562061</v>
      </c>
      <c r="P17" s="3">
        <f t="shared" si="13"/>
        <v>4.2005920034330169</v>
      </c>
      <c r="Q17" s="3">
        <f t="shared" si="13"/>
        <v>3.3073915713015745</v>
      </c>
      <c r="R17" s="3">
        <f t="shared" si="13"/>
        <v>2.580617307008279</v>
      </c>
    </row>
    <row r="18" spans="1:18" ht="13" thickBot="1" x14ac:dyDescent="0.3">
      <c r="A18" s="33"/>
      <c r="B18" s="20">
        <f t="shared" ref="B18:G18" si="14">AVERAGE(B15:B17)</f>
        <v>2.3800000000000003</v>
      </c>
      <c r="C18" s="20">
        <f>AVERAGE(C15:C17)</f>
        <v>2.7833333333333332</v>
      </c>
      <c r="D18" s="20">
        <f t="shared" si="14"/>
        <v>3.3766666666666665</v>
      </c>
      <c r="E18" s="20">
        <f t="shared" si="14"/>
        <v>3.8066666666666666</v>
      </c>
      <c r="F18" s="20">
        <f t="shared" si="14"/>
        <v>4.29</v>
      </c>
      <c r="G18" s="20">
        <f t="shared" si="14"/>
        <v>4.8566666666666665</v>
      </c>
      <c r="L18" s="3" t="s">
        <v>24</v>
      </c>
      <c r="M18" s="2">
        <f t="shared" ref="M18:R18" si="15">$A15*$J$9/2*(9.81-M16)</f>
        <v>0.203889360963915</v>
      </c>
      <c r="N18" s="2">
        <f t="shared" si="15"/>
        <v>0.2053059553906558</v>
      </c>
      <c r="O18" s="2">
        <f t="shared" si="15"/>
        <v>0.20654107279862285</v>
      </c>
      <c r="P18" s="2">
        <f t="shared" si="15"/>
        <v>0.2070991110915805</v>
      </c>
      <c r="Q18" s="2">
        <f t="shared" si="15"/>
        <v>0.20753712139909042</v>
      </c>
      <c r="R18" s="2">
        <f t="shared" si="15"/>
        <v>0.20789351914313739</v>
      </c>
    </row>
    <row r="20" spans="1:18" ht="12.5" x14ac:dyDescent="0.25">
      <c r="H20" s="34" t="s">
        <v>30</v>
      </c>
      <c r="I20" s="35"/>
      <c r="J20" s="35"/>
      <c r="K20" s="36"/>
      <c r="L20" s="11" t="s">
        <v>31</v>
      </c>
    </row>
    <row r="21" spans="1:18" ht="18.75" customHeight="1" x14ac:dyDescent="0.25">
      <c r="H21" s="3" t="s">
        <v>32</v>
      </c>
      <c r="I21" s="3" t="s">
        <v>9</v>
      </c>
      <c r="J21" s="3" t="s">
        <v>33</v>
      </c>
      <c r="K21" s="3" t="s">
        <v>34</v>
      </c>
    </row>
    <row r="22" spans="1:18" ht="12.5" x14ac:dyDescent="0.25">
      <c r="G22" s="3" t="s">
        <v>35</v>
      </c>
      <c r="H22" s="13">
        <f>SQRT((0.0005/J8)^2+(2*0.01/B6)^2)</f>
        <v>4.6493763481450963E-3</v>
      </c>
      <c r="I22" s="13">
        <f>SQRT((H23/M4)^2+(0.0005/J9)^2)</f>
        <v>1.182218881771958E-2</v>
      </c>
      <c r="J22" s="13">
        <f>SQRT((0.0005/A3)^2+(0.0005/J9)^2+(K23/(9.81-M4))^2)</f>
        <v>1.1035069567835091E-2</v>
      </c>
      <c r="K22" s="2"/>
    </row>
    <row r="23" spans="1:18" ht="12.5" x14ac:dyDescent="0.25">
      <c r="G23" s="3" t="s">
        <v>36</v>
      </c>
      <c r="H23" s="2">
        <f>H22*M4</f>
        <v>3.4346215714623873E-4</v>
      </c>
      <c r="I23" s="2">
        <f>I22*M5</f>
        <v>3.7971193380489536E-2</v>
      </c>
      <c r="J23" s="2">
        <f>J22*M6</f>
        <v>6.5978192667218844E-4</v>
      </c>
      <c r="K23" s="2">
        <f>SQRT((2/3*0.005)^2+H23^2)</f>
        <v>3.3509815523966491E-3</v>
      </c>
      <c r="L23" s="6">
        <f>9.81-M4</f>
        <v>9.7361272627922961</v>
      </c>
    </row>
  </sheetData>
  <mergeCells count="7">
    <mergeCell ref="A15:A18"/>
    <mergeCell ref="H20:K20"/>
    <mergeCell ref="A1:A2"/>
    <mergeCell ref="B1:G1"/>
    <mergeCell ref="A3:A6"/>
    <mergeCell ref="A7:A10"/>
    <mergeCell ref="A11:A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B2:H25"/>
  <sheetViews>
    <sheetView topLeftCell="A9" workbookViewId="0"/>
  </sheetViews>
  <sheetFormatPr defaultColWidth="14.453125" defaultRowHeight="15.75" customHeight="1" x14ac:dyDescent="0.25"/>
  <sheetData>
    <row r="2" spans="2:8" ht="15.75" customHeight="1" x14ac:dyDescent="0.25">
      <c r="B2" s="34" t="s">
        <v>2</v>
      </c>
      <c r="C2" s="36"/>
      <c r="D2" s="2"/>
      <c r="E2" s="2"/>
      <c r="F2" s="2"/>
      <c r="G2" s="2"/>
      <c r="H2" s="2"/>
    </row>
    <row r="3" spans="2:8" ht="15.75" customHeight="1" x14ac:dyDescent="0.25">
      <c r="B3" s="3" t="s">
        <v>8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</row>
    <row r="4" spans="2:8" ht="15.75" customHeight="1" x14ac:dyDescent="0.25">
      <c r="B4" s="3" t="s">
        <v>9</v>
      </c>
      <c r="C4" s="2">
        <f>AVERAGE('ускорения и моменты'!M5,'ускорения и моменты'!M9,'ускорения и моменты'!M13,'ускорения и моменты'!M17)</f>
        <v>7.0765896989608104</v>
      </c>
      <c r="D4" s="2">
        <f>AVERAGE('ускорения и моменты'!N5,'ускорения и моменты'!N9,'ускорения и моменты'!N13,'ускорения и моменты'!N17)</f>
        <v>5.211180244716882</v>
      </c>
      <c r="E4" s="2">
        <f>AVERAGE('ускорения и моменты'!O5,'ускорения и моменты'!O9,'ускорения и моменты'!O13,'ускорения и моменты'!O17)</f>
        <v>3.6438051144247301</v>
      </c>
      <c r="F4" s="2">
        <f>AVERAGE('ускорения и моменты'!P5,'ускорения и моменты'!P9,'ускорения и моменты'!P13,'ускорения и моменты'!P17)</f>
        <v>2.5994128786603037</v>
      </c>
      <c r="G4" s="2">
        <f>AVERAGE('ускорения и моменты'!Q5,'ускорения и моменты'!Q9,'ускорения и моменты'!Q13,'ускорения и моменты'!Q17)</f>
        <v>2.0322836398188251</v>
      </c>
      <c r="H4" s="2">
        <f>AVERAGE('ускорения и моменты'!R5,'ускорения и моменты'!R9,'ускорения и моменты'!R13,'ускорения и моменты'!R17)</f>
        <v>1.6330646264012412</v>
      </c>
    </row>
    <row r="5" spans="2:8" ht="15.75" customHeight="1" x14ac:dyDescent="0.25">
      <c r="B5" s="3" t="s">
        <v>12</v>
      </c>
      <c r="C5" s="2">
        <f>AVERAGE('ускорения и моменты'!M6,'ускорения и моменты'!M10,'ускорения и моменты'!M14,'ускорения и моменты'!M18)</f>
        <v>0.13211700299179222</v>
      </c>
      <c r="D5" s="2">
        <f>AVERAGE('ускорения и моменты'!N6,'ускорения и моменты'!N10,'ускорения и моменты'!N14,'ускорения и моменты'!N18)</f>
        <v>0.13281659344387153</v>
      </c>
      <c r="E5" s="2">
        <f>AVERAGE('ускорения и моменты'!O6,'ускорения и моменты'!O10,'ускорения и моменты'!O14,'ускорения и моменты'!O18)</f>
        <v>0.1333961277165924</v>
      </c>
      <c r="F5" s="2">
        <f>AVERAGE('ускорения и моменты'!P6,'ускорения и моменты'!P10,'ускорения и моменты'!P14,'ускорения и моменты'!P18)</f>
        <v>0.133720994578334</v>
      </c>
      <c r="G5" s="2">
        <f>AVERAGE('ускорения и моменты'!Q6,'ускорения и моменты'!Q10,'ускорения и моменты'!Q14,'ускорения и моменты'!Q18)</f>
        <v>0.13393701361969801</v>
      </c>
      <c r="H5" s="2">
        <f>AVERAGE('ускорения и моменты'!R6,'ускорения и моменты'!R10,'ускорения и моменты'!R14,'ускорения и моменты'!R18)</f>
        <v>0.13409450259251593</v>
      </c>
    </row>
    <row r="7" spans="2:8" ht="15.75" customHeight="1" x14ac:dyDescent="0.25">
      <c r="B7" s="7" t="s">
        <v>15</v>
      </c>
      <c r="C7" s="8">
        <f>'ускорения и моменты'!M5-C$4</f>
        <v>-3.8647315594954046</v>
      </c>
      <c r="D7" s="8">
        <f>'ускорения и моменты'!N5-D$4</f>
        <v>-2.3387112347249523</v>
      </c>
      <c r="E7" s="8">
        <f>'ускорения и моменты'!O5-E$4</f>
        <v>-1.5869561600092048</v>
      </c>
      <c r="F7" s="8">
        <f>'ускорения и моменты'!P5-F$4</f>
        <v>-1.6662963532236619</v>
      </c>
      <c r="G7" s="8">
        <f>'ускорения и моменты'!Q5-G$4</f>
        <v>-1.1937489958798013</v>
      </c>
      <c r="H7" s="9">
        <f>'ускорения и моменты'!R5-H$4</f>
        <v>-0.94515927134631728</v>
      </c>
    </row>
    <row r="8" spans="2:8" ht="15.75" customHeight="1" x14ac:dyDescent="0.25">
      <c r="B8" s="10" t="s">
        <v>17</v>
      </c>
      <c r="C8" s="2">
        <f>'ускорения и моменты'!M6-C$5</f>
        <v>-7.2327445470984714E-2</v>
      </c>
      <c r="D8" s="2">
        <f>'ускорения и моменты'!N6-D$5</f>
        <v>-7.2979099584249807E-2</v>
      </c>
      <c r="E8" s="2">
        <f>'ускорения и моменты'!O6-E$5</f>
        <v>-7.3443433233460906E-2</v>
      </c>
      <c r="F8" s="2">
        <f>'ускорения и моменты'!P6-F$5</f>
        <v>-7.3609580755736231E-2</v>
      </c>
      <c r="G8" s="2">
        <f>'ускорения и моменты'!Q6-G$5</f>
        <v>-7.3812240768411877E-2</v>
      </c>
      <c r="H8" s="12">
        <f>'ускорения и моменты'!R6-H$5</f>
        <v>-7.3948454408579944E-2</v>
      </c>
    </row>
    <row r="9" spans="2:8" ht="15.75" customHeight="1" x14ac:dyDescent="0.25">
      <c r="B9" s="10" t="s">
        <v>23</v>
      </c>
      <c r="C9" s="2">
        <f t="shared" ref="C9:H9" si="0">C7*C8</f>
        <v>0.2795261611293976</v>
      </c>
      <c r="D9" s="2">
        <f t="shared" si="0"/>
        <v>0.17067704009779613</v>
      </c>
      <c r="E9" s="2">
        <f t="shared" si="0"/>
        <v>0.11655150878206554</v>
      </c>
      <c r="F9" s="2">
        <f t="shared" si="0"/>
        <v>0.12265537597560593</v>
      </c>
      <c r="G9" s="2">
        <f t="shared" si="0"/>
        <v>8.8113288300929807E-2</v>
      </c>
      <c r="H9" s="12">
        <f t="shared" si="0"/>
        <v>6.9893067285999783E-2</v>
      </c>
    </row>
    <row r="10" spans="2:8" ht="15.75" customHeight="1" x14ac:dyDescent="0.25">
      <c r="B10" s="14"/>
      <c r="H10" s="15"/>
    </row>
    <row r="11" spans="2:8" ht="15.75" customHeight="1" x14ac:dyDescent="0.25">
      <c r="B11" s="10" t="s">
        <v>15</v>
      </c>
      <c r="C11" s="2">
        <f>'ускорения и моменты'!M9-C$4</f>
        <v>-0.60416428595842664</v>
      </c>
      <c r="D11" s="2">
        <f>'ускорения и моменты'!N9-D$4</f>
        <v>-0.88267782925794513</v>
      </c>
      <c r="E11" s="2">
        <f>'ускорения и моменты'!O9-E$4</f>
        <v>-0.43194697495932433</v>
      </c>
      <c r="F11" s="2">
        <f>'ускорения и моменты'!P9-F$4</f>
        <v>-0.53751334553326968</v>
      </c>
      <c r="G11" s="2">
        <f>'ускорения и моменты'!Q9-G$4</f>
        <v>-0.5399988940766689</v>
      </c>
      <c r="H11" s="12">
        <f>'ускорения и моменты'!R9-H$4</f>
        <v>-0.28515227305410495</v>
      </c>
    </row>
    <row r="12" spans="2:8" ht="15.75" customHeight="1" x14ac:dyDescent="0.25">
      <c r="B12" s="10" t="s">
        <v>17</v>
      </c>
      <c r="C12" s="2">
        <f>'ускорения и моменты'!M10-C$5</f>
        <v>-2.3902638643966134E-2</v>
      </c>
      <c r="D12" s="2">
        <f>'ускорения и моменты'!N10-D$5</f>
        <v>-2.404990522164932E-2</v>
      </c>
      <c r="E12" s="2">
        <f>'ускорения и моменты'!O10-E$5</f>
        <v>-2.4341766246055899E-2</v>
      </c>
      <c r="F12" s="2">
        <f>'ускорения и моменты'!P10-F$5</f>
        <v>-2.43703773217568E-2</v>
      </c>
      <c r="G12" s="2">
        <f>'ускорения и моменты'!Q10-G$5</f>
        <v>-2.4439650492750334E-2</v>
      </c>
      <c r="H12" s="12">
        <f>'ускорения и моменты'!R10-H$5</f>
        <v>-2.4559945816722287E-2</v>
      </c>
    </row>
    <row r="13" spans="2:8" ht="15.75" customHeight="1" x14ac:dyDescent="0.25">
      <c r="B13" s="10" t="s">
        <v>23</v>
      </c>
      <c r="C13" s="2">
        <f t="shared" ref="C13:H13" si="1">C11*C12</f>
        <v>1.4441120608854094E-2</v>
      </c>
      <c r="D13" s="2">
        <f t="shared" si="1"/>
        <v>2.1228318134904743E-2</v>
      </c>
      <c r="E13" s="2">
        <f t="shared" si="1"/>
        <v>1.0514352295150834E-2</v>
      </c>
      <c r="F13" s="2">
        <f t="shared" si="1"/>
        <v>1.3099403046125623E-2</v>
      </c>
      <c r="G13" s="2">
        <f t="shared" si="1"/>
        <v>1.3197384237705497E-2</v>
      </c>
      <c r="H13" s="12">
        <f t="shared" si="1"/>
        <v>7.0033243757240161E-3</v>
      </c>
    </row>
    <row r="14" spans="2:8" ht="15.75" customHeight="1" x14ac:dyDescent="0.25">
      <c r="B14" s="14"/>
      <c r="H14" s="15"/>
    </row>
    <row r="15" spans="2:8" ht="15.75" customHeight="1" x14ac:dyDescent="0.25">
      <c r="B15" s="10" t="s">
        <v>15</v>
      </c>
      <c r="C15" s="2">
        <f>'ускорения и моменты'!M13-C$4</f>
        <v>0.79949917032536888</v>
      </c>
      <c r="D15" s="2">
        <f>'ускорения и моменты'!N13-D$4</f>
        <v>0.575334026595411</v>
      </c>
      <c r="E15" s="2">
        <f>'ускорения и моменты'!O13-E$4</f>
        <v>0.32415205683119952</v>
      </c>
      <c r="F15" s="2">
        <f>'ускорения и моменты'!P13-F$4</f>
        <v>0.60263057398421749</v>
      </c>
      <c r="G15" s="2">
        <f>'ускорения и моменты'!Q13-G$4</f>
        <v>0.45863995847372196</v>
      </c>
      <c r="H15" s="12">
        <f>'ускорения и моменты'!R13-H$4</f>
        <v>0.28275886379338377</v>
      </c>
    </row>
    <row r="16" spans="2:8" ht="15.75" customHeight="1" x14ac:dyDescent="0.25">
      <c r="B16" s="10" t="s">
        <v>17</v>
      </c>
      <c r="C16" s="2">
        <f>'ускорения и моменты'!M14-C$5</f>
        <v>2.4457726142828123E-2</v>
      </c>
      <c r="D16" s="2">
        <f>'ускорения и моменты'!N14-D$5</f>
        <v>2.4539642859114835E-2</v>
      </c>
      <c r="E16" s="2">
        <f>'ускорения и моменты'!O14-E$5</f>
        <v>2.464025439748635E-2</v>
      </c>
      <c r="F16" s="2">
        <f>'ускорения и моменты'!P14-F$5</f>
        <v>2.4601841564246579E-2</v>
      </c>
      <c r="G16" s="2">
        <f>'ускорения и моменты'!Q14-G$5</f>
        <v>2.4651783481769773E-2</v>
      </c>
      <c r="H16" s="12">
        <f>'ускорения и моменты'!R14-H$5</f>
        <v>2.4709383674680785E-2</v>
      </c>
    </row>
    <row r="17" spans="2:8" ht="15.75" customHeight="1" x14ac:dyDescent="0.25">
      <c r="B17" s="10" t="s">
        <v>23</v>
      </c>
      <c r="C17" s="2">
        <f t="shared" ref="C17:H17" si="2">C15*C16</f>
        <v>1.9553931759236171E-2</v>
      </c>
      <c r="D17" s="2">
        <f t="shared" si="2"/>
        <v>1.4118491537347863E-2</v>
      </c>
      <c r="E17" s="2">
        <f t="shared" si="2"/>
        <v>7.9871891437892084E-3</v>
      </c>
      <c r="F17" s="2">
        <f t="shared" si="2"/>
        <v>1.4825821902930695E-2</v>
      </c>
      <c r="G17" s="2">
        <f t="shared" si="2"/>
        <v>1.1306292952382073E-2</v>
      </c>
      <c r="H17" s="12">
        <f t="shared" si="2"/>
        <v>6.9867972528875246E-3</v>
      </c>
    </row>
    <row r="18" spans="2:8" ht="15.75" customHeight="1" x14ac:dyDescent="0.25">
      <c r="B18" s="14"/>
      <c r="H18" s="15"/>
    </row>
    <row r="19" spans="2:8" ht="15.75" customHeight="1" x14ac:dyDescent="0.25">
      <c r="B19" s="10" t="s">
        <v>15</v>
      </c>
      <c r="C19" s="2">
        <f>'ускорения и моменты'!M17-C$4</f>
        <v>3.6693966751284632</v>
      </c>
      <c r="D19" s="2">
        <f>'ускорения и моменты'!N17-D$4</f>
        <v>2.6460550373874856</v>
      </c>
      <c r="E19" s="2">
        <f>'ускорения и моменты'!O17-E$4</f>
        <v>1.6947510781373309</v>
      </c>
      <c r="F19" s="2">
        <f>'ускорения и моменты'!P17-F$4</f>
        <v>1.6011791247727132</v>
      </c>
      <c r="G19" s="2">
        <f>'ускорения и моменты'!Q17-G$4</f>
        <v>1.2751079314827494</v>
      </c>
      <c r="H19" s="12">
        <f>'ускорения и моменты'!R17-H$4</f>
        <v>0.94755268060703779</v>
      </c>
    </row>
    <row r="20" spans="2:8" ht="15.75" customHeight="1" x14ac:dyDescent="0.25">
      <c r="B20" s="10" t="s">
        <v>17</v>
      </c>
      <c r="C20" s="2">
        <f>'ускорения и моменты'!M18-C$5</f>
        <v>7.177235797212278E-2</v>
      </c>
      <c r="D20" s="2">
        <f>'ускорения и моменты'!N18-D$5</f>
        <v>7.2489361946784264E-2</v>
      </c>
      <c r="E20" s="2">
        <f>'ускорения и моменты'!O18-E$5</f>
        <v>7.3144945082030455E-2</v>
      </c>
      <c r="F20" s="2">
        <f>'ускорения и моменты'!P18-F$5</f>
        <v>7.3378116513246494E-2</v>
      </c>
      <c r="G20" s="2">
        <f>'ускорения и моменты'!Q18-G$5</f>
        <v>7.360010777939241E-2</v>
      </c>
      <c r="H20" s="12">
        <f>'ускорения и моменты'!R18-H$5</f>
        <v>7.379901655062146E-2</v>
      </c>
    </row>
    <row r="21" spans="2:8" ht="12.5" x14ac:dyDescent="0.25">
      <c r="B21" s="17" t="s">
        <v>23</v>
      </c>
      <c r="C21" s="18">
        <f t="shared" ref="C21:H21" si="3">C19*C20</f>
        <v>0.26336125170903718</v>
      </c>
      <c r="D21" s="18">
        <f t="shared" si="3"/>
        <v>0.19181084133629323</v>
      </c>
      <c r="E21" s="18">
        <f t="shared" si="3"/>
        <v>0.12396247453806698</v>
      </c>
      <c r="F21" s="18">
        <f t="shared" si="3"/>
        <v>0.11749150837615019</v>
      </c>
      <c r="G21" s="18">
        <f t="shared" si="3"/>
        <v>9.3848081187488469E-2</v>
      </c>
      <c r="H21" s="19">
        <f t="shared" si="3"/>
        <v>6.9928455958704519E-2</v>
      </c>
    </row>
    <row r="24" spans="2:8" ht="12.5" x14ac:dyDescent="0.25">
      <c r="B24" s="1" t="s">
        <v>4</v>
      </c>
      <c r="C24" s="5">
        <f>SUM(C9,C13,C17,C21)/DEVSQ('ускорения и моменты'!M5,'ускорения и моменты'!M9,'ускорения и моменты'!M13,'ускорения и моменты'!M17)</f>
        <v>1.9618625898537152E-2</v>
      </c>
      <c r="D24" s="5">
        <f>SUM(D9,D13,D17,D21)/DEVSQ('ускорения и моменты'!N5,'ускорения и моменты'!N9,'ускорения и моменты'!N13,'ускорения и моменты'!N17)</f>
        <v>2.9292813589182027E-2</v>
      </c>
      <c r="E24" s="5">
        <f>SUM(E9,E13,E17,E21)/DEVSQ('ускорения и моменты'!O5,'ускорения и моменты'!O9,'ускорения и моменты'!O13,'ускорения и моменты'!O17)</f>
        <v>4.5583157198814936E-2</v>
      </c>
      <c r="F24" s="5">
        <f>SUM(F9,F13,F17,F21)/DEVSQ('ускорения и моменты'!P5,'ускорения и моменты'!P9,'ускорения и моменты'!P13,'ускорения и моменты'!P17)</f>
        <v>4.4735332252750143E-2</v>
      </c>
      <c r="G24" s="5">
        <f>SUM(G9,G13,G17,G21)/DEVSQ('ускорения и моменты'!Q5,'ускорения и моменты'!Q9,'ускорения и моменты'!Q13,'ускорения и моменты'!Q17)</f>
        <v>5.8111920317390153E-2</v>
      </c>
      <c r="H24" s="5">
        <f>SUM(H9,H13,H17,H21)/DEVSQ('ускорения и моменты'!R5,'ускорения и моменты'!R9,'ускорения и моменты'!R13,'ускорения и моменты'!R17)</f>
        <v>7.8778928351607561E-2</v>
      </c>
    </row>
    <row r="25" spans="2:8" ht="12.5" x14ac:dyDescent="0.25">
      <c r="B25" s="1" t="s">
        <v>29</v>
      </c>
      <c r="C25" s="5">
        <f t="shared" ref="C25:H25" si="4">C5-C24*C4</f>
        <v>-6.7159629495615603E-3</v>
      </c>
      <c r="D25" s="5">
        <f t="shared" si="4"/>
        <v>-1.9833538044248061E-2</v>
      </c>
      <c r="E25" s="5">
        <f t="shared" si="4"/>
        <v>-3.2700013616075913E-2</v>
      </c>
      <c r="F25" s="5">
        <f t="shared" si="4"/>
        <v>1.7435395789387631E-2</v>
      </c>
      <c r="G25" s="5">
        <f t="shared" si="4"/>
        <v>1.5837108680210821E-2</v>
      </c>
      <c r="H25" s="5">
        <f t="shared" si="4"/>
        <v>5.4434213957077759E-3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H18"/>
  <sheetViews>
    <sheetView workbookViewId="0">
      <selection activeCell="B20" sqref="B20"/>
    </sheetView>
  </sheetViews>
  <sheetFormatPr defaultColWidth="14.453125" defaultRowHeight="15.75" customHeight="1" x14ac:dyDescent="0.25"/>
  <sheetData>
    <row r="2" spans="2:8" ht="15.75" customHeight="1" x14ac:dyDescent="0.25">
      <c r="B2" s="1" t="s">
        <v>1</v>
      </c>
      <c r="C2" s="1" t="s">
        <v>4</v>
      </c>
      <c r="D2" s="1" t="s">
        <v>5</v>
      </c>
      <c r="E2" s="1" t="s">
        <v>6</v>
      </c>
      <c r="G2" s="1" t="s">
        <v>7</v>
      </c>
    </row>
    <row r="3" spans="2:8" ht="15.75" customHeight="1" x14ac:dyDescent="0.25">
      <c r="B3" s="1">
        <v>1</v>
      </c>
      <c r="C3" s="4">
        <f>'МНК для I и Mтр'!C24</f>
        <v>1.9618625898537152E-2</v>
      </c>
      <c r="D3" s="5">
        <f t="shared" ref="D3:D8" si="0">E3^2</f>
        <v>5.9290000000000002E-3</v>
      </c>
      <c r="E3" s="5">
        <f t="shared" ref="E3:E8" si="1">0.057+(B3-1)*0.025+0.04/2</f>
        <v>7.6999999999999999E-2</v>
      </c>
      <c r="F3" s="6">
        <f t="shared" ref="F3:F8" si="2">(C3-$C$12)*(D3-$D$12)</f>
        <v>4.0537308810407129E-4</v>
      </c>
      <c r="G3" s="4">
        <f t="shared" ref="G3:G8" si="3">C3-($C$16+$C$15*D3)</f>
        <v>-2.4968005442845866E-3</v>
      </c>
    </row>
    <row r="4" spans="2:8" ht="15.75" customHeight="1" x14ac:dyDescent="0.25">
      <c r="B4" s="1">
        <v>2</v>
      </c>
      <c r="C4" s="5">
        <f>'МНК для I и Mтр'!D24</f>
        <v>2.9292813589182027E-2</v>
      </c>
      <c r="D4" s="5">
        <f t="shared" si="0"/>
        <v>1.0404000000000002E-2</v>
      </c>
      <c r="E4" s="5">
        <f t="shared" si="1"/>
        <v>0.10200000000000001</v>
      </c>
      <c r="F4" s="6">
        <f t="shared" si="2"/>
        <v>1.8197925878270734E-4</v>
      </c>
      <c r="G4" s="4">
        <f t="shared" si="3"/>
        <v>2.103176233502653E-4</v>
      </c>
    </row>
    <row r="5" spans="2:8" ht="15.75" customHeight="1" x14ac:dyDescent="0.25">
      <c r="B5" s="1">
        <v>3</v>
      </c>
      <c r="C5" s="5">
        <f>'МНК для I и Mтр'!E24</f>
        <v>4.5583157198814936E-2</v>
      </c>
      <c r="D5" s="5">
        <f t="shared" si="0"/>
        <v>1.6129000000000001E-2</v>
      </c>
      <c r="E5" s="5">
        <f t="shared" si="1"/>
        <v>0.127</v>
      </c>
      <c r="F5" s="6">
        <f t="shared" si="2"/>
        <v>2.2522285915557894E-6</v>
      </c>
      <c r="G5" s="4">
        <f t="shared" si="3"/>
        <v>7.587482904663094E-3</v>
      </c>
    </row>
    <row r="6" spans="2:8" ht="15.75" customHeight="1" x14ac:dyDescent="0.25">
      <c r="B6" s="1">
        <v>4</v>
      </c>
      <c r="C6" s="5">
        <f>'МНК для I и Mтр'!F24</f>
        <v>4.4735332252750143E-2</v>
      </c>
      <c r="D6" s="5">
        <f t="shared" si="0"/>
        <v>2.3104E-2</v>
      </c>
      <c r="E6" s="5">
        <f t="shared" si="1"/>
        <v>0.152</v>
      </c>
      <c r="F6" s="6">
        <f t="shared" si="2"/>
        <v>-2.3394018389641239E-6</v>
      </c>
      <c r="G6" s="4">
        <f t="shared" si="3"/>
        <v>-4.1196291750318359E-3</v>
      </c>
    </row>
    <row r="7" spans="2:8" ht="15.75" customHeight="1" x14ac:dyDescent="0.25">
      <c r="B7" s="1">
        <v>5</v>
      </c>
      <c r="C7" s="5">
        <f>'МНК для I и Mтр'!G24</f>
        <v>5.8111920317390153E-2</v>
      </c>
      <c r="D7" s="5">
        <f t="shared" si="0"/>
        <v>3.1328999999999996E-2</v>
      </c>
      <c r="E7" s="5">
        <f t="shared" si="1"/>
        <v>0.17699999999999999</v>
      </c>
      <c r="F7" s="6">
        <f t="shared" si="2"/>
        <v>1.2147211423458196E-4</v>
      </c>
      <c r="G7" s="4">
        <f t="shared" si="3"/>
        <v>-3.5484370493320261E-3</v>
      </c>
    </row>
    <row r="8" spans="2:8" ht="15.75" customHeight="1" x14ac:dyDescent="0.25">
      <c r="B8" s="1">
        <v>6</v>
      </c>
      <c r="C8" s="5">
        <f>'МНК для I и Mтр'!H24</f>
        <v>7.8778928351607561E-2</v>
      </c>
      <c r="D8" s="5">
        <f t="shared" si="0"/>
        <v>4.0803999999999993E-2</v>
      </c>
      <c r="E8" s="5">
        <f t="shared" si="1"/>
        <v>0.20199999999999999</v>
      </c>
      <c r="F8" s="6">
        <f t="shared" si="2"/>
        <v>6.3947905060339385E-4</v>
      </c>
      <c r="G8" s="4">
        <f t="shared" si="3"/>
        <v>2.3670662406351101E-3</v>
      </c>
    </row>
    <row r="10" spans="2:8" ht="15.75" customHeight="1" x14ac:dyDescent="0.25">
      <c r="C10" s="38" t="s">
        <v>18</v>
      </c>
      <c r="D10" s="39"/>
    </row>
    <row r="11" spans="2:8" ht="15.75" customHeight="1" x14ac:dyDescent="0.25">
      <c r="C11" s="1" t="s">
        <v>4</v>
      </c>
      <c r="D11" s="1" t="s">
        <v>5</v>
      </c>
    </row>
    <row r="12" spans="2:8" ht="15.75" customHeight="1" x14ac:dyDescent="0.25">
      <c r="C12" s="4">
        <f t="shared" ref="C12:D12" si="4">AVERAGE(C3:C8)</f>
        <v>4.6020129601380327E-2</v>
      </c>
      <c r="D12" s="5">
        <f t="shared" si="4"/>
        <v>2.1283166666666669E-2</v>
      </c>
    </row>
    <row r="14" spans="2:8" ht="15.75" customHeight="1" x14ac:dyDescent="0.25">
      <c r="D14" s="11" t="s">
        <v>11</v>
      </c>
      <c r="E14" s="11" t="s">
        <v>20</v>
      </c>
    </row>
    <row r="15" spans="2:8" ht="15.75" customHeight="1" x14ac:dyDescent="0.25">
      <c r="B15" s="1" t="s">
        <v>21</v>
      </c>
      <c r="C15" s="5">
        <f>SUM(F3:F8)/DEVSQ(D3:D8)</f>
        <v>1.5568870442480491</v>
      </c>
      <c r="D15" s="5">
        <f>SQRT(SUMSQ(G3:G8)/C18/4)</f>
        <v>0.16907011118450124</v>
      </c>
      <c r="E15" s="5">
        <f t="shared" ref="E15:E16" si="5">3.18*D15</f>
        <v>0.53764295356671399</v>
      </c>
      <c r="G15" s="6">
        <f>C15/4</f>
        <v>0.38922176106201228</v>
      </c>
      <c r="H15" s="16">
        <f>E15/G15</f>
        <v>1.3813280945539288</v>
      </c>
    </row>
    <row r="16" spans="2:8" ht="15.75" customHeight="1" x14ac:dyDescent="0.25">
      <c r="B16" s="1" t="s">
        <v>25</v>
      </c>
      <c r="C16" s="4">
        <f>C12-C15*D12</f>
        <v>1.2884643157475055E-2</v>
      </c>
      <c r="D16" s="5">
        <f>SQRT((1/6+D12^2/C18)*SUMSQ(G3:G8)/4)</f>
        <v>4.1320313020654651E-3</v>
      </c>
      <c r="E16" s="5">
        <f t="shared" si="5"/>
        <v>1.3139859540568179E-2</v>
      </c>
      <c r="F16" s="16"/>
      <c r="H16" s="6">
        <f>E16/C16</f>
        <v>1.0198077959920109</v>
      </c>
    </row>
    <row r="18" spans="2:3" ht="15.75" customHeight="1" x14ac:dyDescent="0.25">
      <c r="B18" s="1" t="s">
        <v>26</v>
      </c>
      <c r="C18" s="5">
        <f>DEVSQ(D3:D8)</f>
        <v>8.6596927083333294E-4</v>
      </c>
    </row>
  </sheetData>
  <mergeCells count="1">
    <mergeCell ref="C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ускорения и моменты</vt:lpstr>
      <vt:lpstr>МНК для I и Mтр</vt:lpstr>
      <vt:lpstr>I(R^2) и МНК по I0 и mут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Бахаруев Павел</cp:lastModifiedBy>
  <dcterms:modified xsi:type="dcterms:W3CDTF">2019-12-17T20:12:20Z</dcterms:modified>
</cp:coreProperties>
</file>