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heckCompatibility="1" defaultThemeVersion="124226"/>
  <bookViews>
    <workbookView xWindow="14505" yWindow="-15" windowWidth="14340" windowHeight="6390"/>
  </bookViews>
  <sheets>
    <sheet name="смета 2023" sheetId="10" r:id="rId1"/>
  </sheets>
  <definedNames>
    <definedName name="_xlnm.Print_Area" localSheetId="0">'смета 2023'!$A$1:$R$49</definedName>
  </definedNames>
  <calcPr calcId="125725" refMode="R1C1"/>
</workbook>
</file>

<file path=xl/calcChain.xml><?xml version="1.0" encoding="utf-8"?>
<calcChain xmlns="http://schemas.openxmlformats.org/spreadsheetml/2006/main">
  <c r="R41" i="10"/>
  <c r="R42" s="1"/>
  <c r="H42" l="1"/>
  <c r="I42"/>
  <c r="J42"/>
  <c r="K42"/>
  <c r="L42"/>
  <c r="M42"/>
  <c r="N42"/>
  <c r="O42"/>
  <c r="P42"/>
  <c r="Q42"/>
  <c r="H22" l="1"/>
  <c r="H41"/>
  <c r="E41"/>
  <c r="F41" s="1"/>
  <c r="O40"/>
  <c r="N40"/>
  <c r="M40"/>
  <c r="L40"/>
  <c r="K40"/>
  <c r="J40"/>
  <c r="O39"/>
  <c r="N39"/>
  <c r="M39"/>
  <c r="L39"/>
  <c r="K39"/>
  <c r="J39"/>
  <c r="E39"/>
  <c r="F39" s="1"/>
  <c r="O38"/>
  <c r="N38"/>
  <c r="M38"/>
  <c r="L38"/>
  <c r="K38"/>
  <c r="J38"/>
  <c r="E38"/>
  <c r="F38" s="1"/>
  <c r="O36"/>
  <c r="N36"/>
  <c r="M36"/>
  <c r="L36"/>
  <c r="K36"/>
  <c r="J36"/>
  <c r="F36"/>
  <c r="O35"/>
  <c r="N35"/>
  <c r="M35"/>
  <c r="L35"/>
  <c r="K35"/>
  <c r="J35"/>
  <c r="E35"/>
  <c r="F35" s="1"/>
  <c r="O33"/>
  <c r="N33"/>
  <c r="M33"/>
  <c r="L33"/>
  <c r="K33"/>
  <c r="J33"/>
  <c r="F33"/>
  <c r="E31"/>
  <c r="E30" s="1"/>
  <c r="F30" s="1"/>
  <c r="R30"/>
  <c r="O30"/>
  <c r="N30"/>
  <c r="M30"/>
  <c r="L30"/>
  <c r="K30"/>
  <c r="J30"/>
  <c r="O28"/>
  <c r="N28"/>
  <c r="M28"/>
  <c r="L28"/>
  <c r="K28"/>
  <c r="J28"/>
  <c r="G28"/>
  <c r="E28"/>
  <c r="F28" s="1"/>
  <c r="O27"/>
  <c r="N27"/>
  <c r="M27"/>
  <c r="L27"/>
  <c r="K27"/>
  <c r="J27"/>
  <c r="F27"/>
  <c r="E25"/>
  <c r="E24" s="1"/>
  <c r="F24" s="1"/>
  <c r="O24"/>
  <c r="N24"/>
  <c r="M24"/>
  <c r="L24"/>
  <c r="K24"/>
  <c r="J24"/>
  <c r="G22"/>
  <c r="K41" l="1"/>
  <c r="O41"/>
  <c r="L41"/>
  <c r="J41"/>
  <c r="N41"/>
  <c r="M41"/>
  <c r="G40"/>
  <c r="G24"/>
  <c r="G30"/>
  <c r="G36"/>
  <c r="G39"/>
  <c r="G38"/>
  <c r="G41" l="1"/>
  <c r="G42" s="1"/>
</calcChain>
</file>

<file path=xl/sharedStrings.xml><?xml version="1.0" encoding="utf-8"?>
<sst xmlns="http://schemas.openxmlformats.org/spreadsheetml/2006/main" count="93" uniqueCount="83">
  <si>
    <t>УТВЕРЖДЕНО</t>
  </si>
  <si>
    <t>Код строки</t>
  </si>
  <si>
    <t xml:space="preserve">Фактические расходы за предыдущий год </t>
  </si>
  <si>
    <t>Целевые мероприятия</t>
  </si>
  <si>
    <t>Обучение профсоюзных кадров и актива</t>
  </si>
  <si>
    <t>Организационные расходы</t>
  </si>
  <si>
    <t>Административно-хозяйственные расходы</t>
  </si>
  <si>
    <t>Прочие расходы</t>
  </si>
  <si>
    <t>№______</t>
  </si>
  <si>
    <t>Расходы на целевые мероприятия (в районе, городе, области)</t>
  </si>
  <si>
    <t>подпись</t>
  </si>
  <si>
    <t>Ф.И.О</t>
  </si>
  <si>
    <t>Ф.И.О.</t>
  </si>
  <si>
    <t xml:space="preserve">в т.ч. материальная помощь по заявлениям членов профсоюза </t>
  </si>
  <si>
    <t>Предоставление безвозмездной (спонсорской помощи) по договору</t>
  </si>
  <si>
    <t>Обязательные отчисления в ФСЗН, Белгосстрах</t>
  </si>
  <si>
    <t>Сумма, руб.</t>
  </si>
  <si>
    <t xml:space="preserve"> %  к сумме дохода</t>
  </si>
  <si>
    <t xml:space="preserve"> не менее  10%</t>
  </si>
  <si>
    <t>Витебск</t>
  </si>
  <si>
    <t>Гродно</t>
  </si>
  <si>
    <t>Гомель</t>
  </si>
  <si>
    <t>Брест</t>
  </si>
  <si>
    <r>
      <t xml:space="preserve">Профсоюзная организация </t>
    </r>
    <r>
      <rPr>
        <b/>
        <u/>
        <sz val="11"/>
        <color indexed="8"/>
        <rFont val="Times New Roman"/>
        <family val="1"/>
        <charset val="204"/>
      </rPr>
      <t>Объединенная профсоюзная организация Национального банка Республики Беларусь</t>
    </r>
  </si>
  <si>
    <r>
      <t>Юридический адрес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b/>
        <u/>
        <sz val="11"/>
        <color indexed="8"/>
        <rFont val="Times New Roman"/>
        <family val="1"/>
        <charset val="204"/>
      </rPr>
      <t>220008, г. Минск, пр. Независимости,20</t>
    </r>
  </si>
  <si>
    <r>
      <t xml:space="preserve">Телефон </t>
    </r>
    <r>
      <rPr>
        <b/>
        <u/>
        <sz val="11"/>
        <color indexed="8"/>
        <rFont val="Times New Roman"/>
        <family val="1"/>
        <charset val="204"/>
      </rPr>
      <t>2192357, 2153542</t>
    </r>
  </si>
  <si>
    <t>Белорусского профсоюза работников государственных и других учреждений</t>
  </si>
  <si>
    <t>ОПО</t>
  </si>
  <si>
    <t xml:space="preserve">Остаток средств целевого финансирования на начало отчетного года </t>
  </si>
  <si>
    <t>Х</t>
  </si>
  <si>
    <t>1 ОСТАТОК</t>
  </si>
  <si>
    <t>2. ДОХОДЫ</t>
  </si>
  <si>
    <t>Членские профсоюзные взносы</t>
  </si>
  <si>
    <t>Целевые поступления  по коллективным договорам</t>
  </si>
  <si>
    <t xml:space="preserve">Прочие поступления </t>
  </si>
  <si>
    <t>2</t>
  </si>
  <si>
    <t>3</t>
  </si>
  <si>
    <t>4</t>
  </si>
  <si>
    <t>5</t>
  </si>
  <si>
    <t>Расходы из фонда помощи</t>
  </si>
  <si>
    <t>спортивные мероприятия</t>
  </si>
  <si>
    <t>3. РАСХОДЫ</t>
  </si>
  <si>
    <t>Раздел</t>
  </si>
  <si>
    <t>Наименование статьи доходов и расходов</t>
  </si>
  <si>
    <t>6</t>
  </si>
  <si>
    <t>7</t>
  </si>
  <si>
    <t>9.1</t>
  </si>
  <si>
    <t>8.1</t>
  </si>
  <si>
    <t xml:space="preserve">услуги "Беларустурист" </t>
  </si>
  <si>
    <t xml:space="preserve">Туристско-экскурсионная деятельность
в т.ч. </t>
  </si>
  <si>
    <t>Спортивная и культурно-массовая работа в т.ч.</t>
  </si>
  <si>
    <t>культурно- массовые мероприятия</t>
  </si>
  <si>
    <t>Информационная работа в т.ч.</t>
  </si>
  <si>
    <t>подписка на "Беларускі час"</t>
  </si>
  <si>
    <t>4. ФОНД</t>
  </si>
  <si>
    <t>Могилев</t>
  </si>
  <si>
    <t>ЦА и УЦ</t>
  </si>
  <si>
    <t>Общая</t>
  </si>
  <si>
    <t>4708</t>
  </si>
  <si>
    <t>Председатель ___________________________________Н.П. Ковчур</t>
  </si>
  <si>
    <t>Исполнитель  ___________________________________М.Н. Масуми</t>
  </si>
  <si>
    <t>Итого доходов (сумма строк 2-4)</t>
  </si>
  <si>
    <t>8</t>
  </si>
  <si>
    <t>9.2</t>
  </si>
  <si>
    <t>10.1</t>
  </si>
  <si>
    <t>11</t>
  </si>
  <si>
    <t>12</t>
  </si>
  <si>
    <t xml:space="preserve"> не менее   2%</t>
  </si>
  <si>
    <t>Итого расходов (сумма строк 6-15)</t>
  </si>
  <si>
    <t xml:space="preserve">Остаток средств целевого финансирования на конец отчетного года </t>
  </si>
  <si>
    <t>№ 13 от 31.12.2020 г.</t>
  </si>
  <si>
    <t>Расчетный счет в банке BY97AKBB30150000018430000000 ОАО "АСБ "Беларусбанк" г. Минск, код AKBBBY2X</t>
  </si>
  <si>
    <t xml:space="preserve">Расчетный счет в банке BY98BLBB30150102375375001001 ОАО "Белинвестбанк" г. Минск, код BLBBBY2X </t>
  </si>
  <si>
    <t xml:space="preserve"> не более 50% (20%)</t>
  </si>
  <si>
    <t>постановлением Конференции</t>
  </si>
  <si>
    <t xml:space="preserve">Средства ППО </t>
  </si>
  <si>
    <t>Средства ОПО</t>
  </si>
  <si>
    <t>Норматив по стандарту, %</t>
  </si>
  <si>
    <t>Целевые поступления по коллективному договору</t>
  </si>
  <si>
    <t>заработная плата  штатным работникам, вознаграждение профсоюзному активу за выполнение общественной нагрузки</t>
  </si>
  <si>
    <t>№     от                         г.</t>
  </si>
  <si>
    <t>СМЕТА  ДОХОДОВ  И РАСХОДОВ НА 2023 ГОД</t>
  </si>
  <si>
    <t>Приложение 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</si>
</sst>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9" fontId="3" fillId="0" borderId="1" xfId="0" applyNumberFormat="1" applyFont="1" applyBorder="1" applyAlignment="1">
      <alignment horizontal="center"/>
    </xf>
    <xf numFmtId="0" fontId="0" fillId="0" borderId="0" xfId="0" applyBorder="1"/>
    <xf numFmtId="2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6" fillId="0" borderId="7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2" fontId="0" fillId="0" borderId="0" xfId="0" applyNumberFormat="1" applyBorder="1"/>
    <xf numFmtId="2" fontId="8" fillId="0" borderId="0" xfId="0" applyNumberFormat="1" applyFont="1" applyBorder="1"/>
    <xf numFmtId="0" fontId="0" fillId="0" borderId="10" xfId="0" applyBorder="1"/>
    <xf numFmtId="1" fontId="0" fillId="0" borderId="0" xfId="0" applyNumberFormat="1" applyBorder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 wrapText="1"/>
    </xf>
    <xf numFmtId="0" fontId="7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8"/>
  <sheetViews>
    <sheetView tabSelected="1" zoomScale="85" zoomScaleNormal="85" zoomScaleSheetLayoutView="100" workbookViewId="0">
      <selection activeCell="R27" sqref="R27"/>
    </sheetView>
  </sheetViews>
  <sheetFormatPr defaultRowHeight="15"/>
  <cols>
    <col min="1" max="1" width="6.7109375" customWidth="1"/>
    <col min="2" max="2" width="42" customWidth="1"/>
    <col min="3" max="3" width="11.85546875" bestFit="1" customWidth="1"/>
    <col min="4" max="4" width="9.5703125" style="18" customWidth="1"/>
    <col min="5" max="5" width="14.42578125" style="18" hidden="1" customWidth="1"/>
    <col min="6" max="6" width="7.85546875" style="18" hidden="1" customWidth="1"/>
    <col min="7" max="7" width="16.5703125" style="18" customWidth="1"/>
    <col min="8" max="8" width="14.7109375" style="18" customWidth="1"/>
    <col min="9" max="9" width="9.5703125" hidden="1" customWidth="1"/>
    <col min="10" max="13" width="0" hidden="1" customWidth="1"/>
    <col min="14" max="14" width="9" hidden="1" customWidth="1"/>
    <col min="15" max="17" width="9.5703125" hidden="1" customWidth="1"/>
    <col min="18" max="18" width="13.7109375" customWidth="1"/>
  </cols>
  <sheetData>
    <row r="1" spans="1:18">
      <c r="F1" s="39"/>
      <c r="G1" s="39" t="s">
        <v>82</v>
      </c>
      <c r="H1" s="39"/>
      <c r="N1" t="s">
        <v>70</v>
      </c>
    </row>
    <row r="2" spans="1:18">
      <c r="F2" s="56" t="s">
        <v>0</v>
      </c>
      <c r="G2" s="56"/>
      <c r="H2" s="56"/>
    </row>
    <row r="3" spans="1:18">
      <c r="F3" s="57" t="s">
        <v>74</v>
      </c>
      <c r="G3" s="57"/>
      <c r="H3" s="57"/>
    </row>
    <row r="4" spans="1:18" ht="15" customHeight="1">
      <c r="F4" t="s">
        <v>8</v>
      </c>
      <c r="G4" s="54" t="s">
        <v>80</v>
      </c>
      <c r="H4" s="55"/>
    </row>
    <row r="5" spans="1:18">
      <c r="G5" s="54"/>
      <c r="H5" s="55"/>
    </row>
    <row r="6" spans="1:18" ht="42" customHeight="1">
      <c r="A6" s="58" t="s">
        <v>81</v>
      </c>
      <c r="B6" s="58"/>
      <c r="C6" s="58"/>
      <c r="D6" s="58"/>
      <c r="E6" s="58"/>
      <c r="F6" s="58"/>
      <c r="G6" s="58"/>
      <c r="H6" s="58"/>
    </row>
    <row r="7" spans="1:18">
      <c r="A7" s="13" t="s">
        <v>23</v>
      </c>
      <c r="B7" s="13"/>
      <c r="C7" s="13"/>
      <c r="D7" s="16"/>
      <c r="E7" s="16"/>
      <c r="F7" s="16"/>
      <c r="G7" s="16"/>
      <c r="H7" s="16"/>
    </row>
    <row r="8" spans="1:18">
      <c r="A8" s="59" t="s">
        <v>26</v>
      </c>
      <c r="B8" s="59"/>
      <c r="C8" s="59"/>
      <c r="D8" s="59"/>
      <c r="E8" s="59"/>
      <c r="F8" s="59"/>
      <c r="G8" s="59"/>
      <c r="H8" s="59"/>
    </row>
    <row r="9" spans="1:18">
      <c r="A9" s="53" t="s">
        <v>24</v>
      </c>
      <c r="B9" s="53"/>
      <c r="C9" s="53"/>
      <c r="D9" s="53"/>
      <c r="E9" s="53"/>
      <c r="F9" s="53"/>
      <c r="G9" s="53"/>
      <c r="H9" s="53"/>
    </row>
    <row r="10" spans="1:18">
      <c r="A10" s="42" t="s">
        <v>71</v>
      </c>
      <c r="B10" s="42"/>
      <c r="C10" s="42"/>
      <c r="D10" s="42"/>
      <c r="E10" s="42"/>
      <c r="F10" s="42"/>
      <c r="G10" s="42"/>
      <c r="H10" s="42"/>
    </row>
    <row r="11" spans="1:18">
      <c r="A11" s="42" t="s">
        <v>72</v>
      </c>
      <c r="B11" s="42"/>
      <c r="C11" s="42"/>
      <c r="D11" s="42"/>
      <c r="E11" s="42"/>
      <c r="F11" s="42"/>
      <c r="G11" s="42"/>
      <c r="H11" s="42"/>
    </row>
    <row r="12" spans="1:18">
      <c r="A12" s="53" t="s">
        <v>25</v>
      </c>
      <c r="B12" s="53"/>
      <c r="C12" s="53"/>
      <c r="D12" s="53"/>
      <c r="E12" s="53"/>
      <c r="F12" s="53"/>
      <c r="G12" s="53"/>
      <c r="H12" s="53"/>
    </row>
    <row r="13" spans="1:18" ht="7.9" customHeight="1">
      <c r="A13" s="42"/>
      <c r="B13" s="42"/>
      <c r="C13" s="42"/>
      <c r="D13" s="16"/>
      <c r="E13" s="16"/>
      <c r="F13" s="16"/>
      <c r="G13" s="16"/>
      <c r="H13" s="16"/>
    </row>
    <row r="14" spans="1:18" ht="8.25" customHeight="1">
      <c r="A14" s="42"/>
      <c r="B14" s="1"/>
      <c r="C14" s="1"/>
      <c r="D14" s="19"/>
      <c r="E14" s="16"/>
      <c r="F14" s="16"/>
      <c r="G14" s="16"/>
      <c r="H14" s="16"/>
    </row>
    <row r="15" spans="1:18" ht="68.25" customHeight="1">
      <c r="A15" s="61" t="s">
        <v>42</v>
      </c>
      <c r="B15" s="61" t="s">
        <v>43</v>
      </c>
      <c r="C15" s="61" t="s">
        <v>1</v>
      </c>
      <c r="D15" s="61" t="s">
        <v>77</v>
      </c>
      <c r="E15" s="62" t="s">
        <v>2</v>
      </c>
      <c r="F15" s="63"/>
      <c r="G15" s="43" t="s">
        <v>75</v>
      </c>
      <c r="H15" s="61" t="s">
        <v>76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 ht="51" customHeight="1">
      <c r="A16" s="61"/>
      <c r="B16" s="61"/>
      <c r="C16" s="61"/>
      <c r="D16" s="61"/>
      <c r="E16" s="43" t="s">
        <v>16</v>
      </c>
      <c r="F16" s="43" t="s">
        <v>17</v>
      </c>
      <c r="G16" s="41" t="s">
        <v>32</v>
      </c>
      <c r="H16" s="43" t="s">
        <v>32</v>
      </c>
      <c r="I16" s="45"/>
      <c r="J16" s="45"/>
      <c r="K16" s="45"/>
      <c r="L16" s="45"/>
      <c r="M16" s="45"/>
      <c r="N16" s="45"/>
      <c r="O16" s="45"/>
      <c r="P16" s="45"/>
      <c r="Q16" s="45"/>
      <c r="R16" s="44" t="s">
        <v>78</v>
      </c>
    </row>
    <row r="17" spans="1:18">
      <c r="A17" s="14">
        <v>1</v>
      </c>
      <c r="B17" s="26">
        <v>2</v>
      </c>
      <c r="C17" s="26">
        <v>3</v>
      </c>
      <c r="D17" s="26">
        <v>4</v>
      </c>
      <c r="E17" s="26">
        <v>5</v>
      </c>
      <c r="F17" s="15">
        <v>6</v>
      </c>
      <c r="G17" s="27">
        <v>5</v>
      </c>
      <c r="H17" s="26">
        <v>6</v>
      </c>
      <c r="I17" s="45" t="s">
        <v>57</v>
      </c>
      <c r="J17" s="45" t="s">
        <v>22</v>
      </c>
      <c r="K17" s="45" t="s">
        <v>19</v>
      </c>
      <c r="L17" s="45" t="s">
        <v>21</v>
      </c>
      <c r="M17" s="45" t="s">
        <v>20</v>
      </c>
      <c r="N17" s="45" t="s">
        <v>55</v>
      </c>
      <c r="O17" s="45" t="s">
        <v>56</v>
      </c>
      <c r="P17" s="45" t="s">
        <v>27</v>
      </c>
      <c r="Q17" s="45"/>
      <c r="R17" s="26">
        <v>8</v>
      </c>
    </row>
    <row r="18" spans="1:18" ht="73.5" customHeight="1">
      <c r="A18" s="34" t="s">
        <v>30</v>
      </c>
      <c r="B18" s="7" t="s">
        <v>28</v>
      </c>
      <c r="C18" s="17">
        <v>1</v>
      </c>
      <c r="D18" s="3" t="s">
        <v>29</v>
      </c>
      <c r="E18" s="3">
        <v>113091.25</v>
      </c>
      <c r="F18" s="3"/>
      <c r="G18" s="33">
        <v>95682</v>
      </c>
      <c r="H18" s="33">
        <v>100</v>
      </c>
      <c r="I18" s="45"/>
      <c r="J18" s="45">
        <v>6594</v>
      </c>
      <c r="K18" s="45">
        <v>2705</v>
      </c>
      <c r="L18" s="17" t="s">
        <v>58</v>
      </c>
      <c r="M18" s="45">
        <v>2967</v>
      </c>
      <c r="N18" s="45">
        <v>1448</v>
      </c>
      <c r="O18" s="45">
        <v>46807</v>
      </c>
      <c r="P18" s="45"/>
      <c r="Q18" s="45"/>
      <c r="R18" s="3">
        <v>351816</v>
      </c>
    </row>
    <row r="19" spans="1:18" ht="39" customHeight="1">
      <c r="A19" s="64" t="s">
        <v>31</v>
      </c>
      <c r="B19" s="7" t="s">
        <v>32</v>
      </c>
      <c r="C19" s="17" t="s">
        <v>35</v>
      </c>
      <c r="D19" s="3" t="s">
        <v>29</v>
      </c>
      <c r="E19" s="3">
        <v>190594.93</v>
      </c>
      <c r="F19" s="3"/>
      <c r="G19" s="36">
        <v>170000</v>
      </c>
      <c r="H19" s="3">
        <v>43000</v>
      </c>
      <c r="I19" s="45"/>
      <c r="J19" s="45">
        <v>4677</v>
      </c>
      <c r="K19" s="45">
        <v>178</v>
      </c>
      <c r="L19" s="45">
        <v>2807</v>
      </c>
      <c r="M19" s="45">
        <v>763</v>
      </c>
      <c r="N19" s="45">
        <v>37.33</v>
      </c>
      <c r="O19" s="45"/>
      <c r="P19" s="45"/>
      <c r="Q19" s="45"/>
      <c r="R19" s="45"/>
    </row>
    <row r="20" spans="1:18" ht="40.5" customHeight="1">
      <c r="A20" s="64"/>
      <c r="B20" s="7" t="s">
        <v>33</v>
      </c>
      <c r="C20" s="17" t="s">
        <v>36</v>
      </c>
      <c r="D20" s="3" t="s">
        <v>29</v>
      </c>
      <c r="E20" s="3"/>
      <c r="F20" s="3"/>
      <c r="G20" s="33" t="s">
        <v>29</v>
      </c>
      <c r="H20" s="26"/>
      <c r="I20" s="45"/>
      <c r="J20" s="45">
        <v>10200</v>
      </c>
      <c r="K20" s="45">
        <v>9000</v>
      </c>
      <c r="L20" s="45">
        <v>8500</v>
      </c>
      <c r="M20" s="45">
        <v>6399</v>
      </c>
      <c r="N20" s="45">
        <v>8532</v>
      </c>
      <c r="O20" s="45">
        <v>100000</v>
      </c>
      <c r="P20" s="45">
        <v>40372</v>
      </c>
      <c r="Q20" s="45"/>
      <c r="R20" s="3">
        <v>190000</v>
      </c>
    </row>
    <row r="21" spans="1:18" ht="25.5" customHeight="1">
      <c r="A21" s="64"/>
      <c r="B21" s="7" t="s">
        <v>34</v>
      </c>
      <c r="C21" s="17" t="s">
        <v>37</v>
      </c>
      <c r="D21" s="3" t="s">
        <v>29</v>
      </c>
      <c r="E21" s="3">
        <v>20183.02</v>
      </c>
      <c r="F21" s="3"/>
      <c r="G21" s="12" t="s">
        <v>29</v>
      </c>
      <c r="H21" s="26"/>
      <c r="I21" s="45"/>
      <c r="J21" s="45"/>
      <c r="K21" s="45"/>
      <c r="L21" s="45"/>
      <c r="M21" s="45"/>
      <c r="N21" s="45"/>
      <c r="O21" s="45"/>
      <c r="P21" s="45"/>
      <c r="Q21" s="45"/>
      <c r="R21" s="3"/>
    </row>
    <row r="22" spans="1:18" ht="30" customHeight="1">
      <c r="A22" s="65"/>
      <c r="B22" s="37" t="s">
        <v>61</v>
      </c>
      <c r="C22" s="17" t="s">
        <v>38</v>
      </c>
      <c r="D22" s="3"/>
      <c r="E22" s="3"/>
      <c r="F22" s="3"/>
      <c r="G22" s="33">
        <f>G19</f>
        <v>170000</v>
      </c>
      <c r="H22" s="33">
        <f>SUM(H18:H21)</f>
        <v>43100</v>
      </c>
      <c r="I22" s="45"/>
      <c r="J22" s="45"/>
      <c r="K22" s="45"/>
      <c r="L22" s="45"/>
      <c r="M22" s="45"/>
      <c r="N22" s="45"/>
      <c r="O22" s="45"/>
      <c r="P22" s="45"/>
      <c r="Q22" s="45"/>
      <c r="R22" s="3">
        <v>190000</v>
      </c>
    </row>
    <row r="23" spans="1:18" ht="22.9" customHeight="1">
      <c r="A23" s="66" t="s">
        <v>41</v>
      </c>
      <c r="B23" s="67" t="s">
        <v>3</v>
      </c>
      <c r="C23" s="68"/>
      <c r="D23" s="68"/>
      <c r="E23" s="68"/>
      <c r="F23" s="68"/>
      <c r="G23" s="68"/>
      <c r="H23" s="69"/>
      <c r="I23" s="49"/>
      <c r="J23" s="50"/>
      <c r="K23" s="50"/>
      <c r="L23" s="50"/>
      <c r="M23" s="50"/>
      <c r="N23" s="50"/>
      <c r="O23" s="50"/>
      <c r="P23" s="50"/>
      <c r="Q23" s="49"/>
      <c r="R23" s="46"/>
    </row>
    <row r="24" spans="1:18" ht="21" customHeight="1">
      <c r="A24" s="64"/>
      <c r="B24" s="7" t="s">
        <v>39</v>
      </c>
      <c r="C24" s="17" t="s">
        <v>44</v>
      </c>
      <c r="D24" s="10">
        <v>0.2</v>
      </c>
      <c r="E24" s="3" t="e">
        <f>E25+E26+#REF!</f>
        <v>#REF!</v>
      </c>
      <c r="F24" s="12" t="e">
        <f>E24/#REF!*100</f>
        <v>#REF!</v>
      </c>
      <c r="G24" s="33">
        <f>G22*20%</f>
        <v>34000</v>
      </c>
      <c r="H24" s="3"/>
      <c r="I24" s="47"/>
      <c r="J24" s="28">
        <f t="shared" ref="J24:O24" si="0">J20*20/100</f>
        <v>2040</v>
      </c>
      <c r="K24" s="28">
        <f t="shared" si="0"/>
        <v>1800</v>
      </c>
      <c r="L24" s="28">
        <f t="shared" si="0"/>
        <v>1700</v>
      </c>
      <c r="M24" s="28">
        <f t="shared" si="0"/>
        <v>1279.8</v>
      </c>
      <c r="N24" s="28">
        <f t="shared" si="0"/>
        <v>1706.4</v>
      </c>
      <c r="O24" s="28">
        <f t="shared" si="0"/>
        <v>20000</v>
      </c>
      <c r="P24" s="47"/>
      <c r="Q24" s="47"/>
      <c r="R24" s="33">
        <v>18000</v>
      </c>
    </row>
    <row r="25" spans="1:18" ht="31.9" hidden="1" customHeight="1">
      <c r="A25" s="64"/>
      <c r="B25" s="2" t="s">
        <v>13</v>
      </c>
      <c r="C25" s="17">
        <v>12</v>
      </c>
      <c r="D25" s="3"/>
      <c r="E25" s="3">
        <f>36235.72-8479.45-2497.92</f>
        <v>25258.35</v>
      </c>
      <c r="F25" s="3"/>
      <c r="G25" s="3"/>
      <c r="H25" s="26"/>
      <c r="I25" s="47"/>
      <c r="J25" s="47"/>
      <c r="K25" s="47"/>
      <c r="L25" s="47"/>
      <c r="M25" s="47"/>
      <c r="N25" s="47"/>
      <c r="O25" s="47"/>
      <c r="P25" s="45"/>
      <c r="Q25" s="47"/>
      <c r="R25" s="33"/>
    </row>
    <row r="26" spans="1:18" ht="46.5" hidden="1" customHeight="1">
      <c r="A26" s="64"/>
      <c r="B26" s="2" t="s">
        <v>14</v>
      </c>
      <c r="C26" s="17">
        <v>14</v>
      </c>
      <c r="D26" s="3"/>
      <c r="E26" s="12">
        <v>82</v>
      </c>
      <c r="F26" s="3"/>
      <c r="G26" s="3"/>
      <c r="H26" s="26"/>
      <c r="I26" s="47"/>
      <c r="J26" s="47"/>
      <c r="K26" s="47"/>
      <c r="L26" s="47"/>
      <c r="M26" s="47"/>
      <c r="N26" s="47"/>
      <c r="O26" s="47"/>
      <c r="P26" s="45"/>
      <c r="Q26" s="47"/>
      <c r="R26" s="33"/>
    </row>
    <row r="27" spans="1:18" ht="15.75">
      <c r="A27" s="64"/>
      <c r="B27" s="7" t="s">
        <v>4</v>
      </c>
      <c r="C27" s="17" t="s">
        <v>45</v>
      </c>
      <c r="D27" s="10"/>
      <c r="E27" s="12">
        <v>84</v>
      </c>
      <c r="F27" s="12" t="e">
        <f>E27/#REF!*100</f>
        <v>#REF!</v>
      </c>
      <c r="G27" s="12"/>
      <c r="H27" s="26"/>
      <c r="I27" s="47"/>
      <c r="J27" s="28">
        <f t="shared" ref="J27:O27" si="1">J20*2/100</f>
        <v>204</v>
      </c>
      <c r="K27" s="28">
        <f t="shared" si="1"/>
        <v>180</v>
      </c>
      <c r="L27" s="28">
        <f t="shared" si="1"/>
        <v>170</v>
      </c>
      <c r="M27" s="28">
        <f t="shared" si="1"/>
        <v>127.98</v>
      </c>
      <c r="N27" s="28">
        <f t="shared" si="1"/>
        <v>170.64</v>
      </c>
      <c r="O27" s="28">
        <f t="shared" si="1"/>
        <v>2000</v>
      </c>
      <c r="P27" s="45"/>
      <c r="Q27" s="47"/>
      <c r="R27" s="33">
        <v>3500</v>
      </c>
    </row>
    <row r="28" spans="1:18" s="9" customFormat="1" ht="31.5">
      <c r="A28" s="64"/>
      <c r="B28" s="7" t="s">
        <v>49</v>
      </c>
      <c r="C28" s="17" t="s">
        <v>62</v>
      </c>
      <c r="D28" s="20" t="s">
        <v>18</v>
      </c>
      <c r="E28" s="8">
        <f>8723.18</f>
        <v>8723.18</v>
      </c>
      <c r="F28" s="21" t="e">
        <f>E28/#REF!*100</f>
        <v>#REF!</v>
      </c>
      <c r="G28" s="38">
        <f>G19*10/100</f>
        <v>17000</v>
      </c>
      <c r="H28" s="48"/>
      <c r="I28" s="47"/>
      <c r="J28" s="28">
        <f t="shared" ref="J28:O28" si="2">J20*10/100</f>
        <v>1020</v>
      </c>
      <c r="K28" s="28">
        <f t="shared" si="2"/>
        <v>900</v>
      </c>
      <c r="L28" s="28">
        <f t="shared" si="2"/>
        <v>850</v>
      </c>
      <c r="M28" s="28">
        <f t="shared" si="2"/>
        <v>639.9</v>
      </c>
      <c r="N28" s="28">
        <f t="shared" si="2"/>
        <v>853.2</v>
      </c>
      <c r="O28" s="28">
        <f t="shared" si="2"/>
        <v>10000</v>
      </c>
      <c r="P28" s="48"/>
      <c r="Q28" s="47"/>
      <c r="R28" s="38"/>
    </row>
    <row r="29" spans="1:18" ht="15.75">
      <c r="A29" s="64"/>
      <c r="B29" s="7" t="s">
        <v>48</v>
      </c>
      <c r="C29" s="17" t="s">
        <v>47</v>
      </c>
      <c r="D29" s="3"/>
      <c r="E29" s="12">
        <v>2259</v>
      </c>
      <c r="F29" s="3"/>
      <c r="G29" s="3"/>
      <c r="H29" s="26"/>
      <c r="I29" s="47"/>
      <c r="J29" s="47"/>
      <c r="K29" s="47"/>
      <c r="L29" s="47"/>
      <c r="M29" s="47"/>
      <c r="N29" s="47"/>
      <c r="O29" s="47"/>
      <c r="P29" s="45"/>
      <c r="Q29" s="47"/>
      <c r="R29" s="33"/>
    </row>
    <row r="30" spans="1:18" ht="31.5">
      <c r="A30" s="64"/>
      <c r="B30" s="7" t="s">
        <v>50</v>
      </c>
      <c r="C30" s="17">
        <v>9</v>
      </c>
      <c r="D30" s="10">
        <v>0.4</v>
      </c>
      <c r="E30" s="12">
        <f>E31+E32</f>
        <v>27764.149999999994</v>
      </c>
      <c r="F30" s="12" t="e">
        <f>E30/#REF!*100</f>
        <v>#REF!</v>
      </c>
      <c r="G30" s="33">
        <f>G22*40%</f>
        <v>68000</v>
      </c>
      <c r="H30" s="33">
        <v>24000</v>
      </c>
      <c r="I30" s="47"/>
      <c r="J30" s="28">
        <f t="shared" ref="J30:O30" si="3">J20*10/100</f>
        <v>1020</v>
      </c>
      <c r="K30" s="28">
        <f t="shared" si="3"/>
        <v>900</v>
      </c>
      <c r="L30" s="28">
        <f t="shared" si="3"/>
        <v>850</v>
      </c>
      <c r="M30" s="28">
        <f t="shared" si="3"/>
        <v>639.9</v>
      </c>
      <c r="N30" s="28">
        <f t="shared" si="3"/>
        <v>853.2</v>
      </c>
      <c r="O30" s="28">
        <f t="shared" si="3"/>
        <v>10000</v>
      </c>
      <c r="P30" s="47"/>
      <c r="Q30" s="47"/>
      <c r="R30" s="33">
        <f>R31+R32</f>
        <v>136000</v>
      </c>
    </row>
    <row r="31" spans="1:18" ht="15.75">
      <c r="A31" s="64"/>
      <c r="B31" s="7" t="s">
        <v>51</v>
      </c>
      <c r="C31" s="17" t="s">
        <v>46</v>
      </c>
      <c r="D31" s="3" t="s">
        <v>29</v>
      </c>
      <c r="E31" s="3">
        <f>90410.11-46336.37-8033.82-22917.83</f>
        <v>13122.089999999997</v>
      </c>
      <c r="F31" s="3"/>
      <c r="G31" s="3"/>
      <c r="H31" s="26"/>
      <c r="I31" s="47"/>
      <c r="J31" s="47"/>
      <c r="K31" s="47"/>
      <c r="L31" s="47"/>
      <c r="M31" s="47"/>
      <c r="N31" s="47"/>
      <c r="O31" s="47"/>
      <c r="P31" s="47"/>
      <c r="Q31" s="47"/>
      <c r="R31" s="33">
        <v>104000</v>
      </c>
    </row>
    <row r="32" spans="1:18" ht="15.75">
      <c r="A32" s="64"/>
      <c r="B32" s="7" t="s">
        <v>40</v>
      </c>
      <c r="C32" s="17" t="s">
        <v>63</v>
      </c>
      <c r="D32" s="3" t="s">
        <v>29</v>
      </c>
      <c r="E32" s="12">
        <v>14642.06</v>
      </c>
      <c r="F32" s="3"/>
      <c r="G32" s="3"/>
      <c r="H32" s="33">
        <v>24000</v>
      </c>
      <c r="I32" s="47"/>
      <c r="J32" s="47"/>
      <c r="K32" s="47"/>
      <c r="L32" s="47"/>
      <c r="M32" s="47"/>
      <c r="N32" s="47"/>
      <c r="O32" s="47"/>
      <c r="P32" s="47"/>
      <c r="Q32" s="47"/>
      <c r="R32" s="33">
        <v>32000</v>
      </c>
    </row>
    <row r="33" spans="1:18" ht="15.75">
      <c r="A33" s="64"/>
      <c r="B33" s="7" t="s">
        <v>52</v>
      </c>
      <c r="C33" s="17">
        <v>10</v>
      </c>
      <c r="D33" s="10"/>
      <c r="E33" s="3">
        <v>1085.69</v>
      </c>
      <c r="F33" s="12" t="e">
        <f>E33/#REF!*100</f>
        <v>#REF!</v>
      </c>
      <c r="G33" s="12"/>
      <c r="H33" s="26"/>
      <c r="I33" s="47"/>
      <c r="J33" s="28">
        <f t="shared" ref="J33:O33" si="4">J20*2/100</f>
        <v>204</v>
      </c>
      <c r="K33" s="28">
        <f t="shared" si="4"/>
        <v>180</v>
      </c>
      <c r="L33" s="28">
        <f t="shared" si="4"/>
        <v>170</v>
      </c>
      <c r="M33" s="28">
        <f t="shared" si="4"/>
        <v>127.98</v>
      </c>
      <c r="N33" s="28">
        <f t="shared" si="4"/>
        <v>170.64</v>
      </c>
      <c r="O33" s="28">
        <f t="shared" si="4"/>
        <v>2000</v>
      </c>
      <c r="P33" s="45"/>
      <c r="Q33" s="47"/>
      <c r="R33" s="33">
        <v>4500</v>
      </c>
    </row>
    <row r="34" spans="1:18" ht="15.75">
      <c r="A34" s="64"/>
      <c r="B34" s="7" t="s">
        <v>53</v>
      </c>
      <c r="C34" s="17" t="s">
        <v>64</v>
      </c>
      <c r="D34" s="3"/>
      <c r="E34" s="3"/>
      <c r="F34" s="3"/>
      <c r="G34" s="3"/>
      <c r="H34" s="26"/>
      <c r="I34" s="47"/>
      <c r="J34" s="47"/>
      <c r="K34" s="47"/>
      <c r="L34" s="47"/>
      <c r="M34" s="47"/>
      <c r="N34" s="47"/>
      <c r="O34" s="47"/>
      <c r="P34" s="45"/>
      <c r="Q34" s="47"/>
      <c r="R34" s="33">
        <v>4500</v>
      </c>
    </row>
    <row r="35" spans="1:18" ht="15.75">
      <c r="A35" s="64"/>
      <c r="B35" s="7" t="s">
        <v>5</v>
      </c>
      <c r="C35" s="17" t="s">
        <v>65</v>
      </c>
      <c r="D35" s="10"/>
      <c r="E35" s="3">
        <f>2435.7-2316.62</f>
        <v>119.07999999999993</v>
      </c>
      <c r="F35" s="12" t="e">
        <f>E35/#REF!*100</f>
        <v>#REF!</v>
      </c>
      <c r="G35" s="33"/>
      <c r="H35" s="26"/>
      <c r="I35" s="47"/>
      <c r="J35" s="28">
        <f t="shared" ref="J35:O35" si="5">J20*2/100</f>
        <v>204</v>
      </c>
      <c r="K35" s="28">
        <f t="shared" si="5"/>
        <v>180</v>
      </c>
      <c r="L35" s="28">
        <f t="shared" si="5"/>
        <v>170</v>
      </c>
      <c r="M35" s="28">
        <f t="shared" si="5"/>
        <v>127.98</v>
      </c>
      <c r="N35" s="28">
        <f t="shared" si="5"/>
        <v>170.64</v>
      </c>
      <c r="O35" s="28">
        <f t="shared" si="5"/>
        <v>2000</v>
      </c>
      <c r="P35" s="45"/>
      <c r="Q35" s="47"/>
      <c r="R35" s="33">
        <v>500</v>
      </c>
    </row>
    <row r="36" spans="1:18" ht="31.5">
      <c r="A36" s="64"/>
      <c r="B36" s="7" t="s">
        <v>9</v>
      </c>
      <c r="C36" s="17" t="s">
        <v>66</v>
      </c>
      <c r="D36" s="20" t="s">
        <v>67</v>
      </c>
      <c r="E36" s="3">
        <v>297.93</v>
      </c>
      <c r="F36" s="12" t="e">
        <f>E36/#REF!*100</f>
        <v>#REF!</v>
      </c>
      <c r="G36" s="33">
        <f>G22*2%</f>
        <v>3400</v>
      </c>
      <c r="H36" s="26"/>
      <c r="I36" s="47"/>
      <c r="J36" s="28">
        <f t="shared" ref="J36:O36" si="6">J20*2/100</f>
        <v>204</v>
      </c>
      <c r="K36" s="28">
        <f t="shared" si="6"/>
        <v>180</v>
      </c>
      <c r="L36" s="28">
        <f t="shared" si="6"/>
        <v>170</v>
      </c>
      <c r="M36" s="28">
        <f t="shared" si="6"/>
        <v>127.98</v>
      </c>
      <c r="N36" s="28">
        <f t="shared" si="6"/>
        <v>170.64</v>
      </c>
      <c r="O36" s="28">
        <f t="shared" si="6"/>
        <v>2000</v>
      </c>
      <c r="P36" s="45"/>
      <c r="Q36" s="47"/>
      <c r="R36" s="33">
        <v>500</v>
      </c>
    </row>
    <row r="37" spans="1:18" ht="15.75">
      <c r="A37" s="64"/>
      <c r="B37" s="70" t="s">
        <v>6</v>
      </c>
      <c r="C37" s="71"/>
      <c r="D37" s="71"/>
      <c r="E37" s="71"/>
      <c r="F37" s="71"/>
      <c r="G37" s="71"/>
      <c r="H37" s="72"/>
      <c r="I37" s="49"/>
      <c r="J37" s="49"/>
      <c r="K37" s="49"/>
      <c r="L37" s="49"/>
      <c r="M37" s="49"/>
      <c r="N37" s="49"/>
      <c r="O37" s="49"/>
      <c r="P37" s="49"/>
      <c r="Q37" s="49"/>
      <c r="R37" s="51"/>
    </row>
    <row r="38" spans="1:18" ht="47.25">
      <c r="A38" s="64"/>
      <c r="B38" s="6" t="s">
        <v>79</v>
      </c>
      <c r="C38" s="17">
        <v>13</v>
      </c>
      <c r="D38" s="20" t="s">
        <v>73</v>
      </c>
      <c r="E38" s="3">
        <f>50893.37-842.95-13356.72</f>
        <v>36693.700000000004</v>
      </c>
      <c r="F38" s="12" t="e">
        <f>E38/#REF!*100</f>
        <v>#REF!</v>
      </c>
      <c r="G38" s="33">
        <f>G22*20/100</f>
        <v>34000</v>
      </c>
      <c r="H38" s="3">
        <v>14000</v>
      </c>
      <c r="I38" s="49"/>
      <c r="J38" s="28">
        <f t="shared" ref="J38:O38" si="7">J20*30/100</f>
        <v>3060</v>
      </c>
      <c r="K38" s="28">
        <f t="shared" si="7"/>
        <v>2700</v>
      </c>
      <c r="L38" s="28">
        <f t="shared" si="7"/>
        <v>2550</v>
      </c>
      <c r="M38" s="28">
        <f t="shared" si="7"/>
        <v>1919.7</v>
      </c>
      <c r="N38" s="28">
        <f t="shared" si="7"/>
        <v>2559.6</v>
      </c>
      <c r="O38" s="28">
        <f t="shared" si="7"/>
        <v>30000</v>
      </c>
      <c r="P38" s="49"/>
      <c r="Q38" s="49"/>
      <c r="R38" s="33">
        <v>24000</v>
      </c>
    </row>
    <row r="39" spans="1:18" ht="31.5">
      <c r="A39" s="64"/>
      <c r="B39" s="6" t="s">
        <v>15</v>
      </c>
      <c r="C39" s="17">
        <v>14</v>
      </c>
      <c r="D39" s="10">
        <v>7.0000000000000007E-2</v>
      </c>
      <c r="E39" s="3">
        <f>15120.06-5415.14</f>
        <v>9704.9199999999983</v>
      </c>
      <c r="F39" s="12" t="e">
        <f>E39/#REF!*100</f>
        <v>#REF!</v>
      </c>
      <c r="G39" s="33">
        <f>G22*7%</f>
        <v>11900.000000000002</v>
      </c>
      <c r="H39" s="3">
        <v>5000</v>
      </c>
      <c r="I39" s="49"/>
      <c r="J39" s="28">
        <f t="shared" ref="J39:O39" si="8">J20*10/100</f>
        <v>1020</v>
      </c>
      <c r="K39" s="28">
        <f t="shared" si="8"/>
        <v>900</v>
      </c>
      <c r="L39" s="28">
        <f t="shared" si="8"/>
        <v>850</v>
      </c>
      <c r="M39" s="28">
        <f t="shared" si="8"/>
        <v>639.9</v>
      </c>
      <c r="N39" s="28">
        <f t="shared" si="8"/>
        <v>853.2</v>
      </c>
      <c r="O39" s="28">
        <f t="shared" si="8"/>
        <v>10000</v>
      </c>
      <c r="P39" s="11"/>
      <c r="Q39" s="49"/>
      <c r="R39" s="33"/>
    </row>
    <row r="40" spans="1:18" ht="15.75">
      <c r="A40" s="64"/>
      <c r="B40" s="6" t="s">
        <v>7</v>
      </c>
      <c r="C40" s="17">
        <v>15</v>
      </c>
      <c r="D40" s="10">
        <v>0.01</v>
      </c>
      <c r="E40" s="3"/>
      <c r="F40" s="12"/>
      <c r="G40" s="33">
        <f>G22*1%</f>
        <v>1700</v>
      </c>
      <c r="H40" s="26"/>
      <c r="I40" s="49"/>
      <c r="J40" s="28">
        <f t="shared" ref="J40:O40" si="9">J20*2/100</f>
        <v>204</v>
      </c>
      <c r="K40" s="28">
        <f t="shared" si="9"/>
        <v>180</v>
      </c>
      <c r="L40" s="28">
        <f t="shared" si="9"/>
        <v>170</v>
      </c>
      <c r="M40" s="28">
        <f t="shared" si="9"/>
        <v>127.98</v>
      </c>
      <c r="N40" s="28">
        <f t="shared" si="9"/>
        <v>170.64</v>
      </c>
      <c r="O40" s="28">
        <f t="shared" si="9"/>
        <v>2000</v>
      </c>
      <c r="P40" s="11"/>
      <c r="Q40" s="49"/>
      <c r="R40" s="33">
        <v>3000</v>
      </c>
    </row>
    <row r="41" spans="1:18" ht="21" customHeight="1">
      <c r="A41" s="65"/>
      <c r="B41" s="37" t="s">
        <v>68</v>
      </c>
      <c r="C41" s="17">
        <v>16</v>
      </c>
      <c r="D41" s="10">
        <v>1</v>
      </c>
      <c r="E41" s="3">
        <f>25578.96-137.35-652.69</f>
        <v>24788.920000000002</v>
      </c>
      <c r="F41" s="12" t="e">
        <f>E41/#REF!*100</f>
        <v>#REF!</v>
      </c>
      <c r="G41" s="33">
        <f>G24+G28+G30+G35+G36+G38+G39+G40</f>
        <v>170000</v>
      </c>
      <c r="H41" s="33">
        <f>H24+H30+H38+H39</f>
        <v>43000</v>
      </c>
      <c r="I41" s="49"/>
      <c r="J41" s="52">
        <f t="shared" ref="J41:O41" si="10">SUM(J24:J40)</f>
        <v>9180</v>
      </c>
      <c r="K41" s="52">
        <f t="shared" si="10"/>
        <v>8100</v>
      </c>
      <c r="L41" s="52">
        <f t="shared" si="10"/>
        <v>7650</v>
      </c>
      <c r="M41" s="52">
        <f t="shared" si="10"/>
        <v>5759.0999999999995</v>
      </c>
      <c r="N41" s="52">
        <f t="shared" si="10"/>
        <v>7678.7999999999993</v>
      </c>
      <c r="O41" s="52">
        <f t="shared" si="10"/>
        <v>90000</v>
      </c>
      <c r="P41" s="11"/>
      <c r="Q41" s="49"/>
      <c r="R41" s="33">
        <f>R24+R27+R30+R33+R35+R36+R38+R40</f>
        <v>190000</v>
      </c>
    </row>
    <row r="42" spans="1:18" ht="73.5" customHeight="1">
      <c r="A42" s="34" t="s">
        <v>54</v>
      </c>
      <c r="B42" s="6" t="s">
        <v>69</v>
      </c>
      <c r="C42" s="17">
        <v>17</v>
      </c>
      <c r="D42" s="35"/>
      <c r="E42" s="22">
        <v>110986.86</v>
      </c>
      <c r="F42" s="3">
        <v>36.14</v>
      </c>
      <c r="G42" s="33">
        <f>G18+G19-G41</f>
        <v>95682</v>
      </c>
      <c r="H42" s="33">
        <f t="shared" ref="H42:Q42" si="11">H18+H19-H41</f>
        <v>100</v>
      </c>
      <c r="I42" s="33">
        <f t="shared" si="11"/>
        <v>0</v>
      </c>
      <c r="J42" s="33">
        <f t="shared" si="11"/>
        <v>2091</v>
      </c>
      <c r="K42" s="33">
        <f t="shared" si="11"/>
        <v>-5217</v>
      </c>
      <c r="L42" s="33">
        <f t="shared" si="11"/>
        <v>-135</v>
      </c>
      <c r="M42" s="33">
        <f t="shared" si="11"/>
        <v>-2029.0999999999995</v>
      </c>
      <c r="N42" s="33">
        <f t="shared" si="11"/>
        <v>-6193.4699999999993</v>
      </c>
      <c r="O42" s="33">
        <f t="shared" si="11"/>
        <v>-43193</v>
      </c>
      <c r="P42" s="33">
        <f t="shared" si="11"/>
        <v>0</v>
      </c>
      <c r="Q42" s="33">
        <f t="shared" si="11"/>
        <v>0</v>
      </c>
      <c r="R42" s="33">
        <f>R18+R22-R41</f>
        <v>351816</v>
      </c>
    </row>
    <row r="43" spans="1:18" ht="15" customHeight="1">
      <c r="A43" s="29"/>
      <c r="B43" s="30"/>
      <c r="C43" s="31"/>
      <c r="D43" s="32"/>
      <c r="E43" s="23"/>
      <c r="F43" s="23"/>
      <c r="G43" s="23"/>
      <c r="H43" s="23"/>
      <c r="I43" s="11"/>
    </row>
    <row r="44" spans="1:18" ht="15" customHeight="1">
      <c r="A44" s="29"/>
      <c r="B44" s="30"/>
      <c r="C44" s="31"/>
      <c r="D44" s="32"/>
      <c r="E44" s="23"/>
      <c r="F44" s="23"/>
      <c r="G44" s="23"/>
      <c r="H44" s="23"/>
      <c r="I44" s="11"/>
    </row>
    <row r="45" spans="1:18" ht="15" customHeight="1">
      <c r="B45" s="60" t="s">
        <v>59</v>
      </c>
      <c r="C45" s="60"/>
      <c r="D45" s="60"/>
      <c r="E45" s="60"/>
      <c r="F45" s="60"/>
      <c r="G45" s="60"/>
      <c r="H45" s="60"/>
    </row>
    <row r="46" spans="1:18" ht="17.25" customHeight="1">
      <c r="B46" s="40"/>
      <c r="C46" s="4" t="s">
        <v>10</v>
      </c>
      <c r="D46" s="24"/>
      <c r="E46" s="24" t="s">
        <v>11</v>
      </c>
    </row>
    <row r="47" spans="1:18" ht="26.25" customHeight="1">
      <c r="B47" s="60" t="s">
        <v>60</v>
      </c>
      <c r="C47" s="60"/>
      <c r="D47" s="60"/>
      <c r="E47" s="60"/>
      <c r="F47" s="60"/>
      <c r="G47" s="60"/>
      <c r="H47" s="60"/>
    </row>
    <row r="48" spans="1:18" s="18" customFormat="1">
      <c r="A48"/>
      <c r="B48"/>
      <c r="C48" s="5" t="s">
        <v>10</v>
      </c>
      <c r="D48" s="25"/>
      <c r="E48" s="25" t="s">
        <v>12</v>
      </c>
      <c r="I48"/>
      <c r="J48"/>
      <c r="K48"/>
      <c r="L48"/>
      <c r="M48"/>
      <c r="N48"/>
      <c r="O48"/>
      <c r="P48"/>
      <c r="Q48"/>
    </row>
  </sheetData>
  <mergeCells count="20">
    <mergeCell ref="B47:H47"/>
    <mergeCell ref="A12:H12"/>
    <mergeCell ref="A15:A16"/>
    <mergeCell ref="B15:B16"/>
    <mergeCell ref="C15:C16"/>
    <mergeCell ref="D15:D16"/>
    <mergeCell ref="E15:F15"/>
    <mergeCell ref="H15:R15"/>
    <mergeCell ref="A19:A22"/>
    <mergeCell ref="A23:A41"/>
    <mergeCell ref="B23:H23"/>
    <mergeCell ref="B37:H37"/>
    <mergeCell ref="B45:H45"/>
    <mergeCell ref="A9:H9"/>
    <mergeCell ref="G5:H5"/>
    <mergeCell ref="F2:H2"/>
    <mergeCell ref="F3:H3"/>
    <mergeCell ref="G4:H4"/>
    <mergeCell ref="A6:H6"/>
    <mergeCell ref="A8:H8"/>
  </mergeCells>
  <pageMargins left="0.70866141732283472" right="0.19685039370078741" top="0.55118110236220474" bottom="0.55118110236220474" header="0.31496062992125984" footer="0.31496062992125984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смета 2023</vt:lpstr>
      <vt:lpstr>'смета 2023'!Область_печати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2016-01-20T08:53:26Z</cp:lastPrinted>
  <dcterms:created xsi:type="dcterms:W3CDTF">2006-09-16T00:00:00Z</dcterms:created>
  <dcterms:modified xsi:type="dcterms:W3CDTF">2023-02-17T10:20:10Z</dcterms:modified>
</cp:coreProperties>
</file>