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T\Кондратьев Павел ИВТАПБд-11\"/>
    </mc:Choice>
  </mc:AlternateContent>
  <bookViews>
    <workbookView xWindow="0" yWindow="132" windowWidth="19152" windowHeight="11760"/>
  </bookViews>
  <sheets>
    <sheet name="Расчет " sheetId="1" r:id="rId1"/>
    <sheet name="смета_по_месяцам_на_год" sheetId="2" r:id="rId2"/>
  </sheets>
  <calcPr calcId="162913"/>
</workbook>
</file>

<file path=xl/calcChain.xml><?xml version="1.0" encoding="utf-8"?>
<calcChain xmlns="http://schemas.openxmlformats.org/spreadsheetml/2006/main">
  <c r="N25" i="1" l="1"/>
  <c r="T18" i="1"/>
  <c r="E14" i="1"/>
  <c r="E12" i="1"/>
  <c r="E11" i="1"/>
  <c r="E13" i="1" l="1"/>
  <c r="E9" i="1"/>
  <c r="T19" i="1" l="1"/>
  <c r="J12" i="1"/>
  <c r="J14" i="1"/>
  <c r="J13" i="1"/>
  <c r="J7" i="1"/>
  <c r="H13" i="1"/>
  <c r="E5" i="1"/>
  <c r="H12" i="1" l="1"/>
  <c r="S21" i="1"/>
  <c r="S27" i="1"/>
  <c r="F5" i="1"/>
  <c r="J29" i="1" l="1"/>
  <c r="C4" i="2" l="1"/>
  <c r="I9" i="1" l="1"/>
  <c r="D7" i="2" l="1"/>
  <c r="E7" i="2"/>
  <c r="F7" i="2"/>
  <c r="G7" i="2"/>
  <c r="H7" i="2"/>
  <c r="I7" i="2"/>
  <c r="J7" i="2"/>
  <c r="K7" i="2"/>
  <c r="L7" i="2"/>
  <c r="M7" i="2"/>
  <c r="N7" i="2"/>
  <c r="C7" i="2"/>
  <c r="O18" i="1"/>
  <c r="T21" i="1"/>
  <c r="O17" i="1"/>
  <c r="I13" i="1"/>
  <c r="I12" i="1"/>
  <c r="J6" i="1"/>
  <c r="J5" i="1"/>
  <c r="H14" i="1"/>
  <c r="I14" i="1" s="1"/>
  <c r="G22" i="1"/>
  <c r="G20" i="1"/>
  <c r="G21" i="1"/>
  <c r="T16" i="1"/>
  <c r="O16" i="1"/>
  <c r="T9" i="1"/>
  <c r="T12" i="1"/>
  <c r="T13" i="1"/>
  <c r="T14" i="1"/>
  <c r="E8" i="2" s="1"/>
  <c r="T15" i="1"/>
  <c r="T11" i="1"/>
  <c r="T10" i="1"/>
  <c r="T8" i="1"/>
  <c r="T7" i="1"/>
  <c r="E8" i="1" s="1"/>
  <c r="T6" i="1"/>
  <c r="T5" i="1"/>
  <c r="O6" i="1"/>
  <c r="O7" i="1"/>
  <c r="O8" i="1"/>
  <c r="O9" i="1"/>
  <c r="O10" i="1"/>
  <c r="O11" i="1"/>
  <c r="O12" i="1"/>
  <c r="O13" i="1"/>
  <c r="O14" i="1"/>
  <c r="O15" i="1"/>
  <c r="O5" i="1"/>
  <c r="D9" i="2" l="1"/>
  <c r="E10" i="1"/>
  <c r="J27" i="1"/>
  <c r="N8" i="2"/>
  <c r="L8" i="2"/>
  <c r="J8" i="2"/>
  <c r="H8" i="2"/>
  <c r="F8" i="2"/>
  <c r="D8" i="2"/>
  <c r="N9" i="2"/>
  <c r="L9" i="2"/>
  <c r="I9" i="2"/>
  <c r="G9" i="2"/>
  <c r="E9" i="2"/>
  <c r="J9" i="2"/>
  <c r="C8" i="2"/>
  <c r="M8" i="2"/>
  <c r="K8" i="2"/>
  <c r="I8" i="2"/>
  <c r="G8" i="2"/>
  <c r="C9" i="2"/>
  <c r="M9" i="2"/>
  <c r="K9" i="2"/>
  <c r="H9" i="2"/>
  <c r="F9" i="2"/>
  <c r="O19" i="1"/>
  <c r="J9" i="1"/>
  <c r="G23" i="1"/>
  <c r="J16" i="1"/>
  <c r="O12" i="2"/>
  <c r="O7" i="2"/>
  <c r="O5" i="2"/>
  <c r="I13" i="2" l="1"/>
  <c r="M13" i="2"/>
  <c r="F13" i="2"/>
  <c r="J13" i="2"/>
  <c r="N13" i="2"/>
  <c r="E13" i="2"/>
  <c r="K13" i="2"/>
  <c r="D13" i="2"/>
  <c r="L13" i="2"/>
  <c r="G13" i="2"/>
  <c r="C13" i="2"/>
  <c r="H13" i="2"/>
  <c r="T22" i="1"/>
  <c r="E10" i="2"/>
  <c r="I10" i="2"/>
  <c r="M10" i="2"/>
  <c r="F10" i="2"/>
  <c r="J10" i="2"/>
  <c r="N10" i="2"/>
  <c r="L10" i="2"/>
  <c r="G10" i="2"/>
  <c r="K10" i="2"/>
  <c r="D10" i="2"/>
  <c r="H10" i="2"/>
  <c r="C10" i="2"/>
  <c r="J25" i="1"/>
  <c r="G26" i="1"/>
  <c r="O9" i="2"/>
  <c r="O8" i="2"/>
  <c r="E4" i="2"/>
  <c r="G4" i="2"/>
  <c r="I4" i="2"/>
  <c r="K4" i="2"/>
  <c r="M4" i="2"/>
  <c r="D4" i="2"/>
  <c r="F4" i="2"/>
  <c r="H4" i="2"/>
  <c r="J4" i="2"/>
  <c r="L4" i="2"/>
  <c r="N4" i="2"/>
  <c r="E7" i="1"/>
  <c r="O13" i="2" l="1"/>
  <c r="O10" i="2"/>
  <c r="E6" i="2"/>
  <c r="G6" i="2"/>
  <c r="I6" i="2"/>
  <c r="K6" i="2"/>
  <c r="M6" i="2"/>
  <c r="C6" i="2"/>
  <c r="D6" i="2"/>
  <c r="F6" i="2"/>
  <c r="H6" i="2"/>
  <c r="J6" i="2"/>
  <c r="L6" i="2"/>
  <c r="N6" i="2"/>
  <c r="O4" i="2"/>
  <c r="O6" i="2" l="1"/>
  <c r="J31" i="1" l="1"/>
  <c r="D11" i="2" l="1"/>
  <c r="D14" i="2" s="1"/>
  <c r="D15" i="2" s="1"/>
  <c r="H11" i="2"/>
  <c r="H14" i="2" s="1"/>
  <c r="H15" i="2" s="1"/>
  <c r="L11" i="2"/>
  <c r="L14" i="2" s="1"/>
  <c r="L15" i="2" s="1"/>
  <c r="E11" i="2"/>
  <c r="E14" i="2" s="1"/>
  <c r="E15" i="2" s="1"/>
  <c r="I11" i="2"/>
  <c r="I14" i="2" s="1"/>
  <c r="I15" i="2" s="1"/>
  <c r="M11" i="2"/>
  <c r="M14" i="2" s="1"/>
  <c r="M15" i="2" s="1"/>
  <c r="F11" i="2"/>
  <c r="F14" i="2" s="1"/>
  <c r="F15" i="2" s="1"/>
  <c r="J11" i="2"/>
  <c r="J14" i="2" s="1"/>
  <c r="J15" i="2" s="1"/>
  <c r="N11" i="2"/>
  <c r="N14" i="2" s="1"/>
  <c r="N15" i="2" s="1"/>
  <c r="G11" i="2"/>
  <c r="G14" i="2" s="1"/>
  <c r="G15" i="2" s="1"/>
  <c r="K11" i="2"/>
  <c r="K14" i="2" s="1"/>
  <c r="K15" i="2" s="1"/>
  <c r="C11" i="2"/>
  <c r="E15" i="1"/>
  <c r="E16" i="1" s="1"/>
  <c r="G27" i="1" s="1"/>
  <c r="D28" i="1" s="1"/>
  <c r="O11" i="2" l="1"/>
  <c r="C14" i="2"/>
  <c r="O14" i="2" s="1"/>
  <c r="G29" i="1"/>
  <c r="C15" i="2" l="1"/>
  <c r="O15" i="2" s="1"/>
  <c r="P14" i="2"/>
</calcChain>
</file>

<file path=xl/sharedStrings.xml><?xml version="1.0" encoding="utf-8"?>
<sst xmlns="http://schemas.openxmlformats.org/spreadsheetml/2006/main" count="133" uniqueCount="111">
  <si>
    <t>№ п/п</t>
  </si>
  <si>
    <t>Наименование статей затрат</t>
  </si>
  <si>
    <t>Сумма (руб.)</t>
  </si>
  <si>
    <t>1.</t>
  </si>
  <si>
    <t>Заработная плата</t>
  </si>
  <si>
    <t>2.</t>
  </si>
  <si>
    <t>Прочие выплаты</t>
  </si>
  <si>
    <t>3.</t>
  </si>
  <si>
    <t>Начисления на оплату труда (30,2% от п.1)</t>
  </si>
  <si>
    <t>4.</t>
  </si>
  <si>
    <t>Услуги связи</t>
  </si>
  <si>
    <t>5.</t>
  </si>
  <si>
    <t>Транспортные услуги</t>
  </si>
  <si>
    <t>6.</t>
  </si>
  <si>
    <t>Услуги по содержанию имущества</t>
  </si>
  <si>
    <t>7.</t>
  </si>
  <si>
    <t>Прочие услуги</t>
  </si>
  <si>
    <t>8.</t>
  </si>
  <si>
    <t>Прочие расходы</t>
  </si>
  <si>
    <t>9.</t>
  </si>
  <si>
    <t>Увеличение стоимости основных средств</t>
  </si>
  <si>
    <t>10.</t>
  </si>
  <si>
    <t>Увеличение стоимости материальных запасов</t>
  </si>
  <si>
    <t>11.</t>
  </si>
  <si>
    <t>Накладные расходы (10 % от п. 12)</t>
  </si>
  <si>
    <t>12.</t>
  </si>
  <si>
    <t>Итоговая смета на год</t>
  </si>
  <si>
    <t>Код эк. кл.</t>
  </si>
  <si>
    <t>кол-во</t>
  </si>
  <si>
    <t xml:space="preserve">кол-во </t>
  </si>
  <si>
    <t>выручка</t>
  </si>
  <si>
    <t>Средняя цена</t>
  </si>
  <si>
    <t>Всего:</t>
  </si>
  <si>
    <t>Смета по месяцам</t>
  </si>
  <si>
    <t>Месяц</t>
  </si>
  <si>
    <t>июнь</t>
  </si>
  <si>
    <t>июль</t>
  </si>
  <si>
    <t>август</t>
  </si>
  <si>
    <t>сентябрь</t>
  </si>
  <si>
    <t>октябрь</t>
  </si>
  <si>
    <t>ноябрь</t>
  </si>
  <si>
    <t>Сумма</t>
  </si>
  <si>
    <t>декабрь</t>
  </si>
  <si>
    <t>январь</t>
  </si>
  <si>
    <t>февраль</t>
  </si>
  <si>
    <t>март</t>
  </si>
  <si>
    <t>апрель</t>
  </si>
  <si>
    <t>май</t>
  </si>
  <si>
    <t>итого</t>
  </si>
  <si>
    <t>Накладные расходы (10 % от п. 1-10)</t>
  </si>
  <si>
    <t>Прочие выплаты (командировки)</t>
  </si>
  <si>
    <t>Должность</t>
  </si>
  <si>
    <t>ЗП за мес.</t>
  </si>
  <si>
    <t>ЗП за год</t>
  </si>
  <si>
    <t>Наименование</t>
  </si>
  <si>
    <t>Шт</t>
  </si>
  <si>
    <t>Стоимость за шт, руб.</t>
  </si>
  <si>
    <t>Итого, руб.</t>
  </si>
  <si>
    <t xml:space="preserve">Стол </t>
  </si>
  <si>
    <r>
      <t>ИТОГО (сумма п.п. 1</t>
    </r>
    <r>
      <rPr>
        <sz val="11"/>
        <color theme="1"/>
        <rFont val="Times New Roman"/>
        <family val="1"/>
        <charset val="204"/>
      </rPr>
      <t>–</t>
    </r>
    <r>
      <rPr>
        <b/>
        <sz val="11"/>
        <color theme="1"/>
        <rFont val="Times New Roman"/>
        <family val="1"/>
        <charset val="204"/>
      </rPr>
      <t>11)</t>
    </r>
  </si>
  <si>
    <t>Ресурсы</t>
  </si>
  <si>
    <t>Стул</t>
  </si>
  <si>
    <t>Автомобиль</t>
  </si>
  <si>
    <t>Компьютер</t>
  </si>
  <si>
    <t>Монитор</t>
  </si>
  <si>
    <t>Ноутбук</t>
  </si>
  <si>
    <t>Стремянка</t>
  </si>
  <si>
    <t>Набор инструментов</t>
  </si>
  <si>
    <t>Перфоратор</t>
  </si>
  <si>
    <t>Итого</t>
  </si>
  <si>
    <t>Заработная плата без начислений</t>
  </si>
  <si>
    <t>Налоги</t>
  </si>
  <si>
    <t>Налоговые отчисления</t>
  </si>
  <si>
    <t>Ресурсы и расходные материалы</t>
  </si>
  <si>
    <t>Аренда офиса</t>
  </si>
  <si>
    <t>Стоимость</t>
  </si>
  <si>
    <t>Интернет</t>
  </si>
  <si>
    <t>Телефон стационарный</t>
  </si>
  <si>
    <t>Количество</t>
  </si>
  <si>
    <t>Связь сотовая</t>
  </si>
  <si>
    <t>Бухта кабеля</t>
  </si>
  <si>
    <t>Сетевое оборудование</t>
  </si>
  <si>
    <t>Расходные материалы монтажа</t>
  </si>
  <si>
    <t>Канцтовары</t>
  </si>
  <si>
    <t>Транспортные расходы</t>
  </si>
  <si>
    <t>Ремонт автомобиля</t>
  </si>
  <si>
    <t>Оборудование для монтажа кабеля</t>
  </si>
  <si>
    <t>Пылесос</t>
  </si>
  <si>
    <t>Обслуживание ПК</t>
  </si>
  <si>
    <t>Услуга</t>
  </si>
  <si>
    <t>Из них прибыль:</t>
  </si>
  <si>
    <t>Итого:</t>
  </si>
  <si>
    <t>Проценты по кредиту</t>
  </si>
  <si>
    <t>% по кредиту</t>
  </si>
  <si>
    <t>Доход фирмы за год</t>
  </si>
  <si>
    <t>Доска маркерная</t>
  </si>
  <si>
    <t>Принтер</t>
  </si>
  <si>
    <t>Срок кредита в годах</t>
  </si>
  <si>
    <t>Чистая прибыль:</t>
  </si>
  <si>
    <t>Налог на прибыль:</t>
  </si>
  <si>
    <t>НДС</t>
  </si>
  <si>
    <t>Сумма кредита руб.</t>
  </si>
  <si>
    <t>Возврат %% в рублях</t>
  </si>
  <si>
    <t>Микрофон</t>
  </si>
  <si>
    <t>Программист</t>
  </si>
  <si>
    <t>Радиоведущий</t>
  </si>
  <si>
    <t>Звукорежиссер</t>
  </si>
  <si>
    <t>Радио Kd</t>
  </si>
  <si>
    <t>Подбор музыкальных обозрений</t>
  </si>
  <si>
    <t>Производство радио программ</t>
  </si>
  <si>
    <t>Хостинг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</si>
</sst>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horizontal="left" indent="5"/>
    </xf>
    <xf numFmtId="0" fontId="2" fillId="0" borderId="3" xfId="0" applyFont="1" applyBorder="1" applyAlignment="1">
      <alignment horizontal="justify" vertical="top" wrapText="1"/>
    </xf>
    <xf numFmtId="3" fontId="2" fillId="0" borderId="4" xfId="0" applyNumberFormat="1" applyFont="1" applyBorder="1" applyAlignment="1">
      <alignment vertical="top" wrapText="1"/>
    </xf>
    <xf numFmtId="3" fontId="0" fillId="3" borderId="0" xfId="0" applyNumberFormat="1" applyFill="1"/>
    <xf numFmtId="3" fontId="2" fillId="0" borderId="2" xfId="0" applyNumberFormat="1" applyFont="1" applyBorder="1" applyAlignment="1">
      <alignment vertical="top" wrapText="1"/>
    </xf>
    <xf numFmtId="3" fontId="2" fillId="2" borderId="4" xfId="0" applyNumberFormat="1" applyFont="1" applyFill="1" applyBorder="1" applyAlignment="1">
      <alignment vertical="top" wrapText="1"/>
    </xf>
    <xf numFmtId="0" fontId="1" fillId="0" borderId="0" xfId="0" applyFont="1"/>
    <xf numFmtId="0" fontId="3" fillId="0" borderId="0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3" fontId="1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4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 indent="4"/>
    </xf>
    <xf numFmtId="0" fontId="1" fillId="0" borderId="2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top" wrapText="1"/>
    </xf>
    <xf numFmtId="0" fontId="1" fillId="0" borderId="0" xfId="0" applyFont="1" applyBorder="1"/>
    <xf numFmtId="0" fontId="3" fillId="0" borderId="0" xfId="0" applyFont="1" applyAlignme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3" fontId="1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top" wrapText="1"/>
    </xf>
    <xf numFmtId="3" fontId="4" fillId="0" borderId="2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3" fillId="2" borderId="4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3" fontId="2" fillId="0" borderId="3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1" fillId="0" borderId="1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3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/>
    <xf numFmtId="3" fontId="1" fillId="0" borderId="6" xfId="0" applyNumberFormat="1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/>
    </xf>
    <xf numFmtId="3" fontId="1" fillId="0" borderId="1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16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31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3" fontId="1" fillId="0" borderId="19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 wrapText="1"/>
    </xf>
    <xf numFmtId="1" fontId="3" fillId="0" borderId="31" xfId="0" applyNumberFormat="1" applyFont="1" applyFill="1" applyBorder="1" applyAlignment="1">
      <alignment vertical="center" wrapText="1"/>
    </xf>
    <xf numFmtId="3" fontId="1" fillId="0" borderId="5" xfId="0" applyNumberFormat="1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0" xfId="0" applyFont="1" applyFill="1"/>
    <xf numFmtId="0" fontId="1" fillId="0" borderId="5" xfId="0" applyFont="1" applyFill="1" applyBorder="1"/>
    <xf numFmtId="0" fontId="1" fillId="0" borderId="12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top" wrapText="1"/>
    </xf>
    <xf numFmtId="3" fontId="3" fillId="0" borderId="5" xfId="0" applyNumberFormat="1" applyFont="1" applyFill="1" applyBorder="1" applyAlignment="1">
      <alignment vertical="center" wrapText="1"/>
    </xf>
    <xf numFmtId="0" fontId="1" fillId="0" borderId="18" xfId="0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/>
    </xf>
    <xf numFmtId="3" fontId="3" fillId="0" borderId="6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3" fontId="5" fillId="0" borderId="0" xfId="0" applyNumberFormat="1" applyFont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1" fillId="2" borderId="5" xfId="0" applyFont="1" applyFill="1" applyBorder="1" applyAlignment="1">
      <alignment vertical="center"/>
    </xf>
    <xf numFmtId="1" fontId="1" fillId="2" borderId="0" xfId="0" applyNumberFormat="1" applyFont="1" applyFill="1"/>
    <xf numFmtId="1" fontId="1" fillId="4" borderId="0" xfId="0" applyNumberFormat="1" applyFont="1" applyFill="1"/>
    <xf numFmtId="1" fontId="1" fillId="0" borderId="0" xfId="0" applyNumberFormat="1" applyFont="1"/>
    <xf numFmtId="3" fontId="2" fillId="2" borderId="3" xfId="0" applyNumberFormat="1" applyFont="1" applyFill="1" applyBorder="1" applyAlignment="1">
      <alignment vertical="top" wrapText="1"/>
    </xf>
    <xf numFmtId="3" fontId="1" fillId="4" borderId="0" xfId="0" applyNumberFormat="1" applyFont="1" applyFill="1"/>
    <xf numFmtId="3" fontId="1" fillId="2" borderId="0" xfId="0" applyNumberFormat="1" applyFont="1" applyFill="1"/>
    <xf numFmtId="0" fontId="1" fillId="0" borderId="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3" fontId="1" fillId="0" borderId="28" xfId="0" applyNumberFormat="1" applyFont="1" applyBorder="1" applyAlignment="1">
      <alignment horizontal="center" vertical="center"/>
    </xf>
    <xf numFmtId="3" fontId="1" fillId="0" borderId="2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3"/>
  <sheetViews>
    <sheetView tabSelected="1" topLeftCell="A9" zoomScale="70" zoomScaleNormal="70" workbookViewId="0">
      <selection activeCell="I35" sqref="I35"/>
    </sheetView>
  </sheetViews>
  <sheetFormatPr defaultColWidth="9.109375" defaultRowHeight="13.8" x14ac:dyDescent="0.25"/>
  <cols>
    <col min="1" max="1" width="2.5546875" style="9" customWidth="1"/>
    <col min="2" max="2" width="5.88671875" style="9" customWidth="1"/>
    <col min="3" max="3" width="7.88671875" style="9" customWidth="1"/>
    <col min="4" max="4" width="27.5546875" style="9" customWidth="1"/>
    <col min="5" max="5" width="13.5546875" style="9" customWidth="1"/>
    <col min="6" max="6" width="9.109375" style="9"/>
    <col min="7" max="7" width="18.88671875" style="9" customWidth="1"/>
    <col min="8" max="8" width="8.5546875" style="9" customWidth="1"/>
    <col min="9" max="9" width="9.109375" style="9"/>
    <col min="10" max="10" width="11.44140625" style="9" bestFit="1" customWidth="1"/>
    <col min="11" max="11" width="4.88671875" style="9" customWidth="1"/>
    <col min="12" max="12" width="17.6640625" style="9" customWidth="1"/>
    <col min="13" max="13" width="7" style="9" customWidth="1"/>
    <col min="14" max="14" width="11.88671875" style="9" customWidth="1"/>
    <col min="15" max="15" width="8.5546875" style="9" customWidth="1"/>
    <col min="16" max="16" width="9.109375" style="9"/>
    <col min="17" max="17" width="20.109375" style="9" customWidth="1"/>
    <col min="18" max="18" width="13.6640625" style="9" customWidth="1"/>
    <col min="19" max="19" width="14.5546875" style="9" customWidth="1"/>
    <col min="20" max="20" width="10.5546875" style="9" customWidth="1"/>
    <col min="21" max="21" width="9.109375" style="9"/>
    <col min="22" max="22" width="5.44140625" style="9" customWidth="1"/>
    <col min="23" max="23" width="12.109375" style="9" customWidth="1"/>
    <col min="24" max="16384" width="9.109375" style="9"/>
  </cols>
  <sheetData>
    <row r="1" spans="2:31" ht="11.25" customHeight="1" x14ac:dyDescent="0.25"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2:31" ht="19.5" customHeight="1" x14ac:dyDescent="0.25">
      <c r="G2" s="16"/>
      <c r="H2" s="16"/>
      <c r="I2" s="16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2:31" ht="14.4" thickBot="1" x14ac:dyDescent="0.3">
      <c r="D3" s="21" t="s">
        <v>26</v>
      </c>
      <c r="G3" s="118" t="s">
        <v>70</v>
      </c>
      <c r="H3" s="118"/>
      <c r="I3" s="118"/>
      <c r="J3" s="118"/>
      <c r="K3" s="17"/>
      <c r="L3" s="119" t="s">
        <v>60</v>
      </c>
      <c r="M3" s="119"/>
      <c r="N3" s="119"/>
      <c r="O3" s="119"/>
      <c r="P3" s="17"/>
      <c r="Q3" s="119" t="s">
        <v>73</v>
      </c>
      <c r="R3" s="119"/>
      <c r="S3" s="119"/>
      <c r="T3" s="119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2:31" ht="57" customHeight="1" thickBot="1" x14ac:dyDescent="0.3">
      <c r="B4" s="18" t="s">
        <v>0</v>
      </c>
      <c r="C4" s="18" t="s">
        <v>27</v>
      </c>
      <c r="D4" s="19" t="s">
        <v>1</v>
      </c>
      <c r="E4" s="20" t="s">
        <v>2</v>
      </c>
      <c r="G4" s="37" t="s">
        <v>51</v>
      </c>
      <c r="H4" s="35" t="s">
        <v>28</v>
      </c>
      <c r="I4" s="35" t="s">
        <v>52</v>
      </c>
      <c r="J4" s="38" t="s">
        <v>53</v>
      </c>
      <c r="K4" s="17"/>
      <c r="L4" s="22" t="s">
        <v>54</v>
      </c>
      <c r="M4" s="22" t="s">
        <v>55</v>
      </c>
      <c r="N4" s="22" t="s">
        <v>56</v>
      </c>
      <c r="O4" s="22" t="s">
        <v>57</v>
      </c>
      <c r="P4" s="17"/>
      <c r="Q4" s="36" t="s">
        <v>54</v>
      </c>
      <c r="R4" s="36" t="s">
        <v>78</v>
      </c>
      <c r="S4" s="36" t="s">
        <v>75</v>
      </c>
      <c r="T4" s="36" t="s">
        <v>57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2:31" ht="14.4" thickBot="1" x14ac:dyDescent="0.3">
      <c r="B5" s="11" t="s">
        <v>3</v>
      </c>
      <c r="C5" s="11">
        <v>211</v>
      </c>
      <c r="D5" s="12" t="s">
        <v>4</v>
      </c>
      <c r="E5" s="13">
        <f>J9</f>
        <v>1050000</v>
      </c>
      <c r="F5" s="9">
        <f>E5*0.302</f>
        <v>317100</v>
      </c>
      <c r="G5" s="54" t="s">
        <v>104</v>
      </c>
      <c r="H5" s="55">
        <v>1</v>
      </c>
      <c r="I5" s="55">
        <v>20500</v>
      </c>
      <c r="J5" s="56">
        <f>I5*12*H5</f>
        <v>246000</v>
      </c>
      <c r="K5" s="57"/>
      <c r="L5" s="58" t="s">
        <v>58</v>
      </c>
      <c r="M5" s="59">
        <v>3</v>
      </c>
      <c r="N5" s="59">
        <v>3000</v>
      </c>
      <c r="O5" s="60">
        <f>N5*M5</f>
        <v>9000</v>
      </c>
      <c r="P5" s="57"/>
      <c r="Q5" s="61" t="s">
        <v>74</v>
      </c>
      <c r="R5" s="62">
        <v>12</v>
      </c>
      <c r="S5" s="62">
        <v>8000</v>
      </c>
      <c r="T5" s="63">
        <f>S5*R5</f>
        <v>96000</v>
      </c>
      <c r="U5" s="64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2:31" ht="28.2" thickBot="1" x14ac:dyDescent="0.3">
      <c r="B6" s="11" t="s">
        <v>5</v>
      </c>
      <c r="C6" s="11">
        <v>212</v>
      </c>
      <c r="D6" s="14" t="s">
        <v>50</v>
      </c>
      <c r="E6" s="13"/>
      <c r="G6" s="54" t="s">
        <v>105</v>
      </c>
      <c r="H6" s="55">
        <v>2</v>
      </c>
      <c r="I6" s="55">
        <v>22500</v>
      </c>
      <c r="J6" s="56">
        <f>I6*12*H6</f>
        <v>540000</v>
      </c>
      <c r="K6" s="57"/>
      <c r="L6" s="55" t="s">
        <v>61</v>
      </c>
      <c r="M6" s="55">
        <v>7</v>
      </c>
      <c r="N6" s="55">
        <v>1500</v>
      </c>
      <c r="O6" s="60">
        <f t="shared" ref="O6:O18" si="0">N6*M6</f>
        <v>10500</v>
      </c>
      <c r="P6" s="57"/>
      <c r="Q6" s="65" t="s">
        <v>76</v>
      </c>
      <c r="R6" s="66">
        <v>12</v>
      </c>
      <c r="S6" s="66">
        <v>500</v>
      </c>
      <c r="T6" s="67">
        <f t="shared" ref="T6:T16" si="1">S6*R6</f>
        <v>6000</v>
      </c>
      <c r="U6" s="64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2:31" ht="28.2" thickBot="1" x14ac:dyDescent="0.3">
      <c r="B7" s="11" t="s">
        <v>7</v>
      </c>
      <c r="C7" s="11">
        <v>213</v>
      </c>
      <c r="D7" s="14" t="s">
        <v>8</v>
      </c>
      <c r="E7" s="23">
        <f>J16</f>
        <v>317100</v>
      </c>
      <c r="G7" s="54" t="s">
        <v>106</v>
      </c>
      <c r="H7" s="55">
        <v>1</v>
      </c>
      <c r="I7" s="55">
        <v>22000</v>
      </c>
      <c r="J7" s="56">
        <f>I7*12*H7</f>
        <v>264000</v>
      </c>
      <c r="K7" s="57"/>
      <c r="L7" s="55" t="s">
        <v>103</v>
      </c>
      <c r="M7" s="55">
        <v>2</v>
      </c>
      <c r="N7" s="55">
        <v>7000</v>
      </c>
      <c r="O7" s="60">
        <f t="shared" si="0"/>
        <v>14000</v>
      </c>
      <c r="P7" s="57"/>
      <c r="Q7" s="65" t="s">
        <v>77</v>
      </c>
      <c r="R7" s="66">
        <v>0</v>
      </c>
      <c r="S7" s="66">
        <v>0</v>
      </c>
      <c r="T7" s="67">
        <f t="shared" si="1"/>
        <v>0</v>
      </c>
      <c r="U7" s="64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2:31" ht="14.4" thickBot="1" x14ac:dyDescent="0.3">
      <c r="B8" s="11" t="s">
        <v>9</v>
      </c>
      <c r="C8" s="11">
        <v>221</v>
      </c>
      <c r="D8" s="14" t="s">
        <v>10</v>
      </c>
      <c r="E8" s="13">
        <f>SUM(T6:T8)</f>
        <v>27600</v>
      </c>
      <c r="G8" s="54"/>
      <c r="H8" s="55"/>
      <c r="I8" s="55"/>
      <c r="J8" s="56"/>
      <c r="K8" s="57"/>
      <c r="L8" s="55" t="s">
        <v>62</v>
      </c>
      <c r="M8" s="55">
        <v>0</v>
      </c>
      <c r="N8" s="55">
        <v>0</v>
      </c>
      <c r="O8" s="60">
        <f t="shared" si="0"/>
        <v>0</v>
      </c>
      <c r="P8" s="57"/>
      <c r="Q8" s="65" t="s">
        <v>79</v>
      </c>
      <c r="R8" s="66">
        <v>6</v>
      </c>
      <c r="S8" s="66">
        <v>3600</v>
      </c>
      <c r="T8" s="67">
        <f t="shared" si="1"/>
        <v>21600</v>
      </c>
      <c r="U8" s="68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2:31" ht="14.4" thickBot="1" x14ac:dyDescent="0.3">
      <c r="B9" s="11" t="s">
        <v>11</v>
      </c>
      <c r="C9" s="11">
        <v>222</v>
      </c>
      <c r="D9" s="14" t="s">
        <v>12</v>
      </c>
      <c r="E9" s="13">
        <f>T14</f>
        <v>15000</v>
      </c>
      <c r="G9" s="69" t="s">
        <v>69</v>
      </c>
      <c r="H9" s="70"/>
      <c r="I9" s="70">
        <f>I5+I6+I7</f>
        <v>65000</v>
      </c>
      <c r="J9" s="71">
        <f>SUM(J5:J8)</f>
        <v>1050000</v>
      </c>
      <c r="K9" s="57"/>
      <c r="L9" s="55" t="s">
        <v>63</v>
      </c>
      <c r="M9" s="55">
        <v>1</v>
      </c>
      <c r="N9" s="55">
        <v>25000</v>
      </c>
      <c r="O9" s="60">
        <f t="shared" si="0"/>
        <v>25000</v>
      </c>
      <c r="P9" s="57"/>
      <c r="Q9" s="72" t="s">
        <v>83</v>
      </c>
      <c r="R9" s="73">
        <v>1</v>
      </c>
      <c r="S9" s="73">
        <v>6000</v>
      </c>
      <c r="T9" s="74">
        <f t="shared" si="1"/>
        <v>6000</v>
      </c>
      <c r="U9" s="64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8.2" thickBot="1" x14ac:dyDescent="0.3">
      <c r="B10" s="11" t="s">
        <v>13</v>
      </c>
      <c r="C10" s="11">
        <v>225</v>
      </c>
      <c r="D10" s="14" t="s">
        <v>14</v>
      </c>
      <c r="E10" s="13">
        <f>SUM(T15:T16)</f>
        <v>2000</v>
      </c>
      <c r="G10" s="120" t="s">
        <v>71</v>
      </c>
      <c r="H10" s="120"/>
      <c r="I10" s="120"/>
      <c r="J10" s="120"/>
      <c r="K10" s="57"/>
      <c r="L10" s="55" t="s">
        <v>64</v>
      </c>
      <c r="M10" s="55">
        <v>1</v>
      </c>
      <c r="N10" s="55">
        <v>7000</v>
      </c>
      <c r="O10" s="60">
        <f t="shared" si="0"/>
        <v>7000</v>
      </c>
      <c r="P10" s="57"/>
      <c r="Q10" s="75"/>
      <c r="R10" s="76"/>
      <c r="S10" s="76"/>
      <c r="T10" s="77">
        <f t="shared" si="1"/>
        <v>0</v>
      </c>
      <c r="U10" s="64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2:31" ht="28.2" thickBot="1" x14ac:dyDescent="0.3">
      <c r="B11" s="11" t="s">
        <v>15</v>
      </c>
      <c r="C11" s="11">
        <v>226</v>
      </c>
      <c r="D11" s="14" t="s">
        <v>16</v>
      </c>
      <c r="E11" s="13">
        <f>T19+T5</f>
        <v>103200</v>
      </c>
      <c r="G11" s="78" t="s">
        <v>51</v>
      </c>
      <c r="H11" s="79" t="s">
        <v>52</v>
      </c>
      <c r="I11" s="79" t="s">
        <v>53</v>
      </c>
      <c r="J11" s="80" t="s">
        <v>72</v>
      </c>
      <c r="K11" s="57"/>
      <c r="L11" s="55" t="s">
        <v>65</v>
      </c>
      <c r="M11" s="55">
        <v>1</v>
      </c>
      <c r="N11" s="55">
        <v>40000</v>
      </c>
      <c r="O11" s="60">
        <f t="shared" si="0"/>
        <v>40000</v>
      </c>
      <c r="P11" s="57"/>
      <c r="Q11" s="61" t="s">
        <v>80</v>
      </c>
      <c r="R11" s="79">
        <v>0</v>
      </c>
      <c r="S11" s="79">
        <v>0</v>
      </c>
      <c r="T11" s="63">
        <f t="shared" si="1"/>
        <v>0</v>
      </c>
      <c r="U11" s="64"/>
      <c r="V11" s="10"/>
      <c r="W11" s="34"/>
      <c r="X11" s="10"/>
      <c r="Y11" s="10"/>
      <c r="Z11" s="10"/>
      <c r="AA11" s="10"/>
      <c r="AB11" s="10"/>
      <c r="AC11" s="10"/>
      <c r="AD11" s="10"/>
      <c r="AE11" s="10"/>
    </row>
    <row r="12" spans="2:31" ht="28.2" thickBot="1" x14ac:dyDescent="0.3">
      <c r="B12" s="11" t="s">
        <v>17</v>
      </c>
      <c r="C12" s="11">
        <v>290</v>
      </c>
      <c r="D12" s="14" t="s">
        <v>18</v>
      </c>
      <c r="E12" s="13">
        <f>J31</f>
        <v>1516470.6271186441</v>
      </c>
      <c r="G12" s="54" t="s">
        <v>104</v>
      </c>
      <c r="H12" s="55">
        <f>I5*H5</f>
        <v>20500</v>
      </c>
      <c r="I12" s="55">
        <f>H12*12</f>
        <v>246000</v>
      </c>
      <c r="J12" s="81">
        <f>I12*0.302</f>
        <v>74292</v>
      </c>
      <c r="K12" s="57"/>
      <c r="L12" s="55" t="s">
        <v>66</v>
      </c>
      <c r="M12" s="55">
        <v>2</v>
      </c>
      <c r="N12" s="55">
        <v>3000</v>
      </c>
      <c r="O12" s="60">
        <f t="shared" si="0"/>
        <v>6000</v>
      </c>
      <c r="P12" s="57"/>
      <c r="Q12" s="65" t="s">
        <v>81</v>
      </c>
      <c r="R12" s="66">
        <v>12</v>
      </c>
      <c r="S12" s="66">
        <v>40000</v>
      </c>
      <c r="T12" s="67">
        <f t="shared" si="1"/>
        <v>480000</v>
      </c>
      <c r="U12" s="68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2:31" ht="28.2" thickBot="1" x14ac:dyDescent="0.3">
      <c r="B13" s="11" t="s">
        <v>19</v>
      </c>
      <c r="C13" s="11">
        <v>310</v>
      </c>
      <c r="D13" s="14" t="s">
        <v>20</v>
      </c>
      <c r="E13" s="13">
        <f>O19</f>
        <v>149500</v>
      </c>
      <c r="G13" s="54" t="s">
        <v>105</v>
      </c>
      <c r="H13" s="55">
        <f>I6*H6</f>
        <v>45000</v>
      </c>
      <c r="I13" s="55">
        <f t="shared" ref="I13:I14" si="2">H13*12</f>
        <v>540000</v>
      </c>
      <c r="J13" s="81">
        <f>I13*0.302</f>
        <v>163080</v>
      </c>
      <c r="K13" s="57"/>
      <c r="L13" s="55" t="s">
        <v>67</v>
      </c>
      <c r="M13" s="55">
        <v>2</v>
      </c>
      <c r="N13" s="55">
        <v>3000</v>
      </c>
      <c r="O13" s="60">
        <f t="shared" si="0"/>
        <v>6000</v>
      </c>
      <c r="P13" s="57"/>
      <c r="Q13" s="65" t="s">
        <v>82</v>
      </c>
      <c r="R13" s="66">
        <v>12</v>
      </c>
      <c r="S13" s="66">
        <v>200</v>
      </c>
      <c r="T13" s="67">
        <f t="shared" si="1"/>
        <v>2400</v>
      </c>
      <c r="U13" s="64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2:31" ht="28.2" thickBot="1" x14ac:dyDescent="0.3">
      <c r="B14" s="11" t="s">
        <v>21</v>
      </c>
      <c r="C14" s="11">
        <v>340</v>
      </c>
      <c r="D14" s="14" t="s">
        <v>22</v>
      </c>
      <c r="E14" s="13">
        <f>SUM(T11:T13)+T9</f>
        <v>488400</v>
      </c>
      <c r="G14" s="54" t="s">
        <v>106</v>
      </c>
      <c r="H14" s="55">
        <f>I7*H7</f>
        <v>22000</v>
      </c>
      <c r="I14" s="55">
        <f t="shared" si="2"/>
        <v>264000</v>
      </c>
      <c r="J14" s="81">
        <f>I14*0.302</f>
        <v>79728</v>
      </c>
      <c r="K14" s="57"/>
      <c r="L14" s="55" t="s">
        <v>68</v>
      </c>
      <c r="M14" s="55">
        <v>2</v>
      </c>
      <c r="N14" s="55">
        <v>5500</v>
      </c>
      <c r="O14" s="60">
        <f t="shared" si="0"/>
        <v>11000</v>
      </c>
      <c r="P14" s="57"/>
      <c r="Q14" s="65" t="s">
        <v>84</v>
      </c>
      <c r="R14" s="66">
        <v>100</v>
      </c>
      <c r="S14" s="66">
        <v>150</v>
      </c>
      <c r="T14" s="67">
        <f t="shared" si="1"/>
        <v>15000</v>
      </c>
      <c r="U14" s="64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2:31" ht="28.2" thickBot="1" x14ac:dyDescent="0.3">
      <c r="B15" s="11" t="s">
        <v>23</v>
      </c>
      <c r="C15" s="11"/>
      <c r="D15" s="14" t="s">
        <v>49</v>
      </c>
      <c r="E15" s="13">
        <f>SUM(E5:E14)*0.1</f>
        <v>366927.06271186448</v>
      </c>
      <c r="G15" s="54"/>
      <c r="H15" s="55"/>
      <c r="I15" s="55"/>
      <c r="J15" s="56"/>
      <c r="K15" s="57"/>
      <c r="L15" s="55" t="s">
        <v>86</v>
      </c>
      <c r="M15" s="55">
        <v>1</v>
      </c>
      <c r="N15" s="55">
        <v>3000</v>
      </c>
      <c r="O15" s="60">
        <f t="shared" si="0"/>
        <v>3000</v>
      </c>
      <c r="P15" s="57"/>
      <c r="Q15" s="65" t="s">
        <v>85</v>
      </c>
      <c r="R15" s="66">
        <v>0</v>
      </c>
      <c r="S15" s="66">
        <v>0</v>
      </c>
      <c r="T15" s="67">
        <f t="shared" si="1"/>
        <v>0</v>
      </c>
      <c r="U15" s="64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2:31" ht="14.4" thickBot="1" x14ac:dyDescent="0.3">
      <c r="B16" s="11" t="s">
        <v>25</v>
      </c>
      <c r="C16" s="11"/>
      <c r="D16" s="15" t="s">
        <v>59</v>
      </c>
      <c r="E16" s="45">
        <f>SUM(E5:E15)</f>
        <v>4036197.689830509</v>
      </c>
      <c r="G16" s="69" t="s">
        <v>69</v>
      </c>
      <c r="H16" s="70"/>
      <c r="I16" s="70"/>
      <c r="J16" s="82">
        <f>SUM(J11:J15)</f>
        <v>317100</v>
      </c>
      <c r="K16" s="57"/>
      <c r="L16" s="55" t="s">
        <v>87</v>
      </c>
      <c r="M16" s="55">
        <v>1</v>
      </c>
      <c r="N16" s="55">
        <v>6000</v>
      </c>
      <c r="O16" s="83">
        <f t="shared" si="0"/>
        <v>6000</v>
      </c>
      <c r="P16" s="57"/>
      <c r="Q16" s="84" t="s">
        <v>88</v>
      </c>
      <c r="R16" s="73">
        <v>1</v>
      </c>
      <c r="S16" s="73">
        <v>2000</v>
      </c>
      <c r="T16" s="74">
        <f t="shared" si="1"/>
        <v>2000</v>
      </c>
      <c r="U16" s="64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3:31" ht="17.25" customHeight="1" thickBot="1" x14ac:dyDescent="0.3">
      <c r="G17" s="64"/>
      <c r="H17" s="64"/>
      <c r="I17" s="64"/>
      <c r="J17" s="57"/>
      <c r="K17" s="57"/>
      <c r="L17" s="55" t="s">
        <v>95</v>
      </c>
      <c r="M17" s="55">
        <v>1</v>
      </c>
      <c r="N17" s="55">
        <v>6000</v>
      </c>
      <c r="O17" s="83">
        <f t="shared" si="0"/>
        <v>6000</v>
      </c>
      <c r="P17" s="57"/>
      <c r="Q17" s="85"/>
      <c r="R17" s="76"/>
      <c r="S17" s="76"/>
      <c r="T17" s="77"/>
      <c r="U17" s="64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3:31" ht="34.5" customHeight="1" thickBot="1" x14ac:dyDescent="0.3">
      <c r="C18" s="25"/>
      <c r="D18" s="25" t="s">
        <v>94</v>
      </c>
      <c r="G18" s="86"/>
      <c r="H18" s="86"/>
      <c r="I18" s="86"/>
      <c r="J18" s="86"/>
      <c r="K18" s="86"/>
      <c r="L18" s="87" t="s">
        <v>96</v>
      </c>
      <c r="M18" s="87">
        <v>1</v>
      </c>
      <c r="N18" s="87">
        <v>6000</v>
      </c>
      <c r="O18" s="87">
        <f t="shared" si="0"/>
        <v>6000</v>
      </c>
      <c r="P18" s="86"/>
      <c r="Q18" s="88" t="s">
        <v>80</v>
      </c>
      <c r="R18" s="79">
        <v>0</v>
      </c>
      <c r="S18" s="79">
        <v>0</v>
      </c>
      <c r="T18" s="63">
        <f>S18*R18</f>
        <v>0</v>
      </c>
      <c r="U18" s="86"/>
    </row>
    <row r="19" spans="3:31" ht="28.2" thickBot="1" x14ac:dyDescent="0.3">
      <c r="D19" s="40" t="s">
        <v>89</v>
      </c>
      <c r="E19" s="41" t="s">
        <v>29</v>
      </c>
      <c r="F19" s="42" t="s">
        <v>31</v>
      </c>
      <c r="G19" s="89" t="s">
        <v>30</v>
      </c>
      <c r="H19" s="86"/>
      <c r="I19" s="86"/>
      <c r="J19" s="86"/>
      <c r="K19" s="86"/>
      <c r="L19" s="55" t="s">
        <v>69</v>
      </c>
      <c r="M19" s="55"/>
      <c r="N19" s="55"/>
      <c r="O19" s="90">
        <f>SUM(O5:O18)</f>
        <v>149500</v>
      </c>
      <c r="P19" s="86"/>
      <c r="Q19" s="84" t="s">
        <v>110</v>
      </c>
      <c r="R19" s="91">
        <v>1</v>
      </c>
      <c r="S19" s="91">
        <v>600</v>
      </c>
      <c r="T19" s="74">
        <f>S19*R19*12</f>
        <v>7200</v>
      </c>
      <c r="U19" s="86"/>
    </row>
    <row r="20" spans="3:31" ht="27.6" x14ac:dyDescent="0.25">
      <c r="D20" s="39" t="s">
        <v>108</v>
      </c>
      <c r="E20" s="30">
        <v>250</v>
      </c>
      <c r="F20" s="31">
        <v>7700</v>
      </c>
      <c r="G20" s="92">
        <f>E20*F20</f>
        <v>1925000</v>
      </c>
      <c r="H20" s="86"/>
      <c r="I20" s="86"/>
      <c r="J20" s="86"/>
      <c r="K20" s="86"/>
      <c r="L20" s="86"/>
      <c r="M20" s="86"/>
      <c r="N20" s="86"/>
      <c r="O20" s="86"/>
      <c r="P20" s="86"/>
      <c r="Q20" s="93"/>
      <c r="R20" s="94"/>
      <c r="S20" s="94"/>
      <c r="T20" s="95"/>
      <c r="U20" s="86"/>
    </row>
    <row r="21" spans="3:31" x14ac:dyDescent="0.25">
      <c r="D21" s="29" t="s">
        <v>107</v>
      </c>
      <c r="E21" s="28">
        <v>12</v>
      </c>
      <c r="F21" s="28">
        <v>100000</v>
      </c>
      <c r="G21" s="96">
        <f>E21*F21</f>
        <v>1200000</v>
      </c>
      <c r="H21" s="86"/>
      <c r="I21" s="86"/>
      <c r="J21" s="86"/>
      <c r="K21" s="86"/>
      <c r="L21" s="86"/>
      <c r="M21" s="86"/>
      <c r="N21" s="86"/>
      <c r="O21" s="86"/>
      <c r="P21" s="86"/>
      <c r="Q21" s="97" t="s">
        <v>92</v>
      </c>
      <c r="R21" s="98">
        <v>12</v>
      </c>
      <c r="S21" s="98">
        <f>S24*(S25/100*S26)/12</f>
        <v>65581.25</v>
      </c>
      <c r="T21" s="95">
        <f t="shared" ref="T21" si="3">S21*R21</f>
        <v>786975</v>
      </c>
      <c r="U21" s="86"/>
    </row>
    <row r="22" spans="3:31" ht="14.4" thickBot="1" x14ac:dyDescent="0.3">
      <c r="D22" s="26" t="s">
        <v>109</v>
      </c>
      <c r="E22" s="27">
        <v>37</v>
      </c>
      <c r="F22" s="27">
        <v>40000</v>
      </c>
      <c r="G22" s="99">
        <f>E22*F22</f>
        <v>1480000</v>
      </c>
      <c r="H22" s="86"/>
      <c r="I22" s="86"/>
      <c r="J22" s="86"/>
      <c r="K22" s="86"/>
      <c r="L22" s="86"/>
      <c r="M22" s="86"/>
      <c r="N22" s="86"/>
      <c r="O22" s="86"/>
      <c r="P22" s="86"/>
      <c r="Q22" s="97" t="s">
        <v>91</v>
      </c>
      <c r="R22" s="97"/>
      <c r="S22" s="97"/>
      <c r="T22" s="100">
        <f>SUM(T5:T21)</f>
        <v>1423175</v>
      </c>
      <c r="U22" s="86"/>
    </row>
    <row r="23" spans="3:31" ht="21" customHeight="1" thickTop="1" thickBot="1" x14ac:dyDescent="0.3">
      <c r="E23" s="44"/>
      <c r="F23" s="44" t="s">
        <v>32</v>
      </c>
      <c r="G23" s="43">
        <f>SUM(G20:G22)</f>
        <v>4605000</v>
      </c>
      <c r="Q23" s="32"/>
      <c r="R23" s="32"/>
      <c r="S23" s="32"/>
      <c r="T23" s="33"/>
    </row>
    <row r="24" spans="3:31" ht="21.75" customHeight="1" thickTop="1" x14ac:dyDescent="0.25">
      <c r="F24" s="46"/>
      <c r="G24" s="102"/>
      <c r="J24" s="104" t="s">
        <v>100</v>
      </c>
      <c r="K24" s="104"/>
      <c r="N24" s="9">
        <v>366927</v>
      </c>
      <c r="Q24" s="125" t="s">
        <v>101</v>
      </c>
      <c r="R24" s="126"/>
      <c r="S24" s="123">
        <v>5250000</v>
      </c>
      <c r="T24" s="124"/>
    </row>
    <row r="25" spans="3:31" x14ac:dyDescent="0.25">
      <c r="J25" s="106">
        <f>G23*18/118</f>
        <v>702457.62711864407</v>
      </c>
      <c r="K25" s="104"/>
      <c r="N25" s="9">
        <f>N24/11</f>
        <v>33357</v>
      </c>
      <c r="Q25" s="127" t="s">
        <v>93</v>
      </c>
      <c r="R25" s="128"/>
      <c r="S25" s="112">
        <v>14.99</v>
      </c>
      <c r="T25" s="113"/>
      <c r="U25" s="112"/>
      <c r="V25" s="113"/>
    </row>
    <row r="26" spans="3:31" ht="14.4" thickBot="1" x14ac:dyDescent="0.3">
      <c r="C26" s="24"/>
      <c r="D26" s="24"/>
      <c r="G26" s="101">
        <f>G23</f>
        <v>4605000</v>
      </c>
      <c r="J26" s="105" t="s">
        <v>92</v>
      </c>
      <c r="K26" s="104"/>
      <c r="Q26" s="114" t="s">
        <v>97</v>
      </c>
      <c r="R26" s="115"/>
      <c r="S26" s="121">
        <v>1</v>
      </c>
      <c r="T26" s="122"/>
    </row>
    <row r="27" spans="3:31" ht="19.2" thickTop="1" thickBot="1" x14ac:dyDescent="0.3">
      <c r="C27" s="24"/>
      <c r="D27" s="24"/>
      <c r="E27" s="46" t="s">
        <v>90</v>
      </c>
      <c r="G27" s="101">
        <f>G26-E16</f>
        <v>568802.31016949099</v>
      </c>
      <c r="J27" s="111">
        <f>T21</f>
        <v>786975</v>
      </c>
      <c r="K27" s="104"/>
      <c r="Q27" s="114" t="s">
        <v>102</v>
      </c>
      <c r="R27" s="115"/>
      <c r="S27" s="116">
        <f>S24*0.1499</f>
        <v>786975</v>
      </c>
      <c r="T27" s="117"/>
    </row>
    <row r="28" spans="3:31" ht="15" thickTop="1" thickBot="1" x14ac:dyDescent="0.3">
      <c r="C28" s="24"/>
      <c r="D28" s="24">
        <f>G27*0.1499</f>
        <v>85263.466294406695</v>
      </c>
      <c r="E28" s="9" t="s">
        <v>99</v>
      </c>
      <c r="G28" s="110">
        <v>27038</v>
      </c>
      <c r="J28" s="104" t="s">
        <v>99</v>
      </c>
      <c r="K28" s="104"/>
    </row>
    <row r="29" spans="3:31" ht="14.4" thickBot="1" x14ac:dyDescent="0.3">
      <c r="E29" s="24" t="s">
        <v>98</v>
      </c>
      <c r="G29" s="103">
        <f>G27-G28</f>
        <v>541764.31016949099</v>
      </c>
      <c r="J29" s="107">
        <f>G28</f>
        <v>27038</v>
      </c>
      <c r="K29" s="104"/>
    </row>
    <row r="31" spans="3:31" x14ac:dyDescent="0.25">
      <c r="J31" s="108">
        <f>SUM(J25,J27,J29)</f>
        <v>1516470.6271186441</v>
      </c>
    </row>
    <row r="33" spans="9:9" x14ac:dyDescent="0.25">
      <c r="I33" s="108"/>
    </row>
  </sheetData>
  <mergeCells count="13">
    <mergeCell ref="U25:V25"/>
    <mergeCell ref="Q27:R27"/>
    <mergeCell ref="S27:T27"/>
    <mergeCell ref="G3:J3"/>
    <mergeCell ref="L3:O3"/>
    <mergeCell ref="G10:J10"/>
    <mergeCell ref="Q3:T3"/>
    <mergeCell ref="Q26:R26"/>
    <mergeCell ref="S25:T25"/>
    <mergeCell ref="S26:T26"/>
    <mergeCell ref="S24:T24"/>
    <mergeCell ref="Q24:R24"/>
    <mergeCell ref="Q25:R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zoomScale="120" zoomScaleNormal="120" workbookViewId="0">
      <selection activeCell="O17" sqref="O17"/>
    </sheetView>
  </sheetViews>
  <sheetFormatPr defaultRowHeight="14.4" x14ac:dyDescent="0.3"/>
  <cols>
    <col min="1" max="1" width="4.109375" customWidth="1"/>
    <col min="2" max="2" width="20" customWidth="1"/>
    <col min="15" max="15" width="9.5546875" bestFit="1" customWidth="1"/>
    <col min="16" max="16" width="9.88671875" bestFit="1" customWidth="1"/>
  </cols>
  <sheetData>
    <row r="1" spans="2:16" x14ac:dyDescent="0.3">
      <c r="C1" s="3" t="s">
        <v>33</v>
      </c>
    </row>
    <row r="2" spans="2:16" ht="15" thickBot="1" x14ac:dyDescent="0.35">
      <c r="O2" t="s">
        <v>48</v>
      </c>
    </row>
    <row r="3" spans="2:16" ht="15" thickBot="1" x14ac:dyDescent="0.35">
      <c r="B3" s="1" t="s">
        <v>34</v>
      </c>
      <c r="C3" s="48" t="s">
        <v>35</v>
      </c>
      <c r="D3" s="48" t="s">
        <v>36</v>
      </c>
      <c r="E3" s="48" t="s">
        <v>37</v>
      </c>
      <c r="F3" s="48" t="s">
        <v>38</v>
      </c>
      <c r="G3" s="48" t="s">
        <v>39</v>
      </c>
      <c r="H3" s="49" t="s">
        <v>40</v>
      </c>
      <c r="I3" s="48" t="s">
        <v>42</v>
      </c>
      <c r="J3" s="48" t="s">
        <v>43</v>
      </c>
      <c r="K3" s="48" t="s">
        <v>44</v>
      </c>
      <c r="L3" s="48" t="s">
        <v>45</v>
      </c>
      <c r="M3" s="48" t="s">
        <v>46</v>
      </c>
      <c r="N3" s="49" t="s">
        <v>47</v>
      </c>
    </row>
    <row r="4" spans="2:16" ht="15" thickBot="1" x14ac:dyDescent="0.35">
      <c r="B4" s="4" t="s">
        <v>4</v>
      </c>
      <c r="C4" s="47">
        <f>'Расчет '!$E$5/12</f>
        <v>87500</v>
      </c>
      <c r="D4" s="47">
        <f>'Расчет '!$E$5/12</f>
        <v>87500</v>
      </c>
      <c r="E4" s="47">
        <f>'Расчет '!$E$5/12</f>
        <v>87500</v>
      </c>
      <c r="F4" s="47">
        <f>'Расчет '!$E$5/12</f>
        <v>87500</v>
      </c>
      <c r="G4" s="47">
        <f>'Расчет '!$E$5/12</f>
        <v>87500</v>
      </c>
      <c r="H4" s="47">
        <f>'Расчет '!$E$5/12</f>
        <v>87500</v>
      </c>
      <c r="I4" s="47">
        <f>'Расчет '!$E$5/12</f>
        <v>87500</v>
      </c>
      <c r="J4" s="47">
        <f>'Расчет '!$E$5/12</f>
        <v>87500</v>
      </c>
      <c r="K4" s="47">
        <f>'Расчет '!$E$5/12</f>
        <v>87500</v>
      </c>
      <c r="L4" s="47">
        <f>'Расчет '!$E$5/12</f>
        <v>87500</v>
      </c>
      <c r="M4" s="47">
        <f>'Расчет '!$E$5/12</f>
        <v>87500</v>
      </c>
      <c r="N4" s="47">
        <f>'Расчет '!$E$5/12</f>
        <v>87500</v>
      </c>
      <c r="O4" s="7">
        <f>SUM(C4:N4)</f>
        <v>1050000</v>
      </c>
    </row>
    <row r="5" spans="2:16" ht="15" thickBot="1" x14ac:dyDescent="0.35">
      <c r="B5" s="4" t="s">
        <v>6</v>
      </c>
      <c r="C5" s="47">
        <v>0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5">
        <f t="shared" ref="O5:O15" si="0">SUM(C5:N5)</f>
        <v>0</v>
      </c>
    </row>
    <row r="6" spans="2:16" ht="24.6" thickBot="1" x14ac:dyDescent="0.35">
      <c r="B6" s="4" t="s">
        <v>8</v>
      </c>
      <c r="C6" s="47">
        <f>'Расчет '!$E$7/12</f>
        <v>26425</v>
      </c>
      <c r="D6" s="47">
        <f>'Расчет '!$E$7/12</f>
        <v>26425</v>
      </c>
      <c r="E6" s="47">
        <f>'Расчет '!$E$7/12</f>
        <v>26425</v>
      </c>
      <c r="F6" s="47">
        <f>'Расчет '!$E$7/12</f>
        <v>26425</v>
      </c>
      <c r="G6" s="47">
        <f>'Расчет '!$E$7/12</f>
        <v>26425</v>
      </c>
      <c r="H6" s="47">
        <f>'Расчет '!$E$7/12</f>
        <v>26425</v>
      </c>
      <c r="I6" s="47">
        <f>'Расчет '!$E$7/12</f>
        <v>26425</v>
      </c>
      <c r="J6" s="47">
        <f>'Расчет '!$E$7/12</f>
        <v>26425</v>
      </c>
      <c r="K6" s="47">
        <f>'Расчет '!$E$7/12</f>
        <v>26425</v>
      </c>
      <c r="L6" s="47">
        <f>'Расчет '!$E$7/12</f>
        <v>26425</v>
      </c>
      <c r="M6" s="47">
        <f>'Расчет '!$E$7/12</f>
        <v>26425</v>
      </c>
      <c r="N6" s="47">
        <f>'Расчет '!$E$7/12</f>
        <v>26425</v>
      </c>
      <c r="O6" s="5">
        <f t="shared" si="0"/>
        <v>317100</v>
      </c>
    </row>
    <row r="7" spans="2:16" ht="15" thickBot="1" x14ac:dyDescent="0.35">
      <c r="B7" s="4" t="s">
        <v>10</v>
      </c>
      <c r="C7" s="47">
        <f>'Расчет '!$S$6+'Расчет '!$S$7+1800</f>
        <v>2300</v>
      </c>
      <c r="D7" s="47">
        <f>'Расчет '!$S$6+'Расчет '!$S$7+1800</f>
        <v>2300</v>
      </c>
      <c r="E7" s="47">
        <f>'Расчет '!$S$6+'Расчет '!$S$7+1800</f>
        <v>2300</v>
      </c>
      <c r="F7" s="47">
        <f>'Расчет '!$S$6+'Расчет '!$S$7+1800</f>
        <v>2300</v>
      </c>
      <c r="G7" s="47">
        <f>'Расчет '!$S$6+'Расчет '!$S$7+1800</f>
        <v>2300</v>
      </c>
      <c r="H7" s="47">
        <f>'Расчет '!$S$6+'Расчет '!$S$7+1800</f>
        <v>2300</v>
      </c>
      <c r="I7" s="47">
        <f>'Расчет '!$S$6+'Расчет '!$S$7+1800</f>
        <v>2300</v>
      </c>
      <c r="J7" s="47">
        <f>'Расчет '!$S$6+'Расчет '!$S$7+1800</f>
        <v>2300</v>
      </c>
      <c r="K7" s="47">
        <f>'Расчет '!$S$6+'Расчет '!$S$7+1800</f>
        <v>2300</v>
      </c>
      <c r="L7" s="47">
        <f>'Расчет '!$S$6+'Расчет '!$S$7+1800</f>
        <v>2300</v>
      </c>
      <c r="M7" s="47">
        <f>'Расчет '!$S$6+'Расчет '!$S$7+1800</f>
        <v>2300</v>
      </c>
      <c r="N7" s="47">
        <f>'Расчет '!$S$6+'Расчет '!$S$7+1800</f>
        <v>2300</v>
      </c>
      <c r="O7" s="5">
        <f t="shared" si="0"/>
        <v>27600</v>
      </c>
    </row>
    <row r="8" spans="2:16" ht="15" thickBot="1" x14ac:dyDescent="0.35">
      <c r="B8" s="4" t="s">
        <v>12</v>
      </c>
      <c r="C8" s="47">
        <f>'Расчет '!$T$14/12</f>
        <v>1250</v>
      </c>
      <c r="D8" s="47">
        <f>'Расчет '!$T$14/12</f>
        <v>1250</v>
      </c>
      <c r="E8" s="47">
        <f>'Расчет '!$T$14/12</f>
        <v>1250</v>
      </c>
      <c r="F8" s="47">
        <f>'Расчет '!$T$14/12</f>
        <v>1250</v>
      </c>
      <c r="G8" s="47">
        <f>'Расчет '!$T$14/12</f>
        <v>1250</v>
      </c>
      <c r="H8" s="47">
        <f>'Расчет '!$T$14/12</f>
        <v>1250</v>
      </c>
      <c r="I8" s="47">
        <f>'Расчет '!$T$14/12</f>
        <v>1250</v>
      </c>
      <c r="J8" s="47">
        <f>'Расчет '!$T$14/12</f>
        <v>1250</v>
      </c>
      <c r="K8" s="47">
        <f>'Расчет '!$T$14/12</f>
        <v>1250</v>
      </c>
      <c r="L8" s="47">
        <f>'Расчет '!$T$14/12</f>
        <v>1250</v>
      </c>
      <c r="M8" s="47">
        <f>'Расчет '!$T$14/12</f>
        <v>1250</v>
      </c>
      <c r="N8" s="47">
        <f>'Расчет '!$T$14/12</f>
        <v>1250</v>
      </c>
      <c r="O8" s="5">
        <f t="shared" si="0"/>
        <v>15000</v>
      </c>
    </row>
    <row r="9" spans="2:16" ht="24.6" thickBot="1" x14ac:dyDescent="0.35">
      <c r="B9" s="4" t="s">
        <v>14</v>
      </c>
      <c r="C9" s="47">
        <f>'Расчет '!$T$15/12</f>
        <v>0</v>
      </c>
      <c r="D9" s="47">
        <f>'Расчет '!$T$15/12</f>
        <v>0</v>
      </c>
      <c r="E9" s="47">
        <f>'Расчет '!$T$15/12</f>
        <v>0</v>
      </c>
      <c r="F9" s="47">
        <f>'Расчет '!$T$15/12</f>
        <v>0</v>
      </c>
      <c r="G9" s="47">
        <f>'Расчет '!$T$15/12</f>
        <v>0</v>
      </c>
      <c r="H9" s="47">
        <f>'Расчет '!$T$15/12</f>
        <v>0</v>
      </c>
      <c r="I9" s="47">
        <f>'Расчет '!$T$15/12</f>
        <v>0</v>
      </c>
      <c r="J9" s="47">
        <f>'Расчет '!$T$15/12+'Расчет '!S16</f>
        <v>2000</v>
      </c>
      <c r="K9" s="47">
        <f>'Расчет '!$T$15/12</f>
        <v>0</v>
      </c>
      <c r="L9" s="47">
        <f>'Расчет '!$T$15/12</f>
        <v>0</v>
      </c>
      <c r="M9" s="47">
        <f>'Расчет '!$T$15/12</f>
        <v>0</v>
      </c>
      <c r="N9" s="47">
        <f>'Расчет '!$T$15/12</f>
        <v>0</v>
      </c>
      <c r="O9" s="5">
        <f t="shared" si="0"/>
        <v>2000</v>
      </c>
    </row>
    <row r="10" spans="2:16" ht="15" thickBot="1" x14ac:dyDescent="0.35">
      <c r="B10" s="4" t="s">
        <v>16</v>
      </c>
      <c r="C10" s="47">
        <f>'Расчет '!$E$11/12</f>
        <v>8600</v>
      </c>
      <c r="D10" s="47">
        <f>'Расчет '!$E$11/12</f>
        <v>8600</v>
      </c>
      <c r="E10" s="47">
        <f>'Расчет '!$E$11/12</f>
        <v>8600</v>
      </c>
      <c r="F10" s="47">
        <f>'Расчет '!$E$11/12</f>
        <v>8600</v>
      </c>
      <c r="G10" s="47">
        <f>'Расчет '!$E$11/12</f>
        <v>8600</v>
      </c>
      <c r="H10" s="47">
        <f>'Расчет '!$E$11/12</f>
        <v>8600</v>
      </c>
      <c r="I10" s="47">
        <f>'Расчет '!$E$11/12</f>
        <v>8600</v>
      </c>
      <c r="J10" s="47">
        <f>'Расчет '!$E$11/12</f>
        <v>8600</v>
      </c>
      <c r="K10" s="47">
        <f>'Расчет '!$E$11/12</f>
        <v>8600</v>
      </c>
      <c r="L10" s="47">
        <f>'Расчет '!$E$11/12</f>
        <v>8600</v>
      </c>
      <c r="M10" s="47">
        <f>'Расчет '!$E$11/12</f>
        <v>8600</v>
      </c>
      <c r="N10" s="47">
        <f>'Расчет '!$E$11/12</f>
        <v>8600</v>
      </c>
      <c r="O10" s="5">
        <f t="shared" si="0"/>
        <v>103200</v>
      </c>
    </row>
    <row r="11" spans="2:16" ht="15" thickBot="1" x14ac:dyDescent="0.35">
      <c r="B11" s="4" t="s">
        <v>18</v>
      </c>
      <c r="C11" s="47">
        <f>'Расчет '!$E$12/12</f>
        <v>126372.552259887</v>
      </c>
      <c r="D11" s="47">
        <f>'Расчет '!$E$12/12</f>
        <v>126372.552259887</v>
      </c>
      <c r="E11" s="47">
        <f>'Расчет '!$E$12/12</f>
        <v>126372.552259887</v>
      </c>
      <c r="F11" s="47">
        <f>'Расчет '!$E$12/12</f>
        <v>126372.552259887</v>
      </c>
      <c r="G11" s="47">
        <f>'Расчет '!$E$12/12</f>
        <v>126372.552259887</v>
      </c>
      <c r="H11" s="47">
        <f>'Расчет '!$E$12/12</f>
        <v>126372.552259887</v>
      </c>
      <c r="I11" s="47">
        <f>'Расчет '!$E$12/12</f>
        <v>126372.552259887</v>
      </c>
      <c r="J11" s="47">
        <f>'Расчет '!$E$12/12</f>
        <v>126372.552259887</v>
      </c>
      <c r="K11" s="47">
        <f>'Расчет '!$E$12/12</f>
        <v>126372.552259887</v>
      </c>
      <c r="L11" s="47">
        <f>'Расчет '!$E$12/12</f>
        <v>126372.552259887</v>
      </c>
      <c r="M11" s="47">
        <f>'Расчет '!$E$12/12</f>
        <v>126372.552259887</v>
      </c>
      <c r="N11" s="47">
        <f>'Расчет '!$E$12/12</f>
        <v>126372.552259887</v>
      </c>
      <c r="O11" s="5">
        <f t="shared" si="0"/>
        <v>1516470.6271186443</v>
      </c>
    </row>
    <row r="12" spans="2:16" ht="24.6" thickBot="1" x14ac:dyDescent="0.35">
      <c r="B12" s="4" t="s">
        <v>20</v>
      </c>
      <c r="C12" s="109">
        <v>149500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5">
        <f t="shared" si="0"/>
        <v>149500</v>
      </c>
    </row>
    <row r="13" spans="2:16" ht="24.6" thickBot="1" x14ac:dyDescent="0.35">
      <c r="B13" s="4" t="s">
        <v>22</v>
      </c>
      <c r="C13" s="47">
        <f>'Расчет '!$E$14/12</f>
        <v>40700</v>
      </c>
      <c r="D13" s="47">
        <f>'Расчет '!$E$14/12</f>
        <v>40700</v>
      </c>
      <c r="E13" s="47">
        <f>'Расчет '!$E$14/12</f>
        <v>40700</v>
      </c>
      <c r="F13" s="47">
        <f>'Расчет '!$E$14/12</f>
        <v>40700</v>
      </c>
      <c r="G13" s="47">
        <f>'Расчет '!$E$14/12</f>
        <v>40700</v>
      </c>
      <c r="H13" s="47">
        <f>'Расчет '!$E$14/12</f>
        <v>40700</v>
      </c>
      <c r="I13" s="47">
        <f>'Расчет '!$E$14/12</f>
        <v>40700</v>
      </c>
      <c r="J13" s="47">
        <f>'Расчет '!$E$14/12</f>
        <v>40700</v>
      </c>
      <c r="K13" s="47">
        <f>'Расчет '!$E$14/12</f>
        <v>40700</v>
      </c>
      <c r="L13" s="47">
        <f>'Расчет '!$E$14/12</f>
        <v>40700</v>
      </c>
      <c r="M13" s="47">
        <f>'Расчет '!$E$14/12</f>
        <v>40700</v>
      </c>
      <c r="N13" s="47">
        <f>'Расчет '!$E$14/12</f>
        <v>40700</v>
      </c>
      <c r="O13" s="5">
        <f t="shared" si="0"/>
        <v>488400</v>
      </c>
    </row>
    <row r="14" spans="2:16" ht="24.6" thickBot="1" x14ac:dyDescent="0.35">
      <c r="B14" s="4" t="s">
        <v>24</v>
      </c>
      <c r="C14" s="47">
        <f>SUM(C4:C13)*0.1</f>
        <v>44264.755225988702</v>
      </c>
      <c r="D14" s="47">
        <f t="shared" ref="D14:N14" si="1">SUM(D4:D13)*0.1</f>
        <v>29314.755225988702</v>
      </c>
      <c r="E14" s="47">
        <f t="shared" si="1"/>
        <v>29314.755225988702</v>
      </c>
      <c r="F14" s="47">
        <f t="shared" si="1"/>
        <v>29314.755225988702</v>
      </c>
      <c r="G14" s="47">
        <f t="shared" si="1"/>
        <v>29314.755225988702</v>
      </c>
      <c r="H14" s="47">
        <f t="shared" si="1"/>
        <v>29314.755225988702</v>
      </c>
      <c r="I14" s="47">
        <f t="shared" si="1"/>
        <v>29314.755225988702</v>
      </c>
      <c r="J14" s="47">
        <f t="shared" si="1"/>
        <v>29514.755225988702</v>
      </c>
      <c r="K14" s="47">
        <f t="shared" si="1"/>
        <v>29314.755225988702</v>
      </c>
      <c r="L14" s="47">
        <f t="shared" si="1"/>
        <v>29314.755225988702</v>
      </c>
      <c r="M14" s="47">
        <f t="shared" si="1"/>
        <v>29314.755225988702</v>
      </c>
      <c r="N14" s="47">
        <f t="shared" si="1"/>
        <v>29314.755225988702</v>
      </c>
      <c r="O14" s="5">
        <f t="shared" si="0"/>
        <v>366927.0627118643</v>
      </c>
      <c r="P14" s="6">
        <f>SUM(O4:O14)</f>
        <v>4036197.6898305085</v>
      </c>
    </row>
    <row r="15" spans="2:16" ht="15" thickBot="1" x14ac:dyDescent="0.35">
      <c r="B15" s="4" t="s">
        <v>41</v>
      </c>
      <c r="C15" s="2">
        <f>SUM(C4:C14)</f>
        <v>486912.30748587567</v>
      </c>
      <c r="D15" s="2">
        <f t="shared" ref="D15:N15" si="2">SUM(D4:D14)</f>
        <v>322462.30748587567</v>
      </c>
      <c r="E15" s="2">
        <f t="shared" si="2"/>
        <v>322462.30748587567</v>
      </c>
      <c r="F15" s="2">
        <f t="shared" si="2"/>
        <v>322462.30748587567</v>
      </c>
      <c r="G15" s="2">
        <f t="shared" si="2"/>
        <v>322462.30748587567</v>
      </c>
      <c r="H15" s="2">
        <f t="shared" si="2"/>
        <v>322462.30748587567</v>
      </c>
      <c r="I15" s="2">
        <f t="shared" si="2"/>
        <v>322462.30748587567</v>
      </c>
      <c r="J15" s="2">
        <f t="shared" si="2"/>
        <v>324662.30748587567</v>
      </c>
      <c r="K15" s="2">
        <f t="shared" si="2"/>
        <v>322462.30748587567</v>
      </c>
      <c r="L15" s="2">
        <f t="shared" si="2"/>
        <v>322462.30748587567</v>
      </c>
      <c r="M15" s="2">
        <f t="shared" si="2"/>
        <v>322462.30748587567</v>
      </c>
      <c r="N15" s="2">
        <f t="shared" si="2"/>
        <v>322462.30748587567</v>
      </c>
      <c r="O15" s="8">
        <f t="shared" si="0"/>
        <v>4036197.6898305081</v>
      </c>
    </row>
    <row r="16" spans="2:16" x14ac:dyDescent="0.3">
      <c r="O16" s="53"/>
    </row>
    <row r="17" spans="15:15" x14ac:dyDescent="0.3">
      <c r="O17" s="52"/>
    </row>
    <row r="18" spans="15:15" x14ac:dyDescent="0.3">
      <c r="O18" s="50"/>
    </row>
    <row r="19" spans="15:15" x14ac:dyDescent="0.3">
      <c r="O19" s="52"/>
    </row>
    <row r="20" spans="15:15" x14ac:dyDescent="0.3">
      <c r="O20" s="50"/>
    </row>
    <row r="21" spans="15:15" x14ac:dyDescent="0.3">
      <c r="O21" s="52"/>
    </row>
    <row r="22" spans="15:15" x14ac:dyDescent="0.3">
      <c r="O22" s="50"/>
    </row>
    <row r="23" spans="15:15" x14ac:dyDescent="0.3">
      <c r="O23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</vt:lpstr>
      <vt:lpstr>смета_по_месяцам_на_год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2014-05-22T12:37:06Z</dcterms:created>
  <dcterms:modified xsi:type="dcterms:W3CDTF">2017-05-19T02:51:09Z</dcterms:modified>
</cp:coreProperties>
</file>